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E:\JupyterLab\by-test\data\Final\"/>
    </mc:Choice>
  </mc:AlternateContent>
  <xr:revisionPtr revIDLastSave="0" documentId="13_ncr:1_{FBA86969-9FD6-49FF-A382-DCA99117BCC4}" xr6:coauthVersionLast="47" xr6:coauthVersionMax="47" xr10:uidLastSave="{00000000-0000-0000-0000-000000000000}"/>
  <bookViews>
    <workbookView xWindow="-120" yWindow="-120" windowWidth="29040" windowHeight="15840" xr2:uid="{00000000-000D-0000-FFFF-FFFF00000000}"/>
  </bookViews>
  <sheets>
    <sheet name="Version" sheetId="2" r:id="rId1"/>
    <sheet name="Column Definitions" sheetId="4" r:id="rId2"/>
    <sheet name="ICTV2020 Master Species List#37" sheetId="1" r:id="rId3"/>
  </sheets>
  <definedNames>
    <definedName name="_xlnm._FilterDatabase" localSheetId="2" hidden="1">'ICTV2020 Master Species List#37'!$A$1:$U$10435</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Titles" localSheetId="2">'ICTV2020 Master Species List#37'!$1:$1</definedName>
  </definedNames>
  <calcPr calcId="18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3" i="2" l="1"/>
  <c r="E4" i="2"/>
  <c r="E10" i="2"/>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U1478" i="1"/>
  <c r="U1479" i="1"/>
  <c r="U1480" i="1"/>
  <c r="U1481" i="1"/>
  <c r="U1482" i="1"/>
  <c r="U1483" i="1"/>
  <c r="U1484" i="1"/>
  <c r="U1485" i="1"/>
  <c r="U1486" i="1"/>
  <c r="U1487" i="1"/>
  <c r="U1488" i="1"/>
  <c r="U1489" i="1"/>
  <c r="U1490" i="1"/>
  <c r="U1491" i="1"/>
  <c r="U1492" i="1"/>
  <c r="U1493" i="1"/>
  <c r="U1494" i="1"/>
  <c r="U1495" i="1"/>
  <c r="U1496" i="1"/>
  <c r="U1497" i="1"/>
  <c r="U1498" i="1"/>
  <c r="U1499" i="1"/>
  <c r="U1500" i="1"/>
  <c r="U1501" i="1"/>
  <c r="U1502" i="1"/>
  <c r="U1503" i="1"/>
  <c r="U1504" i="1"/>
  <c r="U1505" i="1"/>
  <c r="U1506" i="1"/>
  <c r="U1507" i="1"/>
  <c r="U1508" i="1"/>
  <c r="U1509" i="1"/>
  <c r="U1510" i="1"/>
  <c r="U1511" i="1"/>
  <c r="U1512" i="1"/>
  <c r="U1513" i="1"/>
  <c r="U1514" i="1"/>
  <c r="U1515" i="1"/>
  <c r="U1516" i="1"/>
  <c r="U1517" i="1"/>
  <c r="U1518" i="1"/>
  <c r="U1519" i="1"/>
  <c r="U1520" i="1"/>
  <c r="U1521" i="1"/>
  <c r="U1522" i="1"/>
  <c r="U1523" i="1"/>
  <c r="U1524" i="1"/>
  <c r="U1525" i="1"/>
  <c r="U1526" i="1"/>
  <c r="U1527" i="1"/>
  <c r="U1528" i="1"/>
  <c r="U1529" i="1"/>
  <c r="U1530" i="1"/>
  <c r="U1531" i="1"/>
  <c r="U1532" i="1"/>
  <c r="U1533" i="1"/>
  <c r="U1534" i="1"/>
  <c r="U1535" i="1"/>
  <c r="U1536" i="1"/>
  <c r="U1537" i="1"/>
  <c r="U1538" i="1"/>
  <c r="U1539" i="1"/>
  <c r="U1540" i="1"/>
  <c r="U1541" i="1"/>
  <c r="U1542" i="1"/>
  <c r="U1543" i="1"/>
  <c r="U1544" i="1"/>
  <c r="U1545" i="1"/>
  <c r="U1546" i="1"/>
  <c r="U1547" i="1"/>
  <c r="U1548" i="1"/>
  <c r="U1549" i="1"/>
  <c r="U1550" i="1"/>
  <c r="U1551" i="1"/>
  <c r="U1552" i="1"/>
  <c r="U1553" i="1"/>
  <c r="U1554" i="1"/>
  <c r="U1555" i="1"/>
  <c r="U1556" i="1"/>
  <c r="U1557" i="1"/>
  <c r="U1558" i="1"/>
  <c r="U1559" i="1"/>
  <c r="U1560" i="1"/>
  <c r="U1561" i="1"/>
  <c r="U1562" i="1"/>
  <c r="U1563" i="1"/>
  <c r="U1564" i="1"/>
  <c r="U1565" i="1"/>
  <c r="U1566" i="1"/>
  <c r="U1567" i="1"/>
  <c r="U1568" i="1"/>
  <c r="U1569" i="1"/>
  <c r="U1570" i="1"/>
  <c r="U1571" i="1"/>
  <c r="U1572" i="1"/>
  <c r="U1573" i="1"/>
  <c r="U1574" i="1"/>
  <c r="U1575" i="1"/>
  <c r="U1576" i="1"/>
  <c r="U1577" i="1"/>
  <c r="U1578" i="1"/>
  <c r="U1579" i="1"/>
  <c r="U1580" i="1"/>
  <c r="U1581" i="1"/>
  <c r="U1582" i="1"/>
  <c r="U1583" i="1"/>
  <c r="U1584" i="1"/>
  <c r="U1585" i="1"/>
  <c r="U1586" i="1"/>
  <c r="U1587" i="1"/>
  <c r="U1588" i="1"/>
  <c r="U1589" i="1"/>
  <c r="U1590" i="1"/>
  <c r="U1591" i="1"/>
  <c r="U1592" i="1"/>
  <c r="U1593" i="1"/>
  <c r="U1594" i="1"/>
  <c r="U1595" i="1"/>
  <c r="U1596" i="1"/>
  <c r="U1597" i="1"/>
  <c r="U1598" i="1"/>
  <c r="U1599" i="1"/>
  <c r="U1600" i="1"/>
  <c r="U1601" i="1"/>
  <c r="U1602" i="1"/>
  <c r="U1603" i="1"/>
  <c r="U1604" i="1"/>
  <c r="U1605" i="1"/>
  <c r="U1606" i="1"/>
  <c r="U1607" i="1"/>
  <c r="U1608" i="1"/>
  <c r="U1609" i="1"/>
  <c r="U1610" i="1"/>
  <c r="U1611" i="1"/>
  <c r="U1612" i="1"/>
  <c r="U1613" i="1"/>
  <c r="U1614" i="1"/>
  <c r="U1615" i="1"/>
  <c r="U1616" i="1"/>
  <c r="U1617" i="1"/>
  <c r="U1618" i="1"/>
  <c r="U1619" i="1"/>
  <c r="U1620" i="1"/>
  <c r="U1621" i="1"/>
  <c r="U1622" i="1"/>
  <c r="U1623" i="1"/>
  <c r="U1624" i="1"/>
  <c r="U1625" i="1"/>
  <c r="U1626" i="1"/>
  <c r="U1627" i="1"/>
  <c r="U1628" i="1"/>
  <c r="U1629" i="1"/>
  <c r="U1630" i="1"/>
  <c r="U1631" i="1"/>
  <c r="U1632" i="1"/>
  <c r="U1633" i="1"/>
  <c r="U1634" i="1"/>
  <c r="U1635" i="1"/>
  <c r="U1636" i="1"/>
  <c r="U1637" i="1"/>
  <c r="U1638" i="1"/>
  <c r="U1639" i="1"/>
  <c r="U1640" i="1"/>
  <c r="U1641" i="1"/>
  <c r="U1642" i="1"/>
  <c r="U1643" i="1"/>
  <c r="U1644" i="1"/>
  <c r="U1645" i="1"/>
  <c r="U1646" i="1"/>
  <c r="U1647" i="1"/>
  <c r="U1648" i="1"/>
  <c r="U1649" i="1"/>
  <c r="U1650" i="1"/>
  <c r="U1651" i="1"/>
  <c r="U1652" i="1"/>
  <c r="U1653" i="1"/>
  <c r="U1654" i="1"/>
  <c r="U1655" i="1"/>
  <c r="U1656" i="1"/>
  <c r="U1657" i="1"/>
  <c r="U1658" i="1"/>
  <c r="U1659" i="1"/>
  <c r="U1660" i="1"/>
  <c r="U1661" i="1"/>
  <c r="U1662" i="1"/>
  <c r="U1663" i="1"/>
  <c r="U1664" i="1"/>
  <c r="U1665" i="1"/>
  <c r="U1666" i="1"/>
  <c r="U1667" i="1"/>
  <c r="U1668" i="1"/>
  <c r="U1669" i="1"/>
  <c r="U1670" i="1"/>
  <c r="U1671" i="1"/>
  <c r="U1672" i="1"/>
  <c r="U1673" i="1"/>
  <c r="U1674" i="1"/>
  <c r="U1675" i="1"/>
  <c r="U1676" i="1"/>
  <c r="U1677" i="1"/>
  <c r="U1678" i="1"/>
  <c r="U1679" i="1"/>
  <c r="U1680" i="1"/>
  <c r="U1681" i="1"/>
  <c r="U1682" i="1"/>
  <c r="U1683" i="1"/>
  <c r="U1684" i="1"/>
  <c r="U1685" i="1"/>
  <c r="U1686" i="1"/>
  <c r="U1687" i="1"/>
  <c r="U1688" i="1"/>
  <c r="U1689" i="1"/>
  <c r="U1690" i="1"/>
  <c r="U1691" i="1"/>
  <c r="U1692" i="1"/>
  <c r="U1693" i="1"/>
  <c r="U1694" i="1"/>
  <c r="U1695" i="1"/>
  <c r="U1696" i="1"/>
  <c r="U1697" i="1"/>
  <c r="U1698" i="1"/>
  <c r="U1699" i="1"/>
  <c r="U1700" i="1"/>
  <c r="U1701" i="1"/>
  <c r="U1702" i="1"/>
  <c r="U1703" i="1"/>
  <c r="U1704" i="1"/>
  <c r="U1705" i="1"/>
  <c r="U1706" i="1"/>
  <c r="U1707" i="1"/>
  <c r="U1708" i="1"/>
  <c r="U1709" i="1"/>
  <c r="U1710" i="1"/>
  <c r="U1711" i="1"/>
  <c r="U1712" i="1"/>
  <c r="U1713" i="1"/>
  <c r="U1714" i="1"/>
  <c r="U1715" i="1"/>
  <c r="U1716" i="1"/>
  <c r="U1717" i="1"/>
  <c r="U1718" i="1"/>
  <c r="U1719" i="1"/>
  <c r="U1720" i="1"/>
  <c r="U1721" i="1"/>
  <c r="U1722" i="1"/>
  <c r="U1723" i="1"/>
  <c r="U1724" i="1"/>
  <c r="U1725" i="1"/>
  <c r="U1726" i="1"/>
  <c r="U1727" i="1"/>
  <c r="U1728" i="1"/>
  <c r="U1729" i="1"/>
  <c r="U1730" i="1"/>
  <c r="U1731" i="1"/>
  <c r="U1732" i="1"/>
  <c r="U1733" i="1"/>
  <c r="U1734" i="1"/>
  <c r="U1735" i="1"/>
  <c r="U1736" i="1"/>
  <c r="U1737" i="1"/>
  <c r="U1738" i="1"/>
  <c r="U1739" i="1"/>
  <c r="U1740" i="1"/>
  <c r="U1741" i="1"/>
  <c r="U1742" i="1"/>
  <c r="U1743" i="1"/>
  <c r="U1744" i="1"/>
  <c r="U1745" i="1"/>
  <c r="U1746" i="1"/>
  <c r="U1747" i="1"/>
  <c r="U1748" i="1"/>
  <c r="U1749" i="1"/>
  <c r="U1750" i="1"/>
  <c r="U1751" i="1"/>
  <c r="U1752" i="1"/>
  <c r="U1753" i="1"/>
  <c r="U1754" i="1"/>
  <c r="U1755" i="1"/>
  <c r="U1756" i="1"/>
  <c r="U1757" i="1"/>
  <c r="U1758" i="1"/>
  <c r="U1759" i="1"/>
  <c r="U1760" i="1"/>
  <c r="U1761" i="1"/>
  <c r="U1762" i="1"/>
  <c r="U1763" i="1"/>
  <c r="U1764" i="1"/>
  <c r="U1765" i="1"/>
  <c r="U1766" i="1"/>
  <c r="U1767" i="1"/>
  <c r="U1768" i="1"/>
  <c r="U1769" i="1"/>
  <c r="U1770" i="1"/>
  <c r="U1771" i="1"/>
  <c r="U1772" i="1"/>
  <c r="U1773" i="1"/>
  <c r="U1774" i="1"/>
  <c r="U1775" i="1"/>
  <c r="U1776" i="1"/>
  <c r="U1777" i="1"/>
  <c r="U1778" i="1"/>
  <c r="U1779" i="1"/>
  <c r="U1780" i="1"/>
  <c r="U1781" i="1"/>
  <c r="U1782" i="1"/>
  <c r="U1783" i="1"/>
  <c r="U1784" i="1"/>
  <c r="U1785" i="1"/>
  <c r="U1786" i="1"/>
  <c r="U1787" i="1"/>
  <c r="U1788" i="1"/>
  <c r="U1789" i="1"/>
  <c r="U1790" i="1"/>
  <c r="U1791" i="1"/>
  <c r="U1792" i="1"/>
  <c r="U1793" i="1"/>
  <c r="U1794" i="1"/>
  <c r="U1795" i="1"/>
  <c r="U1796" i="1"/>
  <c r="U1797" i="1"/>
  <c r="U1798" i="1"/>
  <c r="U1799" i="1"/>
  <c r="U1800" i="1"/>
  <c r="U1801" i="1"/>
  <c r="U1802" i="1"/>
  <c r="U1803" i="1"/>
  <c r="U1804" i="1"/>
  <c r="U1805" i="1"/>
  <c r="U1806" i="1"/>
  <c r="U1807" i="1"/>
  <c r="U1808" i="1"/>
  <c r="U1809" i="1"/>
  <c r="U1810" i="1"/>
  <c r="U1811" i="1"/>
  <c r="U1812" i="1"/>
  <c r="U1813" i="1"/>
  <c r="U1814" i="1"/>
  <c r="U1815" i="1"/>
  <c r="U1816" i="1"/>
  <c r="U1817" i="1"/>
  <c r="U1818" i="1"/>
  <c r="U1819" i="1"/>
  <c r="U1820" i="1"/>
  <c r="U1821" i="1"/>
  <c r="U1822" i="1"/>
  <c r="U1823" i="1"/>
  <c r="U1824" i="1"/>
  <c r="U1825" i="1"/>
  <c r="U1826" i="1"/>
  <c r="U1827" i="1"/>
  <c r="U1828" i="1"/>
  <c r="U1829" i="1"/>
  <c r="U1830" i="1"/>
  <c r="U1831" i="1"/>
  <c r="U1832" i="1"/>
  <c r="U1833" i="1"/>
  <c r="U1834" i="1"/>
  <c r="U1835" i="1"/>
  <c r="U1836" i="1"/>
  <c r="U1837" i="1"/>
  <c r="U1838" i="1"/>
  <c r="U1839" i="1"/>
  <c r="U1840" i="1"/>
  <c r="U1841" i="1"/>
  <c r="U1842" i="1"/>
  <c r="U1843" i="1"/>
  <c r="U1844" i="1"/>
  <c r="U1845" i="1"/>
  <c r="U1846" i="1"/>
  <c r="U1847" i="1"/>
  <c r="U1848" i="1"/>
  <c r="U1849" i="1"/>
  <c r="U1850" i="1"/>
  <c r="U1851" i="1"/>
  <c r="U1852" i="1"/>
  <c r="U1853" i="1"/>
  <c r="U1854" i="1"/>
  <c r="U1855" i="1"/>
  <c r="U1856" i="1"/>
  <c r="U1857" i="1"/>
  <c r="U1858" i="1"/>
  <c r="U1859" i="1"/>
  <c r="U1860" i="1"/>
  <c r="U1861" i="1"/>
  <c r="U1862" i="1"/>
  <c r="U1863" i="1"/>
  <c r="U1864" i="1"/>
  <c r="U1865" i="1"/>
  <c r="U1866" i="1"/>
  <c r="U1867" i="1"/>
  <c r="U1868" i="1"/>
  <c r="U1869" i="1"/>
  <c r="U1870" i="1"/>
  <c r="U1871" i="1"/>
  <c r="U1872" i="1"/>
  <c r="U1873" i="1"/>
  <c r="U1874" i="1"/>
  <c r="U1875" i="1"/>
  <c r="U1876" i="1"/>
  <c r="U1877" i="1"/>
  <c r="U1878" i="1"/>
  <c r="U1879" i="1"/>
  <c r="U1880" i="1"/>
  <c r="U1881" i="1"/>
  <c r="U1882" i="1"/>
  <c r="U1883" i="1"/>
  <c r="U1884" i="1"/>
  <c r="U1885" i="1"/>
  <c r="U1886" i="1"/>
  <c r="U1887" i="1"/>
  <c r="U1888" i="1"/>
  <c r="U1889" i="1"/>
  <c r="U1890" i="1"/>
  <c r="U1891" i="1"/>
  <c r="U1892" i="1"/>
  <c r="U1893" i="1"/>
  <c r="U1894" i="1"/>
  <c r="U1895" i="1"/>
  <c r="U1896" i="1"/>
  <c r="U1897" i="1"/>
  <c r="U1898" i="1"/>
  <c r="U1899" i="1"/>
  <c r="U1900" i="1"/>
  <c r="U1901" i="1"/>
  <c r="U1902" i="1"/>
  <c r="U1903" i="1"/>
  <c r="U1904" i="1"/>
  <c r="U1905" i="1"/>
  <c r="U1906" i="1"/>
  <c r="U1907" i="1"/>
  <c r="U1908" i="1"/>
  <c r="U1909" i="1"/>
  <c r="U1910" i="1"/>
  <c r="U1911" i="1"/>
  <c r="U1912" i="1"/>
  <c r="U1913" i="1"/>
  <c r="U1914" i="1"/>
  <c r="U1915" i="1"/>
  <c r="U1916" i="1"/>
  <c r="U1917" i="1"/>
  <c r="U1918" i="1"/>
  <c r="U1919" i="1"/>
  <c r="U1920" i="1"/>
  <c r="U1921" i="1"/>
  <c r="U1922" i="1"/>
  <c r="U1923" i="1"/>
  <c r="U1924" i="1"/>
  <c r="U1925" i="1"/>
  <c r="U1926" i="1"/>
  <c r="U1927" i="1"/>
  <c r="U1928" i="1"/>
  <c r="U1929" i="1"/>
  <c r="U1930" i="1"/>
  <c r="U1931" i="1"/>
  <c r="U1932" i="1"/>
  <c r="U1933" i="1"/>
  <c r="U1934" i="1"/>
  <c r="U1935" i="1"/>
  <c r="U1936" i="1"/>
  <c r="U1937" i="1"/>
  <c r="U1938" i="1"/>
  <c r="U1939" i="1"/>
  <c r="U1940" i="1"/>
  <c r="U1941" i="1"/>
  <c r="U1942" i="1"/>
  <c r="U1943" i="1"/>
  <c r="U1944" i="1"/>
  <c r="U1945" i="1"/>
  <c r="U1946" i="1"/>
  <c r="U1947" i="1"/>
  <c r="U1948" i="1"/>
  <c r="U1949" i="1"/>
  <c r="U1950" i="1"/>
  <c r="U1951" i="1"/>
  <c r="U1952" i="1"/>
  <c r="U1953" i="1"/>
  <c r="U1954" i="1"/>
  <c r="U1955" i="1"/>
  <c r="U1956" i="1"/>
  <c r="U1957" i="1"/>
  <c r="U1958" i="1"/>
  <c r="U1959" i="1"/>
  <c r="U1960" i="1"/>
  <c r="U1961" i="1"/>
  <c r="U1962" i="1"/>
  <c r="U1963" i="1"/>
  <c r="U1964" i="1"/>
  <c r="U1965" i="1"/>
  <c r="U1966" i="1"/>
  <c r="U1967" i="1"/>
  <c r="U1968" i="1"/>
  <c r="U1969" i="1"/>
  <c r="U1970" i="1"/>
  <c r="U1971" i="1"/>
  <c r="U1972" i="1"/>
  <c r="U1973" i="1"/>
  <c r="U1974" i="1"/>
  <c r="U1975" i="1"/>
  <c r="U1976" i="1"/>
  <c r="U1977" i="1"/>
  <c r="U1978" i="1"/>
  <c r="U1979" i="1"/>
  <c r="U1980" i="1"/>
  <c r="U1981" i="1"/>
  <c r="U1982" i="1"/>
  <c r="U1983" i="1"/>
  <c r="U1984" i="1"/>
  <c r="U1985" i="1"/>
  <c r="U1986" i="1"/>
  <c r="U1987" i="1"/>
  <c r="U1988" i="1"/>
  <c r="U1989" i="1"/>
  <c r="U1990" i="1"/>
  <c r="U1991" i="1"/>
  <c r="U1992" i="1"/>
  <c r="U1993" i="1"/>
  <c r="U1994" i="1"/>
  <c r="U1995" i="1"/>
  <c r="U1996" i="1"/>
  <c r="U1997" i="1"/>
  <c r="U1998" i="1"/>
  <c r="U1999" i="1"/>
  <c r="U2000" i="1"/>
  <c r="U2001" i="1"/>
  <c r="U2002" i="1"/>
  <c r="U2003" i="1"/>
  <c r="U2004" i="1"/>
  <c r="U2005" i="1"/>
  <c r="U2006" i="1"/>
  <c r="U2007" i="1"/>
  <c r="U2008" i="1"/>
  <c r="U2009" i="1"/>
  <c r="U2010" i="1"/>
  <c r="U2011" i="1"/>
  <c r="U2012" i="1"/>
  <c r="U2013" i="1"/>
  <c r="U2014" i="1"/>
  <c r="U2015" i="1"/>
  <c r="U2016" i="1"/>
  <c r="U2017" i="1"/>
  <c r="U2018" i="1"/>
  <c r="U2019" i="1"/>
  <c r="U2020" i="1"/>
  <c r="U2021" i="1"/>
  <c r="U2022" i="1"/>
  <c r="U2023" i="1"/>
  <c r="U2024" i="1"/>
  <c r="U2025" i="1"/>
  <c r="U2026" i="1"/>
  <c r="U2027" i="1"/>
  <c r="U2028" i="1"/>
  <c r="U2029" i="1"/>
  <c r="U2030" i="1"/>
  <c r="U2031" i="1"/>
  <c r="U2032" i="1"/>
  <c r="U2033" i="1"/>
  <c r="U2034" i="1"/>
  <c r="U2035" i="1"/>
  <c r="U2036" i="1"/>
  <c r="U2037" i="1"/>
  <c r="U2038" i="1"/>
  <c r="U2039" i="1"/>
  <c r="U2040" i="1"/>
  <c r="U2041" i="1"/>
  <c r="U2042" i="1"/>
  <c r="U2043" i="1"/>
  <c r="U2044" i="1"/>
  <c r="U2045" i="1"/>
  <c r="U2046" i="1"/>
  <c r="U2047" i="1"/>
  <c r="U2048" i="1"/>
  <c r="U2049" i="1"/>
  <c r="U2050" i="1"/>
  <c r="U2051" i="1"/>
  <c r="U2052" i="1"/>
  <c r="U2053" i="1"/>
  <c r="U2054" i="1"/>
  <c r="U2055" i="1"/>
  <c r="U2056" i="1"/>
  <c r="U2057" i="1"/>
  <c r="U2058" i="1"/>
  <c r="U2059" i="1"/>
  <c r="U2060" i="1"/>
  <c r="U2061" i="1"/>
  <c r="U2062" i="1"/>
  <c r="U2063" i="1"/>
  <c r="U2064" i="1"/>
  <c r="U2065" i="1"/>
  <c r="U2066" i="1"/>
  <c r="U2067" i="1"/>
  <c r="U2068" i="1"/>
  <c r="U2069" i="1"/>
  <c r="U2070" i="1"/>
  <c r="U2071" i="1"/>
  <c r="U2072" i="1"/>
  <c r="U2073" i="1"/>
  <c r="U2074" i="1"/>
  <c r="U2075" i="1"/>
  <c r="U2076" i="1"/>
  <c r="U2077" i="1"/>
  <c r="U2078" i="1"/>
  <c r="U2079" i="1"/>
  <c r="U2080" i="1"/>
  <c r="U2081" i="1"/>
  <c r="U2082" i="1"/>
  <c r="U2083" i="1"/>
  <c r="U2084" i="1"/>
  <c r="U2085" i="1"/>
  <c r="U2086" i="1"/>
  <c r="U2087" i="1"/>
  <c r="U2088" i="1"/>
  <c r="U2089" i="1"/>
  <c r="U2090" i="1"/>
  <c r="U2091" i="1"/>
  <c r="U2092" i="1"/>
  <c r="U2093" i="1"/>
  <c r="U2094" i="1"/>
  <c r="U2095" i="1"/>
  <c r="U2096" i="1"/>
  <c r="U2097" i="1"/>
  <c r="U2098" i="1"/>
  <c r="U2099" i="1"/>
  <c r="U2100" i="1"/>
  <c r="U2101" i="1"/>
  <c r="U2102" i="1"/>
  <c r="U2103" i="1"/>
  <c r="U2104" i="1"/>
  <c r="U2105" i="1"/>
  <c r="U2106" i="1"/>
  <c r="U2107" i="1"/>
  <c r="U2108" i="1"/>
  <c r="U2109" i="1"/>
  <c r="U2110" i="1"/>
  <c r="U2111" i="1"/>
  <c r="U2112" i="1"/>
  <c r="U2113" i="1"/>
  <c r="U2114" i="1"/>
  <c r="U2115" i="1"/>
  <c r="U2116" i="1"/>
  <c r="U2117" i="1"/>
  <c r="U2118" i="1"/>
  <c r="U2119" i="1"/>
  <c r="U2120" i="1"/>
  <c r="U2121" i="1"/>
  <c r="U2122" i="1"/>
  <c r="U2123" i="1"/>
  <c r="U2124" i="1"/>
  <c r="U2125" i="1"/>
  <c r="U2126" i="1"/>
  <c r="U2127" i="1"/>
  <c r="U2128" i="1"/>
  <c r="U2129" i="1"/>
  <c r="U2130" i="1"/>
  <c r="U2131" i="1"/>
  <c r="U2132" i="1"/>
  <c r="U2133" i="1"/>
  <c r="U2134" i="1"/>
  <c r="U2135" i="1"/>
  <c r="U2136" i="1"/>
  <c r="U2137" i="1"/>
  <c r="U2138" i="1"/>
  <c r="U2139" i="1"/>
  <c r="U2140" i="1"/>
  <c r="U2141" i="1"/>
  <c r="U2142" i="1"/>
  <c r="U2143" i="1"/>
  <c r="U2144" i="1"/>
  <c r="U2145" i="1"/>
  <c r="U2146" i="1"/>
  <c r="U2147" i="1"/>
  <c r="U2148" i="1"/>
  <c r="U2149" i="1"/>
  <c r="U2150" i="1"/>
  <c r="U2151" i="1"/>
  <c r="U2152" i="1"/>
  <c r="U2153" i="1"/>
  <c r="U2154" i="1"/>
  <c r="U2155" i="1"/>
  <c r="U2156" i="1"/>
  <c r="U2157" i="1"/>
  <c r="U2158" i="1"/>
  <c r="U2159" i="1"/>
  <c r="U2160" i="1"/>
  <c r="U2161" i="1"/>
  <c r="U2162" i="1"/>
  <c r="U2163" i="1"/>
  <c r="U2164" i="1"/>
  <c r="U2165" i="1"/>
  <c r="U2166" i="1"/>
  <c r="U2167" i="1"/>
  <c r="U2168" i="1"/>
  <c r="U2169" i="1"/>
  <c r="U2170" i="1"/>
  <c r="U2171" i="1"/>
  <c r="U2172" i="1"/>
  <c r="U2173" i="1"/>
  <c r="U2174" i="1"/>
  <c r="U2175" i="1"/>
  <c r="U2176" i="1"/>
  <c r="U2177" i="1"/>
  <c r="U2178" i="1"/>
  <c r="U2179" i="1"/>
  <c r="U2180" i="1"/>
  <c r="U2181" i="1"/>
  <c r="U2182" i="1"/>
  <c r="U2183" i="1"/>
  <c r="U2184" i="1"/>
  <c r="U2185" i="1"/>
  <c r="U2186" i="1"/>
  <c r="U2187" i="1"/>
  <c r="U2188" i="1"/>
  <c r="U2189" i="1"/>
  <c r="U2190" i="1"/>
  <c r="U2191" i="1"/>
  <c r="U2192" i="1"/>
  <c r="U2193" i="1"/>
  <c r="U2194" i="1"/>
  <c r="U2195" i="1"/>
  <c r="U2196" i="1"/>
  <c r="U2197" i="1"/>
  <c r="U2198" i="1"/>
  <c r="U2199" i="1"/>
  <c r="U2200" i="1"/>
  <c r="U2201" i="1"/>
  <c r="U2202" i="1"/>
  <c r="U2203" i="1"/>
  <c r="U2204" i="1"/>
  <c r="U2205" i="1"/>
  <c r="U2206" i="1"/>
  <c r="U2207" i="1"/>
  <c r="U2208" i="1"/>
  <c r="U2209" i="1"/>
  <c r="U2210" i="1"/>
  <c r="U2211" i="1"/>
  <c r="U2212" i="1"/>
  <c r="U2213" i="1"/>
  <c r="U2214" i="1"/>
  <c r="U2215" i="1"/>
  <c r="U2216" i="1"/>
  <c r="U2217" i="1"/>
  <c r="U2218" i="1"/>
  <c r="U2219" i="1"/>
  <c r="U2220" i="1"/>
  <c r="U2221" i="1"/>
  <c r="U2222" i="1"/>
  <c r="U2223" i="1"/>
  <c r="U2224" i="1"/>
  <c r="U2225" i="1"/>
  <c r="U2226" i="1"/>
  <c r="U2227" i="1"/>
  <c r="U2228" i="1"/>
  <c r="U2229" i="1"/>
  <c r="U2230" i="1"/>
  <c r="U2231" i="1"/>
  <c r="U2232" i="1"/>
  <c r="U2233" i="1"/>
  <c r="U2234" i="1"/>
  <c r="U2235" i="1"/>
  <c r="U2236" i="1"/>
  <c r="U2237" i="1"/>
  <c r="U2238" i="1"/>
  <c r="U2239" i="1"/>
  <c r="U2240" i="1"/>
  <c r="U2241" i="1"/>
  <c r="U2242" i="1"/>
  <c r="U2243" i="1"/>
  <c r="U2244" i="1"/>
  <c r="U2245" i="1"/>
  <c r="U2246" i="1"/>
  <c r="U2247" i="1"/>
  <c r="U2248" i="1"/>
  <c r="U2249" i="1"/>
  <c r="U2250" i="1"/>
  <c r="U2251" i="1"/>
  <c r="U2252" i="1"/>
  <c r="U2253" i="1"/>
  <c r="U2254" i="1"/>
  <c r="U2255" i="1"/>
  <c r="U2256" i="1"/>
  <c r="U2257" i="1"/>
  <c r="U2258" i="1"/>
  <c r="U2259" i="1"/>
  <c r="U2260" i="1"/>
  <c r="U2261" i="1"/>
  <c r="U2262" i="1"/>
  <c r="U2263" i="1"/>
  <c r="U2264" i="1"/>
  <c r="U2265" i="1"/>
  <c r="U2266" i="1"/>
  <c r="U2267" i="1"/>
  <c r="U2268" i="1"/>
  <c r="U2269" i="1"/>
  <c r="U2270" i="1"/>
  <c r="U2271" i="1"/>
  <c r="U2272" i="1"/>
  <c r="U2273" i="1"/>
  <c r="U2274" i="1"/>
  <c r="U2275" i="1"/>
  <c r="U2276" i="1"/>
  <c r="U2277" i="1"/>
  <c r="U2278" i="1"/>
  <c r="U2279" i="1"/>
  <c r="U2280" i="1"/>
  <c r="U2281" i="1"/>
  <c r="U2282" i="1"/>
  <c r="U2283" i="1"/>
  <c r="U2284" i="1"/>
  <c r="U2285" i="1"/>
  <c r="U2286" i="1"/>
  <c r="U2287" i="1"/>
  <c r="U2288" i="1"/>
  <c r="U2289" i="1"/>
  <c r="U2290" i="1"/>
  <c r="U2291" i="1"/>
  <c r="U2292" i="1"/>
  <c r="U2293" i="1"/>
  <c r="U2294" i="1"/>
  <c r="U2295" i="1"/>
  <c r="U2296" i="1"/>
  <c r="U2297" i="1"/>
  <c r="U2298" i="1"/>
  <c r="U2299" i="1"/>
  <c r="U2300" i="1"/>
  <c r="U2301" i="1"/>
  <c r="U2302" i="1"/>
  <c r="U2303" i="1"/>
  <c r="U2304" i="1"/>
  <c r="U2305" i="1"/>
  <c r="U2306" i="1"/>
  <c r="U2307" i="1"/>
  <c r="U2308" i="1"/>
  <c r="U2309" i="1"/>
  <c r="U2310" i="1"/>
  <c r="U2311" i="1"/>
  <c r="U2312" i="1"/>
  <c r="U2313" i="1"/>
  <c r="U2314" i="1"/>
  <c r="U2315" i="1"/>
  <c r="U2316" i="1"/>
  <c r="U2317" i="1"/>
  <c r="U2318" i="1"/>
  <c r="U2319" i="1"/>
  <c r="U2320" i="1"/>
  <c r="U2321" i="1"/>
  <c r="U2322" i="1"/>
  <c r="U2323" i="1"/>
  <c r="U2324" i="1"/>
  <c r="U2325" i="1"/>
  <c r="U2326" i="1"/>
  <c r="U2327" i="1"/>
  <c r="U2328" i="1"/>
  <c r="U2329" i="1"/>
  <c r="U2330" i="1"/>
  <c r="U2331" i="1"/>
  <c r="U2332" i="1"/>
  <c r="U2333" i="1"/>
  <c r="U2334" i="1"/>
  <c r="U2335" i="1"/>
  <c r="U2336" i="1"/>
  <c r="U2337" i="1"/>
  <c r="U2338" i="1"/>
  <c r="U2339" i="1"/>
  <c r="U2340" i="1"/>
  <c r="U2341" i="1"/>
  <c r="U2342" i="1"/>
  <c r="U2343" i="1"/>
  <c r="U2344" i="1"/>
  <c r="U2345" i="1"/>
  <c r="U2346" i="1"/>
  <c r="U2347" i="1"/>
  <c r="U2348" i="1"/>
  <c r="U2349" i="1"/>
  <c r="U2350" i="1"/>
  <c r="U2351" i="1"/>
  <c r="U2352" i="1"/>
  <c r="U2353" i="1"/>
  <c r="U2354" i="1"/>
  <c r="U2355" i="1"/>
  <c r="U2356" i="1"/>
  <c r="U2357" i="1"/>
  <c r="U2358" i="1"/>
  <c r="U2359" i="1"/>
  <c r="U2360" i="1"/>
  <c r="U2361" i="1"/>
  <c r="U2362" i="1"/>
  <c r="U2363" i="1"/>
  <c r="U2364" i="1"/>
  <c r="U2365" i="1"/>
  <c r="U2366" i="1"/>
  <c r="U2367" i="1"/>
  <c r="U2368" i="1"/>
  <c r="U2369" i="1"/>
  <c r="U2370" i="1"/>
  <c r="U2371" i="1"/>
  <c r="U2372" i="1"/>
  <c r="U2373" i="1"/>
  <c r="U2374" i="1"/>
  <c r="U2375" i="1"/>
  <c r="U2376" i="1"/>
  <c r="U2377" i="1"/>
  <c r="U2378" i="1"/>
  <c r="U2379" i="1"/>
  <c r="U2380" i="1"/>
  <c r="U2381" i="1"/>
  <c r="U2382" i="1"/>
  <c r="U2383" i="1"/>
  <c r="U2384" i="1"/>
  <c r="U2385" i="1"/>
  <c r="U2386" i="1"/>
  <c r="U2387" i="1"/>
  <c r="U2388" i="1"/>
  <c r="U2389" i="1"/>
  <c r="U2390" i="1"/>
  <c r="U2391" i="1"/>
  <c r="U2392" i="1"/>
  <c r="U2393" i="1"/>
  <c r="U2394" i="1"/>
  <c r="U2395" i="1"/>
  <c r="U2396" i="1"/>
  <c r="U2397" i="1"/>
  <c r="U2398" i="1"/>
  <c r="U2399" i="1"/>
  <c r="U2400" i="1"/>
  <c r="U2401" i="1"/>
  <c r="U2402" i="1"/>
  <c r="U2403" i="1"/>
  <c r="U2404" i="1"/>
  <c r="U2405" i="1"/>
  <c r="U2406" i="1"/>
  <c r="U2407" i="1"/>
  <c r="U2408" i="1"/>
  <c r="U2409" i="1"/>
  <c r="U2410" i="1"/>
  <c r="U2411" i="1"/>
  <c r="U2412" i="1"/>
  <c r="U2413" i="1"/>
  <c r="U2414" i="1"/>
  <c r="U2415" i="1"/>
  <c r="U2416" i="1"/>
  <c r="U2417" i="1"/>
  <c r="U2418" i="1"/>
  <c r="U2419" i="1"/>
  <c r="U2420" i="1"/>
  <c r="U2421" i="1"/>
  <c r="U2422" i="1"/>
  <c r="U2423" i="1"/>
  <c r="U2424" i="1"/>
  <c r="U2425" i="1"/>
  <c r="U2426" i="1"/>
  <c r="U2427" i="1"/>
  <c r="U2428" i="1"/>
  <c r="U2429" i="1"/>
  <c r="U2430" i="1"/>
  <c r="U2431" i="1"/>
  <c r="U2432" i="1"/>
  <c r="U2433" i="1"/>
  <c r="U2434" i="1"/>
  <c r="U2435" i="1"/>
  <c r="U2436" i="1"/>
  <c r="U2437" i="1"/>
  <c r="U2438" i="1"/>
  <c r="U2439" i="1"/>
  <c r="U2440" i="1"/>
  <c r="U2441" i="1"/>
  <c r="U2442" i="1"/>
  <c r="U2443" i="1"/>
  <c r="U2444" i="1"/>
  <c r="U2445" i="1"/>
  <c r="U2446" i="1"/>
  <c r="U2447" i="1"/>
  <c r="U2448" i="1"/>
  <c r="U2449" i="1"/>
  <c r="U2450" i="1"/>
  <c r="U2451" i="1"/>
  <c r="U2452" i="1"/>
  <c r="U2453" i="1"/>
  <c r="U2454" i="1"/>
  <c r="U2455" i="1"/>
  <c r="U2456" i="1"/>
  <c r="U2457" i="1"/>
  <c r="U2458" i="1"/>
  <c r="U2459" i="1"/>
  <c r="U2460" i="1"/>
  <c r="U2461" i="1"/>
  <c r="U2462" i="1"/>
  <c r="U2463" i="1"/>
  <c r="U2464" i="1"/>
  <c r="U2465" i="1"/>
  <c r="U2466" i="1"/>
  <c r="U2467" i="1"/>
  <c r="U2468" i="1"/>
  <c r="U2469" i="1"/>
  <c r="U2470" i="1"/>
  <c r="U2471" i="1"/>
  <c r="U2472" i="1"/>
  <c r="U2473" i="1"/>
  <c r="U2474" i="1"/>
  <c r="U2475" i="1"/>
  <c r="U2476" i="1"/>
  <c r="U2477" i="1"/>
  <c r="U2478" i="1"/>
  <c r="U2479" i="1"/>
  <c r="U2480" i="1"/>
  <c r="U2481" i="1"/>
  <c r="U2482" i="1"/>
  <c r="U2483" i="1"/>
  <c r="U2484" i="1"/>
  <c r="U2485" i="1"/>
  <c r="U2486" i="1"/>
  <c r="U2487" i="1"/>
  <c r="U2488" i="1"/>
  <c r="U2489" i="1"/>
  <c r="U2490" i="1"/>
  <c r="U2491" i="1"/>
  <c r="U2492" i="1"/>
  <c r="U2493" i="1"/>
  <c r="U2494" i="1"/>
  <c r="U2495" i="1"/>
  <c r="U2496" i="1"/>
  <c r="U2497" i="1"/>
  <c r="U2498" i="1"/>
  <c r="U2499" i="1"/>
  <c r="U2500" i="1"/>
  <c r="U2501" i="1"/>
  <c r="U2502" i="1"/>
  <c r="U2503" i="1"/>
  <c r="U2504" i="1"/>
  <c r="U2505" i="1"/>
  <c r="U2506" i="1"/>
  <c r="U2507" i="1"/>
  <c r="U2508" i="1"/>
  <c r="U2509" i="1"/>
  <c r="U2510" i="1"/>
  <c r="U2511" i="1"/>
  <c r="U2512" i="1"/>
  <c r="U2513" i="1"/>
  <c r="U2514" i="1"/>
  <c r="U2515" i="1"/>
  <c r="U2516" i="1"/>
  <c r="U2517" i="1"/>
  <c r="U2518" i="1"/>
  <c r="U2519" i="1"/>
  <c r="U2520" i="1"/>
  <c r="U2521" i="1"/>
  <c r="U2522" i="1"/>
  <c r="U2523" i="1"/>
  <c r="U2524" i="1"/>
  <c r="U2525" i="1"/>
  <c r="U2526" i="1"/>
  <c r="U2527" i="1"/>
  <c r="U2528" i="1"/>
  <c r="U2529" i="1"/>
  <c r="U2530" i="1"/>
  <c r="U2531" i="1"/>
  <c r="U2532" i="1"/>
  <c r="U2533" i="1"/>
  <c r="U2534" i="1"/>
  <c r="U2535" i="1"/>
  <c r="U2536" i="1"/>
  <c r="U2537" i="1"/>
  <c r="U2538" i="1"/>
  <c r="U2539" i="1"/>
  <c r="U2540" i="1"/>
  <c r="U2541" i="1"/>
  <c r="U2542" i="1"/>
  <c r="U2543" i="1"/>
  <c r="U2544" i="1"/>
  <c r="U2545" i="1"/>
  <c r="U2546" i="1"/>
  <c r="U2547" i="1"/>
  <c r="U2548" i="1"/>
  <c r="U2549" i="1"/>
  <c r="U2550" i="1"/>
  <c r="U2551" i="1"/>
  <c r="U2552" i="1"/>
  <c r="U2553" i="1"/>
  <c r="U2554" i="1"/>
  <c r="U2555" i="1"/>
  <c r="U2556" i="1"/>
  <c r="U2557" i="1"/>
  <c r="U2558" i="1"/>
  <c r="U2559" i="1"/>
  <c r="U2560" i="1"/>
  <c r="U2561" i="1"/>
  <c r="U2562" i="1"/>
  <c r="U2563" i="1"/>
  <c r="U2564" i="1"/>
  <c r="U2565" i="1"/>
  <c r="U2566" i="1"/>
  <c r="U2567" i="1"/>
  <c r="U2568" i="1"/>
  <c r="U2569" i="1"/>
  <c r="U2570" i="1"/>
  <c r="U2571" i="1"/>
  <c r="U2572" i="1"/>
  <c r="U2573" i="1"/>
  <c r="U2574" i="1"/>
  <c r="U2575" i="1"/>
  <c r="U2576" i="1"/>
  <c r="U2577" i="1"/>
  <c r="U2578" i="1"/>
  <c r="U2579" i="1"/>
  <c r="U2580" i="1"/>
  <c r="U2581" i="1"/>
  <c r="U2582" i="1"/>
  <c r="U2583" i="1"/>
  <c r="U2584" i="1"/>
  <c r="U2585" i="1"/>
  <c r="U2586" i="1"/>
  <c r="U2587" i="1"/>
  <c r="U2588" i="1"/>
  <c r="U2589" i="1"/>
  <c r="U2590" i="1"/>
  <c r="U2591" i="1"/>
  <c r="U2592" i="1"/>
  <c r="U2593" i="1"/>
  <c r="U2594" i="1"/>
  <c r="U2595" i="1"/>
  <c r="U2596" i="1"/>
  <c r="U2597" i="1"/>
  <c r="U2598" i="1"/>
  <c r="U2599" i="1"/>
  <c r="U2600" i="1"/>
  <c r="U2601" i="1"/>
  <c r="U2602" i="1"/>
  <c r="U2603" i="1"/>
  <c r="U2604" i="1"/>
  <c r="U2605" i="1"/>
  <c r="U2606" i="1"/>
  <c r="U2607" i="1"/>
  <c r="U2608" i="1"/>
  <c r="U2609" i="1"/>
  <c r="U2610" i="1"/>
  <c r="U2611" i="1"/>
  <c r="U2612" i="1"/>
  <c r="U2613" i="1"/>
  <c r="U2614" i="1"/>
  <c r="U2615" i="1"/>
  <c r="U2616" i="1"/>
  <c r="U2617" i="1"/>
  <c r="U2618" i="1"/>
  <c r="U2619" i="1"/>
  <c r="U2620" i="1"/>
  <c r="U2621" i="1"/>
  <c r="U2622" i="1"/>
  <c r="U2623" i="1"/>
  <c r="U2624" i="1"/>
  <c r="U2625" i="1"/>
  <c r="U2626" i="1"/>
  <c r="U2627" i="1"/>
  <c r="U2628" i="1"/>
  <c r="U2629" i="1"/>
  <c r="U2630" i="1"/>
  <c r="U2631" i="1"/>
  <c r="U2632" i="1"/>
  <c r="U2633" i="1"/>
  <c r="U2634" i="1"/>
  <c r="U2635" i="1"/>
  <c r="U2636" i="1"/>
  <c r="U2637" i="1"/>
  <c r="U2638" i="1"/>
  <c r="U2639" i="1"/>
  <c r="U2640" i="1"/>
  <c r="U2641" i="1"/>
  <c r="U2642" i="1"/>
  <c r="U2643" i="1"/>
  <c r="U2644" i="1"/>
  <c r="U2645" i="1"/>
  <c r="U2646" i="1"/>
  <c r="U2647" i="1"/>
  <c r="U2648" i="1"/>
  <c r="U2649" i="1"/>
  <c r="U2650" i="1"/>
  <c r="U2651" i="1"/>
  <c r="U2652" i="1"/>
  <c r="U2653" i="1"/>
  <c r="U2654" i="1"/>
  <c r="U2655" i="1"/>
  <c r="U2656" i="1"/>
  <c r="U2657" i="1"/>
  <c r="U2658" i="1"/>
  <c r="U2659" i="1"/>
  <c r="U2660" i="1"/>
  <c r="U2661" i="1"/>
  <c r="U2662" i="1"/>
  <c r="U2663" i="1"/>
  <c r="U2664" i="1"/>
  <c r="U2665" i="1"/>
  <c r="U2666" i="1"/>
  <c r="U2667" i="1"/>
  <c r="U2668" i="1"/>
  <c r="U2669" i="1"/>
  <c r="U2670" i="1"/>
  <c r="U2671" i="1"/>
  <c r="U2672" i="1"/>
  <c r="U2673" i="1"/>
  <c r="U2674" i="1"/>
  <c r="U2675" i="1"/>
  <c r="U2676" i="1"/>
  <c r="U2677" i="1"/>
  <c r="U2678" i="1"/>
  <c r="U2679" i="1"/>
  <c r="U2680" i="1"/>
  <c r="U2681" i="1"/>
  <c r="U2682" i="1"/>
  <c r="U2683" i="1"/>
  <c r="U2684" i="1"/>
  <c r="U2685" i="1"/>
  <c r="U2686" i="1"/>
  <c r="U2687" i="1"/>
  <c r="U2688" i="1"/>
  <c r="U2689" i="1"/>
  <c r="U2690" i="1"/>
  <c r="U2691" i="1"/>
  <c r="U2692" i="1"/>
  <c r="U2693" i="1"/>
  <c r="U2694" i="1"/>
  <c r="U2695" i="1"/>
  <c r="U2696" i="1"/>
  <c r="U2697" i="1"/>
  <c r="U2698" i="1"/>
  <c r="U2699" i="1"/>
  <c r="U2700" i="1"/>
  <c r="U2701" i="1"/>
  <c r="U2702" i="1"/>
  <c r="U2703" i="1"/>
  <c r="U2704" i="1"/>
  <c r="U2705" i="1"/>
  <c r="U2706" i="1"/>
  <c r="U2707" i="1"/>
  <c r="U2708" i="1"/>
  <c r="U2709" i="1"/>
  <c r="U2710" i="1"/>
  <c r="U2711" i="1"/>
  <c r="U2712" i="1"/>
  <c r="U2713" i="1"/>
  <c r="U2714" i="1"/>
  <c r="U2715" i="1"/>
  <c r="U2716" i="1"/>
  <c r="U2717" i="1"/>
  <c r="U2718" i="1"/>
  <c r="U2719" i="1"/>
  <c r="U2720" i="1"/>
  <c r="U2721" i="1"/>
  <c r="U2722" i="1"/>
  <c r="U2723" i="1"/>
  <c r="U2724" i="1"/>
  <c r="U2725" i="1"/>
  <c r="U2726" i="1"/>
  <c r="U2727" i="1"/>
  <c r="U2728" i="1"/>
  <c r="U2729" i="1"/>
  <c r="U2730" i="1"/>
  <c r="U2731" i="1"/>
  <c r="U2732" i="1"/>
  <c r="U2733" i="1"/>
  <c r="U2734" i="1"/>
  <c r="U2735" i="1"/>
  <c r="U2736" i="1"/>
  <c r="U2737" i="1"/>
  <c r="U2738" i="1"/>
  <c r="U2739" i="1"/>
  <c r="U2740" i="1"/>
  <c r="U2741" i="1"/>
  <c r="U2742" i="1"/>
  <c r="U2743" i="1"/>
  <c r="U2744" i="1"/>
  <c r="U2745" i="1"/>
  <c r="U2746" i="1"/>
  <c r="U2747" i="1"/>
  <c r="U2748" i="1"/>
  <c r="U2749" i="1"/>
  <c r="U2750" i="1"/>
  <c r="U2751" i="1"/>
  <c r="U2752" i="1"/>
  <c r="U2753" i="1"/>
  <c r="U2754" i="1"/>
  <c r="U2755" i="1"/>
  <c r="U2756" i="1"/>
  <c r="U2757" i="1"/>
  <c r="U2758" i="1"/>
  <c r="U2759" i="1"/>
  <c r="U2760" i="1"/>
  <c r="U2761" i="1"/>
  <c r="U2762" i="1"/>
  <c r="U2763" i="1"/>
  <c r="U2764" i="1"/>
  <c r="U2765" i="1"/>
  <c r="U2766" i="1"/>
  <c r="U2767" i="1"/>
  <c r="U2768" i="1"/>
  <c r="U2769" i="1"/>
  <c r="U2770" i="1"/>
  <c r="U2771" i="1"/>
  <c r="U2772" i="1"/>
  <c r="U2773" i="1"/>
  <c r="U2774" i="1"/>
  <c r="U2775" i="1"/>
  <c r="U2776" i="1"/>
  <c r="U2777" i="1"/>
  <c r="U2778" i="1"/>
  <c r="U2779" i="1"/>
  <c r="U2780" i="1"/>
  <c r="U2781" i="1"/>
  <c r="U2782" i="1"/>
  <c r="U2783" i="1"/>
  <c r="U2784" i="1"/>
  <c r="U2785" i="1"/>
  <c r="U2786" i="1"/>
  <c r="U2787" i="1"/>
  <c r="U2788" i="1"/>
  <c r="U2789" i="1"/>
  <c r="U2790" i="1"/>
  <c r="U2791" i="1"/>
  <c r="U2792" i="1"/>
  <c r="U2793" i="1"/>
  <c r="U2794" i="1"/>
  <c r="U2795" i="1"/>
  <c r="U2796" i="1"/>
  <c r="U2797" i="1"/>
  <c r="U2798" i="1"/>
  <c r="U2799" i="1"/>
  <c r="U2800" i="1"/>
  <c r="U2801" i="1"/>
  <c r="U2802" i="1"/>
  <c r="U2803" i="1"/>
  <c r="U2804" i="1"/>
  <c r="U2805" i="1"/>
  <c r="U2806" i="1"/>
  <c r="U2807" i="1"/>
  <c r="U2808" i="1"/>
  <c r="U2809" i="1"/>
  <c r="U2810" i="1"/>
  <c r="U2811" i="1"/>
  <c r="U2812" i="1"/>
  <c r="U2813" i="1"/>
  <c r="U2814" i="1"/>
  <c r="U2815" i="1"/>
  <c r="U2816" i="1"/>
  <c r="U2817" i="1"/>
  <c r="U2818" i="1"/>
  <c r="U2819" i="1"/>
  <c r="U2820" i="1"/>
  <c r="U2821" i="1"/>
  <c r="U2822" i="1"/>
  <c r="U2823" i="1"/>
  <c r="U2824" i="1"/>
  <c r="U2825" i="1"/>
  <c r="U2826" i="1"/>
  <c r="U2827" i="1"/>
  <c r="U2828" i="1"/>
  <c r="U2829" i="1"/>
  <c r="U2830" i="1"/>
  <c r="U2831" i="1"/>
  <c r="U2832" i="1"/>
  <c r="U2833" i="1"/>
  <c r="U2834" i="1"/>
  <c r="U2835" i="1"/>
  <c r="U2836" i="1"/>
  <c r="U2837" i="1"/>
  <c r="U2838" i="1"/>
  <c r="U2839" i="1"/>
  <c r="U2840" i="1"/>
  <c r="U2841" i="1"/>
  <c r="U2842" i="1"/>
  <c r="U2843" i="1"/>
  <c r="U2844" i="1"/>
  <c r="U2845" i="1"/>
  <c r="U2846" i="1"/>
  <c r="U2847" i="1"/>
  <c r="U2848" i="1"/>
  <c r="U2849" i="1"/>
  <c r="U2850" i="1"/>
  <c r="U2851" i="1"/>
  <c r="U2852" i="1"/>
  <c r="U2853" i="1"/>
  <c r="U2854" i="1"/>
  <c r="U2855" i="1"/>
  <c r="U2856" i="1"/>
  <c r="U2857" i="1"/>
  <c r="U2858" i="1"/>
  <c r="U2859" i="1"/>
  <c r="U2860" i="1"/>
  <c r="U2861" i="1"/>
  <c r="U2862" i="1"/>
  <c r="U2863" i="1"/>
  <c r="U2864" i="1"/>
  <c r="U2865" i="1"/>
  <c r="U2866" i="1"/>
  <c r="U2867" i="1"/>
  <c r="U2868" i="1"/>
  <c r="U2869" i="1"/>
  <c r="U2870" i="1"/>
  <c r="U2871" i="1"/>
  <c r="U2872" i="1"/>
  <c r="U2873" i="1"/>
  <c r="U2874" i="1"/>
  <c r="U2875" i="1"/>
  <c r="U2876" i="1"/>
  <c r="U2877" i="1"/>
  <c r="U2878" i="1"/>
  <c r="U2879" i="1"/>
  <c r="U2880" i="1"/>
  <c r="U2881" i="1"/>
  <c r="U2882" i="1"/>
  <c r="U2883" i="1"/>
  <c r="U2884" i="1"/>
  <c r="U2885" i="1"/>
  <c r="U2886" i="1"/>
  <c r="U2887" i="1"/>
  <c r="U2888" i="1"/>
  <c r="U2889" i="1"/>
  <c r="U2890" i="1"/>
  <c r="U2891" i="1"/>
  <c r="U2892" i="1"/>
  <c r="U2893" i="1"/>
  <c r="U2894" i="1"/>
  <c r="U2895" i="1"/>
  <c r="U2896" i="1"/>
  <c r="U2897" i="1"/>
  <c r="U2898" i="1"/>
  <c r="U2899" i="1"/>
  <c r="U2900" i="1"/>
  <c r="U2901" i="1"/>
  <c r="U2902" i="1"/>
  <c r="U2903" i="1"/>
  <c r="U2904" i="1"/>
  <c r="U2905" i="1"/>
  <c r="U2906" i="1"/>
  <c r="U2907" i="1"/>
  <c r="U2908" i="1"/>
  <c r="U2909" i="1"/>
  <c r="U2910" i="1"/>
  <c r="U2911" i="1"/>
  <c r="U2912" i="1"/>
  <c r="U2913" i="1"/>
  <c r="U2914" i="1"/>
  <c r="U2915" i="1"/>
  <c r="U2916" i="1"/>
  <c r="U2917" i="1"/>
  <c r="U2918" i="1"/>
  <c r="U2919" i="1"/>
  <c r="U2920" i="1"/>
  <c r="U2921" i="1"/>
  <c r="U2922" i="1"/>
  <c r="U2923" i="1"/>
  <c r="U2924" i="1"/>
  <c r="U2925" i="1"/>
  <c r="U2926" i="1"/>
  <c r="U2927" i="1"/>
  <c r="U2928" i="1"/>
  <c r="U2929" i="1"/>
  <c r="U2930" i="1"/>
  <c r="U2931" i="1"/>
  <c r="U2932" i="1"/>
  <c r="U2933" i="1"/>
  <c r="U2934" i="1"/>
  <c r="U2935" i="1"/>
  <c r="U2936" i="1"/>
  <c r="U2937" i="1"/>
  <c r="U2938" i="1"/>
  <c r="U2939" i="1"/>
  <c r="U2940" i="1"/>
  <c r="U2941" i="1"/>
  <c r="U2942" i="1"/>
  <c r="U2943" i="1"/>
  <c r="U2944" i="1"/>
  <c r="U2945" i="1"/>
  <c r="U2946" i="1"/>
  <c r="U2947" i="1"/>
  <c r="U2948" i="1"/>
  <c r="U2949" i="1"/>
  <c r="U2950" i="1"/>
  <c r="U2951" i="1"/>
  <c r="U2952" i="1"/>
  <c r="U2953" i="1"/>
  <c r="U2954" i="1"/>
  <c r="U2955" i="1"/>
  <c r="U2956" i="1"/>
  <c r="U2957" i="1"/>
  <c r="U2958" i="1"/>
  <c r="U2959" i="1"/>
  <c r="U2960" i="1"/>
  <c r="U2961" i="1"/>
  <c r="U2962" i="1"/>
  <c r="U2963" i="1"/>
  <c r="U2964" i="1"/>
  <c r="U2965" i="1"/>
  <c r="U2966" i="1"/>
  <c r="U2967" i="1"/>
  <c r="U2968" i="1"/>
  <c r="U2969" i="1"/>
  <c r="U2970" i="1"/>
  <c r="U2971" i="1"/>
  <c r="U2972" i="1"/>
  <c r="U2973" i="1"/>
  <c r="U2974" i="1"/>
  <c r="U2975" i="1"/>
  <c r="U2976" i="1"/>
  <c r="U2977" i="1"/>
  <c r="U2978" i="1"/>
  <c r="U2979" i="1"/>
  <c r="U2980" i="1"/>
  <c r="U2981" i="1"/>
  <c r="U2982" i="1"/>
  <c r="U2983" i="1"/>
  <c r="U2984" i="1"/>
  <c r="U2985" i="1"/>
  <c r="U2986" i="1"/>
  <c r="U2987" i="1"/>
  <c r="U2988" i="1"/>
  <c r="U2989" i="1"/>
  <c r="U2990" i="1"/>
  <c r="U2991" i="1"/>
  <c r="U2992" i="1"/>
  <c r="U2993" i="1"/>
  <c r="U2994" i="1"/>
  <c r="U2995" i="1"/>
  <c r="U2996" i="1"/>
  <c r="U2997" i="1"/>
  <c r="U2998" i="1"/>
  <c r="U2999" i="1"/>
  <c r="U3000" i="1"/>
  <c r="U3001" i="1"/>
  <c r="U3002" i="1"/>
  <c r="U3003" i="1"/>
  <c r="U3004" i="1"/>
  <c r="U3005" i="1"/>
  <c r="U3006" i="1"/>
  <c r="U3007" i="1"/>
  <c r="U3008" i="1"/>
  <c r="U3009" i="1"/>
  <c r="U3010" i="1"/>
  <c r="U3011" i="1"/>
  <c r="U3012" i="1"/>
  <c r="U3013" i="1"/>
  <c r="U3014" i="1"/>
  <c r="U3015" i="1"/>
  <c r="U3016" i="1"/>
  <c r="U3017" i="1"/>
  <c r="U3018" i="1"/>
  <c r="U3019" i="1"/>
  <c r="U3020" i="1"/>
  <c r="U3021" i="1"/>
  <c r="U3022" i="1"/>
  <c r="U3023" i="1"/>
  <c r="U3024" i="1"/>
  <c r="U3025" i="1"/>
  <c r="U3026" i="1"/>
  <c r="U3027" i="1"/>
  <c r="U3028" i="1"/>
  <c r="U3029" i="1"/>
  <c r="U3030" i="1"/>
  <c r="U3031" i="1"/>
  <c r="U3032" i="1"/>
  <c r="U3033" i="1"/>
  <c r="U3034" i="1"/>
  <c r="U3035" i="1"/>
  <c r="U3036" i="1"/>
  <c r="U3037" i="1"/>
  <c r="U3038" i="1"/>
  <c r="U3039" i="1"/>
  <c r="U3040" i="1"/>
  <c r="U3041" i="1"/>
  <c r="U3042" i="1"/>
  <c r="U3043" i="1"/>
  <c r="U3044" i="1"/>
  <c r="U3045" i="1"/>
  <c r="U3046" i="1"/>
  <c r="U3047" i="1"/>
  <c r="U3048" i="1"/>
  <c r="U3049" i="1"/>
  <c r="U3050" i="1"/>
  <c r="U3051" i="1"/>
  <c r="U3052" i="1"/>
  <c r="U3053" i="1"/>
  <c r="U3054" i="1"/>
  <c r="U3055" i="1"/>
  <c r="U3056" i="1"/>
  <c r="U3057" i="1"/>
  <c r="U3058" i="1"/>
  <c r="U3059" i="1"/>
  <c r="U3060" i="1"/>
  <c r="U3061" i="1"/>
  <c r="U3062" i="1"/>
  <c r="U3063" i="1"/>
  <c r="U3064" i="1"/>
  <c r="U3065" i="1"/>
  <c r="U3066" i="1"/>
  <c r="U3067" i="1"/>
  <c r="U3068" i="1"/>
  <c r="U3069" i="1"/>
  <c r="U3070" i="1"/>
  <c r="U3071" i="1"/>
  <c r="U3072" i="1"/>
  <c r="U3073" i="1"/>
  <c r="U3074" i="1"/>
  <c r="U3075" i="1"/>
  <c r="U3076" i="1"/>
  <c r="U3077" i="1"/>
  <c r="U3078" i="1"/>
  <c r="U3079" i="1"/>
  <c r="U3080" i="1"/>
  <c r="U3081" i="1"/>
  <c r="U3082" i="1"/>
  <c r="U3083" i="1"/>
  <c r="U3084" i="1"/>
  <c r="U3085" i="1"/>
  <c r="U3086" i="1"/>
  <c r="U3087" i="1"/>
  <c r="U3088" i="1"/>
  <c r="U3089" i="1"/>
  <c r="U3090" i="1"/>
  <c r="U3091" i="1"/>
  <c r="U3092" i="1"/>
  <c r="U3093" i="1"/>
  <c r="U3094" i="1"/>
  <c r="U3095" i="1"/>
  <c r="U3096" i="1"/>
  <c r="U3097" i="1"/>
  <c r="U3098" i="1"/>
  <c r="U3099" i="1"/>
  <c r="U3100" i="1"/>
  <c r="U3101" i="1"/>
  <c r="U3102" i="1"/>
  <c r="U3103" i="1"/>
  <c r="U3104" i="1"/>
  <c r="U3105" i="1"/>
  <c r="U3106" i="1"/>
  <c r="U3107" i="1"/>
  <c r="U3108" i="1"/>
  <c r="U3109" i="1"/>
  <c r="U3110" i="1"/>
  <c r="U3111" i="1"/>
  <c r="U3112" i="1"/>
  <c r="U3113" i="1"/>
  <c r="U3114" i="1"/>
  <c r="U3115" i="1"/>
  <c r="U3116" i="1"/>
  <c r="U3117" i="1"/>
  <c r="U3118" i="1"/>
  <c r="U3119" i="1"/>
  <c r="U3120" i="1"/>
  <c r="U3121" i="1"/>
  <c r="U3122" i="1"/>
  <c r="U3123" i="1"/>
  <c r="U3124" i="1"/>
  <c r="U3125" i="1"/>
  <c r="U3126" i="1"/>
  <c r="U3127" i="1"/>
  <c r="U3128" i="1"/>
  <c r="U3129" i="1"/>
  <c r="U3130" i="1"/>
  <c r="U3131" i="1"/>
  <c r="U3132" i="1"/>
  <c r="U3133" i="1"/>
  <c r="U3134" i="1"/>
  <c r="U3135" i="1"/>
  <c r="U3136" i="1"/>
  <c r="U3137" i="1"/>
  <c r="U3138" i="1"/>
  <c r="U3139" i="1"/>
  <c r="U3140" i="1"/>
  <c r="U3141" i="1"/>
  <c r="U3142" i="1"/>
  <c r="U3143" i="1"/>
  <c r="U3144" i="1"/>
  <c r="U3145" i="1"/>
  <c r="U3146" i="1"/>
  <c r="U3147" i="1"/>
  <c r="U3148" i="1"/>
  <c r="U3149" i="1"/>
  <c r="U3150" i="1"/>
  <c r="U3151" i="1"/>
  <c r="U3152" i="1"/>
  <c r="U3153" i="1"/>
  <c r="U3154" i="1"/>
  <c r="U3155" i="1"/>
  <c r="U3156" i="1"/>
  <c r="U3157" i="1"/>
  <c r="U3158" i="1"/>
  <c r="U3159" i="1"/>
  <c r="U3160" i="1"/>
  <c r="U3161" i="1"/>
  <c r="U3162" i="1"/>
  <c r="U3163" i="1"/>
  <c r="U3164" i="1"/>
  <c r="U3165" i="1"/>
  <c r="U3166" i="1"/>
  <c r="U3167" i="1"/>
  <c r="U3168" i="1"/>
  <c r="U3169" i="1"/>
  <c r="U3170" i="1"/>
  <c r="U3171" i="1"/>
  <c r="U3172" i="1"/>
  <c r="U3173" i="1"/>
  <c r="U3174" i="1"/>
  <c r="U3175" i="1"/>
  <c r="U3176" i="1"/>
  <c r="U3177" i="1"/>
  <c r="U3178" i="1"/>
  <c r="U3179" i="1"/>
  <c r="U3180" i="1"/>
  <c r="U3181" i="1"/>
  <c r="U3182" i="1"/>
  <c r="U3183" i="1"/>
  <c r="U3184" i="1"/>
  <c r="U3185" i="1"/>
  <c r="U3186" i="1"/>
  <c r="U3187" i="1"/>
  <c r="U3188" i="1"/>
  <c r="U3189" i="1"/>
  <c r="U3190" i="1"/>
  <c r="U3191" i="1"/>
  <c r="U3192" i="1"/>
  <c r="U3193" i="1"/>
  <c r="U3194" i="1"/>
  <c r="U3195" i="1"/>
  <c r="U3196" i="1"/>
  <c r="U3197" i="1"/>
  <c r="U3198" i="1"/>
  <c r="U3199" i="1"/>
  <c r="U3200" i="1"/>
  <c r="U3201" i="1"/>
  <c r="U3202" i="1"/>
  <c r="U3203" i="1"/>
  <c r="U3204" i="1"/>
  <c r="U3205" i="1"/>
  <c r="U3206" i="1"/>
  <c r="U3207" i="1"/>
  <c r="U3208" i="1"/>
  <c r="U3209" i="1"/>
  <c r="U3210" i="1"/>
  <c r="U3211" i="1"/>
  <c r="U3212" i="1"/>
  <c r="U3213" i="1"/>
  <c r="U3214" i="1"/>
  <c r="U3215" i="1"/>
  <c r="U3216" i="1"/>
  <c r="U3217" i="1"/>
  <c r="U3218" i="1"/>
  <c r="U3219" i="1"/>
  <c r="U3220" i="1"/>
  <c r="U3221" i="1"/>
  <c r="U3222" i="1"/>
  <c r="U3223" i="1"/>
  <c r="U3224" i="1"/>
  <c r="U3225" i="1"/>
  <c r="U3226" i="1"/>
  <c r="U3227" i="1"/>
  <c r="U3228" i="1"/>
  <c r="U3229" i="1"/>
  <c r="U3230" i="1"/>
  <c r="U3231" i="1"/>
  <c r="U3232" i="1"/>
  <c r="U3233" i="1"/>
  <c r="U3234" i="1"/>
  <c r="U3235" i="1"/>
  <c r="U3236" i="1"/>
  <c r="U3237" i="1"/>
  <c r="U3238" i="1"/>
  <c r="U3239" i="1"/>
  <c r="U3240" i="1"/>
  <c r="U3241" i="1"/>
  <c r="U3242" i="1"/>
  <c r="U3243" i="1"/>
  <c r="U3244" i="1"/>
  <c r="U3245" i="1"/>
  <c r="U3246" i="1"/>
  <c r="U3247" i="1"/>
  <c r="U3248" i="1"/>
  <c r="U3249" i="1"/>
  <c r="U3250" i="1"/>
  <c r="U3251" i="1"/>
  <c r="U3252" i="1"/>
  <c r="U3253" i="1"/>
  <c r="U3254" i="1"/>
  <c r="U3255" i="1"/>
  <c r="U3256" i="1"/>
  <c r="U3257" i="1"/>
  <c r="U3258" i="1"/>
  <c r="U3259" i="1"/>
  <c r="U3260" i="1"/>
  <c r="U3261" i="1"/>
  <c r="U3262" i="1"/>
  <c r="U3263" i="1"/>
  <c r="U3264" i="1"/>
  <c r="U3265" i="1"/>
  <c r="U3266" i="1"/>
  <c r="U3267" i="1"/>
  <c r="U3268" i="1"/>
  <c r="U3269" i="1"/>
  <c r="U3270" i="1"/>
  <c r="U3271" i="1"/>
  <c r="U3272" i="1"/>
  <c r="U3273" i="1"/>
  <c r="U3274" i="1"/>
  <c r="U3275" i="1"/>
  <c r="U3276" i="1"/>
  <c r="U3277" i="1"/>
  <c r="U3278" i="1"/>
  <c r="U3279" i="1"/>
  <c r="U3280" i="1"/>
  <c r="U3281" i="1"/>
  <c r="U3282" i="1"/>
  <c r="U3283" i="1"/>
  <c r="U3284" i="1"/>
  <c r="U3285" i="1"/>
  <c r="U3286" i="1"/>
  <c r="U3287" i="1"/>
  <c r="U3288" i="1"/>
  <c r="U3289" i="1"/>
  <c r="U3290" i="1"/>
  <c r="U3291" i="1"/>
  <c r="U3292" i="1"/>
  <c r="U3293" i="1"/>
  <c r="U3294" i="1"/>
  <c r="U3295" i="1"/>
  <c r="U3296" i="1"/>
  <c r="U3297" i="1"/>
  <c r="U3298" i="1"/>
  <c r="U3299" i="1"/>
  <c r="U3300" i="1"/>
  <c r="U3301" i="1"/>
  <c r="U3302" i="1"/>
  <c r="U3303" i="1"/>
  <c r="U3304" i="1"/>
  <c r="U3305" i="1"/>
  <c r="U3306" i="1"/>
  <c r="U3307" i="1"/>
  <c r="U3308" i="1"/>
  <c r="U3309" i="1"/>
  <c r="U3310" i="1"/>
  <c r="U3311" i="1"/>
  <c r="U3312" i="1"/>
  <c r="U3313" i="1"/>
  <c r="U3314" i="1"/>
  <c r="U3315" i="1"/>
  <c r="U3316" i="1"/>
  <c r="U3317" i="1"/>
  <c r="U3318" i="1"/>
  <c r="U3319" i="1"/>
  <c r="U3320" i="1"/>
  <c r="U3321" i="1"/>
  <c r="U3322" i="1"/>
  <c r="U3323" i="1"/>
  <c r="U3324" i="1"/>
  <c r="U3325" i="1"/>
  <c r="U3326" i="1"/>
  <c r="U3327" i="1"/>
  <c r="U3328" i="1"/>
  <c r="U3329" i="1"/>
  <c r="U3330" i="1"/>
  <c r="U3331" i="1"/>
  <c r="U3332" i="1"/>
  <c r="U3333" i="1"/>
  <c r="U3334" i="1"/>
  <c r="U3335" i="1"/>
  <c r="U3336" i="1"/>
  <c r="U3337" i="1"/>
  <c r="U3338" i="1"/>
  <c r="U3339" i="1"/>
  <c r="U3340" i="1"/>
  <c r="U3341" i="1"/>
  <c r="U3342" i="1"/>
  <c r="U3343" i="1"/>
  <c r="U3344" i="1"/>
  <c r="U3345" i="1"/>
  <c r="U3346" i="1"/>
  <c r="U3347" i="1"/>
  <c r="U3348" i="1"/>
  <c r="U3349" i="1"/>
  <c r="U3350" i="1"/>
  <c r="U3351" i="1"/>
  <c r="U3352" i="1"/>
  <c r="U3353" i="1"/>
  <c r="U3354" i="1"/>
  <c r="U3355" i="1"/>
  <c r="U3356" i="1"/>
  <c r="U3357" i="1"/>
  <c r="U3358" i="1"/>
  <c r="U3359" i="1"/>
  <c r="U3360" i="1"/>
  <c r="U3361" i="1"/>
  <c r="U3362" i="1"/>
  <c r="U3363" i="1"/>
  <c r="U3364" i="1"/>
  <c r="U3365" i="1"/>
  <c r="U3366" i="1"/>
  <c r="U3367" i="1"/>
  <c r="U3368" i="1"/>
  <c r="U3369" i="1"/>
  <c r="U3370" i="1"/>
  <c r="U3371" i="1"/>
  <c r="U3372" i="1"/>
  <c r="U3373" i="1"/>
  <c r="U3374" i="1"/>
  <c r="U3375" i="1"/>
  <c r="U3376" i="1"/>
  <c r="U3377" i="1"/>
  <c r="U3378" i="1"/>
  <c r="U3379" i="1"/>
  <c r="U3380" i="1"/>
  <c r="U3381" i="1"/>
  <c r="U3382" i="1"/>
  <c r="U3383" i="1"/>
  <c r="U3384" i="1"/>
  <c r="U3385" i="1"/>
  <c r="U3386" i="1"/>
  <c r="U3387" i="1"/>
  <c r="U3388" i="1"/>
  <c r="U3389" i="1"/>
  <c r="U3390" i="1"/>
  <c r="U3391" i="1"/>
  <c r="U3392" i="1"/>
  <c r="U3393" i="1"/>
  <c r="U3394" i="1"/>
  <c r="U3395" i="1"/>
  <c r="U3396" i="1"/>
  <c r="U3397" i="1"/>
  <c r="U3398" i="1"/>
  <c r="U3399" i="1"/>
  <c r="U3400" i="1"/>
  <c r="U3401" i="1"/>
  <c r="U3402" i="1"/>
  <c r="U3403" i="1"/>
  <c r="U3404" i="1"/>
  <c r="U3405" i="1"/>
  <c r="U3406" i="1"/>
  <c r="U3407" i="1"/>
  <c r="U3408" i="1"/>
  <c r="U3409" i="1"/>
  <c r="U3410" i="1"/>
  <c r="U3411" i="1"/>
  <c r="U3412" i="1"/>
  <c r="U3413" i="1"/>
  <c r="U3414" i="1"/>
  <c r="U3415" i="1"/>
  <c r="U3416" i="1"/>
  <c r="U3417" i="1"/>
  <c r="U3418" i="1"/>
  <c r="U3419" i="1"/>
  <c r="U3420" i="1"/>
  <c r="U3421" i="1"/>
  <c r="U3422" i="1"/>
  <c r="U3423" i="1"/>
  <c r="U3424" i="1"/>
  <c r="U3425" i="1"/>
  <c r="U3426" i="1"/>
  <c r="U3427" i="1"/>
  <c r="U3428" i="1"/>
  <c r="U3429" i="1"/>
  <c r="U3430" i="1"/>
  <c r="U3431" i="1"/>
  <c r="U3432" i="1"/>
  <c r="U3433" i="1"/>
  <c r="U3434" i="1"/>
  <c r="U3435" i="1"/>
  <c r="U3436" i="1"/>
  <c r="U3437" i="1"/>
  <c r="U3438" i="1"/>
  <c r="U3439" i="1"/>
  <c r="U3440" i="1"/>
  <c r="U3441" i="1"/>
  <c r="U3442" i="1"/>
  <c r="U3443" i="1"/>
  <c r="U3444" i="1"/>
  <c r="U3445" i="1"/>
  <c r="U3446" i="1"/>
  <c r="U3447" i="1"/>
  <c r="U3448" i="1"/>
  <c r="U3449" i="1"/>
  <c r="U3450" i="1"/>
  <c r="U3451" i="1"/>
  <c r="U3452" i="1"/>
  <c r="U3453" i="1"/>
  <c r="U3454" i="1"/>
  <c r="U3455" i="1"/>
  <c r="U3456" i="1"/>
  <c r="U3457" i="1"/>
  <c r="U3458" i="1"/>
  <c r="U3459" i="1"/>
  <c r="U3460" i="1"/>
  <c r="U3461" i="1"/>
  <c r="U3462" i="1"/>
  <c r="U3463" i="1"/>
  <c r="U3464" i="1"/>
  <c r="U3465" i="1"/>
  <c r="U3466" i="1"/>
  <c r="U3467" i="1"/>
  <c r="U3468" i="1"/>
  <c r="U3469" i="1"/>
  <c r="U3470" i="1"/>
  <c r="U3471" i="1"/>
  <c r="U3472" i="1"/>
  <c r="U3473" i="1"/>
  <c r="U3474" i="1"/>
  <c r="U3475" i="1"/>
  <c r="U3476" i="1"/>
  <c r="U3477" i="1"/>
  <c r="U3478" i="1"/>
  <c r="U3479" i="1"/>
  <c r="U3480" i="1"/>
  <c r="U3481" i="1"/>
  <c r="U3482" i="1"/>
  <c r="U3483" i="1"/>
  <c r="U3484" i="1"/>
  <c r="U3485" i="1"/>
  <c r="U3486" i="1"/>
  <c r="U3487" i="1"/>
  <c r="U3488" i="1"/>
  <c r="U3489" i="1"/>
  <c r="U3490" i="1"/>
  <c r="U3491" i="1"/>
  <c r="U3492" i="1"/>
  <c r="U3493" i="1"/>
  <c r="U3494" i="1"/>
  <c r="U3495" i="1"/>
  <c r="U3496" i="1"/>
  <c r="U3497" i="1"/>
  <c r="U3498" i="1"/>
  <c r="U3499" i="1"/>
  <c r="U3500" i="1"/>
  <c r="U3501" i="1"/>
  <c r="U3502" i="1"/>
  <c r="U3503" i="1"/>
  <c r="U3504" i="1"/>
  <c r="U3505" i="1"/>
  <c r="U3506" i="1"/>
  <c r="U3507" i="1"/>
  <c r="U3508" i="1"/>
  <c r="U3509" i="1"/>
  <c r="U3510" i="1"/>
  <c r="U3511" i="1"/>
  <c r="U3512" i="1"/>
  <c r="U3513" i="1"/>
  <c r="U3514" i="1"/>
  <c r="U3515" i="1"/>
  <c r="U3516" i="1"/>
  <c r="U3517" i="1"/>
  <c r="U3518" i="1"/>
  <c r="U3519" i="1"/>
  <c r="U3520" i="1"/>
  <c r="U3521" i="1"/>
  <c r="U3522" i="1"/>
  <c r="U3523" i="1"/>
  <c r="U3524" i="1"/>
  <c r="U3525" i="1"/>
  <c r="U3526" i="1"/>
  <c r="U3527" i="1"/>
  <c r="U3528" i="1"/>
  <c r="U3529" i="1"/>
  <c r="U3530" i="1"/>
  <c r="U3531" i="1"/>
  <c r="U3532" i="1"/>
  <c r="U3533" i="1"/>
  <c r="U3534" i="1"/>
  <c r="U3535" i="1"/>
  <c r="U3536" i="1"/>
  <c r="U3537" i="1"/>
  <c r="U3538" i="1"/>
  <c r="U3539" i="1"/>
  <c r="U3540" i="1"/>
  <c r="U3541" i="1"/>
  <c r="U3542" i="1"/>
  <c r="U3543" i="1"/>
  <c r="U3544" i="1"/>
  <c r="U3545" i="1"/>
  <c r="U3546" i="1"/>
  <c r="U3547" i="1"/>
  <c r="U3548" i="1"/>
  <c r="U3549" i="1"/>
  <c r="U3550" i="1"/>
  <c r="U3551" i="1"/>
  <c r="U3552" i="1"/>
  <c r="U3553" i="1"/>
  <c r="U3554" i="1"/>
  <c r="U3555" i="1"/>
  <c r="U3556" i="1"/>
  <c r="U3557" i="1"/>
  <c r="U3558" i="1"/>
  <c r="U3559" i="1"/>
  <c r="U3560" i="1"/>
  <c r="U3561" i="1"/>
  <c r="U3562" i="1"/>
  <c r="U3563" i="1"/>
  <c r="U3564" i="1"/>
  <c r="U3565" i="1"/>
  <c r="U3566" i="1"/>
  <c r="U3567" i="1"/>
  <c r="U3568" i="1"/>
  <c r="U3569" i="1"/>
  <c r="U3570" i="1"/>
  <c r="U3571" i="1"/>
  <c r="U3572" i="1"/>
  <c r="U3573" i="1"/>
  <c r="U3574" i="1"/>
  <c r="U3575" i="1"/>
  <c r="U3576" i="1"/>
  <c r="U3577" i="1"/>
  <c r="U3578" i="1"/>
  <c r="U3579" i="1"/>
  <c r="U3580" i="1"/>
  <c r="U3581" i="1"/>
  <c r="U3582" i="1"/>
  <c r="U3583" i="1"/>
  <c r="U3584" i="1"/>
  <c r="U3585" i="1"/>
  <c r="U3586" i="1"/>
  <c r="U3587" i="1"/>
  <c r="U3588" i="1"/>
  <c r="U3589" i="1"/>
  <c r="U3590" i="1"/>
  <c r="U3591" i="1"/>
  <c r="U3592" i="1"/>
  <c r="U3593" i="1"/>
  <c r="U3594" i="1"/>
  <c r="U3595" i="1"/>
  <c r="U3596" i="1"/>
  <c r="U3597" i="1"/>
  <c r="U3598" i="1"/>
  <c r="U3599" i="1"/>
  <c r="U3600" i="1"/>
  <c r="U3601" i="1"/>
  <c r="U3602" i="1"/>
  <c r="U3603" i="1"/>
  <c r="U3604" i="1"/>
  <c r="U3605" i="1"/>
  <c r="U3606" i="1"/>
  <c r="U3607" i="1"/>
  <c r="U3608" i="1"/>
  <c r="U3609" i="1"/>
  <c r="U3610" i="1"/>
  <c r="U3611" i="1"/>
  <c r="U3612" i="1"/>
  <c r="U3613" i="1"/>
  <c r="U3614" i="1"/>
  <c r="U3615" i="1"/>
  <c r="U3616" i="1"/>
  <c r="U3617" i="1"/>
  <c r="U3618" i="1"/>
  <c r="U3619" i="1"/>
  <c r="U3620" i="1"/>
  <c r="U3621" i="1"/>
  <c r="U3622" i="1"/>
  <c r="U3623" i="1"/>
  <c r="U3624" i="1"/>
  <c r="U3625" i="1"/>
  <c r="U3626" i="1"/>
  <c r="U3627" i="1"/>
  <c r="U3628" i="1"/>
  <c r="U3629" i="1"/>
  <c r="U3630" i="1"/>
  <c r="U3631" i="1"/>
  <c r="U3632" i="1"/>
  <c r="U3633" i="1"/>
  <c r="U3634" i="1"/>
  <c r="U3635" i="1"/>
  <c r="U3636" i="1"/>
  <c r="U3637" i="1"/>
  <c r="U3638" i="1"/>
  <c r="U3639" i="1"/>
  <c r="U3640" i="1"/>
  <c r="U3641" i="1"/>
  <c r="U3642" i="1"/>
  <c r="U3643" i="1"/>
  <c r="U3644" i="1"/>
  <c r="U3645" i="1"/>
  <c r="U3646" i="1"/>
  <c r="U3647" i="1"/>
  <c r="U3648" i="1"/>
  <c r="U3649" i="1"/>
  <c r="U3650" i="1"/>
  <c r="U3651" i="1"/>
  <c r="U3652" i="1"/>
  <c r="U3653" i="1"/>
  <c r="U3654" i="1"/>
  <c r="U3655" i="1"/>
  <c r="U3656" i="1"/>
  <c r="U3657" i="1"/>
  <c r="U3658" i="1"/>
  <c r="U3659" i="1"/>
  <c r="U3660" i="1"/>
  <c r="U3661" i="1"/>
  <c r="U3662" i="1"/>
  <c r="U3663" i="1"/>
  <c r="U3664" i="1"/>
  <c r="U3665" i="1"/>
  <c r="U3666" i="1"/>
  <c r="U3667" i="1"/>
  <c r="U3668" i="1"/>
  <c r="U3669" i="1"/>
  <c r="U3670" i="1"/>
  <c r="U3671" i="1"/>
  <c r="U3672" i="1"/>
  <c r="U3673" i="1"/>
  <c r="U3674" i="1"/>
  <c r="U3675" i="1"/>
  <c r="U3676" i="1"/>
  <c r="U3677" i="1"/>
  <c r="U3678" i="1"/>
  <c r="U3679" i="1"/>
  <c r="U3680" i="1"/>
  <c r="U3681" i="1"/>
  <c r="U3682" i="1"/>
  <c r="U3683" i="1"/>
  <c r="U3684" i="1"/>
  <c r="U3685" i="1"/>
  <c r="U3686" i="1"/>
  <c r="U3687" i="1"/>
  <c r="U3688" i="1"/>
  <c r="U3689" i="1"/>
  <c r="U3690" i="1"/>
  <c r="U3691" i="1"/>
  <c r="U3692" i="1"/>
  <c r="U3693" i="1"/>
  <c r="U3694" i="1"/>
  <c r="U3695" i="1"/>
  <c r="U3696" i="1"/>
  <c r="U3697" i="1"/>
  <c r="U3698" i="1"/>
  <c r="U3699" i="1"/>
  <c r="U3700" i="1"/>
  <c r="U3701" i="1"/>
  <c r="U3702" i="1"/>
  <c r="U3703" i="1"/>
  <c r="U3704" i="1"/>
  <c r="U3705" i="1"/>
  <c r="U3706" i="1"/>
  <c r="U3707" i="1"/>
  <c r="U3708" i="1"/>
  <c r="U3709" i="1"/>
  <c r="U3710" i="1"/>
  <c r="U3711" i="1"/>
  <c r="U3712" i="1"/>
  <c r="U3713" i="1"/>
  <c r="U3714" i="1"/>
  <c r="U3715" i="1"/>
  <c r="U3716" i="1"/>
  <c r="U3717" i="1"/>
  <c r="U3718" i="1"/>
  <c r="U3719" i="1"/>
  <c r="U3720" i="1"/>
  <c r="U3721" i="1"/>
  <c r="U3722" i="1"/>
  <c r="U3723" i="1"/>
  <c r="U3724" i="1"/>
  <c r="U3725" i="1"/>
  <c r="U3726" i="1"/>
  <c r="U3727" i="1"/>
  <c r="U3728" i="1"/>
  <c r="U3729" i="1"/>
  <c r="U3730" i="1"/>
  <c r="U3731" i="1"/>
  <c r="U3732" i="1"/>
  <c r="U3733" i="1"/>
  <c r="U3734" i="1"/>
  <c r="U3735" i="1"/>
  <c r="U3736" i="1"/>
  <c r="U3737" i="1"/>
  <c r="U3738" i="1"/>
  <c r="U3739" i="1"/>
  <c r="U3740" i="1"/>
  <c r="U3741" i="1"/>
  <c r="U3742" i="1"/>
  <c r="U3743" i="1"/>
  <c r="U3744" i="1"/>
  <c r="U3745" i="1"/>
  <c r="U3746" i="1"/>
  <c r="U3747" i="1"/>
  <c r="U3748" i="1"/>
  <c r="U3749" i="1"/>
  <c r="U3750" i="1"/>
  <c r="U3751" i="1"/>
  <c r="U3752" i="1"/>
  <c r="U3753" i="1"/>
  <c r="U3754" i="1"/>
  <c r="U3755" i="1"/>
  <c r="U3756" i="1"/>
  <c r="U3757" i="1"/>
  <c r="U3758" i="1"/>
  <c r="U3759" i="1"/>
  <c r="U3760" i="1"/>
  <c r="U3761" i="1"/>
  <c r="U3762" i="1"/>
  <c r="U3763" i="1"/>
  <c r="U3764" i="1"/>
  <c r="U3765" i="1"/>
  <c r="U3766" i="1"/>
  <c r="U3767" i="1"/>
  <c r="U3768" i="1"/>
  <c r="U3769" i="1"/>
  <c r="U3770" i="1"/>
  <c r="U3771" i="1"/>
  <c r="U3772" i="1"/>
  <c r="U3773" i="1"/>
  <c r="U3774" i="1"/>
  <c r="U3775" i="1"/>
  <c r="U3776" i="1"/>
  <c r="U3777" i="1"/>
  <c r="U3778" i="1"/>
  <c r="U3779" i="1"/>
  <c r="U3780" i="1"/>
  <c r="U3781" i="1"/>
  <c r="U3782" i="1"/>
  <c r="U3783" i="1"/>
  <c r="U3784" i="1"/>
  <c r="U3785" i="1"/>
  <c r="U3786" i="1"/>
  <c r="U3787" i="1"/>
  <c r="U3788" i="1"/>
  <c r="U3789" i="1"/>
  <c r="U3790" i="1"/>
  <c r="U3791" i="1"/>
  <c r="U3792" i="1"/>
  <c r="U3793" i="1"/>
  <c r="U3794" i="1"/>
  <c r="U3795" i="1"/>
  <c r="U3796" i="1"/>
  <c r="U3797" i="1"/>
  <c r="U3798" i="1"/>
  <c r="U3799" i="1"/>
  <c r="U3800" i="1"/>
  <c r="U3801" i="1"/>
  <c r="U3802" i="1"/>
  <c r="U3803" i="1"/>
  <c r="U3804" i="1"/>
  <c r="U3805" i="1"/>
  <c r="U3806" i="1"/>
  <c r="U3807" i="1"/>
  <c r="U3808" i="1"/>
  <c r="U3809" i="1"/>
  <c r="U3810" i="1"/>
  <c r="U3811" i="1"/>
  <c r="U3812" i="1"/>
  <c r="U3813" i="1"/>
  <c r="U3814" i="1"/>
  <c r="U3815" i="1"/>
  <c r="U3816" i="1"/>
  <c r="U3817" i="1"/>
  <c r="U3818" i="1"/>
  <c r="U3819" i="1"/>
  <c r="U3820" i="1"/>
  <c r="U3821" i="1"/>
  <c r="U3822" i="1"/>
  <c r="U3823" i="1"/>
  <c r="U3824" i="1"/>
  <c r="U3825" i="1"/>
  <c r="U3826" i="1"/>
  <c r="U3827" i="1"/>
  <c r="U3828" i="1"/>
  <c r="U3829" i="1"/>
  <c r="U3830" i="1"/>
  <c r="U3831" i="1"/>
  <c r="U3832" i="1"/>
  <c r="U3833" i="1"/>
  <c r="U3834" i="1"/>
  <c r="U3835" i="1"/>
  <c r="U3836" i="1"/>
  <c r="U3837" i="1"/>
  <c r="U3838" i="1"/>
  <c r="U3839" i="1"/>
  <c r="U3840" i="1"/>
  <c r="U3841" i="1"/>
  <c r="U3842" i="1"/>
  <c r="U3843" i="1"/>
  <c r="U3844" i="1"/>
  <c r="U3845" i="1"/>
  <c r="U3846" i="1"/>
  <c r="U3847" i="1"/>
  <c r="U3848" i="1"/>
  <c r="U3849" i="1"/>
  <c r="U3850" i="1"/>
  <c r="U3851" i="1"/>
  <c r="U3852" i="1"/>
  <c r="U3853" i="1"/>
  <c r="U3854" i="1"/>
  <c r="U3855" i="1"/>
  <c r="U3856" i="1"/>
  <c r="U3857" i="1"/>
  <c r="U3858" i="1"/>
  <c r="U3859" i="1"/>
  <c r="U3860" i="1"/>
  <c r="U3861" i="1"/>
  <c r="U3862" i="1"/>
  <c r="U3863" i="1"/>
  <c r="U3864" i="1"/>
  <c r="U3865" i="1"/>
  <c r="U3866" i="1"/>
  <c r="U3867" i="1"/>
  <c r="U3868" i="1"/>
  <c r="U3869" i="1"/>
  <c r="U3870" i="1"/>
  <c r="U3871" i="1"/>
  <c r="U3872" i="1"/>
  <c r="U3873" i="1"/>
  <c r="U3874" i="1"/>
  <c r="U3875" i="1"/>
  <c r="U3876" i="1"/>
  <c r="U3877" i="1"/>
  <c r="U3878" i="1"/>
  <c r="U3879" i="1"/>
  <c r="U3880" i="1"/>
  <c r="U3881" i="1"/>
  <c r="U3882" i="1"/>
  <c r="U3883" i="1"/>
  <c r="U3884" i="1"/>
  <c r="U3885" i="1"/>
  <c r="U3886" i="1"/>
  <c r="U3887" i="1"/>
  <c r="U3888" i="1"/>
  <c r="U3889" i="1"/>
  <c r="U3890" i="1"/>
  <c r="U3891" i="1"/>
  <c r="U3892" i="1"/>
  <c r="U3893" i="1"/>
  <c r="U3894" i="1"/>
  <c r="U3895" i="1"/>
  <c r="U3896" i="1"/>
  <c r="U3897" i="1"/>
  <c r="U3898" i="1"/>
  <c r="U3899" i="1"/>
  <c r="U3900" i="1"/>
  <c r="U3901" i="1"/>
  <c r="U3902" i="1"/>
  <c r="U3903" i="1"/>
  <c r="U3904" i="1"/>
  <c r="U3905" i="1"/>
  <c r="U3906" i="1"/>
  <c r="U3907" i="1"/>
  <c r="U3908" i="1"/>
  <c r="U3909" i="1"/>
  <c r="U3910" i="1"/>
  <c r="U3911" i="1"/>
  <c r="U3912" i="1"/>
  <c r="U3913" i="1"/>
  <c r="U3914" i="1"/>
  <c r="U3915" i="1"/>
  <c r="U3916" i="1"/>
  <c r="U3917" i="1"/>
  <c r="U3918" i="1"/>
  <c r="U3919" i="1"/>
  <c r="U3920" i="1"/>
  <c r="U3921" i="1"/>
  <c r="U3922" i="1"/>
  <c r="U3923" i="1"/>
  <c r="U3924" i="1"/>
  <c r="U3925" i="1"/>
  <c r="U3926" i="1"/>
  <c r="U3927" i="1"/>
  <c r="U3928" i="1"/>
  <c r="U3929" i="1"/>
  <c r="U3930" i="1"/>
  <c r="U3931" i="1"/>
  <c r="U3932" i="1"/>
  <c r="U3933" i="1"/>
  <c r="U3934" i="1"/>
  <c r="U3935" i="1"/>
  <c r="U3936" i="1"/>
  <c r="U3937" i="1"/>
  <c r="U3938" i="1"/>
  <c r="U3939" i="1"/>
  <c r="U3940" i="1"/>
  <c r="U3941" i="1"/>
  <c r="U3942" i="1"/>
  <c r="U3943" i="1"/>
  <c r="U3944" i="1"/>
  <c r="U3945" i="1"/>
  <c r="U3946" i="1"/>
  <c r="U3947" i="1"/>
  <c r="U3948" i="1"/>
  <c r="U3949" i="1"/>
  <c r="U3950" i="1"/>
  <c r="U3951" i="1"/>
  <c r="U3952" i="1"/>
  <c r="U3953" i="1"/>
  <c r="U3954" i="1"/>
  <c r="U3955" i="1"/>
  <c r="U3956" i="1"/>
  <c r="U3957" i="1"/>
  <c r="U3958" i="1"/>
  <c r="U3959" i="1"/>
  <c r="U3960" i="1"/>
  <c r="U3961" i="1"/>
  <c r="U3962" i="1"/>
  <c r="U3963" i="1"/>
  <c r="U3964" i="1"/>
  <c r="U3965" i="1"/>
  <c r="U3966" i="1"/>
  <c r="U3967" i="1"/>
  <c r="U3968" i="1"/>
  <c r="U3969" i="1"/>
  <c r="U3970" i="1"/>
  <c r="U3971" i="1"/>
  <c r="U3972" i="1"/>
  <c r="U3973" i="1"/>
  <c r="U3974" i="1"/>
  <c r="U3975" i="1"/>
  <c r="U3976" i="1"/>
  <c r="U3977" i="1"/>
  <c r="U3978" i="1"/>
  <c r="U3979" i="1"/>
  <c r="U3980" i="1"/>
  <c r="U3981" i="1"/>
  <c r="U3982" i="1"/>
  <c r="U3983" i="1"/>
  <c r="U3984" i="1"/>
  <c r="U3985" i="1"/>
  <c r="U3986" i="1"/>
  <c r="U3987" i="1"/>
  <c r="U3988" i="1"/>
  <c r="U3989" i="1"/>
  <c r="U3990" i="1"/>
  <c r="U3991" i="1"/>
  <c r="U3992" i="1"/>
  <c r="U3993" i="1"/>
  <c r="U3994" i="1"/>
  <c r="U3995" i="1"/>
  <c r="U3996" i="1"/>
  <c r="U3997" i="1"/>
  <c r="U3998" i="1"/>
  <c r="U3999" i="1"/>
  <c r="U4000" i="1"/>
  <c r="U4001" i="1"/>
  <c r="U4002" i="1"/>
  <c r="U4003" i="1"/>
  <c r="U4004" i="1"/>
  <c r="U4005" i="1"/>
  <c r="U4006" i="1"/>
  <c r="U4007" i="1"/>
  <c r="U4008" i="1"/>
  <c r="U4009" i="1"/>
  <c r="U4010" i="1"/>
  <c r="U4011" i="1"/>
  <c r="U4012" i="1"/>
  <c r="U4013" i="1"/>
  <c r="U4014" i="1"/>
  <c r="U4015" i="1"/>
  <c r="U4016" i="1"/>
  <c r="U4017" i="1"/>
  <c r="U4018" i="1"/>
  <c r="U4019" i="1"/>
  <c r="U4020" i="1"/>
  <c r="U4021" i="1"/>
  <c r="U4022" i="1"/>
  <c r="U4023" i="1"/>
  <c r="U4024" i="1"/>
  <c r="U4025" i="1"/>
  <c r="U4026" i="1"/>
  <c r="U4027" i="1"/>
  <c r="U4028" i="1"/>
  <c r="U4029" i="1"/>
  <c r="U4030" i="1"/>
  <c r="U4031" i="1"/>
  <c r="U4032" i="1"/>
  <c r="U4033" i="1"/>
  <c r="U4034" i="1"/>
  <c r="U4035" i="1"/>
  <c r="U4036" i="1"/>
  <c r="U4037" i="1"/>
  <c r="U4038" i="1"/>
  <c r="U4039" i="1"/>
  <c r="U4040" i="1"/>
  <c r="U4041" i="1"/>
  <c r="U4042" i="1"/>
  <c r="U4043" i="1"/>
  <c r="U4044" i="1"/>
  <c r="U4045" i="1"/>
  <c r="U4046" i="1"/>
  <c r="U4047" i="1"/>
  <c r="U4048" i="1"/>
  <c r="U4049" i="1"/>
  <c r="U4050" i="1"/>
  <c r="U4051" i="1"/>
  <c r="U4052" i="1"/>
  <c r="U4053" i="1"/>
  <c r="U4054" i="1"/>
  <c r="U4055" i="1"/>
  <c r="U4056" i="1"/>
  <c r="U4057" i="1"/>
  <c r="U4058" i="1"/>
  <c r="U4059" i="1"/>
  <c r="U4060" i="1"/>
  <c r="U4061" i="1"/>
  <c r="U4062" i="1"/>
  <c r="U4063" i="1"/>
  <c r="U4064" i="1"/>
  <c r="U4065" i="1"/>
  <c r="U4066" i="1"/>
  <c r="U4067" i="1"/>
  <c r="U4068" i="1"/>
  <c r="U4069" i="1"/>
  <c r="U4070" i="1"/>
  <c r="U4071" i="1"/>
  <c r="U4072" i="1"/>
  <c r="U4073" i="1"/>
  <c r="U4074" i="1"/>
  <c r="U4075" i="1"/>
  <c r="U4076" i="1"/>
  <c r="U4077" i="1"/>
  <c r="U4078" i="1"/>
  <c r="U4079" i="1"/>
  <c r="U4080" i="1"/>
  <c r="U4081" i="1"/>
  <c r="U4082" i="1"/>
  <c r="U4083" i="1"/>
  <c r="U4084" i="1"/>
  <c r="U4085" i="1"/>
  <c r="U4086" i="1"/>
  <c r="U4087" i="1"/>
  <c r="U4088" i="1"/>
  <c r="U4089" i="1"/>
  <c r="U4090" i="1"/>
  <c r="U4091" i="1"/>
  <c r="U4092" i="1"/>
  <c r="U4093" i="1"/>
  <c r="U4094" i="1"/>
  <c r="U4095" i="1"/>
  <c r="U4096" i="1"/>
  <c r="U4097" i="1"/>
  <c r="U4098" i="1"/>
  <c r="U4099" i="1"/>
  <c r="U4100" i="1"/>
  <c r="U4101" i="1"/>
  <c r="U4102" i="1"/>
  <c r="U4103" i="1"/>
  <c r="U4104" i="1"/>
  <c r="U4105" i="1"/>
  <c r="U4106" i="1"/>
  <c r="U4107" i="1"/>
  <c r="U4108" i="1"/>
  <c r="U4109" i="1"/>
  <c r="U4110" i="1"/>
  <c r="U4111" i="1"/>
  <c r="U4112" i="1"/>
  <c r="U4113" i="1"/>
  <c r="U4114" i="1"/>
  <c r="U4115" i="1"/>
  <c r="U4116" i="1"/>
  <c r="U4117" i="1"/>
  <c r="U4118" i="1"/>
  <c r="U4119" i="1"/>
  <c r="U4120" i="1"/>
  <c r="U4121" i="1"/>
  <c r="U4122" i="1"/>
  <c r="U4123" i="1"/>
  <c r="U4124" i="1"/>
  <c r="U4125" i="1"/>
  <c r="U4126" i="1"/>
  <c r="U4127" i="1"/>
  <c r="U4128" i="1"/>
  <c r="U4129" i="1"/>
  <c r="U4130" i="1"/>
  <c r="U4131" i="1"/>
  <c r="U4132" i="1"/>
  <c r="U4133" i="1"/>
  <c r="U4134" i="1"/>
  <c r="U4135" i="1"/>
  <c r="U4136" i="1"/>
  <c r="U4137" i="1"/>
  <c r="U4138" i="1"/>
  <c r="U4139" i="1"/>
  <c r="U4140" i="1"/>
  <c r="U4141" i="1"/>
  <c r="U4142" i="1"/>
  <c r="U4143" i="1"/>
  <c r="U4144" i="1"/>
  <c r="U4145" i="1"/>
  <c r="U4146" i="1"/>
  <c r="U4147" i="1"/>
  <c r="U4148" i="1"/>
  <c r="U4149" i="1"/>
  <c r="U4150" i="1"/>
  <c r="U4151" i="1"/>
  <c r="U4152" i="1"/>
  <c r="U4153" i="1"/>
  <c r="U4154" i="1"/>
  <c r="U4155" i="1"/>
  <c r="U4156" i="1"/>
  <c r="U4157" i="1"/>
  <c r="U4158" i="1"/>
  <c r="U4159" i="1"/>
  <c r="U4160" i="1"/>
  <c r="U4161" i="1"/>
  <c r="U4162" i="1"/>
  <c r="U4163" i="1"/>
  <c r="U4164" i="1"/>
  <c r="U4165" i="1"/>
  <c r="U4166" i="1"/>
  <c r="U4167" i="1"/>
  <c r="U4168" i="1"/>
  <c r="U4169" i="1"/>
  <c r="U4170" i="1"/>
  <c r="U4171" i="1"/>
  <c r="U4172" i="1"/>
  <c r="U4173" i="1"/>
  <c r="U4174" i="1"/>
  <c r="U4175" i="1"/>
  <c r="U4176" i="1"/>
  <c r="U4177" i="1"/>
  <c r="U4178" i="1"/>
  <c r="U4179" i="1"/>
  <c r="U4180" i="1"/>
  <c r="U4181" i="1"/>
  <c r="U4182" i="1"/>
  <c r="U4183" i="1"/>
  <c r="U4184" i="1"/>
  <c r="U4185" i="1"/>
  <c r="U4186" i="1"/>
  <c r="U4187" i="1"/>
  <c r="U4188" i="1"/>
  <c r="U4189" i="1"/>
  <c r="U4190" i="1"/>
  <c r="U4191" i="1"/>
  <c r="U4192" i="1"/>
  <c r="U4193" i="1"/>
  <c r="U4194" i="1"/>
  <c r="U4195" i="1"/>
  <c r="U4196" i="1"/>
  <c r="U4197" i="1"/>
  <c r="U4198" i="1"/>
  <c r="U4199" i="1"/>
  <c r="U4200" i="1"/>
  <c r="U4201" i="1"/>
  <c r="U4202" i="1"/>
  <c r="U4203" i="1"/>
  <c r="U4204" i="1"/>
  <c r="U4205" i="1"/>
  <c r="U4206" i="1"/>
  <c r="U4207" i="1"/>
  <c r="U4208" i="1"/>
  <c r="U4209" i="1"/>
  <c r="U4210" i="1"/>
  <c r="U4211" i="1"/>
  <c r="U4212" i="1"/>
  <c r="U4213" i="1"/>
  <c r="U4214" i="1"/>
  <c r="U4215" i="1"/>
  <c r="U4216" i="1"/>
  <c r="U4217" i="1"/>
  <c r="U4218" i="1"/>
  <c r="U4219" i="1"/>
  <c r="U4220" i="1"/>
  <c r="U4221" i="1"/>
  <c r="U4222" i="1"/>
  <c r="U4223" i="1"/>
  <c r="U4224" i="1"/>
  <c r="U4225" i="1"/>
  <c r="U4226" i="1"/>
  <c r="U4227" i="1"/>
  <c r="U4228" i="1"/>
  <c r="U4229" i="1"/>
  <c r="U4230" i="1"/>
  <c r="U4231" i="1"/>
  <c r="U4232" i="1"/>
  <c r="U4233" i="1"/>
  <c r="U4234" i="1"/>
  <c r="U4235" i="1"/>
  <c r="U4236" i="1"/>
  <c r="U4237" i="1"/>
  <c r="U4238" i="1"/>
  <c r="U4239" i="1"/>
  <c r="U4240" i="1"/>
  <c r="U4241" i="1"/>
  <c r="U4242" i="1"/>
  <c r="U4243" i="1"/>
  <c r="U4244" i="1"/>
  <c r="U4245" i="1"/>
  <c r="U4246" i="1"/>
  <c r="U4247" i="1"/>
  <c r="U4248" i="1"/>
  <c r="U4249" i="1"/>
  <c r="U4250" i="1"/>
  <c r="U4251" i="1"/>
  <c r="U4252" i="1"/>
  <c r="U4253" i="1"/>
  <c r="U4254" i="1"/>
  <c r="U4255" i="1"/>
  <c r="U4256" i="1"/>
  <c r="U4257" i="1"/>
  <c r="U4258" i="1"/>
  <c r="U4259" i="1"/>
  <c r="U4260" i="1"/>
  <c r="U4261" i="1"/>
  <c r="U4262" i="1"/>
  <c r="U4263" i="1"/>
  <c r="U4264" i="1"/>
  <c r="U4265" i="1"/>
  <c r="U4266" i="1"/>
  <c r="U4267" i="1"/>
  <c r="U4268" i="1"/>
  <c r="U4269" i="1"/>
  <c r="U4270" i="1"/>
  <c r="U4271" i="1"/>
  <c r="U4272" i="1"/>
  <c r="U4273" i="1"/>
  <c r="U4274" i="1"/>
  <c r="U4275" i="1"/>
  <c r="U4276" i="1"/>
  <c r="U4277" i="1"/>
  <c r="U4278" i="1"/>
  <c r="U4279" i="1"/>
  <c r="U4280" i="1"/>
  <c r="U4281" i="1"/>
  <c r="U4282" i="1"/>
  <c r="U4283" i="1"/>
  <c r="U4284" i="1"/>
  <c r="U4285" i="1"/>
  <c r="U4286" i="1"/>
  <c r="U4287" i="1"/>
  <c r="U4288" i="1"/>
  <c r="U4289" i="1"/>
  <c r="U4290" i="1"/>
  <c r="U4291" i="1"/>
  <c r="U4292" i="1"/>
  <c r="U4293" i="1"/>
  <c r="U4294" i="1"/>
  <c r="U4295" i="1"/>
  <c r="U4296" i="1"/>
  <c r="U4297" i="1"/>
  <c r="U4298" i="1"/>
  <c r="U4299" i="1"/>
  <c r="U4300" i="1"/>
  <c r="U4301" i="1"/>
  <c r="U4302" i="1"/>
  <c r="U4303" i="1"/>
  <c r="U4304" i="1"/>
  <c r="U4305" i="1"/>
  <c r="U4306" i="1"/>
  <c r="U4307" i="1"/>
  <c r="U4308" i="1"/>
  <c r="U4309" i="1"/>
  <c r="U4310" i="1"/>
  <c r="U4311" i="1"/>
  <c r="U4312" i="1"/>
  <c r="U4313" i="1"/>
  <c r="U4314" i="1"/>
  <c r="U4315" i="1"/>
  <c r="U4316" i="1"/>
  <c r="U4317" i="1"/>
  <c r="U4318" i="1"/>
  <c r="U4319" i="1"/>
  <c r="U4320" i="1"/>
  <c r="U4321" i="1"/>
  <c r="U4322" i="1"/>
  <c r="U4323" i="1"/>
  <c r="U4324" i="1"/>
  <c r="U4325" i="1"/>
  <c r="U4326" i="1"/>
  <c r="U4327" i="1"/>
  <c r="U4328" i="1"/>
  <c r="U4329" i="1"/>
  <c r="U4330" i="1"/>
  <c r="U4331" i="1"/>
  <c r="U4332" i="1"/>
  <c r="U4333" i="1"/>
  <c r="U4334" i="1"/>
  <c r="U4335" i="1"/>
  <c r="U4336" i="1"/>
  <c r="U4337" i="1"/>
  <c r="U4338" i="1"/>
  <c r="U4339" i="1"/>
  <c r="U4340" i="1"/>
  <c r="U4341" i="1"/>
  <c r="U4342" i="1"/>
  <c r="U4343" i="1"/>
  <c r="U4344" i="1"/>
  <c r="U4345" i="1"/>
  <c r="U4346" i="1"/>
  <c r="U4347" i="1"/>
  <c r="U4348" i="1"/>
  <c r="U4349" i="1"/>
  <c r="U4350" i="1"/>
  <c r="U4351" i="1"/>
  <c r="U4352" i="1"/>
  <c r="U4353" i="1"/>
  <c r="U4354" i="1"/>
  <c r="U4355" i="1"/>
  <c r="U4356" i="1"/>
  <c r="U4357" i="1"/>
  <c r="U4358" i="1"/>
  <c r="U4359" i="1"/>
  <c r="U4360" i="1"/>
  <c r="U4361" i="1"/>
  <c r="U4362" i="1"/>
  <c r="U4363" i="1"/>
  <c r="U4364" i="1"/>
  <c r="U4365" i="1"/>
  <c r="U4366" i="1"/>
  <c r="U4367" i="1"/>
  <c r="U4368" i="1"/>
  <c r="U4369" i="1"/>
  <c r="U4370" i="1"/>
  <c r="U4371" i="1"/>
  <c r="U4372" i="1"/>
  <c r="U4373" i="1"/>
  <c r="U4374" i="1"/>
  <c r="U4375" i="1"/>
  <c r="U4376" i="1"/>
  <c r="U4377" i="1"/>
  <c r="U4378" i="1"/>
  <c r="U4379" i="1"/>
  <c r="U4380" i="1"/>
  <c r="U4381" i="1"/>
  <c r="U4382" i="1"/>
  <c r="U4383" i="1"/>
  <c r="U4384" i="1"/>
  <c r="U4385" i="1"/>
  <c r="U4386" i="1"/>
  <c r="U4387" i="1"/>
  <c r="U4388" i="1"/>
  <c r="U4389" i="1"/>
  <c r="U4390" i="1"/>
  <c r="U4391" i="1"/>
  <c r="U4392" i="1"/>
  <c r="U4393" i="1"/>
  <c r="U4394" i="1"/>
  <c r="U4395" i="1"/>
  <c r="U4396" i="1"/>
  <c r="U4397" i="1"/>
  <c r="U4398" i="1"/>
  <c r="U4399" i="1"/>
  <c r="U4400" i="1"/>
  <c r="U4401" i="1"/>
  <c r="U4402" i="1"/>
  <c r="U4403" i="1"/>
  <c r="U4404" i="1"/>
  <c r="U4405" i="1"/>
  <c r="U4406" i="1"/>
  <c r="U4407" i="1"/>
  <c r="U4408" i="1"/>
  <c r="U4409" i="1"/>
  <c r="U4410" i="1"/>
  <c r="U4411" i="1"/>
  <c r="U4412" i="1"/>
  <c r="U4413" i="1"/>
  <c r="U4414" i="1"/>
  <c r="U4415" i="1"/>
  <c r="U4416" i="1"/>
  <c r="U4417" i="1"/>
  <c r="U4418" i="1"/>
  <c r="U4419" i="1"/>
  <c r="U4420" i="1"/>
  <c r="U4421" i="1"/>
  <c r="U4422" i="1"/>
  <c r="U4423" i="1"/>
  <c r="U4424" i="1"/>
  <c r="U4425" i="1"/>
  <c r="U4426" i="1"/>
  <c r="U4427" i="1"/>
  <c r="U4428" i="1"/>
  <c r="U4429" i="1"/>
  <c r="U4430" i="1"/>
  <c r="U4431" i="1"/>
  <c r="U4432" i="1"/>
  <c r="U4433" i="1"/>
  <c r="U4434" i="1"/>
  <c r="U4435" i="1"/>
  <c r="U4436" i="1"/>
  <c r="U4437" i="1"/>
  <c r="U4438" i="1"/>
  <c r="U4439" i="1"/>
  <c r="U4440" i="1"/>
  <c r="U4441" i="1"/>
  <c r="U4442" i="1"/>
  <c r="U4443" i="1"/>
  <c r="U4444" i="1"/>
  <c r="U4445" i="1"/>
  <c r="U4446" i="1"/>
  <c r="U4447" i="1"/>
  <c r="U4448" i="1"/>
  <c r="U4449" i="1"/>
  <c r="U4450" i="1"/>
  <c r="U4451" i="1"/>
  <c r="U4452" i="1"/>
  <c r="U4453" i="1"/>
  <c r="U4454" i="1"/>
  <c r="U4455" i="1"/>
  <c r="U4456" i="1"/>
  <c r="U4457" i="1"/>
  <c r="U4458" i="1"/>
  <c r="U4459" i="1"/>
  <c r="U4460" i="1"/>
  <c r="U4461" i="1"/>
  <c r="U4462" i="1"/>
  <c r="U4463" i="1"/>
  <c r="U4464" i="1"/>
  <c r="U4465" i="1"/>
  <c r="U4466" i="1"/>
  <c r="U4467" i="1"/>
  <c r="U4468" i="1"/>
  <c r="U4469" i="1"/>
  <c r="U4470" i="1"/>
  <c r="U4471" i="1"/>
  <c r="U4472" i="1"/>
  <c r="U4473" i="1"/>
  <c r="U4474" i="1"/>
  <c r="U4475" i="1"/>
  <c r="U4476" i="1"/>
  <c r="U4477" i="1"/>
  <c r="U4478" i="1"/>
  <c r="U4479" i="1"/>
  <c r="U4480" i="1"/>
  <c r="U4481" i="1"/>
  <c r="U4482" i="1"/>
  <c r="U4483" i="1"/>
  <c r="U4484" i="1"/>
  <c r="U4485" i="1"/>
  <c r="U4486" i="1"/>
  <c r="U4487" i="1"/>
  <c r="U4488" i="1"/>
  <c r="U4489" i="1"/>
  <c r="U4490" i="1"/>
  <c r="U4491" i="1"/>
  <c r="U4492" i="1"/>
  <c r="U4493" i="1"/>
  <c r="U4494" i="1"/>
  <c r="U4495" i="1"/>
  <c r="U4496" i="1"/>
  <c r="U4497" i="1"/>
  <c r="U4498" i="1"/>
  <c r="U4499" i="1"/>
  <c r="U4500" i="1"/>
  <c r="U4501" i="1"/>
  <c r="U4502" i="1"/>
  <c r="U4503" i="1"/>
  <c r="U4504" i="1"/>
  <c r="U4505" i="1"/>
  <c r="U4506" i="1"/>
  <c r="U4507" i="1"/>
  <c r="U4508" i="1"/>
  <c r="U4509" i="1"/>
  <c r="U4510" i="1"/>
  <c r="U4511" i="1"/>
  <c r="U4512" i="1"/>
  <c r="U4513" i="1"/>
  <c r="U4514" i="1"/>
  <c r="U4515" i="1"/>
  <c r="U4516" i="1"/>
  <c r="U4517" i="1"/>
  <c r="U4518" i="1"/>
  <c r="U4519" i="1"/>
  <c r="U4520" i="1"/>
  <c r="U4521" i="1"/>
  <c r="U4522" i="1"/>
  <c r="U4523" i="1"/>
  <c r="U4524" i="1"/>
  <c r="U4525" i="1"/>
  <c r="U4526" i="1"/>
  <c r="U4527" i="1"/>
  <c r="U4528" i="1"/>
  <c r="U4529" i="1"/>
  <c r="U4530" i="1"/>
  <c r="U4531" i="1"/>
  <c r="U4532" i="1"/>
  <c r="U4533" i="1"/>
  <c r="U4534" i="1"/>
  <c r="U4535" i="1"/>
  <c r="U4536" i="1"/>
  <c r="U4537" i="1"/>
  <c r="U4538" i="1"/>
  <c r="U4539" i="1"/>
  <c r="U4540" i="1"/>
  <c r="U4541" i="1"/>
  <c r="U4542" i="1"/>
  <c r="U4543" i="1"/>
  <c r="U4544" i="1"/>
  <c r="U4545" i="1"/>
  <c r="U4546" i="1"/>
  <c r="U4547" i="1"/>
  <c r="U4548" i="1"/>
  <c r="U4549" i="1"/>
  <c r="U4550" i="1"/>
  <c r="U4551" i="1"/>
  <c r="U4552" i="1"/>
  <c r="U4553" i="1"/>
  <c r="U4554" i="1"/>
  <c r="U4555" i="1"/>
  <c r="U4556" i="1"/>
  <c r="U4557" i="1"/>
  <c r="U4558" i="1"/>
  <c r="U4559" i="1"/>
  <c r="U4560" i="1"/>
  <c r="U4561" i="1"/>
  <c r="U4562" i="1"/>
  <c r="U4563" i="1"/>
  <c r="U4564" i="1"/>
  <c r="U4565" i="1"/>
  <c r="U4566" i="1"/>
  <c r="U4567" i="1"/>
  <c r="U4568" i="1"/>
  <c r="U4569" i="1"/>
  <c r="U4570" i="1"/>
  <c r="U4571" i="1"/>
  <c r="U4572" i="1"/>
  <c r="U4573" i="1"/>
  <c r="U4574" i="1"/>
  <c r="U4575" i="1"/>
  <c r="U4576" i="1"/>
  <c r="U4577" i="1"/>
  <c r="U4578" i="1"/>
  <c r="U4579" i="1"/>
  <c r="U4580" i="1"/>
  <c r="U4581" i="1"/>
  <c r="U4582" i="1"/>
  <c r="U4583" i="1"/>
  <c r="U4584" i="1"/>
  <c r="U4585" i="1"/>
  <c r="U4586" i="1"/>
  <c r="U4587" i="1"/>
  <c r="U4588" i="1"/>
  <c r="U4589" i="1"/>
  <c r="U4590" i="1"/>
  <c r="U4591" i="1"/>
  <c r="U4592" i="1"/>
  <c r="U4593" i="1"/>
  <c r="U4594" i="1"/>
  <c r="U4595" i="1"/>
  <c r="U4596" i="1"/>
  <c r="U4597" i="1"/>
  <c r="U4598" i="1"/>
  <c r="U4599" i="1"/>
  <c r="U4600" i="1"/>
  <c r="U4601" i="1"/>
  <c r="U4602" i="1"/>
  <c r="U4603" i="1"/>
  <c r="U4604" i="1"/>
  <c r="U4605" i="1"/>
  <c r="U4606" i="1"/>
  <c r="U4607" i="1"/>
  <c r="U4608" i="1"/>
  <c r="U4609" i="1"/>
  <c r="U4610" i="1"/>
  <c r="U4611" i="1"/>
  <c r="U4612" i="1"/>
  <c r="U4613" i="1"/>
  <c r="U4614" i="1"/>
  <c r="U4615" i="1"/>
  <c r="U4616" i="1"/>
  <c r="U4617" i="1"/>
  <c r="U4618" i="1"/>
  <c r="U4619" i="1"/>
  <c r="U4620" i="1"/>
  <c r="U4621" i="1"/>
  <c r="U4622" i="1"/>
  <c r="U4623" i="1"/>
  <c r="U4624" i="1"/>
  <c r="U4625" i="1"/>
  <c r="U4626" i="1"/>
  <c r="U4627" i="1"/>
  <c r="U4628" i="1"/>
  <c r="U4629" i="1"/>
  <c r="U4630" i="1"/>
  <c r="U4631" i="1"/>
  <c r="U4632" i="1"/>
  <c r="U4633" i="1"/>
  <c r="U4634" i="1"/>
  <c r="U4635" i="1"/>
  <c r="U4636" i="1"/>
  <c r="U4637" i="1"/>
  <c r="U4638" i="1"/>
  <c r="U4639" i="1"/>
  <c r="U4640" i="1"/>
  <c r="U4641" i="1"/>
  <c r="U4642" i="1"/>
  <c r="U4643" i="1"/>
  <c r="U4644" i="1"/>
  <c r="U4645" i="1"/>
  <c r="U4646" i="1"/>
  <c r="U4647" i="1"/>
  <c r="U4648" i="1"/>
  <c r="U4649" i="1"/>
  <c r="U4650" i="1"/>
  <c r="U4651" i="1"/>
  <c r="U4652" i="1"/>
  <c r="U4653" i="1"/>
  <c r="U4654" i="1"/>
  <c r="U4655" i="1"/>
  <c r="U4656" i="1"/>
  <c r="U4657" i="1"/>
  <c r="U4658" i="1"/>
  <c r="U4659" i="1"/>
  <c r="U4660" i="1"/>
  <c r="U4661" i="1"/>
  <c r="U4662" i="1"/>
  <c r="U4663" i="1"/>
  <c r="U4664" i="1"/>
  <c r="U4665" i="1"/>
  <c r="U4666" i="1"/>
  <c r="U4667" i="1"/>
  <c r="U4668" i="1"/>
  <c r="U4669" i="1"/>
  <c r="U4670" i="1"/>
  <c r="U4671" i="1"/>
  <c r="U4672" i="1"/>
  <c r="U4673" i="1"/>
  <c r="U4674" i="1"/>
  <c r="U4675" i="1"/>
  <c r="U4676" i="1"/>
  <c r="U4677" i="1"/>
  <c r="U4678" i="1"/>
  <c r="U4679" i="1"/>
  <c r="U4680" i="1"/>
  <c r="U4681" i="1"/>
  <c r="U4682" i="1"/>
  <c r="U4683" i="1"/>
  <c r="U4684" i="1"/>
  <c r="U4685" i="1"/>
  <c r="U4686" i="1"/>
  <c r="U4687" i="1"/>
  <c r="U4688" i="1"/>
  <c r="U4689" i="1"/>
  <c r="U4690" i="1"/>
  <c r="U4691" i="1"/>
  <c r="U4692" i="1"/>
  <c r="U4693" i="1"/>
  <c r="U4694" i="1"/>
  <c r="U4695" i="1"/>
  <c r="U4696" i="1"/>
  <c r="U4697" i="1"/>
  <c r="U4698" i="1"/>
  <c r="U4699" i="1"/>
  <c r="U4700" i="1"/>
  <c r="U4701" i="1"/>
  <c r="U4702" i="1"/>
  <c r="U4703" i="1"/>
  <c r="U4704" i="1"/>
  <c r="U4705" i="1"/>
  <c r="U4706" i="1"/>
  <c r="U4707" i="1"/>
  <c r="U4708" i="1"/>
  <c r="U4709" i="1"/>
  <c r="U4710" i="1"/>
  <c r="U4711" i="1"/>
  <c r="U4712" i="1"/>
  <c r="U4713" i="1"/>
  <c r="U4714" i="1"/>
  <c r="U4715" i="1"/>
  <c r="U4716" i="1"/>
  <c r="U4717" i="1"/>
  <c r="U4718" i="1"/>
  <c r="U4719" i="1"/>
  <c r="U4720" i="1"/>
  <c r="U4721" i="1"/>
  <c r="U4722" i="1"/>
  <c r="U4723" i="1"/>
  <c r="U4724" i="1"/>
  <c r="U4725" i="1"/>
  <c r="U4726" i="1"/>
  <c r="U4727" i="1"/>
  <c r="U4728" i="1"/>
  <c r="U4729" i="1"/>
  <c r="U4730" i="1"/>
  <c r="U4731" i="1"/>
  <c r="U4732" i="1"/>
  <c r="U4733" i="1"/>
  <c r="U4734" i="1"/>
  <c r="U4735" i="1"/>
  <c r="U4736" i="1"/>
  <c r="U4737" i="1"/>
  <c r="U4738" i="1"/>
  <c r="U4739" i="1"/>
  <c r="U4740" i="1"/>
  <c r="U4741" i="1"/>
  <c r="U4742" i="1"/>
  <c r="U4743" i="1"/>
  <c r="U4744" i="1"/>
  <c r="U4745" i="1"/>
  <c r="U4746" i="1"/>
  <c r="U4747" i="1"/>
  <c r="U4748" i="1"/>
  <c r="U4749" i="1"/>
  <c r="U4750" i="1"/>
  <c r="U4751" i="1"/>
  <c r="U4752" i="1"/>
  <c r="U4753" i="1"/>
  <c r="U4754" i="1"/>
  <c r="U4755" i="1"/>
  <c r="U4756" i="1"/>
  <c r="U4757" i="1"/>
  <c r="U4758" i="1"/>
  <c r="U4759" i="1"/>
  <c r="U4760" i="1"/>
  <c r="U4761" i="1"/>
  <c r="U4762" i="1"/>
  <c r="U4763" i="1"/>
  <c r="U4764" i="1"/>
  <c r="U4765" i="1"/>
  <c r="U4766" i="1"/>
  <c r="U4767" i="1"/>
  <c r="U4768" i="1"/>
  <c r="U4769" i="1"/>
  <c r="U4770" i="1"/>
  <c r="U4771" i="1"/>
  <c r="U4772" i="1"/>
  <c r="U4773" i="1"/>
  <c r="U4774" i="1"/>
  <c r="U4775" i="1"/>
  <c r="U4776" i="1"/>
  <c r="U4777" i="1"/>
  <c r="U4778" i="1"/>
  <c r="U4779" i="1"/>
  <c r="U4780" i="1"/>
  <c r="U4781" i="1"/>
  <c r="U4782" i="1"/>
  <c r="U4783" i="1"/>
  <c r="U4784" i="1"/>
  <c r="U4785" i="1"/>
  <c r="U4786" i="1"/>
  <c r="U4787" i="1"/>
  <c r="U4788" i="1"/>
  <c r="U4789" i="1"/>
  <c r="U4790" i="1"/>
  <c r="U4791" i="1"/>
  <c r="U4792" i="1"/>
  <c r="U4793" i="1"/>
  <c r="U4794" i="1"/>
  <c r="U4795" i="1"/>
  <c r="U4796" i="1"/>
  <c r="U4797" i="1"/>
  <c r="U4798" i="1"/>
  <c r="U4799" i="1"/>
  <c r="U4800" i="1"/>
  <c r="U4801" i="1"/>
  <c r="U4802" i="1"/>
  <c r="U4803" i="1"/>
  <c r="U4804" i="1"/>
  <c r="U4805" i="1"/>
  <c r="U4806" i="1"/>
  <c r="U4807" i="1"/>
  <c r="U4808" i="1"/>
  <c r="U4809" i="1"/>
  <c r="U4810" i="1"/>
  <c r="U4811" i="1"/>
  <c r="U4812" i="1"/>
  <c r="U4813" i="1"/>
  <c r="U4814" i="1"/>
  <c r="U4815" i="1"/>
  <c r="U4816" i="1"/>
  <c r="U4817" i="1"/>
  <c r="U4818" i="1"/>
  <c r="U4819" i="1"/>
  <c r="U4820" i="1"/>
  <c r="U4821" i="1"/>
  <c r="U4822" i="1"/>
  <c r="U4823" i="1"/>
  <c r="U4824" i="1"/>
  <c r="U4825" i="1"/>
  <c r="U4826" i="1"/>
  <c r="U4827" i="1"/>
  <c r="U4828" i="1"/>
  <c r="U4829" i="1"/>
  <c r="U4830" i="1"/>
  <c r="U4831" i="1"/>
  <c r="U4832" i="1"/>
  <c r="U4833" i="1"/>
  <c r="U4834" i="1"/>
  <c r="U4835" i="1"/>
  <c r="U4836" i="1"/>
  <c r="U4837" i="1"/>
  <c r="U4838" i="1"/>
  <c r="U4839" i="1"/>
  <c r="U4840" i="1"/>
  <c r="U4841" i="1"/>
  <c r="U4842" i="1"/>
  <c r="U4843" i="1"/>
  <c r="U4844" i="1"/>
  <c r="U4845" i="1"/>
  <c r="U4846" i="1"/>
  <c r="U4847" i="1"/>
  <c r="U4848" i="1"/>
  <c r="U4849" i="1"/>
  <c r="U4850" i="1"/>
  <c r="U4851" i="1"/>
  <c r="U4852" i="1"/>
  <c r="U4853" i="1"/>
  <c r="U4854" i="1"/>
  <c r="U4855" i="1"/>
  <c r="U4856" i="1"/>
  <c r="U4857" i="1"/>
  <c r="U4858" i="1"/>
  <c r="U4859" i="1"/>
  <c r="U4860" i="1"/>
  <c r="U4861" i="1"/>
  <c r="U4862" i="1"/>
  <c r="U4863" i="1"/>
  <c r="U4864" i="1"/>
  <c r="U4865" i="1"/>
  <c r="U4866" i="1"/>
  <c r="U4867" i="1"/>
  <c r="U4868" i="1"/>
  <c r="U4869" i="1"/>
  <c r="U4870" i="1"/>
  <c r="U4871" i="1"/>
  <c r="U4872" i="1"/>
  <c r="U4873" i="1"/>
  <c r="U4874" i="1"/>
  <c r="U4875" i="1"/>
  <c r="U4876" i="1"/>
  <c r="U4877" i="1"/>
  <c r="U4878" i="1"/>
  <c r="U4879" i="1"/>
  <c r="U4880" i="1"/>
  <c r="U4881" i="1"/>
  <c r="U4882" i="1"/>
  <c r="U4883" i="1"/>
  <c r="U4884" i="1"/>
  <c r="U4885" i="1"/>
  <c r="U4886" i="1"/>
  <c r="U4887" i="1"/>
  <c r="U4888" i="1"/>
  <c r="U4889" i="1"/>
  <c r="U4890" i="1"/>
  <c r="U4891" i="1"/>
  <c r="U4892" i="1"/>
  <c r="U4893" i="1"/>
  <c r="U4894" i="1"/>
  <c r="U4895" i="1"/>
  <c r="U4896" i="1"/>
  <c r="U4897" i="1"/>
  <c r="U4898" i="1"/>
  <c r="U4899" i="1"/>
  <c r="U4900" i="1"/>
  <c r="U4901" i="1"/>
  <c r="U4902" i="1"/>
  <c r="U4903" i="1"/>
  <c r="U4904" i="1"/>
  <c r="U4905" i="1"/>
  <c r="U4906" i="1"/>
  <c r="U4907" i="1"/>
  <c r="U4908" i="1"/>
  <c r="U4909" i="1"/>
  <c r="U4910" i="1"/>
  <c r="U4911" i="1"/>
  <c r="U4912" i="1"/>
  <c r="U4913" i="1"/>
  <c r="U4914" i="1"/>
  <c r="U4915" i="1"/>
  <c r="U4916" i="1"/>
  <c r="U4917" i="1"/>
  <c r="U4918" i="1"/>
  <c r="U4919" i="1"/>
  <c r="U4920" i="1"/>
  <c r="U4921" i="1"/>
  <c r="U4922" i="1"/>
  <c r="U4923" i="1"/>
  <c r="U4924" i="1"/>
  <c r="U4925" i="1"/>
  <c r="U4926" i="1"/>
  <c r="U4927" i="1"/>
  <c r="U4928" i="1"/>
  <c r="U4929" i="1"/>
  <c r="U4930" i="1"/>
  <c r="U4931" i="1"/>
  <c r="U4932" i="1"/>
  <c r="U4933" i="1"/>
  <c r="U4934" i="1"/>
  <c r="U4935" i="1"/>
  <c r="U4936" i="1"/>
  <c r="U4937" i="1"/>
  <c r="U4938" i="1"/>
  <c r="U4939" i="1"/>
  <c r="U4940" i="1"/>
  <c r="U4941" i="1"/>
  <c r="U4942" i="1"/>
  <c r="U4943" i="1"/>
  <c r="U4944" i="1"/>
  <c r="U4945" i="1"/>
  <c r="U4946" i="1"/>
  <c r="U4947" i="1"/>
  <c r="U4948" i="1"/>
  <c r="U4949" i="1"/>
  <c r="U4950" i="1"/>
  <c r="U4951" i="1"/>
  <c r="U4952" i="1"/>
  <c r="U4953" i="1"/>
  <c r="U4954" i="1"/>
  <c r="U4955" i="1"/>
  <c r="U4956" i="1"/>
  <c r="U4957" i="1"/>
  <c r="U4958" i="1"/>
  <c r="U4959" i="1"/>
  <c r="U4960" i="1"/>
  <c r="U4961" i="1"/>
  <c r="U4962" i="1"/>
  <c r="U4963" i="1"/>
  <c r="U4964" i="1"/>
  <c r="U4965" i="1"/>
  <c r="U4966" i="1"/>
  <c r="U4967" i="1"/>
  <c r="U4968" i="1"/>
  <c r="U4969" i="1"/>
  <c r="U4970" i="1"/>
  <c r="U4971" i="1"/>
  <c r="U4972" i="1"/>
  <c r="U4973" i="1"/>
  <c r="U4974" i="1"/>
  <c r="U4975" i="1"/>
  <c r="U4976" i="1"/>
  <c r="U4977" i="1"/>
  <c r="U4978" i="1"/>
  <c r="U4979" i="1"/>
  <c r="U4980" i="1"/>
  <c r="U4981" i="1"/>
  <c r="U4982" i="1"/>
  <c r="U4983" i="1"/>
  <c r="U4984" i="1"/>
  <c r="U4985" i="1"/>
  <c r="U4986" i="1"/>
  <c r="U4987" i="1"/>
  <c r="U4988" i="1"/>
  <c r="U4989" i="1"/>
  <c r="U4990" i="1"/>
  <c r="U4991" i="1"/>
  <c r="U4992" i="1"/>
  <c r="U4993" i="1"/>
  <c r="U4994" i="1"/>
  <c r="U4995" i="1"/>
  <c r="U4996" i="1"/>
  <c r="U4997" i="1"/>
  <c r="U4998" i="1"/>
  <c r="U4999" i="1"/>
  <c r="U5000" i="1"/>
  <c r="U5001" i="1"/>
  <c r="U5002" i="1"/>
  <c r="U5003" i="1"/>
  <c r="U5004" i="1"/>
  <c r="U5005" i="1"/>
  <c r="U5006" i="1"/>
  <c r="U5007" i="1"/>
  <c r="U5008" i="1"/>
  <c r="U5009" i="1"/>
  <c r="U5010" i="1"/>
  <c r="U5011" i="1"/>
  <c r="U5012" i="1"/>
  <c r="U5013" i="1"/>
  <c r="U5014" i="1"/>
  <c r="U5015" i="1"/>
  <c r="U5016" i="1"/>
  <c r="U5017" i="1"/>
  <c r="U5018" i="1"/>
  <c r="U5019" i="1"/>
  <c r="U5020" i="1"/>
  <c r="U5021" i="1"/>
  <c r="U5022" i="1"/>
  <c r="U5023" i="1"/>
  <c r="U5024" i="1"/>
  <c r="U5025" i="1"/>
  <c r="U5026" i="1"/>
  <c r="U5027" i="1"/>
  <c r="U5028" i="1"/>
  <c r="U5029" i="1"/>
  <c r="U5030" i="1"/>
  <c r="U5031" i="1"/>
  <c r="U5032" i="1"/>
  <c r="U5033" i="1"/>
  <c r="U5034" i="1"/>
  <c r="U5035" i="1"/>
  <c r="U5036" i="1"/>
  <c r="U5037" i="1"/>
  <c r="U5038" i="1"/>
  <c r="U5039" i="1"/>
  <c r="U5040" i="1"/>
  <c r="U5041" i="1"/>
  <c r="U5042" i="1"/>
  <c r="U5043" i="1"/>
  <c r="U5044" i="1"/>
  <c r="U5045" i="1"/>
  <c r="U5046" i="1"/>
  <c r="U5047" i="1"/>
  <c r="U5048" i="1"/>
  <c r="U5049" i="1"/>
  <c r="U5050" i="1"/>
  <c r="U5051" i="1"/>
  <c r="U5052" i="1"/>
  <c r="U5053" i="1"/>
  <c r="U5054" i="1"/>
  <c r="U5055" i="1"/>
  <c r="U5056" i="1"/>
  <c r="U5057" i="1"/>
  <c r="U5058" i="1"/>
  <c r="U5059" i="1"/>
  <c r="U5060" i="1"/>
  <c r="U5061" i="1"/>
  <c r="U5062" i="1"/>
  <c r="U5063" i="1"/>
  <c r="U5064" i="1"/>
  <c r="U5065" i="1"/>
  <c r="U5066" i="1"/>
  <c r="U5067" i="1"/>
  <c r="U5068" i="1"/>
  <c r="U5069" i="1"/>
  <c r="U5070" i="1"/>
  <c r="U5071" i="1"/>
  <c r="U5072" i="1"/>
  <c r="U5073" i="1"/>
  <c r="U5074" i="1"/>
  <c r="U5075" i="1"/>
  <c r="U5076" i="1"/>
  <c r="U5077" i="1"/>
  <c r="U5078" i="1"/>
  <c r="U5079" i="1"/>
  <c r="U5080" i="1"/>
  <c r="U5081" i="1"/>
  <c r="U5082" i="1"/>
  <c r="U5083" i="1"/>
  <c r="U5084" i="1"/>
  <c r="U5085" i="1"/>
  <c r="U5086" i="1"/>
  <c r="U5087" i="1"/>
  <c r="U5088" i="1"/>
  <c r="U5089" i="1"/>
  <c r="U5090" i="1"/>
  <c r="U5091" i="1"/>
  <c r="U5092" i="1"/>
  <c r="U5093" i="1"/>
  <c r="U5094" i="1"/>
  <c r="U5095" i="1"/>
  <c r="U5096" i="1"/>
  <c r="U5097" i="1"/>
  <c r="U5098" i="1"/>
  <c r="U5099" i="1"/>
  <c r="U5100" i="1"/>
  <c r="U5101" i="1"/>
  <c r="U5102" i="1"/>
  <c r="U5103" i="1"/>
  <c r="U5104" i="1"/>
  <c r="U5105" i="1"/>
  <c r="U5106" i="1"/>
  <c r="U5107" i="1"/>
  <c r="U5108" i="1"/>
  <c r="U5109" i="1"/>
  <c r="U5110" i="1"/>
  <c r="U5111" i="1"/>
  <c r="U5112" i="1"/>
  <c r="U5113" i="1"/>
  <c r="U5114" i="1"/>
  <c r="U5115" i="1"/>
  <c r="U5116" i="1"/>
  <c r="U5117" i="1"/>
  <c r="U5118" i="1"/>
  <c r="U5119" i="1"/>
  <c r="U5120" i="1"/>
  <c r="U5121" i="1"/>
  <c r="U5122" i="1"/>
  <c r="U5123" i="1"/>
  <c r="U5124" i="1"/>
  <c r="U5125" i="1"/>
  <c r="U5126" i="1"/>
  <c r="U5127" i="1"/>
  <c r="U5128" i="1"/>
  <c r="U5129" i="1"/>
  <c r="U5130" i="1"/>
  <c r="U5131" i="1"/>
  <c r="U5132" i="1"/>
  <c r="U5133" i="1"/>
  <c r="U5134" i="1"/>
  <c r="U5135" i="1"/>
  <c r="U5136" i="1"/>
  <c r="U5137" i="1"/>
  <c r="U5138" i="1"/>
  <c r="U5139" i="1"/>
  <c r="U5140" i="1"/>
  <c r="U5141" i="1"/>
  <c r="U5142" i="1"/>
  <c r="U5143" i="1"/>
  <c r="U5144" i="1"/>
  <c r="U5145" i="1"/>
  <c r="U5146" i="1"/>
  <c r="U5147" i="1"/>
  <c r="U5148" i="1"/>
  <c r="U5149" i="1"/>
  <c r="U5150" i="1"/>
  <c r="U5151" i="1"/>
  <c r="U5152" i="1"/>
  <c r="U5153" i="1"/>
  <c r="U5154" i="1"/>
  <c r="U5155" i="1"/>
  <c r="U5156" i="1"/>
  <c r="U5157" i="1"/>
  <c r="U5158" i="1"/>
  <c r="U5159" i="1"/>
  <c r="U5160" i="1"/>
  <c r="U5161" i="1"/>
  <c r="U5162" i="1"/>
  <c r="U5163" i="1"/>
  <c r="U5164" i="1"/>
  <c r="U5165" i="1"/>
  <c r="U5166" i="1"/>
  <c r="U5167" i="1"/>
  <c r="U5168" i="1"/>
  <c r="U5169" i="1"/>
  <c r="U5170" i="1"/>
  <c r="U5171" i="1"/>
  <c r="U5172" i="1"/>
  <c r="U5173" i="1"/>
  <c r="U5174" i="1"/>
  <c r="U5175" i="1"/>
  <c r="U5176" i="1"/>
  <c r="U5177" i="1"/>
  <c r="U5178" i="1"/>
  <c r="U5179" i="1"/>
  <c r="U5180" i="1"/>
  <c r="U5181" i="1"/>
  <c r="U5182" i="1"/>
  <c r="U5183" i="1"/>
  <c r="U5184" i="1"/>
  <c r="U5185" i="1"/>
  <c r="U5186" i="1"/>
  <c r="U5187" i="1"/>
  <c r="U5188" i="1"/>
  <c r="U5189" i="1"/>
  <c r="U5190" i="1"/>
  <c r="U5191" i="1"/>
  <c r="U5192" i="1"/>
  <c r="U5193" i="1"/>
  <c r="U5194" i="1"/>
  <c r="U5195" i="1"/>
  <c r="U5196" i="1"/>
  <c r="U5197" i="1"/>
  <c r="U5198" i="1"/>
  <c r="U5199" i="1"/>
  <c r="U5200" i="1"/>
  <c r="U5201" i="1"/>
  <c r="U5202" i="1"/>
  <c r="U5203" i="1"/>
  <c r="U5204" i="1"/>
  <c r="U5205" i="1"/>
  <c r="U5206" i="1"/>
  <c r="U5207" i="1"/>
  <c r="U5208" i="1"/>
  <c r="U5209" i="1"/>
  <c r="U5210" i="1"/>
  <c r="U5211" i="1"/>
  <c r="U5212" i="1"/>
  <c r="U5213" i="1"/>
  <c r="U5214" i="1"/>
  <c r="U5215" i="1"/>
  <c r="U5216" i="1"/>
  <c r="U5217" i="1"/>
  <c r="U5218" i="1"/>
  <c r="U5219" i="1"/>
  <c r="U5220" i="1"/>
  <c r="U5221" i="1"/>
  <c r="U5222" i="1"/>
  <c r="U5223" i="1"/>
  <c r="U5224" i="1"/>
  <c r="U5225" i="1"/>
  <c r="U5226" i="1"/>
  <c r="U5227" i="1"/>
  <c r="U5228" i="1"/>
  <c r="U5229" i="1"/>
  <c r="U5230" i="1"/>
  <c r="U5231" i="1"/>
  <c r="U5232" i="1"/>
  <c r="U5233" i="1"/>
  <c r="U5234" i="1"/>
  <c r="U5235" i="1"/>
  <c r="U5236" i="1"/>
  <c r="U5237" i="1"/>
  <c r="U5238" i="1"/>
  <c r="U5239" i="1"/>
  <c r="U5240" i="1"/>
  <c r="U5241" i="1"/>
  <c r="U5242" i="1"/>
  <c r="U5243" i="1"/>
  <c r="U5244" i="1"/>
  <c r="U5245" i="1"/>
  <c r="U5246" i="1"/>
  <c r="U5247" i="1"/>
  <c r="U5248" i="1"/>
  <c r="U5249" i="1"/>
  <c r="U5250" i="1"/>
  <c r="U5251" i="1"/>
  <c r="U5252" i="1"/>
  <c r="U5253" i="1"/>
  <c r="U5254" i="1"/>
  <c r="U5255" i="1"/>
  <c r="U5256" i="1"/>
  <c r="U5257" i="1"/>
  <c r="U5258" i="1"/>
  <c r="U5259" i="1"/>
  <c r="U5260" i="1"/>
  <c r="U5261" i="1"/>
  <c r="U5262" i="1"/>
  <c r="U5263" i="1"/>
  <c r="U5264" i="1"/>
  <c r="U5265" i="1"/>
  <c r="U5266" i="1"/>
  <c r="U5267" i="1"/>
  <c r="U5268" i="1"/>
  <c r="U5269" i="1"/>
  <c r="U5270" i="1"/>
  <c r="U5271" i="1"/>
  <c r="U5272" i="1"/>
  <c r="U5273" i="1"/>
  <c r="U5274" i="1"/>
  <c r="U5275" i="1"/>
  <c r="U5276" i="1"/>
  <c r="U5277" i="1"/>
  <c r="U5278" i="1"/>
  <c r="U5279" i="1"/>
  <c r="U5280" i="1"/>
  <c r="U5281" i="1"/>
  <c r="U5282" i="1"/>
  <c r="U5283" i="1"/>
  <c r="U5284" i="1"/>
  <c r="U5285" i="1"/>
  <c r="U5286" i="1"/>
  <c r="U5287" i="1"/>
  <c r="U5288" i="1"/>
  <c r="U5289" i="1"/>
  <c r="U5290" i="1"/>
  <c r="U5291" i="1"/>
  <c r="U5292" i="1"/>
  <c r="U5293" i="1"/>
  <c r="U5294" i="1"/>
  <c r="U5295" i="1"/>
  <c r="U5296" i="1"/>
  <c r="U5297" i="1"/>
  <c r="U5298" i="1"/>
  <c r="U5299" i="1"/>
  <c r="U5300" i="1"/>
  <c r="U5301" i="1"/>
  <c r="U5302" i="1"/>
  <c r="U5303" i="1"/>
  <c r="U5304" i="1"/>
  <c r="U5305" i="1"/>
  <c r="U5306" i="1"/>
  <c r="U5307" i="1"/>
  <c r="U5308" i="1"/>
  <c r="U5309" i="1"/>
  <c r="U5310" i="1"/>
  <c r="U5311" i="1"/>
  <c r="U5312" i="1"/>
  <c r="U5313" i="1"/>
  <c r="U5314" i="1"/>
  <c r="U5315" i="1"/>
  <c r="U5316" i="1"/>
  <c r="U5317" i="1"/>
  <c r="U5318" i="1"/>
  <c r="U5319" i="1"/>
  <c r="U5320" i="1"/>
  <c r="U5321" i="1"/>
  <c r="U5322" i="1"/>
  <c r="U5323" i="1"/>
  <c r="U5324" i="1"/>
  <c r="U5325" i="1"/>
  <c r="U5326" i="1"/>
  <c r="U5327" i="1"/>
  <c r="U5328" i="1"/>
  <c r="U5329" i="1"/>
  <c r="U5330" i="1"/>
  <c r="U5331" i="1"/>
  <c r="U5332" i="1"/>
  <c r="U5333" i="1"/>
  <c r="U5334" i="1"/>
  <c r="U5335" i="1"/>
  <c r="U5336" i="1"/>
  <c r="U5337" i="1"/>
  <c r="U5338" i="1"/>
  <c r="U5339" i="1"/>
  <c r="U5340" i="1"/>
  <c r="U5341" i="1"/>
  <c r="U5342" i="1"/>
  <c r="U5343" i="1"/>
  <c r="U5344" i="1"/>
  <c r="U5345" i="1"/>
  <c r="U5346" i="1"/>
  <c r="U5347" i="1"/>
  <c r="U5348" i="1"/>
  <c r="U5349" i="1"/>
  <c r="U5350" i="1"/>
  <c r="U5351" i="1"/>
  <c r="U5352" i="1"/>
  <c r="U5353" i="1"/>
  <c r="U5354" i="1"/>
  <c r="U5355" i="1"/>
  <c r="U5356" i="1"/>
  <c r="U5357" i="1"/>
  <c r="U5358" i="1"/>
  <c r="U5359" i="1"/>
  <c r="U5360" i="1"/>
  <c r="U5361" i="1"/>
  <c r="U5362" i="1"/>
  <c r="U5363" i="1"/>
  <c r="U5364" i="1"/>
  <c r="U5365" i="1"/>
  <c r="U5366" i="1"/>
  <c r="U5367" i="1"/>
  <c r="U5368" i="1"/>
  <c r="U5369" i="1"/>
  <c r="U5370" i="1"/>
  <c r="U5371" i="1"/>
  <c r="U5372" i="1"/>
  <c r="U5373" i="1"/>
  <c r="U5374" i="1"/>
  <c r="U5375" i="1"/>
  <c r="U5376" i="1"/>
  <c r="U5377" i="1"/>
  <c r="U5378" i="1"/>
  <c r="U5379" i="1"/>
  <c r="U5380" i="1"/>
  <c r="U5381" i="1"/>
  <c r="U5382" i="1"/>
  <c r="U5383" i="1"/>
  <c r="U5384" i="1"/>
  <c r="U5385" i="1"/>
  <c r="U5386" i="1"/>
  <c r="U5387" i="1"/>
  <c r="U5388" i="1"/>
  <c r="U5389" i="1"/>
  <c r="U5390" i="1"/>
  <c r="U5391" i="1"/>
  <c r="U5392" i="1"/>
  <c r="U5393" i="1"/>
  <c r="U5394" i="1"/>
  <c r="U5395" i="1"/>
  <c r="U5396" i="1"/>
  <c r="U5397" i="1"/>
  <c r="U5398" i="1"/>
  <c r="U5399" i="1"/>
  <c r="U5400" i="1"/>
  <c r="U5401" i="1"/>
  <c r="U5402" i="1"/>
  <c r="U5403" i="1"/>
  <c r="U5404" i="1"/>
  <c r="U5405" i="1"/>
  <c r="U5406" i="1"/>
  <c r="U5407" i="1"/>
  <c r="U5408" i="1"/>
  <c r="U5409" i="1"/>
  <c r="U5410" i="1"/>
  <c r="U5411" i="1"/>
  <c r="U5412" i="1"/>
  <c r="U5413" i="1"/>
  <c r="U5414" i="1"/>
  <c r="U5415" i="1"/>
  <c r="U5416" i="1"/>
  <c r="U5417" i="1"/>
  <c r="U5418" i="1"/>
  <c r="U5419" i="1"/>
  <c r="U5420" i="1"/>
  <c r="U5421" i="1"/>
  <c r="U5422" i="1"/>
  <c r="U5423" i="1"/>
  <c r="U5424" i="1"/>
  <c r="U5425" i="1"/>
  <c r="U5426" i="1"/>
  <c r="U5427" i="1"/>
  <c r="U5428" i="1"/>
  <c r="U5429" i="1"/>
  <c r="U5430" i="1"/>
  <c r="U5431" i="1"/>
  <c r="U5432" i="1"/>
  <c r="U5433" i="1"/>
  <c r="U5434" i="1"/>
  <c r="U5435" i="1"/>
  <c r="U5436" i="1"/>
  <c r="U5437" i="1"/>
  <c r="U5438" i="1"/>
  <c r="U5439" i="1"/>
  <c r="U5440" i="1"/>
  <c r="U5441" i="1"/>
  <c r="U5442" i="1"/>
  <c r="U5443" i="1"/>
  <c r="U5444" i="1"/>
  <c r="U5445" i="1"/>
  <c r="U5446" i="1"/>
  <c r="U5447" i="1"/>
  <c r="U5448" i="1"/>
  <c r="U5449" i="1"/>
  <c r="U5450" i="1"/>
  <c r="U5451" i="1"/>
  <c r="U5452" i="1"/>
  <c r="U5453" i="1"/>
  <c r="U5454" i="1"/>
  <c r="U5455" i="1"/>
  <c r="U5456" i="1"/>
  <c r="U5457" i="1"/>
  <c r="U5458" i="1"/>
  <c r="U5459" i="1"/>
  <c r="U5460" i="1"/>
  <c r="U5461" i="1"/>
  <c r="U5462" i="1"/>
  <c r="U5463" i="1"/>
  <c r="U5464" i="1"/>
  <c r="U5465" i="1"/>
  <c r="U5466" i="1"/>
  <c r="U5467" i="1"/>
  <c r="U5468" i="1"/>
  <c r="U5469" i="1"/>
  <c r="U5470" i="1"/>
  <c r="U5471" i="1"/>
  <c r="U5472" i="1"/>
  <c r="U5473" i="1"/>
  <c r="U5474" i="1"/>
  <c r="U5475" i="1"/>
  <c r="U5476" i="1"/>
  <c r="U5477" i="1"/>
  <c r="U5478" i="1"/>
  <c r="U5479" i="1"/>
  <c r="U5480" i="1"/>
  <c r="U5481" i="1"/>
  <c r="U5482" i="1"/>
  <c r="U5483" i="1"/>
  <c r="U5484" i="1"/>
  <c r="U5485" i="1"/>
  <c r="U5486" i="1"/>
  <c r="U5487" i="1"/>
  <c r="U5488" i="1"/>
  <c r="U5489" i="1"/>
  <c r="U5490" i="1"/>
  <c r="U5491" i="1"/>
  <c r="U5492" i="1"/>
  <c r="U5493" i="1"/>
  <c r="U5494" i="1"/>
  <c r="U5495" i="1"/>
  <c r="U5496" i="1"/>
  <c r="U5497" i="1"/>
  <c r="U5498" i="1"/>
  <c r="U5499" i="1"/>
  <c r="U5500" i="1"/>
  <c r="U5501" i="1"/>
  <c r="U5502" i="1"/>
  <c r="U5503" i="1"/>
  <c r="U5504" i="1"/>
  <c r="U5505" i="1"/>
  <c r="U5506" i="1"/>
  <c r="U5507" i="1"/>
  <c r="U5508" i="1"/>
  <c r="U5509" i="1"/>
  <c r="U5510" i="1"/>
  <c r="U5511" i="1"/>
  <c r="U5512" i="1"/>
  <c r="U5513" i="1"/>
  <c r="U5514" i="1"/>
  <c r="U5515" i="1"/>
  <c r="U5516" i="1"/>
  <c r="U5517" i="1"/>
  <c r="U5518" i="1"/>
  <c r="U5519" i="1"/>
  <c r="U5520" i="1"/>
  <c r="U5521" i="1"/>
  <c r="U5522" i="1"/>
  <c r="U5523" i="1"/>
  <c r="U5524" i="1"/>
  <c r="U5525" i="1"/>
  <c r="U5526" i="1"/>
  <c r="U5527" i="1"/>
  <c r="U5528" i="1"/>
  <c r="U5529" i="1"/>
  <c r="U5530" i="1"/>
  <c r="U5531" i="1"/>
  <c r="U5532" i="1"/>
  <c r="U5533" i="1"/>
  <c r="U5534" i="1"/>
  <c r="U5535" i="1"/>
  <c r="U5536" i="1"/>
  <c r="U5537" i="1"/>
  <c r="U5538" i="1"/>
  <c r="U5539" i="1"/>
  <c r="U5540" i="1"/>
  <c r="U5541" i="1"/>
  <c r="U5542" i="1"/>
  <c r="U5543" i="1"/>
  <c r="U5544" i="1"/>
  <c r="U5545" i="1"/>
  <c r="U5546" i="1"/>
  <c r="U5547" i="1"/>
  <c r="U5548" i="1"/>
  <c r="U5549" i="1"/>
  <c r="U5550" i="1"/>
  <c r="U5551" i="1"/>
  <c r="U5552" i="1"/>
  <c r="U5553" i="1"/>
  <c r="U5554" i="1"/>
  <c r="U5555" i="1"/>
  <c r="U5556" i="1"/>
  <c r="U5557" i="1"/>
  <c r="U5558" i="1"/>
  <c r="U5559" i="1"/>
  <c r="U5560" i="1"/>
  <c r="U5561" i="1"/>
  <c r="U5562" i="1"/>
  <c r="U5563" i="1"/>
  <c r="U5564" i="1"/>
  <c r="U5565" i="1"/>
  <c r="U5566" i="1"/>
  <c r="U5567" i="1"/>
  <c r="U5568" i="1"/>
  <c r="U5569" i="1"/>
  <c r="U5570" i="1"/>
  <c r="U5571" i="1"/>
  <c r="U5572" i="1"/>
  <c r="U5573" i="1"/>
  <c r="U5574" i="1"/>
  <c r="U5575" i="1"/>
  <c r="U5576" i="1"/>
  <c r="U5577" i="1"/>
  <c r="U5578" i="1"/>
  <c r="U5579" i="1"/>
  <c r="U5580" i="1"/>
  <c r="U5581" i="1"/>
  <c r="U5582" i="1"/>
  <c r="U5583" i="1"/>
  <c r="U5584" i="1"/>
  <c r="U5585" i="1"/>
  <c r="U5586" i="1"/>
  <c r="U5587" i="1"/>
  <c r="U5588" i="1"/>
  <c r="U5589" i="1"/>
  <c r="U5590" i="1"/>
  <c r="U5591" i="1"/>
  <c r="U5592" i="1"/>
  <c r="U5593" i="1"/>
  <c r="U5594" i="1"/>
  <c r="U5595" i="1"/>
  <c r="U5596" i="1"/>
  <c r="U5597" i="1"/>
  <c r="U5598" i="1"/>
  <c r="U5599" i="1"/>
  <c r="U5600" i="1"/>
  <c r="U5601" i="1"/>
  <c r="U5602" i="1"/>
  <c r="U5603" i="1"/>
  <c r="U5604" i="1"/>
  <c r="U5605" i="1"/>
  <c r="U5606" i="1"/>
  <c r="U5607" i="1"/>
  <c r="U5608" i="1"/>
  <c r="U5609" i="1"/>
  <c r="U5610" i="1"/>
  <c r="U5611" i="1"/>
  <c r="U5612" i="1"/>
  <c r="U5613" i="1"/>
  <c r="U5614" i="1"/>
  <c r="U5615" i="1"/>
  <c r="U5616" i="1"/>
  <c r="U5617" i="1"/>
  <c r="U5618" i="1"/>
  <c r="U5619" i="1"/>
  <c r="U5620" i="1"/>
  <c r="U5621" i="1"/>
  <c r="U5622" i="1"/>
  <c r="U5623" i="1"/>
  <c r="U5624" i="1"/>
  <c r="U5625" i="1"/>
  <c r="U5626" i="1"/>
  <c r="U5627" i="1"/>
  <c r="U5628" i="1"/>
  <c r="U5629" i="1"/>
  <c r="U5630" i="1"/>
  <c r="U5631" i="1"/>
  <c r="U5632" i="1"/>
  <c r="U5633" i="1"/>
  <c r="U5634" i="1"/>
  <c r="U5635" i="1"/>
  <c r="U5636" i="1"/>
  <c r="U5637" i="1"/>
  <c r="U5638" i="1"/>
  <c r="U5639" i="1"/>
  <c r="U5640" i="1"/>
  <c r="U5641" i="1"/>
  <c r="U5642" i="1"/>
  <c r="U5643" i="1"/>
  <c r="U5644" i="1"/>
  <c r="U5645" i="1"/>
  <c r="U5646" i="1"/>
  <c r="U5647" i="1"/>
  <c r="U5648" i="1"/>
  <c r="U5649" i="1"/>
  <c r="U5650" i="1"/>
  <c r="U5651" i="1"/>
  <c r="U5652" i="1"/>
  <c r="U5653" i="1"/>
  <c r="U5654" i="1"/>
  <c r="U5655" i="1"/>
  <c r="U5656" i="1"/>
  <c r="U5657" i="1"/>
  <c r="U5658" i="1"/>
  <c r="U5659" i="1"/>
  <c r="U5660" i="1"/>
  <c r="U5661" i="1"/>
  <c r="U5662" i="1"/>
  <c r="U5663" i="1"/>
  <c r="U5664" i="1"/>
  <c r="U5665" i="1"/>
  <c r="U5666" i="1"/>
  <c r="U5667" i="1"/>
  <c r="U5668" i="1"/>
  <c r="U5669" i="1"/>
  <c r="U5670" i="1"/>
  <c r="U5671" i="1"/>
  <c r="U5672" i="1"/>
  <c r="U5673" i="1"/>
  <c r="U5674" i="1"/>
  <c r="U5675" i="1"/>
  <c r="U5676" i="1"/>
  <c r="U5677" i="1"/>
  <c r="U5678" i="1"/>
  <c r="U5679" i="1"/>
  <c r="U5680" i="1"/>
  <c r="U5681" i="1"/>
  <c r="U5682" i="1"/>
  <c r="U5683" i="1"/>
  <c r="U5684" i="1"/>
  <c r="U5685" i="1"/>
  <c r="U5686" i="1"/>
  <c r="U5687" i="1"/>
  <c r="U5688" i="1"/>
  <c r="U5689" i="1"/>
  <c r="U5690" i="1"/>
  <c r="U5691" i="1"/>
  <c r="U5692" i="1"/>
  <c r="U5693" i="1"/>
  <c r="U5694" i="1"/>
  <c r="U5695" i="1"/>
  <c r="U5696" i="1"/>
  <c r="U5697" i="1"/>
  <c r="U5698" i="1"/>
  <c r="U5699" i="1"/>
  <c r="U5700" i="1"/>
  <c r="U5701" i="1"/>
  <c r="U5702" i="1"/>
  <c r="U5703" i="1"/>
  <c r="U5704" i="1"/>
  <c r="U5705" i="1"/>
  <c r="U5706" i="1"/>
  <c r="U5707" i="1"/>
  <c r="U5708" i="1"/>
  <c r="U5709" i="1"/>
  <c r="U5710" i="1"/>
  <c r="U5711" i="1"/>
  <c r="U5712" i="1"/>
  <c r="U5713" i="1"/>
  <c r="U5714" i="1"/>
  <c r="U5715" i="1"/>
  <c r="U5716" i="1"/>
  <c r="U5717" i="1"/>
  <c r="U5718" i="1"/>
  <c r="U5719" i="1"/>
  <c r="U5720" i="1"/>
  <c r="U5721" i="1"/>
  <c r="U5722" i="1"/>
  <c r="U5723" i="1"/>
  <c r="U5724" i="1"/>
  <c r="U5725" i="1"/>
  <c r="U5726" i="1"/>
  <c r="U5727" i="1"/>
  <c r="U5728" i="1"/>
  <c r="U5729" i="1"/>
  <c r="U5730" i="1"/>
  <c r="U5731" i="1"/>
  <c r="U5732" i="1"/>
  <c r="U5733" i="1"/>
  <c r="U5734" i="1"/>
  <c r="U5735" i="1"/>
  <c r="U5736" i="1"/>
  <c r="U5737" i="1"/>
  <c r="U5738" i="1"/>
  <c r="U5739" i="1"/>
  <c r="U5740" i="1"/>
  <c r="U5741" i="1"/>
  <c r="U5742" i="1"/>
  <c r="U5743" i="1"/>
  <c r="U5744" i="1"/>
  <c r="U5745" i="1"/>
  <c r="U5746" i="1"/>
  <c r="U5747" i="1"/>
  <c r="U5748" i="1"/>
  <c r="U5749" i="1"/>
  <c r="U5750" i="1"/>
  <c r="U5751" i="1"/>
  <c r="U5752" i="1"/>
  <c r="U5753" i="1"/>
  <c r="U5754" i="1"/>
  <c r="U5755" i="1"/>
  <c r="U5756" i="1"/>
  <c r="U5757" i="1"/>
  <c r="U5758" i="1"/>
  <c r="U5759" i="1"/>
  <c r="U5760" i="1"/>
  <c r="U5761" i="1"/>
  <c r="U5762" i="1"/>
  <c r="U5763" i="1"/>
  <c r="U5764" i="1"/>
  <c r="U5765" i="1"/>
  <c r="U5766" i="1"/>
  <c r="U5767" i="1"/>
  <c r="U5768" i="1"/>
  <c r="U5769" i="1"/>
  <c r="U5770" i="1"/>
  <c r="U5771" i="1"/>
  <c r="U5772" i="1"/>
  <c r="U5773" i="1"/>
  <c r="U5774" i="1"/>
  <c r="U5775" i="1"/>
  <c r="U5776" i="1"/>
  <c r="U5777" i="1"/>
  <c r="U5778" i="1"/>
  <c r="U5779" i="1"/>
  <c r="U5780" i="1"/>
  <c r="U5781" i="1"/>
  <c r="U5782" i="1"/>
  <c r="U5783" i="1"/>
  <c r="U5784" i="1"/>
  <c r="U5785" i="1"/>
  <c r="U5786" i="1"/>
  <c r="U5787" i="1"/>
  <c r="U5788" i="1"/>
  <c r="U5789" i="1"/>
  <c r="U5790" i="1"/>
  <c r="U5791" i="1"/>
  <c r="U5792" i="1"/>
  <c r="U5793" i="1"/>
  <c r="U5794" i="1"/>
  <c r="U5795" i="1"/>
  <c r="U5796" i="1"/>
  <c r="U5797" i="1"/>
  <c r="U5798" i="1"/>
  <c r="U5799" i="1"/>
  <c r="U5800" i="1"/>
  <c r="U5801" i="1"/>
  <c r="U5802" i="1"/>
  <c r="U5803" i="1"/>
  <c r="U5804" i="1"/>
  <c r="U5805" i="1"/>
  <c r="U5806" i="1"/>
  <c r="U5807" i="1"/>
  <c r="U5808" i="1"/>
  <c r="U5809" i="1"/>
  <c r="U5810" i="1"/>
  <c r="U5811" i="1"/>
  <c r="U5812" i="1"/>
  <c r="U5813" i="1"/>
  <c r="U5814" i="1"/>
  <c r="U5815" i="1"/>
  <c r="U5816" i="1"/>
  <c r="U5817" i="1"/>
  <c r="U5818" i="1"/>
  <c r="U5819" i="1"/>
  <c r="U5820" i="1"/>
  <c r="U5821" i="1"/>
  <c r="U5822" i="1"/>
  <c r="U5823" i="1"/>
  <c r="U5824" i="1"/>
  <c r="U5825" i="1"/>
  <c r="U5826" i="1"/>
  <c r="U5827" i="1"/>
  <c r="U5828" i="1"/>
  <c r="U5829" i="1"/>
  <c r="U5830" i="1"/>
  <c r="U5831" i="1"/>
  <c r="U5832" i="1"/>
  <c r="U5833" i="1"/>
  <c r="U5834" i="1"/>
  <c r="U5835" i="1"/>
  <c r="U5836" i="1"/>
  <c r="U5837" i="1"/>
  <c r="U5838" i="1"/>
  <c r="U5839" i="1"/>
  <c r="U5840" i="1"/>
  <c r="U5841" i="1"/>
  <c r="U5842" i="1"/>
  <c r="U5843" i="1"/>
  <c r="U5844" i="1"/>
  <c r="U5845" i="1"/>
  <c r="U5846" i="1"/>
  <c r="U5847" i="1"/>
  <c r="U5848" i="1"/>
  <c r="U5849" i="1"/>
  <c r="U5850" i="1"/>
  <c r="U5851" i="1"/>
  <c r="U5852" i="1"/>
  <c r="U5853" i="1"/>
  <c r="U5854" i="1"/>
  <c r="U5855" i="1"/>
  <c r="U5856" i="1"/>
  <c r="U5857" i="1"/>
  <c r="U5858" i="1"/>
  <c r="U5859" i="1"/>
  <c r="U5860" i="1"/>
  <c r="U5861" i="1"/>
  <c r="U5862" i="1"/>
  <c r="U5863" i="1"/>
  <c r="U5864" i="1"/>
  <c r="U5865" i="1"/>
  <c r="U5866" i="1"/>
  <c r="U5867" i="1"/>
  <c r="U5868" i="1"/>
  <c r="U5869" i="1"/>
  <c r="U5870" i="1"/>
  <c r="U5871" i="1"/>
  <c r="U5872" i="1"/>
  <c r="U5873" i="1"/>
  <c r="U5874" i="1"/>
  <c r="U5875" i="1"/>
  <c r="U5876" i="1"/>
  <c r="U5877" i="1"/>
  <c r="U5878" i="1"/>
  <c r="U5879" i="1"/>
  <c r="U5880" i="1"/>
  <c r="U5881" i="1"/>
  <c r="U5882" i="1"/>
  <c r="U5883" i="1"/>
  <c r="U5884" i="1"/>
  <c r="U5885" i="1"/>
  <c r="U5886" i="1"/>
  <c r="U5887" i="1"/>
  <c r="U5888" i="1"/>
  <c r="U5889" i="1"/>
  <c r="U5890" i="1"/>
  <c r="U5891" i="1"/>
  <c r="U5892" i="1"/>
  <c r="U5893" i="1"/>
  <c r="U5894" i="1"/>
  <c r="U5895" i="1"/>
  <c r="U5896" i="1"/>
  <c r="U5897" i="1"/>
  <c r="U5898" i="1"/>
  <c r="U5899" i="1"/>
  <c r="U5900" i="1"/>
  <c r="U5901" i="1"/>
  <c r="U5902" i="1"/>
  <c r="U5903" i="1"/>
  <c r="U5904" i="1"/>
  <c r="U5905" i="1"/>
  <c r="U5906" i="1"/>
  <c r="U5907" i="1"/>
  <c r="U5908" i="1"/>
  <c r="U5909" i="1"/>
  <c r="U5910" i="1"/>
  <c r="U5911" i="1"/>
  <c r="U5912" i="1"/>
  <c r="U5913" i="1"/>
  <c r="U5914" i="1"/>
  <c r="U5915" i="1"/>
  <c r="U5916" i="1"/>
  <c r="U5917" i="1"/>
  <c r="U5918" i="1"/>
  <c r="U5919" i="1"/>
  <c r="U5920" i="1"/>
  <c r="U5921" i="1"/>
  <c r="U5922" i="1"/>
  <c r="U5923" i="1"/>
  <c r="U5924" i="1"/>
  <c r="U5925" i="1"/>
  <c r="U5926" i="1"/>
  <c r="U5927" i="1"/>
  <c r="U5928" i="1"/>
  <c r="U5929" i="1"/>
  <c r="U5930" i="1"/>
  <c r="U5931" i="1"/>
  <c r="U5932" i="1"/>
  <c r="U5933" i="1"/>
  <c r="U5934" i="1"/>
  <c r="U5935" i="1"/>
  <c r="U5936" i="1"/>
  <c r="U5937" i="1"/>
  <c r="U5938" i="1"/>
  <c r="U5939" i="1"/>
  <c r="U5940" i="1"/>
  <c r="U5941" i="1"/>
  <c r="U5942" i="1"/>
  <c r="U5943" i="1"/>
  <c r="U5944" i="1"/>
  <c r="U5945" i="1"/>
  <c r="U5946" i="1"/>
  <c r="U5947" i="1"/>
  <c r="U5948" i="1"/>
  <c r="U5949" i="1"/>
  <c r="U5950" i="1"/>
  <c r="U5951" i="1"/>
  <c r="U5952" i="1"/>
  <c r="U5953" i="1"/>
  <c r="U5954" i="1"/>
  <c r="U5955" i="1"/>
  <c r="U5956" i="1"/>
  <c r="U5957" i="1"/>
  <c r="U5958" i="1"/>
  <c r="U5959" i="1"/>
  <c r="U5960" i="1"/>
  <c r="U5961" i="1"/>
  <c r="U5962" i="1"/>
  <c r="U5963" i="1"/>
  <c r="U5964" i="1"/>
  <c r="U5965" i="1"/>
  <c r="U5966" i="1"/>
  <c r="U5967" i="1"/>
  <c r="U5968" i="1"/>
  <c r="U5969" i="1"/>
  <c r="U5970" i="1"/>
  <c r="U5971" i="1"/>
  <c r="U5972" i="1"/>
  <c r="U5973" i="1"/>
  <c r="U5974" i="1"/>
  <c r="U5975" i="1"/>
  <c r="U5976" i="1"/>
  <c r="U5977" i="1"/>
  <c r="U5978" i="1"/>
  <c r="U5979" i="1"/>
  <c r="U5980" i="1"/>
  <c r="U5981" i="1"/>
  <c r="U5982" i="1"/>
  <c r="U5983" i="1"/>
  <c r="U5984" i="1"/>
  <c r="U5985" i="1"/>
  <c r="U5986" i="1"/>
  <c r="U5987" i="1"/>
  <c r="U5988" i="1"/>
  <c r="U5989" i="1"/>
  <c r="U5990" i="1"/>
  <c r="U5991" i="1"/>
  <c r="U5992" i="1"/>
  <c r="U5993" i="1"/>
  <c r="U5994" i="1"/>
  <c r="U5995" i="1"/>
  <c r="U5996" i="1"/>
  <c r="U5997" i="1"/>
  <c r="U5998" i="1"/>
  <c r="U5999" i="1"/>
  <c r="U6000" i="1"/>
  <c r="U6001" i="1"/>
  <c r="U6002" i="1"/>
  <c r="U6003" i="1"/>
  <c r="U6004" i="1"/>
  <c r="U6005" i="1"/>
  <c r="U6006" i="1"/>
  <c r="U6007" i="1"/>
  <c r="U6008" i="1"/>
  <c r="U6009" i="1"/>
  <c r="U6010" i="1"/>
  <c r="U6011" i="1"/>
  <c r="U6012" i="1"/>
  <c r="U6013" i="1"/>
  <c r="U6014" i="1"/>
  <c r="U6015" i="1"/>
  <c r="U6016" i="1"/>
  <c r="U6017" i="1"/>
  <c r="U6018" i="1"/>
  <c r="U6019" i="1"/>
  <c r="U6020" i="1"/>
  <c r="U6021" i="1"/>
  <c r="U6022" i="1"/>
  <c r="U6023" i="1"/>
  <c r="U6024" i="1"/>
  <c r="U6025" i="1"/>
  <c r="U6026" i="1"/>
  <c r="U6027" i="1"/>
  <c r="U6028" i="1"/>
  <c r="U6029" i="1"/>
  <c r="U6030" i="1"/>
  <c r="U6031" i="1"/>
  <c r="U6032" i="1"/>
  <c r="U6033" i="1"/>
  <c r="U6034" i="1"/>
  <c r="U6035" i="1"/>
  <c r="U6036" i="1"/>
  <c r="U6037" i="1"/>
  <c r="U6038" i="1"/>
  <c r="U6039" i="1"/>
  <c r="U6040" i="1"/>
  <c r="U6041" i="1"/>
  <c r="U6042" i="1"/>
  <c r="U6043" i="1"/>
  <c r="U6044" i="1"/>
  <c r="U6045" i="1"/>
  <c r="U6046" i="1"/>
  <c r="U6047" i="1"/>
  <c r="U6048" i="1"/>
  <c r="U6049" i="1"/>
  <c r="U6050" i="1"/>
  <c r="U6051" i="1"/>
  <c r="U6052" i="1"/>
  <c r="U6053" i="1"/>
  <c r="U6054" i="1"/>
  <c r="U6055" i="1"/>
  <c r="U6056" i="1"/>
  <c r="U6057" i="1"/>
  <c r="U6058" i="1"/>
  <c r="U6059" i="1"/>
  <c r="U6060" i="1"/>
  <c r="U6061" i="1"/>
  <c r="U6062" i="1"/>
  <c r="U6063" i="1"/>
  <c r="U6064" i="1"/>
  <c r="U6065" i="1"/>
  <c r="U6066" i="1"/>
  <c r="U6067" i="1"/>
  <c r="U6068" i="1"/>
  <c r="U6069" i="1"/>
  <c r="U6070" i="1"/>
  <c r="U6071" i="1"/>
  <c r="U6072" i="1"/>
  <c r="U6073" i="1"/>
  <c r="U6074" i="1"/>
  <c r="U6075" i="1"/>
  <c r="U6076" i="1"/>
  <c r="U6077" i="1"/>
  <c r="U6078" i="1"/>
  <c r="U6079" i="1"/>
  <c r="U6080" i="1"/>
  <c r="U6081" i="1"/>
  <c r="U6082" i="1"/>
  <c r="U6083" i="1"/>
  <c r="U6084" i="1"/>
  <c r="U6085" i="1"/>
  <c r="U6086" i="1"/>
  <c r="U6087" i="1"/>
  <c r="U6088" i="1"/>
  <c r="U6089" i="1"/>
  <c r="U6090" i="1"/>
  <c r="U6091" i="1"/>
  <c r="U6092" i="1"/>
  <c r="U6093" i="1"/>
  <c r="U6094" i="1"/>
  <c r="U6095" i="1"/>
  <c r="U6096" i="1"/>
  <c r="U6097" i="1"/>
  <c r="U6098" i="1"/>
  <c r="U6099" i="1"/>
  <c r="U6100" i="1"/>
  <c r="U6101" i="1"/>
  <c r="U6102" i="1"/>
  <c r="U6103" i="1"/>
  <c r="U6104" i="1"/>
  <c r="U6105" i="1"/>
  <c r="U6106" i="1"/>
  <c r="U6107" i="1"/>
  <c r="U6108" i="1"/>
  <c r="U6109" i="1"/>
  <c r="U6110" i="1"/>
  <c r="U6111" i="1"/>
  <c r="U6112" i="1"/>
  <c r="U6113" i="1"/>
  <c r="U6114" i="1"/>
  <c r="U6115" i="1"/>
  <c r="U6116" i="1"/>
  <c r="U6117" i="1"/>
  <c r="U6118" i="1"/>
  <c r="U6119" i="1"/>
  <c r="U6120" i="1"/>
  <c r="U6121" i="1"/>
  <c r="U6122" i="1"/>
  <c r="U6123" i="1"/>
  <c r="U6124" i="1"/>
  <c r="U6125" i="1"/>
  <c r="U6126" i="1"/>
  <c r="U6127" i="1"/>
  <c r="U6128" i="1"/>
  <c r="U6129" i="1"/>
  <c r="U6130" i="1"/>
  <c r="U6131" i="1"/>
  <c r="U6132" i="1"/>
  <c r="U6133" i="1"/>
  <c r="U6134" i="1"/>
  <c r="U6135" i="1"/>
  <c r="U6136" i="1"/>
  <c r="U6137" i="1"/>
  <c r="U6138" i="1"/>
  <c r="U6139" i="1"/>
  <c r="U6140" i="1"/>
  <c r="U6141" i="1"/>
  <c r="U6142" i="1"/>
  <c r="U6143" i="1"/>
  <c r="U6144" i="1"/>
  <c r="U6145" i="1"/>
  <c r="U6146" i="1"/>
  <c r="U6147" i="1"/>
  <c r="U6148" i="1"/>
  <c r="U6149" i="1"/>
  <c r="U6150" i="1"/>
  <c r="U6151" i="1"/>
  <c r="U6152" i="1"/>
  <c r="U6153" i="1"/>
  <c r="U6154" i="1"/>
  <c r="U6155" i="1"/>
  <c r="U6156" i="1"/>
  <c r="U6157" i="1"/>
  <c r="U6158" i="1"/>
  <c r="U6159" i="1"/>
  <c r="U6160" i="1"/>
  <c r="U6161" i="1"/>
  <c r="U6162" i="1"/>
  <c r="U6163" i="1"/>
  <c r="U6164" i="1"/>
  <c r="U6165" i="1"/>
  <c r="U6166" i="1"/>
  <c r="U6167" i="1"/>
  <c r="U6168" i="1"/>
  <c r="U6169" i="1"/>
  <c r="U6170" i="1"/>
  <c r="U6171" i="1"/>
  <c r="U6172" i="1"/>
  <c r="U6173" i="1"/>
  <c r="U6174" i="1"/>
  <c r="U6175" i="1"/>
  <c r="U6176" i="1"/>
  <c r="U6177" i="1"/>
  <c r="U6178" i="1"/>
  <c r="U6179" i="1"/>
  <c r="U6180" i="1"/>
  <c r="U6181" i="1"/>
  <c r="U6182" i="1"/>
  <c r="U6183" i="1"/>
  <c r="U6184" i="1"/>
  <c r="U6185" i="1"/>
  <c r="U6186" i="1"/>
  <c r="U6187" i="1"/>
  <c r="U6188" i="1"/>
  <c r="U6189" i="1"/>
  <c r="U6190" i="1"/>
  <c r="U6191" i="1"/>
  <c r="U6192" i="1"/>
  <c r="U6193" i="1"/>
  <c r="U6194" i="1"/>
  <c r="U6195" i="1"/>
  <c r="U6196" i="1"/>
  <c r="U6197" i="1"/>
  <c r="U6198" i="1"/>
  <c r="U6199" i="1"/>
  <c r="U6200" i="1"/>
  <c r="U6201" i="1"/>
  <c r="U6202" i="1"/>
  <c r="U6203" i="1"/>
  <c r="U6204" i="1"/>
  <c r="U6205" i="1"/>
  <c r="U6206" i="1"/>
  <c r="U6207" i="1"/>
  <c r="U6208" i="1"/>
  <c r="U6209" i="1"/>
  <c r="U6210" i="1"/>
  <c r="U6211" i="1"/>
  <c r="U6212" i="1"/>
  <c r="U6213" i="1"/>
  <c r="U6214" i="1"/>
  <c r="U6215" i="1"/>
  <c r="U6216" i="1"/>
  <c r="U6217" i="1"/>
  <c r="U6218" i="1"/>
  <c r="U6219" i="1"/>
  <c r="U6220" i="1"/>
  <c r="U6221" i="1"/>
  <c r="U6222" i="1"/>
  <c r="U6223" i="1"/>
  <c r="U6224" i="1"/>
  <c r="U6225" i="1"/>
  <c r="U6226" i="1"/>
  <c r="U6227" i="1"/>
  <c r="U6228" i="1"/>
  <c r="U6229" i="1"/>
  <c r="U6230" i="1"/>
  <c r="U6231" i="1"/>
  <c r="U6232" i="1"/>
  <c r="U6233" i="1"/>
  <c r="U6234" i="1"/>
  <c r="U6235" i="1"/>
  <c r="U6236" i="1"/>
  <c r="U6237" i="1"/>
  <c r="U6238" i="1"/>
  <c r="U6239" i="1"/>
  <c r="U6240" i="1"/>
  <c r="U6241" i="1"/>
  <c r="U6242" i="1"/>
  <c r="U6243" i="1"/>
  <c r="U6244" i="1"/>
  <c r="U6245" i="1"/>
  <c r="U6246" i="1"/>
  <c r="U6247" i="1"/>
  <c r="U6248" i="1"/>
  <c r="U6249" i="1"/>
  <c r="U6250" i="1"/>
  <c r="U6251" i="1"/>
  <c r="U6252" i="1"/>
  <c r="U6253" i="1"/>
  <c r="U6254" i="1"/>
  <c r="U6255" i="1"/>
  <c r="U6256" i="1"/>
  <c r="U6257" i="1"/>
  <c r="U6258" i="1"/>
  <c r="U6259" i="1"/>
  <c r="U6260" i="1"/>
  <c r="U6261" i="1"/>
  <c r="U6262" i="1"/>
  <c r="U6263" i="1"/>
  <c r="U6264" i="1"/>
  <c r="U6265" i="1"/>
  <c r="U6266" i="1"/>
  <c r="U6267" i="1"/>
  <c r="U6268" i="1"/>
  <c r="U6269" i="1"/>
  <c r="U6270" i="1"/>
  <c r="U6271" i="1"/>
  <c r="U6272" i="1"/>
  <c r="U6273" i="1"/>
  <c r="U6274" i="1"/>
  <c r="U6275" i="1"/>
  <c r="U6276" i="1"/>
  <c r="U6277" i="1"/>
  <c r="U6278" i="1"/>
  <c r="U6279" i="1"/>
  <c r="U6280" i="1"/>
  <c r="U6281" i="1"/>
  <c r="U6282" i="1"/>
  <c r="U6283" i="1"/>
  <c r="U6284" i="1"/>
  <c r="U6285" i="1"/>
  <c r="U6286" i="1"/>
  <c r="U6287" i="1"/>
  <c r="U6288" i="1"/>
  <c r="U6289" i="1"/>
  <c r="U6290" i="1"/>
  <c r="U6291" i="1"/>
  <c r="U6292" i="1"/>
  <c r="U6293" i="1"/>
  <c r="U6294" i="1"/>
  <c r="U6295" i="1"/>
  <c r="U6296" i="1"/>
  <c r="U6297" i="1"/>
  <c r="U6298" i="1"/>
  <c r="U6299" i="1"/>
  <c r="U6300" i="1"/>
  <c r="U6301" i="1"/>
  <c r="U6302" i="1"/>
  <c r="U6303" i="1"/>
  <c r="U6304" i="1"/>
  <c r="U6305" i="1"/>
  <c r="U6306" i="1"/>
  <c r="U6307" i="1"/>
  <c r="U6308" i="1"/>
  <c r="U6309" i="1"/>
  <c r="U6310" i="1"/>
  <c r="U6311" i="1"/>
  <c r="U6312" i="1"/>
  <c r="U6313" i="1"/>
  <c r="U6314" i="1"/>
  <c r="U6315" i="1"/>
  <c r="U6316" i="1"/>
  <c r="U6317" i="1"/>
  <c r="U6318" i="1"/>
  <c r="U6319" i="1"/>
  <c r="U6320" i="1"/>
  <c r="U6321" i="1"/>
  <c r="U6322" i="1"/>
  <c r="U6323" i="1"/>
  <c r="U6324" i="1"/>
  <c r="U6325" i="1"/>
  <c r="U6326" i="1"/>
  <c r="U6327" i="1"/>
  <c r="U6328" i="1"/>
  <c r="U6329" i="1"/>
  <c r="U6330" i="1"/>
  <c r="U6331" i="1"/>
  <c r="U6332" i="1"/>
  <c r="U6333" i="1"/>
  <c r="U6334" i="1"/>
  <c r="U6335" i="1"/>
  <c r="U6336" i="1"/>
  <c r="U6337" i="1"/>
  <c r="U6338" i="1"/>
  <c r="U6339" i="1"/>
  <c r="U6340" i="1"/>
  <c r="U6341" i="1"/>
  <c r="U6342" i="1"/>
  <c r="U6343" i="1"/>
  <c r="U6344" i="1"/>
  <c r="U6345" i="1"/>
  <c r="U6346" i="1"/>
  <c r="U6347" i="1"/>
  <c r="U6348" i="1"/>
  <c r="U6349" i="1"/>
  <c r="U6350" i="1"/>
  <c r="U6351" i="1"/>
  <c r="U6352" i="1"/>
  <c r="U6353" i="1"/>
  <c r="U6354" i="1"/>
  <c r="U6355" i="1"/>
  <c r="U6356" i="1"/>
  <c r="U6357" i="1"/>
  <c r="U6358" i="1"/>
  <c r="U6359" i="1"/>
  <c r="U6360" i="1"/>
  <c r="U6361" i="1"/>
  <c r="U6362" i="1"/>
  <c r="U6363" i="1"/>
  <c r="U6364" i="1"/>
  <c r="U6365" i="1"/>
  <c r="U6366" i="1"/>
  <c r="U6367" i="1"/>
  <c r="U6368" i="1"/>
  <c r="U6369" i="1"/>
  <c r="U6370" i="1"/>
  <c r="U6371" i="1"/>
  <c r="U6372" i="1"/>
  <c r="U6373" i="1"/>
  <c r="U6374" i="1"/>
  <c r="U6375" i="1"/>
  <c r="U6376" i="1"/>
  <c r="U6377" i="1"/>
  <c r="U6378" i="1"/>
  <c r="U6379" i="1"/>
  <c r="U6380" i="1"/>
  <c r="U6381" i="1"/>
  <c r="U6382" i="1"/>
  <c r="U6383" i="1"/>
  <c r="U6384" i="1"/>
  <c r="U6385" i="1"/>
  <c r="U6386" i="1"/>
  <c r="U6387" i="1"/>
  <c r="U6388" i="1"/>
  <c r="U6389" i="1"/>
  <c r="U6390" i="1"/>
  <c r="U6391" i="1"/>
  <c r="U6392" i="1"/>
  <c r="U6393" i="1"/>
  <c r="U6394" i="1"/>
  <c r="U6395" i="1"/>
  <c r="U6396" i="1"/>
  <c r="U6397" i="1"/>
  <c r="U6398" i="1"/>
  <c r="U6399" i="1"/>
  <c r="U6400" i="1"/>
  <c r="U6401" i="1"/>
  <c r="U6402" i="1"/>
  <c r="U6403" i="1"/>
  <c r="U6404" i="1"/>
  <c r="U6405" i="1"/>
  <c r="U6406" i="1"/>
  <c r="U6407" i="1"/>
  <c r="U6408" i="1"/>
  <c r="U6409" i="1"/>
  <c r="U6410" i="1"/>
  <c r="U6411" i="1"/>
  <c r="U6412" i="1"/>
  <c r="U6413" i="1"/>
  <c r="U6414" i="1"/>
  <c r="U6415" i="1"/>
  <c r="U6416" i="1"/>
  <c r="U6417" i="1"/>
  <c r="U6418" i="1"/>
  <c r="U6419" i="1"/>
  <c r="U6420" i="1"/>
  <c r="U6421" i="1"/>
  <c r="U6422" i="1"/>
  <c r="U6423" i="1"/>
  <c r="U6424" i="1"/>
  <c r="U6425" i="1"/>
  <c r="U6426" i="1"/>
  <c r="U6427" i="1"/>
  <c r="U6428" i="1"/>
  <c r="U6429" i="1"/>
  <c r="U6430" i="1"/>
  <c r="U6431" i="1"/>
  <c r="U6432" i="1"/>
  <c r="U6433" i="1"/>
  <c r="U6434" i="1"/>
  <c r="U6435" i="1"/>
  <c r="U6436" i="1"/>
  <c r="U6437" i="1"/>
  <c r="U6438" i="1"/>
  <c r="U6439" i="1"/>
  <c r="U6440" i="1"/>
  <c r="U6441" i="1"/>
  <c r="U6442" i="1"/>
  <c r="U6443" i="1"/>
  <c r="U6444" i="1"/>
  <c r="U6445" i="1"/>
  <c r="U6446" i="1"/>
  <c r="U6447" i="1"/>
  <c r="U6448" i="1"/>
  <c r="U6449" i="1"/>
  <c r="U6450" i="1"/>
  <c r="U6451" i="1"/>
  <c r="U6452" i="1"/>
  <c r="U6453" i="1"/>
  <c r="U6454" i="1"/>
  <c r="U6455" i="1"/>
  <c r="U6456" i="1"/>
  <c r="U6457" i="1"/>
  <c r="U6458" i="1"/>
  <c r="U6459" i="1"/>
  <c r="U6460" i="1"/>
  <c r="U6461" i="1"/>
  <c r="U6462" i="1"/>
  <c r="U6463" i="1"/>
  <c r="U6464" i="1"/>
  <c r="U6465" i="1"/>
  <c r="U6466" i="1"/>
  <c r="U6467" i="1"/>
  <c r="U6468" i="1"/>
  <c r="U6469" i="1"/>
  <c r="U6470" i="1"/>
  <c r="U6471" i="1"/>
  <c r="U6472" i="1"/>
  <c r="U6473" i="1"/>
  <c r="U6474" i="1"/>
  <c r="U6475" i="1"/>
  <c r="U6476" i="1"/>
  <c r="U6477" i="1"/>
  <c r="U6478" i="1"/>
  <c r="U6479" i="1"/>
  <c r="U6480" i="1"/>
  <c r="U6481" i="1"/>
  <c r="U6482" i="1"/>
  <c r="U6483" i="1"/>
  <c r="U6484" i="1"/>
  <c r="U6485" i="1"/>
  <c r="U6486" i="1"/>
  <c r="U6487" i="1"/>
  <c r="U6488" i="1"/>
  <c r="U6489" i="1"/>
  <c r="U6490" i="1"/>
  <c r="U6491" i="1"/>
  <c r="U6492" i="1"/>
  <c r="U6493" i="1"/>
  <c r="U6494" i="1"/>
  <c r="U6495" i="1"/>
  <c r="U6496" i="1"/>
  <c r="U6497" i="1"/>
  <c r="U6498" i="1"/>
  <c r="U6499" i="1"/>
  <c r="U6500" i="1"/>
  <c r="U6501" i="1"/>
  <c r="U6502" i="1"/>
  <c r="U6503" i="1"/>
  <c r="U6504" i="1"/>
  <c r="U6505" i="1"/>
  <c r="U6506" i="1"/>
  <c r="U6507" i="1"/>
  <c r="U6508" i="1"/>
  <c r="U6509" i="1"/>
  <c r="U6510" i="1"/>
  <c r="U6511" i="1"/>
  <c r="U6512" i="1"/>
  <c r="U6513" i="1"/>
  <c r="U6514" i="1"/>
  <c r="U6515" i="1"/>
  <c r="U6516" i="1"/>
  <c r="U6517" i="1"/>
  <c r="U6518" i="1"/>
  <c r="U6519" i="1"/>
  <c r="U6520" i="1"/>
  <c r="U6521" i="1"/>
  <c r="U6522" i="1"/>
  <c r="U6523" i="1"/>
  <c r="U6524" i="1"/>
  <c r="U6525" i="1"/>
  <c r="U6526" i="1"/>
  <c r="U6527" i="1"/>
  <c r="U6528" i="1"/>
  <c r="U6529" i="1"/>
  <c r="U6530" i="1"/>
  <c r="U6531" i="1"/>
  <c r="U6532" i="1"/>
  <c r="U6533" i="1"/>
  <c r="U6534" i="1"/>
  <c r="U6535" i="1"/>
  <c r="U6536" i="1"/>
  <c r="U6537" i="1"/>
  <c r="U6538" i="1"/>
  <c r="U6539" i="1"/>
  <c r="U6540" i="1"/>
  <c r="U6541" i="1"/>
  <c r="U6542" i="1"/>
  <c r="U6543" i="1"/>
  <c r="U6544" i="1"/>
  <c r="U6545" i="1"/>
  <c r="U6546" i="1"/>
  <c r="U6547" i="1"/>
  <c r="U6548" i="1"/>
  <c r="U6549" i="1"/>
  <c r="U6550" i="1"/>
  <c r="U6551" i="1"/>
  <c r="U6552" i="1"/>
  <c r="U6553" i="1"/>
  <c r="U6554" i="1"/>
  <c r="U6555" i="1"/>
  <c r="U6556" i="1"/>
  <c r="U6557" i="1"/>
  <c r="U6558" i="1"/>
  <c r="U6559" i="1"/>
  <c r="U6560" i="1"/>
  <c r="U6561" i="1"/>
  <c r="U6562" i="1"/>
  <c r="U6563" i="1"/>
  <c r="U6564" i="1"/>
  <c r="U6565" i="1"/>
  <c r="U6566" i="1"/>
  <c r="U6567" i="1"/>
  <c r="U6568" i="1"/>
  <c r="U6569" i="1"/>
  <c r="U6570" i="1"/>
  <c r="U6571" i="1"/>
  <c r="U6572" i="1"/>
  <c r="U6573" i="1"/>
  <c r="U6574" i="1"/>
  <c r="U6575" i="1"/>
  <c r="U6576" i="1"/>
  <c r="U6577" i="1"/>
  <c r="U6578" i="1"/>
  <c r="U6579" i="1"/>
  <c r="U6580" i="1"/>
  <c r="U6581" i="1"/>
  <c r="U6582" i="1"/>
  <c r="U6583" i="1"/>
  <c r="U6584" i="1"/>
  <c r="U6585" i="1"/>
  <c r="U6586" i="1"/>
  <c r="U6587" i="1"/>
  <c r="U6588" i="1"/>
  <c r="U6589" i="1"/>
  <c r="U6590" i="1"/>
  <c r="U6591" i="1"/>
  <c r="U6592" i="1"/>
  <c r="U6593" i="1"/>
  <c r="U6594" i="1"/>
  <c r="U6595" i="1"/>
  <c r="U6596" i="1"/>
  <c r="U6597" i="1"/>
  <c r="U6598" i="1"/>
  <c r="U6599" i="1"/>
  <c r="U6600" i="1"/>
  <c r="U6601" i="1"/>
  <c r="U6602" i="1"/>
  <c r="U6603" i="1"/>
  <c r="U6604" i="1"/>
  <c r="U6605" i="1"/>
  <c r="U6606" i="1"/>
  <c r="U6607" i="1"/>
  <c r="U6608" i="1"/>
  <c r="U6609" i="1"/>
  <c r="U6610" i="1"/>
  <c r="U6611" i="1"/>
  <c r="U6612" i="1"/>
  <c r="U6613" i="1"/>
  <c r="U6614" i="1"/>
  <c r="U6615" i="1"/>
  <c r="U6616" i="1"/>
  <c r="U6617" i="1"/>
  <c r="U6618" i="1"/>
  <c r="U6619" i="1"/>
  <c r="U6620" i="1"/>
  <c r="U6621" i="1"/>
  <c r="U6622" i="1"/>
  <c r="U6623" i="1"/>
  <c r="U6624" i="1"/>
  <c r="U6625" i="1"/>
  <c r="U6626" i="1"/>
  <c r="U6627" i="1"/>
  <c r="U6628" i="1"/>
  <c r="U6629" i="1"/>
  <c r="U6630" i="1"/>
  <c r="U6631" i="1"/>
  <c r="U6632" i="1"/>
  <c r="U6633" i="1"/>
  <c r="U6634" i="1"/>
  <c r="U6635" i="1"/>
  <c r="U6636" i="1"/>
  <c r="U6637" i="1"/>
  <c r="U6638" i="1"/>
  <c r="U6639" i="1"/>
  <c r="U6640" i="1"/>
  <c r="U6641" i="1"/>
  <c r="U6642" i="1"/>
  <c r="U6643" i="1"/>
  <c r="U6644" i="1"/>
  <c r="U6645" i="1"/>
  <c r="U6646" i="1"/>
  <c r="U6647" i="1"/>
  <c r="U6648" i="1"/>
  <c r="U6649" i="1"/>
  <c r="U6650" i="1"/>
  <c r="U6651" i="1"/>
  <c r="U6652" i="1"/>
  <c r="U6653" i="1"/>
  <c r="U6654" i="1"/>
  <c r="U6655" i="1"/>
  <c r="U6656" i="1"/>
  <c r="U6657" i="1"/>
  <c r="U6658" i="1"/>
  <c r="U6659" i="1"/>
  <c r="U6660" i="1"/>
  <c r="U6661" i="1"/>
  <c r="U6662" i="1"/>
  <c r="U6663" i="1"/>
  <c r="U6664" i="1"/>
  <c r="U6665" i="1"/>
  <c r="U6666" i="1"/>
  <c r="U6667" i="1"/>
  <c r="U6668" i="1"/>
  <c r="U6669" i="1"/>
  <c r="U6670" i="1"/>
  <c r="U6671" i="1"/>
  <c r="U6672" i="1"/>
  <c r="U6673" i="1"/>
  <c r="U6674" i="1"/>
  <c r="U6675" i="1"/>
  <c r="U6676" i="1"/>
  <c r="U6677" i="1"/>
  <c r="U6678" i="1"/>
  <c r="U6679" i="1"/>
  <c r="U6680" i="1"/>
  <c r="U6681" i="1"/>
  <c r="U6682" i="1"/>
  <c r="U6683" i="1"/>
  <c r="U6684" i="1"/>
  <c r="U6685" i="1"/>
  <c r="U6686" i="1"/>
  <c r="U6687" i="1"/>
  <c r="U6688" i="1"/>
  <c r="U6689" i="1"/>
  <c r="U6690" i="1"/>
  <c r="U6691" i="1"/>
  <c r="U6692" i="1"/>
  <c r="U6693" i="1"/>
  <c r="U6694" i="1"/>
  <c r="U6695" i="1"/>
  <c r="U6696" i="1"/>
  <c r="U6697" i="1"/>
  <c r="U6698" i="1"/>
  <c r="U6699" i="1"/>
  <c r="U6700" i="1"/>
  <c r="U6701" i="1"/>
  <c r="U6702" i="1"/>
  <c r="U6703" i="1"/>
  <c r="U6704" i="1"/>
  <c r="U6705" i="1"/>
  <c r="U6706" i="1"/>
  <c r="U6707" i="1"/>
  <c r="U6708" i="1"/>
  <c r="U6709" i="1"/>
  <c r="U6710" i="1"/>
  <c r="U6711" i="1"/>
  <c r="U6712" i="1"/>
  <c r="U6713" i="1"/>
  <c r="U6714" i="1"/>
  <c r="U6715" i="1"/>
  <c r="U6716" i="1"/>
  <c r="U6717" i="1"/>
  <c r="U6718" i="1"/>
  <c r="U6719" i="1"/>
  <c r="U6720" i="1"/>
  <c r="U6721" i="1"/>
  <c r="U6722" i="1"/>
  <c r="U6723" i="1"/>
  <c r="U6724" i="1"/>
  <c r="U6725" i="1"/>
  <c r="U6726" i="1"/>
  <c r="U6727" i="1"/>
  <c r="U6728" i="1"/>
  <c r="U6729" i="1"/>
  <c r="U6730" i="1"/>
  <c r="U6731" i="1"/>
  <c r="U6732" i="1"/>
  <c r="U6733" i="1"/>
  <c r="U6734" i="1"/>
  <c r="U6735" i="1"/>
  <c r="U6736" i="1"/>
  <c r="U6737" i="1"/>
  <c r="U6738" i="1"/>
  <c r="U6739" i="1"/>
  <c r="U6740" i="1"/>
  <c r="U6741" i="1"/>
  <c r="U6742" i="1"/>
  <c r="U6743" i="1"/>
  <c r="U6744" i="1"/>
  <c r="U6745" i="1"/>
  <c r="U6746" i="1"/>
  <c r="U6747" i="1"/>
  <c r="U6748" i="1"/>
  <c r="U6749" i="1"/>
  <c r="U6750" i="1"/>
  <c r="U6751" i="1"/>
  <c r="U6752" i="1"/>
  <c r="U6753" i="1"/>
  <c r="U6754" i="1"/>
  <c r="U6755" i="1"/>
  <c r="U6756" i="1"/>
  <c r="U6757" i="1"/>
  <c r="U6758" i="1"/>
  <c r="U6759" i="1"/>
  <c r="U6760" i="1"/>
  <c r="U6761" i="1"/>
  <c r="U6762" i="1"/>
  <c r="U6763" i="1"/>
  <c r="U6764" i="1"/>
  <c r="U6765" i="1"/>
  <c r="U6766" i="1"/>
  <c r="U6767" i="1"/>
  <c r="U6768" i="1"/>
  <c r="U6769" i="1"/>
  <c r="U6770" i="1"/>
  <c r="U6771" i="1"/>
  <c r="U6772" i="1"/>
  <c r="U6773" i="1"/>
  <c r="U6774" i="1"/>
  <c r="U6775" i="1"/>
  <c r="U6776" i="1"/>
  <c r="U6777" i="1"/>
  <c r="U6778" i="1"/>
  <c r="U6779" i="1"/>
  <c r="U6780" i="1"/>
  <c r="U6781" i="1"/>
  <c r="U6782" i="1"/>
  <c r="U6783" i="1"/>
  <c r="U6784" i="1"/>
  <c r="U6785" i="1"/>
  <c r="U6786" i="1"/>
  <c r="U6787" i="1"/>
  <c r="U6788" i="1"/>
  <c r="U6789" i="1"/>
  <c r="U6790" i="1"/>
  <c r="U6791" i="1"/>
  <c r="U6792" i="1"/>
  <c r="U6793" i="1"/>
  <c r="U6794" i="1"/>
  <c r="U6795" i="1"/>
  <c r="U6796" i="1"/>
  <c r="U6797" i="1"/>
  <c r="U6798" i="1"/>
  <c r="U6799" i="1"/>
  <c r="U6800" i="1"/>
  <c r="U6801" i="1"/>
  <c r="U6802" i="1"/>
  <c r="U6803" i="1"/>
  <c r="U6804" i="1"/>
  <c r="U6805" i="1"/>
  <c r="U6806" i="1"/>
  <c r="U6807" i="1"/>
  <c r="U6808" i="1"/>
  <c r="U6809" i="1"/>
  <c r="U6810" i="1"/>
  <c r="U6811" i="1"/>
  <c r="U6812" i="1"/>
  <c r="U6813" i="1"/>
  <c r="U6814" i="1"/>
  <c r="U6815" i="1"/>
  <c r="U6816" i="1"/>
  <c r="U6817" i="1"/>
  <c r="U6818" i="1"/>
  <c r="U6819" i="1"/>
  <c r="U6820" i="1"/>
  <c r="U6821" i="1"/>
  <c r="U6822" i="1"/>
  <c r="U6823" i="1"/>
  <c r="U6824" i="1"/>
  <c r="U6825" i="1"/>
  <c r="U6826" i="1"/>
  <c r="U6827" i="1"/>
  <c r="U6828" i="1"/>
  <c r="U6829" i="1"/>
  <c r="U6830" i="1"/>
  <c r="U6831" i="1"/>
  <c r="U6832" i="1"/>
  <c r="U6833" i="1"/>
  <c r="U6834" i="1"/>
  <c r="U6835" i="1"/>
  <c r="U6836" i="1"/>
  <c r="U6837" i="1"/>
  <c r="U6838" i="1"/>
  <c r="U6839" i="1"/>
  <c r="U6840" i="1"/>
  <c r="U6841" i="1"/>
  <c r="U6842" i="1"/>
  <c r="U6843" i="1"/>
  <c r="U6844" i="1"/>
  <c r="U6845" i="1"/>
  <c r="U6846" i="1"/>
  <c r="U6847" i="1"/>
  <c r="U6848" i="1"/>
  <c r="U6849" i="1"/>
  <c r="U6850" i="1"/>
  <c r="U6851" i="1"/>
  <c r="U6852" i="1"/>
  <c r="U6853" i="1"/>
  <c r="U6854" i="1"/>
  <c r="U6855" i="1"/>
  <c r="U6856" i="1"/>
  <c r="U6857" i="1"/>
  <c r="U6858" i="1"/>
  <c r="U6859" i="1"/>
  <c r="U6860" i="1"/>
  <c r="U6861" i="1"/>
  <c r="U6862" i="1"/>
  <c r="U6863" i="1"/>
  <c r="U6864" i="1"/>
  <c r="U6865" i="1"/>
  <c r="U6866" i="1"/>
  <c r="U6867" i="1"/>
  <c r="U6868" i="1"/>
  <c r="U6869" i="1"/>
  <c r="U6870" i="1"/>
  <c r="U6871" i="1"/>
  <c r="U6872" i="1"/>
  <c r="U6873" i="1"/>
  <c r="U6874" i="1"/>
  <c r="U6875" i="1"/>
  <c r="U6876" i="1"/>
  <c r="U6877" i="1"/>
  <c r="U6878" i="1"/>
  <c r="U6879" i="1"/>
  <c r="U6880" i="1"/>
  <c r="U6881" i="1"/>
  <c r="U6882" i="1"/>
  <c r="U6883" i="1"/>
  <c r="U6884" i="1"/>
  <c r="U6885" i="1"/>
  <c r="U6886" i="1"/>
  <c r="U6887" i="1"/>
  <c r="U6888" i="1"/>
  <c r="U6889" i="1"/>
  <c r="U6890" i="1"/>
  <c r="U6891" i="1"/>
  <c r="U6892" i="1"/>
  <c r="U6893" i="1"/>
  <c r="U6894" i="1"/>
  <c r="U6895" i="1"/>
  <c r="U6896" i="1"/>
  <c r="U6897" i="1"/>
  <c r="U6898" i="1"/>
  <c r="U6899" i="1"/>
  <c r="U6900" i="1"/>
  <c r="U6901" i="1"/>
  <c r="U6902" i="1"/>
  <c r="U6903" i="1"/>
  <c r="U6904" i="1"/>
  <c r="U6905" i="1"/>
  <c r="U6906" i="1"/>
  <c r="U6907" i="1"/>
  <c r="U6908" i="1"/>
  <c r="U6909" i="1"/>
  <c r="U6910" i="1"/>
  <c r="U6911" i="1"/>
  <c r="U6912" i="1"/>
  <c r="U6913" i="1"/>
  <c r="U6914" i="1"/>
  <c r="U6915" i="1"/>
  <c r="U6916" i="1"/>
  <c r="U6917" i="1"/>
  <c r="U6918" i="1"/>
  <c r="U6919" i="1"/>
  <c r="U6920" i="1"/>
  <c r="U6921" i="1"/>
  <c r="U6922" i="1"/>
  <c r="U6923" i="1"/>
  <c r="U6924" i="1"/>
  <c r="U6925" i="1"/>
  <c r="U6926" i="1"/>
  <c r="U6927" i="1"/>
  <c r="U6928" i="1"/>
  <c r="U6929" i="1"/>
  <c r="U6930" i="1"/>
  <c r="U6931" i="1"/>
  <c r="U6932" i="1"/>
  <c r="U6933" i="1"/>
  <c r="U6934" i="1"/>
  <c r="U6935" i="1"/>
  <c r="U6936" i="1"/>
  <c r="U6937" i="1"/>
  <c r="U6938" i="1"/>
  <c r="U6939" i="1"/>
  <c r="U6940" i="1"/>
  <c r="U6941" i="1"/>
  <c r="U6942" i="1"/>
  <c r="U6943" i="1"/>
  <c r="U6944" i="1"/>
  <c r="U6945" i="1"/>
  <c r="U6946" i="1"/>
  <c r="U6947" i="1"/>
  <c r="U6948" i="1"/>
  <c r="U6949" i="1"/>
  <c r="U6950" i="1"/>
  <c r="U6951" i="1"/>
  <c r="U6952" i="1"/>
  <c r="U6953" i="1"/>
  <c r="U6954" i="1"/>
  <c r="U6955" i="1"/>
  <c r="U6956" i="1"/>
  <c r="U6957" i="1"/>
  <c r="U6958" i="1"/>
  <c r="U6959" i="1"/>
  <c r="U6960" i="1"/>
  <c r="U6961" i="1"/>
  <c r="U6962" i="1"/>
  <c r="U6963" i="1"/>
  <c r="U6964" i="1"/>
  <c r="U6965" i="1"/>
  <c r="U6966" i="1"/>
  <c r="U6967" i="1"/>
  <c r="U6968" i="1"/>
  <c r="U6969" i="1"/>
  <c r="U6970" i="1"/>
  <c r="U6971" i="1"/>
  <c r="U6972" i="1"/>
  <c r="U6973" i="1"/>
  <c r="U6974" i="1"/>
  <c r="U6975" i="1"/>
  <c r="U6976" i="1"/>
  <c r="U6977" i="1"/>
  <c r="U6978" i="1"/>
  <c r="U6979" i="1"/>
  <c r="U6980" i="1"/>
  <c r="U6981" i="1"/>
  <c r="U6982" i="1"/>
  <c r="U6983" i="1"/>
  <c r="U6984" i="1"/>
  <c r="U6985" i="1"/>
  <c r="U6986" i="1"/>
  <c r="U6987" i="1"/>
  <c r="U6988" i="1"/>
  <c r="U6989" i="1"/>
  <c r="U6990" i="1"/>
  <c r="U6991" i="1"/>
  <c r="U6992" i="1"/>
  <c r="U6993" i="1"/>
  <c r="U6994" i="1"/>
  <c r="U6995" i="1"/>
  <c r="U6996" i="1"/>
  <c r="U6997" i="1"/>
  <c r="U6998" i="1"/>
  <c r="U6999" i="1"/>
  <c r="U7000" i="1"/>
  <c r="U7001" i="1"/>
  <c r="U7002" i="1"/>
  <c r="U7003" i="1"/>
  <c r="U7004" i="1"/>
  <c r="U7005" i="1"/>
  <c r="U7006" i="1"/>
  <c r="U7007" i="1"/>
  <c r="U7008" i="1"/>
  <c r="U7009" i="1"/>
  <c r="U7010" i="1"/>
  <c r="U7011" i="1"/>
  <c r="U7012" i="1"/>
  <c r="U7013" i="1"/>
  <c r="U7014" i="1"/>
  <c r="U7015" i="1"/>
  <c r="U7016" i="1"/>
  <c r="U7017" i="1"/>
  <c r="U7018" i="1"/>
  <c r="U7019" i="1"/>
  <c r="U7020" i="1"/>
  <c r="U7021" i="1"/>
  <c r="U7022" i="1"/>
  <c r="U7023" i="1"/>
  <c r="U7024" i="1"/>
  <c r="U7025" i="1"/>
  <c r="U7026" i="1"/>
  <c r="U7027" i="1"/>
  <c r="U7028" i="1"/>
  <c r="U7029" i="1"/>
  <c r="U7030" i="1"/>
  <c r="U7031" i="1"/>
  <c r="U7032" i="1"/>
  <c r="U7033" i="1"/>
  <c r="U7034" i="1"/>
  <c r="U7035" i="1"/>
  <c r="U7036" i="1"/>
  <c r="U7037" i="1"/>
  <c r="U7038" i="1"/>
  <c r="U7039" i="1"/>
  <c r="U7040" i="1"/>
  <c r="U7041" i="1"/>
  <c r="U7042" i="1"/>
  <c r="U7043" i="1"/>
  <c r="U7044" i="1"/>
  <c r="U7045" i="1"/>
  <c r="U7046" i="1"/>
  <c r="U7047" i="1"/>
  <c r="U7048" i="1"/>
  <c r="U7049" i="1"/>
  <c r="U7050" i="1"/>
  <c r="U7051" i="1"/>
  <c r="U7052" i="1"/>
  <c r="U7053" i="1"/>
  <c r="U7054" i="1"/>
  <c r="U7055" i="1"/>
  <c r="U7056" i="1"/>
  <c r="U7057" i="1"/>
  <c r="U7058" i="1"/>
  <c r="U7059" i="1"/>
  <c r="U7060" i="1"/>
  <c r="U7061" i="1"/>
  <c r="U7062" i="1"/>
  <c r="U7063" i="1"/>
  <c r="U7064" i="1"/>
  <c r="U7065" i="1"/>
  <c r="U7066" i="1"/>
  <c r="U7067" i="1"/>
  <c r="U7068" i="1"/>
  <c r="U7069" i="1"/>
  <c r="U7070" i="1"/>
  <c r="U7071" i="1"/>
  <c r="U7072" i="1"/>
  <c r="U7073" i="1"/>
  <c r="U7074" i="1"/>
  <c r="U7075" i="1"/>
  <c r="U7076" i="1"/>
  <c r="U7077" i="1"/>
  <c r="U7078" i="1"/>
  <c r="U7079" i="1"/>
  <c r="U7080" i="1"/>
  <c r="U7081" i="1"/>
  <c r="U7082" i="1"/>
  <c r="U7083" i="1"/>
  <c r="U7084" i="1"/>
  <c r="U7085" i="1"/>
  <c r="U7086" i="1"/>
  <c r="U7087" i="1"/>
  <c r="U7088" i="1"/>
  <c r="U7089" i="1"/>
  <c r="U7090" i="1"/>
  <c r="U7091" i="1"/>
  <c r="U7092" i="1"/>
  <c r="U7093" i="1"/>
  <c r="U7094" i="1"/>
  <c r="U7095" i="1"/>
  <c r="U7096" i="1"/>
  <c r="U7097" i="1"/>
  <c r="U7098" i="1"/>
  <c r="U7099" i="1"/>
  <c r="U7100" i="1"/>
  <c r="U7101" i="1"/>
  <c r="U7102" i="1"/>
  <c r="U7103" i="1"/>
  <c r="U7104" i="1"/>
  <c r="U7105" i="1"/>
  <c r="U7106" i="1"/>
  <c r="U7107" i="1"/>
  <c r="U7108" i="1"/>
  <c r="U7109" i="1"/>
  <c r="U7110" i="1"/>
  <c r="U7111" i="1"/>
  <c r="U7112" i="1"/>
  <c r="U7113" i="1"/>
  <c r="U7114" i="1"/>
  <c r="U7115" i="1"/>
  <c r="U7116" i="1"/>
  <c r="U7117" i="1"/>
  <c r="U7118" i="1"/>
  <c r="U7119" i="1"/>
  <c r="U7120" i="1"/>
  <c r="U7121" i="1"/>
  <c r="U7122" i="1"/>
  <c r="U7123" i="1"/>
  <c r="U7124" i="1"/>
  <c r="U7125" i="1"/>
  <c r="U7126" i="1"/>
  <c r="U7127" i="1"/>
  <c r="U7128" i="1"/>
  <c r="U7129" i="1"/>
  <c r="U7130" i="1"/>
  <c r="U7131" i="1"/>
  <c r="U7132" i="1"/>
  <c r="U7133" i="1"/>
  <c r="U7134" i="1"/>
  <c r="U7135" i="1"/>
  <c r="U7136" i="1"/>
  <c r="U7137" i="1"/>
  <c r="U7138" i="1"/>
  <c r="U7139" i="1"/>
  <c r="U7140" i="1"/>
  <c r="U7141" i="1"/>
  <c r="U7142" i="1"/>
  <c r="U7143" i="1"/>
  <c r="U7144" i="1"/>
  <c r="U7145" i="1"/>
  <c r="U7146" i="1"/>
  <c r="U7147" i="1"/>
  <c r="U7148" i="1"/>
  <c r="U7149" i="1"/>
  <c r="U7150" i="1"/>
  <c r="U7151" i="1"/>
  <c r="U7152" i="1"/>
  <c r="U7153" i="1"/>
  <c r="U7154" i="1"/>
  <c r="U7155" i="1"/>
  <c r="U7156" i="1"/>
  <c r="U7157" i="1"/>
  <c r="U7158" i="1"/>
  <c r="U7159" i="1"/>
  <c r="U7160" i="1"/>
  <c r="U7161" i="1"/>
  <c r="U7162" i="1"/>
  <c r="U7163" i="1"/>
  <c r="U7164" i="1"/>
  <c r="U7165" i="1"/>
  <c r="U7166" i="1"/>
  <c r="U7167" i="1"/>
  <c r="U7168" i="1"/>
  <c r="U7169" i="1"/>
  <c r="U7170" i="1"/>
  <c r="U7171" i="1"/>
  <c r="U7172" i="1"/>
  <c r="U7173" i="1"/>
  <c r="U7174" i="1"/>
  <c r="U7175" i="1"/>
  <c r="U7176" i="1"/>
  <c r="U7177" i="1"/>
  <c r="U7178" i="1"/>
  <c r="U7179" i="1"/>
  <c r="U7180" i="1"/>
  <c r="U7181" i="1"/>
  <c r="U7182" i="1"/>
  <c r="U7183" i="1"/>
  <c r="U7184" i="1"/>
  <c r="U7185" i="1"/>
  <c r="U7186" i="1"/>
  <c r="U7187" i="1"/>
  <c r="U7188" i="1"/>
  <c r="U7189" i="1"/>
  <c r="U7190" i="1"/>
  <c r="U7191" i="1"/>
  <c r="U7192" i="1"/>
  <c r="U7193" i="1"/>
  <c r="U7194" i="1"/>
  <c r="U7195" i="1"/>
  <c r="U7196" i="1"/>
  <c r="U7197" i="1"/>
  <c r="U7198" i="1"/>
  <c r="U7199" i="1"/>
  <c r="U7200" i="1"/>
  <c r="U7201" i="1"/>
  <c r="U7202" i="1"/>
  <c r="U7203" i="1"/>
  <c r="U7204" i="1"/>
  <c r="U7205" i="1"/>
  <c r="U7206" i="1"/>
  <c r="U7207" i="1"/>
  <c r="U7208" i="1"/>
  <c r="U7209" i="1"/>
  <c r="U7210" i="1"/>
  <c r="U7211" i="1"/>
  <c r="U7212" i="1"/>
  <c r="U7213" i="1"/>
  <c r="U7214" i="1"/>
  <c r="U7215" i="1"/>
  <c r="U7216" i="1"/>
  <c r="U7217" i="1"/>
  <c r="U7218" i="1"/>
  <c r="U7219" i="1"/>
  <c r="U7220" i="1"/>
  <c r="U7221" i="1"/>
  <c r="U7222" i="1"/>
  <c r="U7223" i="1"/>
  <c r="U7224" i="1"/>
  <c r="U7225" i="1"/>
  <c r="U7226" i="1"/>
  <c r="U7227" i="1"/>
  <c r="U7228" i="1"/>
  <c r="U7229" i="1"/>
  <c r="U7230" i="1"/>
  <c r="U7231" i="1"/>
  <c r="U7232" i="1"/>
  <c r="U7233" i="1"/>
  <c r="U7234" i="1"/>
  <c r="U7235" i="1"/>
  <c r="U7236" i="1"/>
  <c r="U7237" i="1"/>
  <c r="U7238" i="1"/>
  <c r="U7239" i="1"/>
  <c r="U7240" i="1"/>
  <c r="U7241" i="1"/>
  <c r="U7242" i="1"/>
  <c r="U7243" i="1"/>
  <c r="U7244" i="1"/>
  <c r="U7245" i="1"/>
  <c r="U7246" i="1"/>
  <c r="U7247" i="1"/>
  <c r="U7248" i="1"/>
  <c r="U7249" i="1"/>
  <c r="U7250" i="1"/>
  <c r="U7251" i="1"/>
  <c r="U7252" i="1"/>
  <c r="U7253" i="1"/>
  <c r="U7254" i="1"/>
  <c r="U7255" i="1"/>
  <c r="U7256" i="1"/>
  <c r="U7257" i="1"/>
  <c r="U7258" i="1"/>
  <c r="U7259" i="1"/>
  <c r="U7260" i="1"/>
  <c r="U7261" i="1"/>
  <c r="U7262" i="1"/>
  <c r="U7263" i="1"/>
  <c r="U7264" i="1"/>
  <c r="U7265" i="1"/>
  <c r="U7266" i="1"/>
  <c r="U7267" i="1"/>
  <c r="U7268" i="1"/>
  <c r="U7269" i="1"/>
  <c r="U7270" i="1"/>
  <c r="U7271" i="1"/>
  <c r="U7272" i="1"/>
  <c r="U7273" i="1"/>
  <c r="U7274" i="1"/>
  <c r="U7275" i="1"/>
  <c r="U7276" i="1"/>
  <c r="U7277" i="1"/>
  <c r="U7278" i="1"/>
  <c r="U7279" i="1"/>
  <c r="U7280" i="1"/>
  <c r="U7281" i="1"/>
  <c r="U7282" i="1"/>
  <c r="U7283" i="1"/>
  <c r="U7284" i="1"/>
  <c r="U7285" i="1"/>
  <c r="U7286" i="1"/>
  <c r="U7287" i="1"/>
  <c r="U7288" i="1"/>
  <c r="U7289" i="1"/>
  <c r="U7290" i="1"/>
  <c r="U7291" i="1"/>
  <c r="U7292" i="1"/>
  <c r="U7293" i="1"/>
  <c r="U7294" i="1"/>
  <c r="U7295" i="1"/>
  <c r="U7296" i="1"/>
  <c r="U7297" i="1"/>
  <c r="U7298" i="1"/>
  <c r="U7299" i="1"/>
  <c r="U7300" i="1"/>
  <c r="U7301" i="1"/>
  <c r="U7302" i="1"/>
  <c r="U7303" i="1"/>
  <c r="U7304" i="1"/>
  <c r="U7305" i="1"/>
  <c r="U7306" i="1"/>
  <c r="U7307" i="1"/>
  <c r="U7308" i="1"/>
  <c r="U7309" i="1"/>
  <c r="U7310" i="1"/>
  <c r="U7311" i="1"/>
  <c r="U7312" i="1"/>
  <c r="U7313" i="1"/>
  <c r="U7314" i="1"/>
  <c r="U7315" i="1"/>
  <c r="U7316" i="1"/>
  <c r="U7317" i="1"/>
  <c r="U7318" i="1"/>
  <c r="U7319" i="1"/>
  <c r="U7320" i="1"/>
  <c r="U7321" i="1"/>
  <c r="U7322" i="1"/>
  <c r="U7323" i="1"/>
  <c r="U7324" i="1"/>
  <c r="U7325" i="1"/>
  <c r="U7326" i="1"/>
  <c r="U7327" i="1"/>
  <c r="U7328" i="1"/>
  <c r="U7329" i="1"/>
  <c r="U7330" i="1"/>
  <c r="U7331" i="1"/>
  <c r="U7332" i="1"/>
  <c r="U7333" i="1"/>
  <c r="U7334" i="1"/>
  <c r="U7335" i="1"/>
  <c r="U7336" i="1"/>
  <c r="U7337" i="1"/>
  <c r="U7338" i="1"/>
  <c r="U7339" i="1"/>
  <c r="U7340" i="1"/>
  <c r="U7341" i="1"/>
  <c r="U7342" i="1"/>
  <c r="U7343" i="1"/>
  <c r="U7344" i="1"/>
  <c r="U7345" i="1"/>
  <c r="U7346" i="1"/>
  <c r="U7347" i="1"/>
  <c r="U7348" i="1"/>
  <c r="U7349" i="1"/>
  <c r="U7350" i="1"/>
  <c r="U7351" i="1"/>
  <c r="U7352" i="1"/>
  <c r="U7353" i="1"/>
  <c r="U7354" i="1"/>
  <c r="U7355" i="1"/>
  <c r="U7356" i="1"/>
  <c r="U7357" i="1"/>
  <c r="U7358" i="1"/>
  <c r="U7359" i="1"/>
  <c r="U7360" i="1"/>
  <c r="U7361" i="1"/>
  <c r="U7362" i="1"/>
  <c r="U7363" i="1"/>
  <c r="U7364" i="1"/>
  <c r="U7365" i="1"/>
  <c r="U7366" i="1"/>
  <c r="U7367" i="1"/>
  <c r="U7368" i="1"/>
  <c r="U7369" i="1"/>
  <c r="U7370" i="1"/>
  <c r="U7371" i="1"/>
  <c r="U7372" i="1"/>
  <c r="U7373" i="1"/>
  <c r="U7374" i="1"/>
  <c r="U7375" i="1"/>
  <c r="U7376" i="1"/>
  <c r="U7377" i="1"/>
  <c r="U7378" i="1"/>
  <c r="U7379" i="1"/>
  <c r="U7380" i="1"/>
  <c r="U7381" i="1"/>
  <c r="U7382" i="1"/>
  <c r="U7383" i="1"/>
  <c r="U7384" i="1"/>
  <c r="U7385" i="1"/>
  <c r="U7386" i="1"/>
  <c r="U7387" i="1"/>
  <c r="U7388" i="1"/>
  <c r="U7389" i="1"/>
  <c r="U7390" i="1"/>
  <c r="U7391" i="1"/>
  <c r="U7392" i="1"/>
  <c r="U7393" i="1"/>
  <c r="U7394" i="1"/>
  <c r="U7395" i="1"/>
  <c r="U7396" i="1"/>
  <c r="U7397" i="1"/>
  <c r="U7398" i="1"/>
  <c r="U7399" i="1"/>
  <c r="U7400" i="1"/>
  <c r="U7401" i="1"/>
  <c r="U7402" i="1"/>
  <c r="U7403" i="1"/>
  <c r="U7404" i="1"/>
  <c r="U7405" i="1"/>
  <c r="U7406" i="1"/>
  <c r="U7407" i="1"/>
  <c r="U7408" i="1"/>
  <c r="U7409" i="1"/>
  <c r="U7410" i="1"/>
  <c r="U7411" i="1"/>
  <c r="U7412" i="1"/>
  <c r="U7413" i="1"/>
  <c r="U7414" i="1"/>
  <c r="U7415" i="1"/>
  <c r="U7416" i="1"/>
  <c r="U7417" i="1"/>
  <c r="U7418" i="1"/>
  <c r="U7419" i="1"/>
  <c r="U7420" i="1"/>
  <c r="U7421" i="1"/>
  <c r="U7422" i="1"/>
  <c r="U7423" i="1"/>
  <c r="U7424" i="1"/>
  <c r="U7425" i="1"/>
  <c r="U7426" i="1"/>
  <c r="U7427" i="1"/>
  <c r="U7428" i="1"/>
  <c r="U7429" i="1"/>
  <c r="U7430" i="1"/>
  <c r="U7431" i="1"/>
  <c r="U7432" i="1"/>
  <c r="U7433" i="1"/>
  <c r="U7434" i="1"/>
  <c r="U7435" i="1"/>
  <c r="U7436" i="1"/>
  <c r="U7437" i="1"/>
  <c r="U7438" i="1"/>
  <c r="U7439" i="1"/>
  <c r="U7440" i="1"/>
  <c r="U7441" i="1"/>
  <c r="U7442" i="1"/>
  <c r="U7443" i="1"/>
  <c r="U7444" i="1"/>
  <c r="U7445" i="1"/>
  <c r="U7446" i="1"/>
  <c r="U7447" i="1"/>
  <c r="U7448" i="1"/>
  <c r="U7449" i="1"/>
  <c r="U7450" i="1"/>
  <c r="U7451" i="1"/>
  <c r="U7452" i="1"/>
  <c r="U7453" i="1"/>
  <c r="U7454" i="1"/>
  <c r="U7455" i="1"/>
  <c r="U7456" i="1"/>
  <c r="U7457" i="1"/>
  <c r="U7458" i="1"/>
  <c r="U7459" i="1"/>
  <c r="U7460" i="1"/>
  <c r="U7461" i="1"/>
  <c r="U7462" i="1"/>
  <c r="U7463" i="1"/>
  <c r="U7464" i="1"/>
  <c r="U7465" i="1"/>
  <c r="U7466" i="1"/>
  <c r="U7467" i="1"/>
  <c r="U7468" i="1"/>
  <c r="U7469" i="1"/>
  <c r="U7470" i="1"/>
  <c r="U7471" i="1"/>
  <c r="U7472" i="1"/>
  <c r="U7473" i="1"/>
  <c r="U7474" i="1"/>
  <c r="U7475" i="1"/>
  <c r="U7476" i="1"/>
  <c r="U7477" i="1"/>
  <c r="U7478" i="1"/>
  <c r="U7479" i="1"/>
  <c r="U7480" i="1"/>
  <c r="U7481" i="1"/>
  <c r="U7482" i="1"/>
  <c r="U7483" i="1"/>
  <c r="U7484" i="1"/>
  <c r="U7485" i="1"/>
  <c r="U7486" i="1"/>
  <c r="U7487" i="1"/>
  <c r="U7488" i="1"/>
  <c r="U7489" i="1"/>
  <c r="U7490" i="1"/>
  <c r="U7491" i="1"/>
  <c r="U7492" i="1"/>
  <c r="U7493" i="1"/>
  <c r="U7494" i="1"/>
  <c r="U7495" i="1"/>
  <c r="U7496" i="1"/>
  <c r="U7497" i="1"/>
  <c r="U7498" i="1"/>
  <c r="U7499" i="1"/>
  <c r="U7500" i="1"/>
  <c r="U7501" i="1"/>
  <c r="U7502" i="1"/>
  <c r="U7503" i="1"/>
  <c r="U7504" i="1"/>
  <c r="U7505" i="1"/>
  <c r="U7506" i="1"/>
  <c r="U7507" i="1"/>
  <c r="U7508" i="1"/>
  <c r="U7509" i="1"/>
  <c r="U7510" i="1"/>
  <c r="U7511" i="1"/>
  <c r="U7512" i="1"/>
  <c r="U7513" i="1"/>
  <c r="U7514" i="1"/>
  <c r="U7515" i="1"/>
  <c r="U7516" i="1"/>
  <c r="U7517" i="1"/>
  <c r="U7518" i="1"/>
  <c r="U7519" i="1"/>
  <c r="U7520" i="1"/>
  <c r="U7521" i="1"/>
  <c r="U7522" i="1"/>
  <c r="U7523" i="1"/>
  <c r="U7524" i="1"/>
  <c r="U7525" i="1"/>
  <c r="U7526" i="1"/>
  <c r="U7527" i="1"/>
  <c r="U7528" i="1"/>
  <c r="U7529" i="1"/>
  <c r="U7530" i="1"/>
  <c r="U7531" i="1"/>
  <c r="U7532" i="1"/>
  <c r="U7533" i="1"/>
  <c r="U7534" i="1"/>
  <c r="U7535" i="1"/>
  <c r="U7536" i="1"/>
  <c r="U7537" i="1"/>
  <c r="U7538" i="1"/>
  <c r="U7539" i="1"/>
  <c r="U7540" i="1"/>
  <c r="U7541" i="1"/>
  <c r="U7542" i="1"/>
  <c r="U7543" i="1"/>
  <c r="U7544" i="1"/>
  <c r="U7545" i="1"/>
  <c r="U7546" i="1"/>
  <c r="U7547" i="1"/>
  <c r="U7548" i="1"/>
  <c r="U7549" i="1"/>
  <c r="U7550" i="1"/>
  <c r="U7551" i="1"/>
  <c r="U7552" i="1"/>
  <c r="U7553" i="1"/>
  <c r="U7554" i="1"/>
  <c r="U7555" i="1"/>
  <c r="U7556" i="1"/>
  <c r="U7557" i="1"/>
  <c r="U7558" i="1"/>
  <c r="U7559" i="1"/>
  <c r="U7560" i="1"/>
  <c r="U7561" i="1"/>
  <c r="U7562" i="1"/>
  <c r="U7563" i="1"/>
  <c r="U7564" i="1"/>
  <c r="U7565" i="1"/>
  <c r="U7566" i="1"/>
  <c r="U7567" i="1"/>
  <c r="U7568" i="1"/>
  <c r="U7569" i="1"/>
  <c r="U7570" i="1"/>
  <c r="U7571" i="1"/>
  <c r="U7572" i="1"/>
  <c r="U7573" i="1"/>
  <c r="U7574" i="1"/>
  <c r="U7575" i="1"/>
  <c r="U7576" i="1"/>
  <c r="U7577" i="1"/>
  <c r="U7578" i="1"/>
  <c r="U7579" i="1"/>
  <c r="U7580" i="1"/>
  <c r="U7581" i="1"/>
  <c r="U7582" i="1"/>
  <c r="U7583" i="1"/>
  <c r="U7584" i="1"/>
  <c r="U7585" i="1"/>
  <c r="U7586" i="1"/>
  <c r="U7587" i="1"/>
  <c r="U7588" i="1"/>
  <c r="U7589" i="1"/>
  <c r="U7590" i="1"/>
  <c r="U7591" i="1"/>
  <c r="U7592" i="1"/>
  <c r="U7593" i="1"/>
  <c r="U7594" i="1"/>
  <c r="U7595" i="1"/>
  <c r="U7596" i="1"/>
  <c r="U7597" i="1"/>
  <c r="U7598" i="1"/>
  <c r="U7599" i="1"/>
  <c r="U7600" i="1"/>
  <c r="U7601" i="1"/>
  <c r="U7602" i="1"/>
  <c r="U7603" i="1"/>
  <c r="U7604" i="1"/>
  <c r="U7605" i="1"/>
  <c r="U7606" i="1"/>
  <c r="U7607" i="1"/>
  <c r="U7608" i="1"/>
  <c r="U7609" i="1"/>
  <c r="U7610" i="1"/>
  <c r="U7611" i="1"/>
  <c r="U7612" i="1"/>
  <c r="U7613" i="1"/>
  <c r="U7614" i="1"/>
  <c r="U7615" i="1"/>
  <c r="U7616" i="1"/>
  <c r="U7617" i="1"/>
  <c r="U7618" i="1"/>
  <c r="U7619" i="1"/>
  <c r="U7620" i="1"/>
  <c r="U7621" i="1"/>
  <c r="U7622" i="1"/>
  <c r="U7623" i="1"/>
  <c r="U7624" i="1"/>
  <c r="U7625" i="1"/>
  <c r="U7626" i="1"/>
  <c r="U7627" i="1"/>
  <c r="U7628" i="1"/>
  <c r="U7629" i="1"/>
  <c r="U7630" i="1"/>
  <c r="U7631" i="1"/>
  <c r="U7632" i="1"/>
  <c r="U7633" i="1"/>
  <c r="U7634" i="1"/>
  <c r="U7635" i="1"/>
  <c r="U7636" i="1"/>
  <c r="U7637" i="1"/>
  <c r="U7638" i="1"/>
  <c r="U7639" i="1"/>
  <c r="U7640" i="1"/>
  <c r="U7641" i="1"/>
  <c r="U7642" i="1"/>
  <c r="U7643" i="1"/>
  <c r="U7644" i="1"/>
  <c r="U7645" i="1"/>
  <c r="U7646" i="1"/>
  <c r="U7647" i="1"/>
  <c r="U7648" i="1"/>
  <c r="U7649" i="1"/>
  <c r="U7650" i="1"/>
  <c r="U7651" i="1"/>
  <c r="U7652" i="1"/>
  <c r="U7653" i="1"/>
  <c r="U7654" i="1"/>
  <c r="U7655" i="1"/>
  <c r="U7656" i="1"/>
  <c r="U7657" i="1"/>
  <c r="U7658" i="1"/>
  <c r="U7659" i="1"/>
  <c r="U7660" i="1"/>
  <c r="U7661" i="1"/>
  <c r="U7662" i="1"/>
  <c r="U7663" i="1"/>
  <c r="U7664" i="1"/>
  <c r="U7665" i="1"/>
  <c r="U7666" i="1"/>
  <c r="U7667" i="1"/>
  <c r="U7668" i="1"/>
  <c r="U7669" i="1"/>
  <c r="U7670" i="1"/>
  <c r="U7671" i="1"/>
  <c r="U7672" i="1"/>
  <c r="U7673" i="1"/>
  <c r="U7674" i="1"/>
  <c r="U7675" i="1"/>
  <c r="U7676" i="1"/>
  <c r="U7677" i="1"/>
  <c r="U7678" i="1"/>
  <c r="U7679" i="1"/>
  <c r="U7680" i="1"/>
  <c r="U7681" i="1"/>
  <c r="U7682" i="1"/>
  <c r="U7683" i="1"/>
  <c r="U7684" i="1"/>
  <c r="U7685" i="1"/>
  <c r="U7686" i="1"/>
  <c r="U7687" i="1"/>
  <c r="U7688" i="1"/>
  <c r="U7689" i="1"/>
  <c r="U7690" i="1"/>
  <c r="U7691" i="1"/>
  <c r="U7692" i="1"/>
  <c r="U7693" i="1"/>
  <c r="U7694" i="1"/>
  <c r="U7695" i="1"/>
  <c r="U7696" i="1"/>
  <c r="U7697" i="1"/>
  <c r="U7698" i="1"/>
  <c r="U7699" i="1"/>
  <c r="U7700" i="1"/>
  <c r="U7701" i="1"/>
  <c r="U7702" i="1"/>
  <c r="U7703" i="1"/>
  <c r="U7704" i="1"/>
  <c r="U7705" i="1"/>
  <c r="U7706" i="1"/>
  <c r="U7707" i="1"/>
  <c r="U7708" i="1"/>
  <c r="U7709" i="1"/>
  <c r="U7710" i="1"/>
  <c r="U7711" i="1"/>
  <c r="U7712" i="1"/>
  <c r="U7713" i="1"/>
  <c r="U7714" i="1"/>
  <c r="U7715" i="1"/>
  <c r="U7716" i="1"/>
  <c r="U7717" i="1"/>
  <c r="U7718" i="1"/>
  <c r="U7719" i="1"/>
  <c r="U7720" i="1"/>
  <c r="U7721" i="1"/>
  <c r="U7722" i="1"/>
  <c r="U7723" i="1"/>
  <c r="U7724" i="1"/>
  <c r="U7725" i="1"/>
  <c r="U7726" i="1"/>
  <c r="U7727" i="1"/>
  <c r="U7728" i="1"/>
  <c r="U7729" i="1"/>
  <c r="U7730" i="1"/>
  <c r="U7731" i="1"/>
  <c r="U7732" i="1"/>
  <c r="U7733" i="1"/>
  <c r="U7734" i="1"/>
  <c r="U7735" i="1"/>
  <c r="U7736" i="1"/>
  <c r="U7737" i="1"/>
  <c r="U7738" i="1"/>
  <c r="U7739" i="1"/>
  <c r="U7740" i="1"/>
  <c r="U7741" i="1"/>
  <c r="U7742" i="1"/>
  <c r="U7743" i="1"/>
  <c r="U7744" i="1"/>
  <c r="U7745" i="1"/>
  <c r="U7746" i="1"/>
  <c r="U7747" i="1"/>
  <c r="U7748" i="1"/>
  <c r="U7749" i="1"/>
  <c r="U7750" i="1"/>
  <c r="U7751" i="1"/>
  <c r="U7752" i="1"/>
  <c r="U7753" i="1"/>
  <c r="U7754" i="1"/>
  <c r="U7755" i="1"/>
  <c r="U7756" i="1"/>
  <c r="U7757" i="1"/>
  <c r="U7758" i="1"/>
  <c r="U7759" i="1"/>
  <c r="U7760" i="1"/>
  <c r="U7761" i="1"/>
  <c r="U7762" i="1"/>
  <c r="U7763" i="1"/>
  <c r="U7764" i="1"/>
  <c r="U7765" i="1"/>
  <c r="U7766" i="1"/>
  <c r="U7767" i="1"/>
  <c r="U7768" i="1"/>
  <c r="U7769" i="1"/>
  <c r="U7770" i="1"/>
  <c r="U7771" i="1"/>
  <c r="U7772" i="1"/>
  <c r="U7773" i="1"/>
  <c r="U7774" i="1"/>
  <c r="U7775" i="1"/>
  <c r="U7776" i="1"/>
  <c r="U7777" i="1"/>
  <c r="U7778" i="1"/>
  <c r="U7779" i="1"/>
  <c r="U7780" i="1"/>
  <c r="U7781" i="1"/>
  <c r="U7782" i="1"/>
  <c r="U7783" i="1"/>
  <c r="U7784" i="1"/>
  <c r="U7785" i="1"/>
  <c r="U7786" i="1"/>
  <c r="U7787" i="1"/>
  <c r="U7788" i="1"/>
  <c r="U7789" i="1"/>
  <c r="U7790" i="1"/>
  <c r="U7791" i="1"/>
  <c r="U7792" i="1"/>
  <c r="U7793" i="1"/>
  <c r="U7794" i="1"/>
  <c r="U7795" i="1"/>
  <c r="U7796" i="1"/>
  <c r="U7797" i="1"/>
  <c r="U7798" i="1"/>
  <c r="U7799" i="1"/>
  <c r="U7800" i="1"/>
  <c r="U7801" i="1"/>
  <c r="U7802" i="1"/>
  <c r="U7803" i="1"/>
  <c r="U7804" i="1"/>
  <c r="U7805" i="1"/>
  <c r="U7806" i="1"/>
  <c r="U7807" i="1"/>
  <c r="U7808" i="1"/>
  <c r="U7809" i="1"/>
  <c r="U7810" i="1"/>
  <c r="U7811" i="1"/>
  <c r="U7812" i="1"/>
  <c r="U7813" i="1"/>
  <c r="U7814" i="1"/>
  <c r="U7815" i="1"/>
  <c r="U7816" i="1"/>
  <c r="U7817" i="1"/>
  <c r="U7818" i="1"/>
  <c r="U7819" i="1"/>
  <c r="U7820" i="1"/>
  <c r="U7821" i="1"/>
  <c r="U7822" i="1"/>
  <c r="U7823" i="1"/>
  <c r="U7824" i="1"/>
  <c r="U7825" i="1"/>
  <c r="U7826" i="1"/>
  <c r="U7827" i="1"/>
  <c r="U7828" i="1"/>
  <c r="U7829" i="1"/>
  <c r="U7830" i="1"/>
  <c r="U7831" i="1"/>
  <c r="U7832" i="1"/>
  <c r="U7833" i="1"/>
  <c r="U7834" i="1"/>
  <c r="U7835" i="1"/>
  <c r="U7836" i="1"/>
  <c r="U7837" i="1"/>
  <c r="U7838" i="1"/>
  <c r="U7839" i="1"/>
  <c r="U7840" i="1"/>
  <c r="U7841" i="1"/>
  <c r="U7842" i="1"/>
  <c r="U7843" i="1"/>
  <c r="U7844" i="1"/>
  <c r="U7845" i="1"/>
  <c r="U7846" i="1"/>
  <c r="U7847" i="1"/>
  <c r="U7848" i="1"/>
  <c r="U7849" i="1"/>
  <c r="U7850" i="1"/>
  <c r="U7851" i="1"/>
  <c r="U7852" i="1"/>
  <c r="U7853" i="1"/>
  <c r="U7854" i="1"/>
  <c r="U7855" i="1"/>
  <c r="U7856" i="1"/>
  <c r="U7857" i="1"/>
  <c r="U7858" i="1"/>
  <c r="U7859" i="1"/>
  <c r="U7860" i="1"/>
  <c r="U7861" i="1"/>
  <c r="U7862" i="1"/>
  <c r="U7863" i="1"/>
  <c r="U7864" i="1"/>
  <c r="U7865" i="1"/>
  <c r="U7866" i="1"/>
  <c r="U7867" i="1"/>
  <c r="U7868" i="1"/>
  <c r="U7869" i="1"/>
  <c r="U7870" i="1"/>
  <c r="U7871" i="1"/>
  <c r="U7872" i="1"/>
  <c r="U7873" i="1"/>
  <c r="U7874" i="1"/>
  <c r="U7875" i="1"/>
  <c r="U7876" i="1"/>
  <c r="U7877" i="1"/>
  <c r="U7878" i="1"/>
  <c r="U7879" i="1"/>
  <c r="U7880" i="1"/>
  <c r="U7881" i="1"/>
  <c r="U7882" i="1"/>
  <c r="U7883" i="1"/>
  <c r="U7884" i="1"/>
  <c r="U7885" i="1"/>
  <c r="U7886" i="1"/>
  <c r="U7887" i="1"/>
  <c r="U7888" i="1"/>
  <c r="U7889" i="1"/>
  <c r="U7890" i="1"/>
  <c r="U7891" i="1"/>
  <c r="U7892" i="1"/>
  <c r="U7893" i="1"/>
  <c r="U7894" i="1"/>
  <c r="U7895" i="1"/>
  <c r="U7896" i="1"/>
  <c r="U7897" i="1"/>
  <c r="U7898" i="1"/>
  <c r="U7899" i="1"/>
  <c r="U7900" i="1"/>
  <c r="U7901" i="1"/>
  <c r="U7902" i="1"/>
  <c r="U7903" i="1"/>
  <c r="U7904" i="1"/>
  <c r="U7905" i="1"/>
  <c r="U7906" i="1"/>
  <c r="U7907" i="1"/>
  <c r="U7908" i="1"/>
  <c r="U7909" i="1"/>
  <c r="U7910" i="1"/>
  <c r="U7911" i="1"/>
  <c r="U7912" i="1"/>
  <c r="U7913" i="1"/>
  <c r="U7914" i="1"/>
  <c r="U7915" i="1"/>
  <c r="U7916" i="1"/>
  <c r="U7917" i="1"/>
  <c r="U7918" i="1"/>
  <c r="U7919" i="1"/>
  <c r="U7920" i="1"/>
  <c r="U7921" i="1"/>
  <c r="U7922" i="1"/>
  <c r="U7923" i="1"/>
  <c r="U7924" i="1"/>
  <c r="U7925" i="1"/>
  <c r="U7926" i="1"/>
  <c r="U7927" i="1"/>
  <c r="U7928" i="1"/>
  <c r="U7929" i="1"/>
  <c r="U7930" i="1"/>
  <c r="U7931" i="1"/>
  <c r="U7932" i="1"/>
  <c r="U7933" i="1"/>
  <c r="U7934" i="1"/>
  <c r="U7935" i="1"/>
  <c r="U7936" i="1"/>
  <c r="U7937" i="1"/>
  <c r="U7938" i="1"/>
  <c r="U7939" i="1"/>
  <c r="U7940" i="1"/>
  <c r="U7941" i="1"/>
  <c r="U7942" i="1"/>
  <c r="U7943" i="1"/>
  <c r="U7944" i="1"/>
  <c r="U7945" i="1"/>
  <c r="U7946" i="1"/>
  <c r="U7947" i="1"/>
  <c r="U7948" i="1"/>
  <c r="U7949" i="1"/>
  <c r="U7950" i="1"/>
  <c r="U7951" i="1"/>
  <c r="U7952" i="1"/>
  <c r="U7953" i="1"/>
  <c r="U7954" i="1"/>
  <c r="U7955" i="1"/>
  <c r="U7956" i="1"/>
  <c r="U7957" i="1"/>
  <c r="U7958" i="1"/>
  <c r="U7959" i="1"/>
  <c r="U7960" i="1"/>
  <c r="U7961" i="1"/>
  <c r="U7962" i="1"/>
  <c r="U7963" i="1"/>
  <c r="U7964" i="1"/>
  <c r="U7965" i="1"/>
  <c r="U7966" i="1"/>
  <c r="U7967" i="1"/>
  <c r="U7968" i="1"/>
  <c r="U7969" i="1"/>
  <c r="U7970" i="1"/>
  <c r="U7971" i="1"/>
  <c r="U7972" i="1"/>
  <c r="U7973" i="1"/>
  <c r="U7974" i="1"/>
  <c r="U7975" i="1"/>
  <c r="U7976" i="1"/>
  <c r="U7977" i="1"/>
  <c r="U7978" i="1"/>
  <c r="U7979" i="1"/>
  <c r="U7980" i="1"/>
  <c r="U7981" i="1"/>
  <c r="U7982" i="1"/>
  <c r="U7983" i="1"/>
  <c r="U7984" i="1"/>
  <c r="U7985" i="1"/>
  <c r="U7986" i="1"/>
  <c r="U7987" i="1"/>
  <c r="U7988" i="1"/>
  <c r="U7989" i="1"/>
  <c r="U7990" i="1"/>
  <c r="U7991" i="1"/>
  <c r="U7992" i="1"/>
  <c r="U7993" i="1"/>
  <c r="U7994" i="1"/>
  <c r="U7995" i="1"/>
  <c r="U7996" i="1"/>
  <c r="U7997" i="1"/>
  <c r="U7998" i="1"/>
  <c r="U7999" i="1"/>
  <c r="U8000" i="1"/>
  <c r="U8001" i="1"/>
  <c r="U8002" i="1"/>
  <c r="U8003" i="1"/>
  <c r="U8004" i="1"/>
  <c r="U8005" i="1"/>
  <c r="U8006" i="1"/>
  <c r="U8007" i="1"/>
  <c r="U8008" i="1"/>
  <c r="U8009" i="1"/>
  <c r="U8010" i="1"/>
  <c r="U8011" i="1"/>
  <c r="U8012" i="1"/>
  <c r="U8013" i="1"/>
  <c r="U8014" i="1"/>
  <c r="U8015" i="1"/>
  <c r="U8016" i="1"/>
  <c r="U8017" i="1"/>
  <c r="U8018" i="1"/>
  <c r="U8019" i="1"/>
  <c r="U8020" i="1"/>
  <c r="U8021" i="1"/>
  <c r="U8022" i="1"/>
  <c r="U8023" i="1"/>
  <c r="U8024" i="1"/>
  <c r="U8025" i="1"/>
  <c r="U8026" i="1"/>
  <c r="U8027" i="1"/>
  <c r="U8028" i="1"/>
  <c r="U8029" i="1"/>
  <c r="U8030" i="1"/>
  <c r="U8031" i="1"/>
  <c r="U8032" i="1"/>
  <c r="U8033" i="1"/>
  <c r="U8034" i="1"/>
  <c r="U8035" i="1"/>
  <c r="U8036" i="1"/>
  <c r="U8037" i="1"/>
  <c r="U8038" i="1"/>
  <c r="U8039" i="1"/>
  <c r="U8040" i="1"/>
  <c r="U8041" i="1"/>
  <c r="U8042" i="1"/>
  <c r="U8043" i="1"/>
  <c r="U8044" i="1"/>
  <c r="U8045" i="1"/>
  <c r="U8046" i="1"/>
  <c r="U8047" i="1"/>
  <c r="U8048" i="1"/>
  <c r="U8049" i="1"/>
  <c r="U8050" i="1"/>
  <c r="U8051" i="1"/>
  <c r="U8052" i="1"/>
  <c r="U8053" i="1"/>
  <c r="U8054" i="1"/>
  <c r="U8055" i="1"/>
  <c r="U8056" i="1"/>
  <c r="U8057" i="1"/>
  <c r="U8058" i="1"/>
  <c r="U8059" i="1"/>
  <c r="U8060" i="1"/>
  <c r="U8061" i="1"/>
  <c r="U8062" i="1"/>
  <c r="U8063" i="1"/>
  <c r="U8064" i="1"/>
  <c r="U8065" i="1"/>
  <c r="U8066" i="1"/>
  <c r="U8067" i="1"/>
  <c r="U8068" i="1"/>
  <c r="U8069" i="1"/>
  <c r="U8070" i="1"/>
  <c r="U8071" i="1"/>
  <c r="U8072" i="1"/>
  <c r="U8073" i="1"/>
  <c r="U8074" i="1"/>
  <c r="U8075" i="1"/>
  <c r="U8076" i="1"/>
  <c r="U8077" i="1"/>
  <c r="U8078" i="1"/>
  <c r="U8079" i="1"/>
  <c r="U8080" i="1"/>
  <c r="U8081" i="1"/>
  <c r="U8082" i="1"/>
  <c r="U8083" i="1"/>
  <c r="U8084" i="1"/>
  <c r="U8085" i="1"/>
  <c r="U8086" i="1"/>
  <c r="U8087" i="1"/>
  <c r="U8088" i="1"/>
  <c r="U8089" i="1"/>
  <c r="U8090" i="1"/>
  <c r="U8091" i="1"/>
  <c r="U8092" i="1"/>
  <c r="U8093" i="1"/>
  <c r="U8094" i="1"/>
  <c r="U8095" i="1"/>
  <c r="U8096" i="1"/>
  <c r="U8097" i="1"/>
  <c r="U8098" i="1"/>
  <c r="U8099" i="1"/>
  <c r="U8100" i="1"/>
  <c r="U8101" i="1"/>
  <c r="U8102" i="1"/>
  <c r="U8103" i="1"/>
  <c r="U8104" i="1"/>
  <c r="U8105" i="1"/>
  <c r="U8106" i="1"/>
  <c r="U8107" i="1"/>
  <c r="U8108" i="1"/>
  <c r="U8109" i="1"/>
  <c r="U8110" i="1"/>
  <c r="U8111" i="1"/>
  <c r="U8112" i="1"/>
  <c r="U8113" i="1"/>
  <c r="U8114" i="1"/>
  <c r="U8115" i="1"/>
  <c r="U8116" i="1"/>
  <c r="U8117" i="1"/>
  <c r="U8118" i="1"/>
  <c r="U8119" i="1"/>
  <c r="U8120" i="1"/>
  <c r="U8121" i="1"/>
  <c r="U8122" i="1"/>
  <c r="U8123" i="1"/>
  <c r="U8124" i="1"/>
  <c r="U8125" i="1"/>
  <c r="U8126" i="1"/>
  <c r="U8127" i="1"/>
  <c r="U8128" i="1"/>
  <c r="U8129" i="1"/>
  <c r="U8130" i="1"/>
  <c r="U8131" i="1"/>
  <c r="U8132" i="1"/>
  <c r="U8133" i="1"/>
  <c r="U8134" i="1"/>
  <c r="U8135" i="1"/>
  <c r="U8136" i="1"/>
  <c r="U8137" i="1"/>
  <c r="U8138" i="1"/>
  <c r="U8139" i="1"/>
  <c r="U8140" i="1"/>
  <c r="U8141" i="1"/>
  <c r="U8142" i="1"/>
  <c r="U8143" i="1"/>
  <c r="U8144" i="1"/>
  <c r="U8145" i="1"/>
  <c r="U8146" i="1"/>
  <c r="U8147" i="1"/>
  <c r="U8148" i="1"/>
  <c r="U8149" i="1"/>
  <c r="U8150" i="1"/>
  <c r="U8151" i="1"/>
  <c r="U8152" i="1"/>
  <c r="U8153" i="1"/>
  <c r="U8154" i="1"/>
  <c r="U8155" i="1"/>
  <c r="U8156" i="1"/>
  <c r="U8157" i="1"/>
  <c r="U8158" i="1"/>
  <c r="U8159" i="1"/>
  <c r="U8160" i="1"/>
  <c r="U8161" i="1"/>
  <c r="U8162" i="1"/>
  <c r="U8163" i="1"/>
  <c r="U8164" i="1"/>
  <c r="U8165" i="1"/>
  <c r="U8166" i="1"/>
  <c r="U8167" i="1"/>
  <c r="U8168" i="1"/>
  <c r="U8169" i="1"/>
  <c r="U8170" i="1"/>
  <c r="U8171" i="1"/>
  <c r="U8172" i="1"/>
  <c r="U8173" i="1"/>
  <c r="U8174" i="1"/>
  <c r="U8175" i="1"/>
  <c r="U8176" i="1"/>
  <c r="U8177" i="1"/>
  <c r="U8178" i="1"/>
  <c r="U8179" i="1"/>
  <c r="U8180" i="1"/>
  <c r="U8181" i="1"/>
  <c r="U8182" i="1"/>
  <c r="U8183" i="1"/>
  <c r="U8184" i="1"/>
  <c r="U8185" i="1"/>
  <c r="U8186" i="1"/>
  <c r="U8187" i="1"/>
  <c r="U8188" i="1"/>
  <c r="U8189" i="1"/>
  <c r="U8190" i="1"/>
  <c r="U8191" i="1"/>
  <c r="U8192" i="1"/>
  <c r="U8193" i="1"/>
  <c r="U8194" i="1"/>
  <c r="U8195" i="1"/>
  <c r="U8196" i="1"/>
  <c r="U8197" i="1"/>
  <c r="U8198" i="1"/>
  <c r="U8199" i="1"/>
  <c r="U8200" i="1"/>
  <c r="U8201" i="1"/>
  <c r="U8202" i="1"/>
  <c r="U8203" i="1"/>
  <c r="U8204" i="1"/>
  <c r="U8205" i="1"/>
  <c r="U8206" i="1"/>
  <c r="U8207" i="1"/>
  <c r="U8208" i="1"/>
  <c r="U8209" i="1"/>
  <c r="U8210" i="1"/>
  <c r="U8211" i="1"/>
  <c r="U8212" i="1"/>
  <c r="U8213" i="1"/>
  <c r="U8214" i="1"/>
  <c r="U8215" i="1"/>
  <c r="U8216" i="1"/>
  <c r="U8217" i="1"/>
  <c r="U8218" i="1"/>
  <c r="U8219" i="1"/>
  <c r="U8220" i="1"/>
  <c r="U8221" i="1"/>
  <c r="U8222" i="1"/>
  <c r="U8223" i="1"/>
  <c r="U8224" i="1"/>
  <c r="U8225" i="1"/>
  <c r="U8226" i="1"/>
  <c r="U8227" i="1"/>
  <c r="U8228" i="1"/>
  <c r="U8229" i="1"/>
  <c r="U8230" i="1"/>
  <c r="U8231" i="1"/>
  <c r="U8232" i="1"/>
  <c r="U8233" i="1"/>
  <c r="U8234" i="1"/>
  <c r="U8235" i="1"/>
  <c r="U8236" i="1"/>
  <c r="U8237" i="1"/>
  <c r="U8238" i="1"/>
  <c r="U8239" i="1"/>
  <c r="U8240" i="1"/>
  <c r="U8241" i="1"/>
  <c r="U8242" i="1"/>
  <c r="U8243" i="1"/>
  <c r="U8244" i="1"/>
  <c r="U8245" i="1"/>
  <c r="U8246" i="1"/>
  <c r="U8247" i="1"/>
  <c r="U8248" i="1"/>
  <c r="U8249" i="1"/>
  <c r="U8250" i="1"/>
  <c r="U8251" i="1"/>
  <c r="U8252" i="1"/>
  <c r="U8253" i="1"/>
  <c r="U8254" i="1"/>
  <c r="U8255" i="1"/>
  <c r="U8256" i="1"/>
  <c r="U8257" i="1"/>
  <c r="U8258" i="1"/>
  <c r="U8259" i="1"/>
  <c r="U8260" i="1"/>
  <c r="U8261" i="1"/>
  <c r="U8262" i="1"/>
  <c r="U8263" i="1"/>
  <c r="U8264" i="1"/>
  <c r="U8265" i="1"/>
  <c r="U8266" i="1"/>
  <c r="U8267" i="1"/>
  <c r="U8268" i="1"/>
  <c r="U8269" i="1"/>
  <c r="U8270" i="1"/>
  <c r="U8271" i="1"/>
  <c r="U8272" i="1"/>
  <c r="U8273" i="1"/>
  <c r="U8274" i="1"/>
  <c r="U8275" i="1"/>
  <c r="U8276" i="1"/>
  <c r="U8277" i="1"/>
  <c r="U8278" i="1"/>
  <c r="U8279" i="1"/>
  <c r="U8280" i="1"/>
  <c r="U8281" i="1"/>
  <c r="U8282" i="1"/>
  <c r="U8283" i="1"/>
  <c r="U8284" i="1"/>
  <c r="U8285" i="1"/>
  <c r="U8286" i="1"/>
  <c r="U8287" i="1"/>
  <c r="U8288" i="1"/>
  <c r="U8289" i="1"/>
  <c r="U8290" i="1"/>
  <c r="U8291" i="1"/>
  <c r="U8292" i="1"/>
  <c r="U8293" i="1"/>
  <c r="U8294" i="1"/>
  <c r="U8295" i="1"/>
  <c r="U8296" i="1"/>
  <c r="U8297" i="1"/>
  <c r="U8298" i="1"/>
  <c r="U8299" i="1"/>
  <c r="U8300" i="1"/>
  <c r="U8301" i="1"/>
  <c r="U8302" i="1"/>
  <c r="U8303" i="1"/>
  <c r="U8304" i="1"/>
  <c r="U8305" i="1"/>
  <c r="U8306" i="1"/>
  <c r="U8307" i="1"/>
  <c r="U8308" i="1"/>
  <c r="U8309" i="1"/>
  <c r="U8310" i="1"/>
  <c r="U8311" i="1"/>
  <c r="U8312" i="1"/>
  <c r="U8313" i="1"/>
  <c r="U8314" i="1"/>
  <c r="U8315" i="1"/>
  <c r="U8316" i="1"/>
  <c r="U8317" i="1"/>
  <c r="U8318" i="1"/>
  <c r="U8319" i="1"/>
  <c r="U8320" i="1"/>
  <c r="U8321" i="1"/>
  <c r="U8322" i="1"/>
  <c r="U8323" i="1"/>
  <c r="U8324" i="1"/>
  <c r="U8325" i="1"/>
  <c r="U8326" i="1"/>
  <c r="U8327" i="1"/>
  <c r="U8328" i="1"/>
  <c r="U8329" i="1"/>
  <c r="U8330" i="1"/>
  <c r="U8331" i="1"/>
  <c r="U8332" i="1"/>
  <c r="U8333" i="1"/>
  <c r="U8334" i="1"/>
  <c r="U8335" i="1"/>
  <c r="U8336" i="1"/>
  <c r="U8337" i="1"/>
  <c r="U8338" i="1"/>
  <c r="U8339" i="1"/>
  <c r="U8340" i="1"/>
  <c r="U8341" i="1"/>
  <c r="U8342" i="1"/>
  <c r="U8343" i="1"/>
  <c r="U8344" i="1"/>
  <c r="U8345" i="1"/>
  <c r="U8346" i="1"/>
  <c r="U8347" i="1"/>
  <c r="U8348" i="1"/>
  <c r="U8349" i="1"/>
  <c r="U8350" i="1"/>
  <c r="U8351" i="1"/>
  <c r="U8352" i="1"/>
  <c r="U8353" i="1"/>
  <c r="U8354" i="1"/>
  <c r="U8355" i="1"/>
  <c r="U8356" i="1"/>
  <c r="U8357" i="1"/>
  <c r="U8358" i="1"/>
  <c r="U8359" i="1"/>
  <c r="U8360" i="1"/>
  <c r="U8361" i="1"/>
  <c r="U8362" i="1"/>
  <c r="U8363" i="1"/>
  <c r="U8364" i="1"/>
  <c r="U8365" i="1"/>
  <c r="U8366" i="1"/>
  <c r="U8367" i="1"/>
  <c r="U8368" i="1"/>
  <c r="U8369" i="1"/>
  <c r="U8370" i="1"/>
  <c r="U8371" i="1"/>
  <c r="U8372" i="1"/>
  <c r="U8373" i="1"/>
  <c r="U8374" i="1"/>
  <c r="U8375" i="1"/>
  <c r="U8376" i="1"/>
  <c r="U8377" i="1"/>
  <c r="U8378" i="1"/>
  <c r="U8379" i="1"/>
  <c r="U8380" i="1"/>
  <c r="U8381" i="1"/>
  <c r="U8382" i="1"/>
  <c r="U8383" i="1"/>
  <c r="U8384" i="1"/>
  <c r="U8385" i="1"/>
  <c r="U8386" i="1"/>
  <c r="U8387" i="1"/>
  <c r="U8388" i="1"/>
  <c r="U8389" i="1"/>
  <c r="U8390" i="1"/>
  <c r="U8391" i="1"/>
  <c r="U8392" i="1"/>
  <c r="U8393" i="1"/>
  <c r="U8394" i="1"/>
  <c r="U8395" i="1"/>
  <c r="U8396" i="1"/>
  <c r="U8397" i="1"/>
  <c r="U8398" i="1"/>
  <c r="U8399" i="1"/>
  <c r="U8400" i="1"/>
  <c r="U8401" i="1"/>
  <c r="U8402" i="1"/>
  <c r="U8403" i="1"/>
  <c r="U8404" i="1"/>
  <c r="U8405" i="1"/>
  <c r="U8406" i="1"/>
  <c r="U8407" i="1"/>
  <c r="U8408" i="1"/>
  <c r="U8409" i="1"/>
  <c r="U8410" i="1"/>
  <c r="U8411" i="1"/>
  <c r="U8412" i="1"/>
  <c r="U8413" i="1"/>
  <c r="U8414" i="1"/>
  <c r="U8415" i="1"/>
  <c r="U8416" i="1"/>
  <c r="U8417" i="1"/>
  <c r="U8418" i="1"/>
  <c r="U8419" i="1"/>
  <c r="U8420" i="1"/>
  <c r="U8421" i="1"/>
  <c r="U8422" i="1"/>
  <c r="U8423" i="1"/>
  <c r="U8424" i="1"/>
  <c r="U8425" i="1"/>
  <c r="U8426" i="1"/>
  <c r="U8427" i="1"/>
  <c r="U8428" i="1"/>
  <c r="U8429" i="1"/>
  <c r="U8430" i="1"/>
  <c r="U8431" i="1"/>
  <c r="U8432" i="1"/>
  <c r="U8433" i="1"/>
  <c r="U8434" i="1"/>
  <c r="U8435" i="1"/>
  <c r="U8436" i="1"/>
  <c r="U8437" i="1"/>
  <c r="U8438" i="1"/>
  <c r="U8439" i="1"/>
  <c r="U8440" i="1"/>
  <c r="U8441" i="1"/>
  <c r="U8442" i="1"/>
  <c r="U8443" i="1"/>
  <c r="U8444" i="1"/>
  <c r="U8445" i="1"/>
  <c r="U8446" i="1"/>
  <c r="U8447" i="1"/>
  <c r="U8448" i="1"/>
  <c r="U8449" i="1"/>
  <c r="U8450" i="1"/>
  <c r="U8451" i="1"/>
  <c r="U8452" i="1"/>
  <c r="U8453" i="1"/>
  <c r="U8454" i="1"/>
  <c r="U8455" i="1"/>
  <c r="U8456" i="1"/>
  <c r="U8457" i="1"/>
  <c r="U8458" i="1"/>
  <c r="U8459" i="1"/>
  <c r="U8460" i="1"/>
  <c r="U8461" i="1"/>
  <c r="U8462" i="1"/>
  <c r="U8463" i="1"/>
  <c r="U8464" i="1"/>
  <c r="U8465" i="1"/>
  <c r="U8466" i="1"/>
  <c r="U8467" i="1"/>
  <c r="U8468" i="1"/>
  <c r="U8469" i="1"/>
  <c r="U8470" i="1"/>
  <c r="U8471" i="1"/>
  <c r="U8472" i="1"/>
  <c r="U8473" i="1"/>
  <c r="U8474" i="1"/>
  <c r="U8475" i="1"/>
  <c r="U8476" i="1"/>
  <c r="U8477" i="1"/>
  <c r="U8478" i="1"/>
  <c r="U8479" i="1"/>
  <c r="U8480" i="1"/>
  <c r="U8481" i="1"/>
  <c r="U8482" i="1"/>
  <c r="U8483" i="1"/>
  <c r="U8484" i="1"/>
  <c r="U8485" i="1"/>
  <c r="U8486" i="1"/>
  <c r="U8487" i="1"/>
  <c r="U8488" i="1"/>
  <c r="U8489" i="1"/>
  <c r="U8490" i="1"/>
  <c r="U8491" i="1"/>
  <c r="U8492" i="1"/>
  <c r="U8493" i="1"/>
  <c r="U8494" i="1"/>
  <c r="U8495" i="1"/>
  <c r="U8496" i="1"/>
  <c r="U8497" i="1"/>
  <c r="U8498" i="1"/>
  <c r="U8499" i="1"/>
  <c r="U8500" i="1"/>
  <c r="U8501" i="1"/>
  <c r="U8502" i="1"/>
  <c r="U8503" i="1"/>
  <c r="U8504" i="1"/>
  <c r="U8505" i="1"/>
  <c r="U8506" i="1"/>
  <c r="U8507" i="1"/>
  <c r="U8508" i="1"/>
  <c r="U8509" i="1"/>
  <c r="U8510" i="1"/>
  <c r="U8511" i="1"/>
  <c r="U8512" i="1"/>
  <c r="U8513" i="1"/>
  <c r="U8514" i="1"/>
  <c r="U8515" i="1"/>
  <c r="U8516" i="1"/>
  <c r="U8517" i="1"/>
  <c r="U8518" i="1"/>
  <c r="U8519" i="1"/>
  <c r="U8520" i="1"/>
  <c r="U8521" i="1"/>
  <c r="U8522" i="1"/>
  <c r="U8523" i="1"/>
  <c r="U8524" i="1"/>
  <c r="U8525" i="1"/>
  <c r="U8526" i="1"/>
  <c r="U8527" i="1"/>
  <c r="U8528" i="1"/>
  <c r="U8529" i="1"/>
  <c r="U8530" i="1"/>
  <c r="U8531" i="1"/>
  <c r="U8532" i="1"/>
  <c r="U8533" i="1"/>
  <c r="U8534" i="1"/>
  <c r="U8535" i="1"/>
  <c r="U8536" i="1"/>
  <c r="U8537" i="1"/>
  <c r="U8538" i="1"/>
  <c r="U8539" i="1"/>
  <c r="U8540" i="1"/>
  <c r="U8541" i="1"/>
  <c r="U8542" i="1"/>
  <c r="U8543" i="1"/>
  <c r="U8544" i="1"/>
  <c r="U8545" i="1"/>
  <c r="U8546" i="1"/>
  <c r="U8547" i="1"/>
  <c r="U8548" i="1"/>
  <c r="U8549" i="1"/>
  <c r="U8550" i="1"/>
  <c r="U8551" i="1"/>
  <c r="U8552" i="1"/>
  <c r="U8553" i="1"/>
  <c r="U8554" i="1"/>
  <c r="U8555" i="1"/>
  <c r="U8556" i="1"/>
  <c r="U8557" i="1"/>
  <c r="U8558" i="1"/>
  <c r="U8559" i="1"/>
  <c r="U8560" i="1"/>
  <c r="U8561" i="1"/>
  <c r="U8562" i="1"/>
  <c r="U8563" i="1"/>
  <c r="U8564" i="1"/>
  <c r="U8565" i="1"/>
  <c r="U8566" i="1"/>
  <c r="U8567" i="1"/>
  <c r="U8568" i="1"/>
  <c r="U8569" i="1"/>
  <c r="U8570" i="1"/>
  <c r="U8571" i="1"/>
  <c r="U8572" i="1"/>
  <c r="U8573" i="1"/>
  <c r="U8574" i="1"/>
  <c r="U8575" i="1"/>
  <c r="U8576" i="1"/>
  <c r="U8577" i="1"/>
  <c r="U8578" i="1"/>
  <c r="U8579" i="1"/>
  <c r="U8580" i="1"/>
  <c r="U8581" i="1"/>
  <c r="U8582" i="1"/>
  <c r="U8583" i="1"/>
  <c r="U8584" i="1"/>
  <c r="U8585" i="1"/>
  <c r="U8586" i="1"/>
  <c r="U8587" i="1"/>
  <c r="U8588" i="1"/>
  <c r="U8589" i="1"/>
  <c r="U8590" i="1"/>
  <c r="U8591" i="1"/>
  <c r="U8592" i="1"/>
  <c r="U8593" i="1"/>
  <c r="U8594" i="1"/>
  <c r="U8595" i="1"/>
  <c r="U8596" i="1"/>
  <c r="U8597" i="1"/>
  <c r="U8598" i="1"/>
  <c r="U8599" i="1"/>
  <c r="U8600" i="1"/>
  <c r="U8601" i="1"/>
  <c r="U8602" i="1"/>
  <c r="U8603" i="1"/>
  <c r="U8604" i="1"/>
  <c r="U8605" i="1"/>
  <c r="U8606" i="1"/>
  <c r="U8607" i="1"/>
  <c r="U8608" i="1"/>
  <c r="U8609" i="1"/>
  <c r="U8610" i="1"/>
  <c r="U8611" i="1"/>
  <c r="U8612" i="1"/>
  <c r="U8613" i="1"/>
  <c r="U8614" i="1"/>
  <c r="U8615" i="1"/>
  <c r="U8616" i="1"/>
  <c r="U8617" i="1"/>
  <c r="U8618" i="1"/>
  <c r="U8619" i="1"/>
  <c r="U8620" i="1"/>
  <c r="U8621" i="1"/>
  <c r="U8622" i="1"/>
  <c r="U8623" i="1"/>
  <c r="U8624" i="1"/>
  <c r="U8625" i="1"/>
  <c r="U8626" i="1"/>
  <c r="U8627" i="1"/>
  <c r="U8628" i="1"/>
  <c r="U8629" i="1"/>
  <c r="U8630" i="1"/>
  <c r="U8631" i="1"/>
  <c r="U8632" i="1"/>
  <c r="U8633" i="1"/>
  <c r="U8634" i="1"/>
  <c r="U8635" i="1"/>
  <c r="U8636" i="1"/>
  <c r="U8637" i="1"/>
  <c r="U8638" i="1"/>
  <c r="U8639" i="1"/>
  <c r="U8640" i="1"/>
  <c r="U8641" i="1"/>
  <c r="U8642" i="1"/>
  <c r="U8643" i="1"/>
  <c r="U8644" i="1"/>
  <c r="U8645" i="1"/>
  <c r="U8646" i="1"/>
  <c r="U8647" i="1"/>
  <c r="U8648" i="1"/>
  <c r="U8649" i="1"/>
  <c r="U8650" i="1"/>
  <c r="U8651" i="1"/>
  <c r="U8652" i="1"/>
  <c r="U8653" i="1"/>
  <c r="U8654" i="1"/>
  <c r="U8655" i="1"/>
  <c r="U8656" i="1"/>
  <c r="U8657" i="1"/>
  <c r="U8658" i="1"/>
  <c r="U8659" i="1"/>
  <c r="U8660" i="1"/>
  <c r="U8661" i="1"/>
  <c r="U8662" i="1"/>
  <c r="U8663" i="1"/>
  <c r="U8664" i="1"/>
  <c r="U8665" i="1"/>
  <c r="U8666" i="1"/>
  <c r="U8667" i="1"/>
  <c r="U8668" i="1"/>
  <c r="U8669" i="1"/>
  <c r="U8670" i="1"/>
  <c r="U8671" i="1"/>
  <c r="U8672" i="1"/>
  <c r="U8673" i="1"/>
  <c r="U8674" i="1"/>
  <c r="U8675" i="1"/>
  <c r="U8676" i="1"/>
  <c r="U8677" i="1"/>
  <c r="U8678" i="1"/>
  <c r="U8679" i="1"/>
  <c r="U8680" i="1"/>
  <c r="U8681" i="1"/>
  <c r="U8682" i="1"/>
  <c r="U8683" i="1"/>
  <c r="U8684" i="1"/>
  <c r="U8685" i="1"/>
  <c r="U8686" i="1"/>
  <c r="U8687" i="1"/>
  <c r="U8688" i="1"/>
  <c r="U8689" i="1"/>
  <c r="U8690" i="1"/>
  <c r="U8691" i="1"/>
  <c r="U8692" i="1"/>
  <c r="U8693" i="1"/>
  <c r="U8694" i="1"/>
  <c r="U8695" i="1"/>
  <c r="U8696" i="1"/>
  <c r="U8697" i="1"/>
  <c r="U8698" i="1"/>
  <c r="U8699" i="1"/>
  <c r="U8700" i="1"/>
  <c r="U8701" i="1"/>
  <c r="U8702" i="1"/>
  <c r="U8703" i="1"/>
  <c r="U8704" i="1"/>
  <c r="U8705" i="1"/>
  <c r="U8706" i="1"/>
  <c r="U8707" i="1"/>
  <c r="U8708" i="1"/>
  <c r="U8709" i="1"/>
  <c r="U8710" i="1"/>
  <c r="U8711" i="1"/>
  <c r="U8712" i="1"/>
  <c r="U8713" i="1"/>
  <c r="U8714" i="1"/>
  <c r="U8715" i="1"/>
  <c r="U8716" i="1"/>
  <c r="U8717" i="1"/>
  <c r="U8718" i="1"/>
  <c r="U8719" i="1"/>
  <c r="U8720" i="1"/>
  <c r="U8721" i="1"/>
  <c r="U8722" i="1"/>
  <c r="U8723" i="1"/>
  <c r="U8724" i="1"/>
  <c r="U8725" i="1"/>
  <c r="U8726" i="1"/>
  <c r="U8727" i="1"/>
  <c r="U8728" i="1"/>
  <c r="U8729" i="1"/>
  <c r="U8730" i="1"/>
  <c r="U8731" i="1"/>
  <c r="U8732" i="1"/>
  <c r="U8733" i="1"/>
  <c r="U8734" i="1"/>
  <c r="U8735" i="1"/>
  <c r="U8736" i="1"/>
  <c r="U8737" i="1"/>
  <c r="U8738" i="1"/>
  <c r="U8739" i="1"/>
  <c r="U8740" i="1"/>
  <c r="U8741" i="1"/>
  <c r="U8742" i="1"/>
  <c r="U8743" i="1"/>
  <c r="U8744" i="1"/>
  <c r="U8745" i="1"/>
  <c r="U8746" i="1"/>
  <c r="U8747" i="1"/>
  <c r="U8748" i="1"/>
  <c r="U8749" i="1"/>
  <c r="U8750" i="1"/>
  <c r="U8751" i="1"/>
  <c r="U8752" i="1"/>
  <c r="U8753" i="1"/>
  <c r="U8754" i="1"/>
  <c r="U8755" i="1"/>
  <c r="U8756" i="1"/>
  <c r="U8757" i="1"/>
  <c r="U8758" i="1"/>
  <c r="U8759" i="1"/>
  <c r="U8760" i="1"/>
  <c r="U8761" i="1"/>
  <c r="U8762" i="1"/>
  <c r="U8763" i="1"/>
  <c r="U8764" i="1"/>
  <c r="U8765" i="1"/>
  <c r="U8766" i="1"/>
  <c r="U8767" i="1"/>
  <c r="U8768" i="1"/>
  <c r="U8769" i="1"/>
  <c r="U8770" i="1"/>
  <c r="U8771" i="1"/>
  <c r="U8772" i="1"/>
  <c r="U8773" i="1"/>
  <c r="U8774" i="1"/>
  <c r="U8775" i="1"/>
  <c r="U8776" i="1"/>
  <c r="U8777" i="1"/>
  <c r="U8778" i="1"/>
  <c r="U8779" i="1"/>
  <c r="U8780" i="1"/>
  <c r="U8781" i="1"/>
  <c r="U8782" i="1"/>
  <c r="U8783" i="1"/>
  <c r="U8784" i="1"/>
  <c r="U8785" i="1"/>
  <c r="U8786" i="1"/>
  <c r="U8787" i="1"/>
  <c r="U8788" i="1"/>
  <c r="U8789" i="1"/>
  <c r="U8790" i="1"/>
  <c r="U8791" i="1"/>
  <c r="U8792" i="1"/>
  <c r="U8793" i="1"/>
  <c r="U8794" i="1"/>
  <c r="U8795" i="1"/>
  <c r="U8796" i="1"/>
  <c r="U8797" i="1"/>
  <c r="U8798" i="1"/>
  <c r="U8799" i="1"/>
  <c r="U8800" i="1"/>
  <c r="U8801" i="1"/>
  <c r="U8802" i="1"/>
  <c r="U8803" i="1"/>
  <c r="U8804" i="1"/>
  <c r="U8805" i="1"/>
  <c r="U8806" i="1"/>
  <c r="U8807" i="1"/>
  <c r="U8808" i="1"/>
  <c r="U8809" i="1"/>
  <c r="U8810" i="1"/>
  <c r="U8811" i="1"/>
  <c r="U8812" i="1"/>
  <c r="U8813" i="1"/>
  <c r="U8814" i="1"/>
  <c r="U8815" i="1"/>
  <c r="U8816" i="1"/>
  <c r="U8817" i="1"/>
  <c r="U8818" i="1"/>
  <c r="U8819" i="1"/>
  <c r="U8820" i="1"/>
  <c r="U8821" i="1"/>
  <c r="U8822" i="1"/>
  <c r="U8823" i="1"/>
  <c r="U8824" i="1"/>
  <c r="U8825" i="1"/>
  <c r="U8826" i="1"/>
  <c r="U8827" i="1"/>
  <c r="U8828" i="1"/>
  <c r="U8829" i="1"/>
  <c r="U8830" i="1"/>
  <c r="U8831" i="1"/>
  <c r="U8832" i="1"/>
  <c r="U8833" i="1"/>
  <c r="U8834" i="1"/>
  <c r="U8835" i="1"/>
  <c r="U8836" i="1"/>
  <c r="U8837" i="1"/>
  <c r="U8838" i="1"/>
  <c r="U8839" i="1"/>
  <c r="U8840" i="1"/>
  <c r="U8841" i="1"/>
  <c r="U8842" i="1"/>
  <c r="U8843" i="1"/>
  <c r="U8844" i="1"/>
  <c r="U8845" i="1"/>
  <c r="U8846" i="1"/>
  <c r="U8847" i="1"/>
  <c r="U8848" i="1"/>
  <c r="U8849" i="1"/>
  <c r="U8850" i="1"/>
  <c r="U8851" i="1"/>
  <c r="U8852" i="1"/>
  <c r="U8853" i="1"/>
  <c r="U8854" i="1"/>
  <c r="U8855" i="1"/>
  <c r="U8856" i="1"/>
  <c r="U8857" i="1"/>
  <c r="U8858" i="1"/>
  <c r="U8859" i="1"/>
  <c r="U8860" i="1"/>
  <c r="U8861" i="1"/>
  <c r="U8862" i="1"/>
  <c r="U8863" i="1"/>
  <c r="U8864" i="1"/>
  <c r="U8865" i="1"/>
  <c r="U8866" i="1"/>
  <c r="U8867" i="1"/>
  <c r="U8868" i="1"/>
  <c r="U8869" i="1"/>
  <c r="U8870" i="1"/>
  <c r="U8871" i="1"/>
  <c r="U8872" i="1"/>
  <c r="U8873" i="1"/>
  <c r="U8874" i="1"/>
  <c r="U8875" i="1"/>
  <c r="U8876" i="1"/>
  <c r="U8877" i="1"/>
  <c r="U8878" i="1"/>
  <c r="U8879" i="1"/>
  <c r="U8880" i="1"/>
  <c r="U8881" i="1"/>
  <c r="U8882" i="1"/>
  <c r="U8883" i="1"/>
  <c r="U8884" i="1"/>
  <c r="U8885" i="1"/>
  <c r="U8886" i="1"/>
  <c r="U8887" i="1"/>
  <c r="U8888" i="1"/>
  <c r="U8889" i="1"/>
  <c r="U8890" i="1"/>
  <c r="U8891" i="1"/>
  <c r="U8892" i="1"/>
  <c r="U8893" i="1"/>
  <c r="U8894" i="1"/>
  <c r="U8895" i="1"/>
  <c r="U8896" i="1"/>
  <c r="U8897" i="1"/>
  <c r="U8898" i="1"/>
  <c r="U8899" i="1"/>
  <c r="U8900" i="1"/>
  <c r="U8901" i="1"/>
  <c r="U8902" i="1"/>
  <c r="U8903" i="1"/>
  <c r="U8904" i="1"/>
  <c r="U8905" i="1"/>
  <c r="U8906" i="1"/>
  <c r="U8907" i="1"/>
  <c r="U8908" i="1"/>
  <c r="U8909" i="1"/>
  <c r="U8910" i="1"/>
  <c r="U8911" i="1"/>
  <c r="U8912" i="1"/>
  <c r="U8913" i="1"/>
  <c r="U8914" i="1"/>
  <c r="U8915" i="1"/>
  <c r="U8916" i="1"/>
  <c r="U8917" i="1"/>
  <c r="U8918" i="1"/>
  <c r="U8919" i="1"/>
  <c r="U8920" i="1"/>
  <c r="U8921" i="1"/>
  <c r="U8922" i="1"/>
  <c r="U8923" i="1"/>
  <c r="U8924" i="1"/>
  <c r="U8925" i="1"/>
  <c r="U8926" i="1"/>
  <c r="U8927" i="1"/>
  <c r="U8928" i="1"/>
  <c r="U8929" i="1"/>
  <c r="U8930" i="1"/>
  <c r="U8931" i="1"/>
  <c r="U8932" i="1"/>
  <c r="U8933" i="1"/>
  <c r="U8934" i="1"/>
  <c r="U8935" i="1"/>
  <c r="U8936" i="1"/>
  <c r="U8937" i="1"/>
  <c r="U8938" i="1"/>
  <c r="U8939" i="1"/>
  <c r="U8940" i="1"/>
  <c r="U8941" i="1"/>
  <c r="U8942" i="1"/>
  <c r="U8943" i="1"/>
  <c r="U8944" i="1"/>
  <c r="U8945" i="1"/>
  <c r="U8946" i="1"/>
  <c r="U8947" i="1"/>
  <c r="U8948" i="1"/>
  <c r="U8949" i="1"/>
  <c r="U8950" i="1"/>
  <c r="U8951" i="1"/>
  <c r="U8952" i="1"/>
  <c r="U8953" i="1"/>
  <c r="U8954" i="1"/>
  <c r="U8955" i="1"/>
  <c r="U8956" i="1"/>
  <c r="U8957" i="1"/>
  <c r="U8958" i="1"/>
  <c r="U8959" i="1"/>
  <c r="U8960" i="1"/>
  <c r="U8961" i="1"/>
  <c r="U8962" i="1"/>
  <c r="U8963" i="1"/>
  <c r="U8964" i="1"/>
  <c r="U8965" i="1"/>
  <c r="U8966" i="1"/>
  <c r="U8967" i="1"/>
  <c r="U8968" i="1"/>
  <c r="U8969" i="1"/>
  <c r="U8970" i="1"/>
  <c r="U8971" i="1"/>
  <c r="U8972" i="1"/>
  <c r="U8973" i="1"/>
  <c r="U8974" i="1"/>
  <c r="U8975" i="1"/>
  <c r="U8976" i="1"/>
  <c r="U8977" i="1"/>
  <c r="U8978" i="1"/>
  <c r="U8979" i="1"/>
  <c r="U8980" i="1"/>
  <c r="U8981" i="1"/>
  <c r="U8982" i="1"/>
  <c r="U8983" i="1"/>
  <c r="U8984" i="1"/>
  <c r="U8985" i="1"/>
  <c r="U8986" i="1"/>
  <c r="U8987" i="1"/>
  <c r="U8988" i="1"/>
  <c r="U8989" i="1"/>
  <c r="U8990" i="1"/>
  <c r="U8991" i="1"/>
  <c r="U8992" i="1"/>
  <c r="U8993" i="1"/>
  <c r="U8994" i="1"/>
  <c r="U8995" i="1"/>
  <c r="U8996" i="1"/>
  <c r="U8997" i="1"/>
  <c r="U8998" i="1"/>
  <c r="U8999" i="1"/>
  <c r="U9000" i="1"/>
  <c r="U9001" i="1"/>
  <c r="U9002" i="1"/>
  <c r="U9003" i="1"/>
  <c r="U9004" i="1"/>
  <c r="U9005" i="1"/>
  <c r="U9006" i="1"/>
  <c r="U9007" i="1"/>
  <c r="U9008" i="1"/>
  <c r="U9009" i="1"/>
  <c r="U9010" i="1"/>
  <c r="U9011" i="1"/>
  <c r="U9012" i="1"/>
  <c r="U9013" i="1"/>
  <c r="U9014" i="1"/>
  <c r="U9015" i="1"/>
  <c r="U9016" i="1"/>
  <c r="U9017" i="1"/>
  <c r="U9018" i="1"/>
  <c r="U9019" i="1"/>
  <c r="U9020" i="1"/>
  <c r="U9021" i="1"/>
  <c r="U9022" i="1"/>
  <c r="U9023" i="1"/>
  <c r="U9024" i="1"/>
  <c r="U9025" i="1"/>
  <c r="U9026" i="1"/>
  <c r="U9027" i="1"/>
  <c r="U9028" i="1"/>
  <c r="U9029" i="1"/>
  <c r="U9030" i="1"/>
  <c r="U9031" i="1"/>
  <c r="U9032" i="1"/>
  <c r="U9033" i="1"/>
  <c r="U9034" i="1"/>
  <c r="U9035" i="1"/>
  <c r="U9036" i="1"/>
  <c r="U9037" i="1"/>
  <c r="U9038" i="1"/>
  <c r="U9039" i="1"/>
  <c r="U9040" i="1"/>
  <c r="U9041" i="1"/>
  <c r="U9042" i="1"/>
  <c r="U9043" i="1"/>
  <c r="U9044" i="1"/>
  <c r="U9045" i="1"/>
  <c r="U9046" i="1"/>
  <c r="U9047" i="1"/>
  <c r="U9048" i="1"/>
  <c r="U9049" i="1"/>
  <c r="U9050" i="1"/>
  <c r="U9051" i="1"/>
  <c r="U9052" i="1"/>
  <c r="U9053" i="1"/>
  <c r="U9054" i="1"/>
  <c r="U9055" i="1"/>
  <c r="U9056" i="1"/>
  <c r="U9057" i="1"/>
  <c r="U9058" i="1"/>
  <c r="U9059" i="1"/>
  <c r="U9060" i="1"/>
  <c r="U9061" i="1"/>
  <c r="U9062" i="1"/>
  <c r="U9063" i="1"/>
  <c r="U9064" i="1"/>
  <c r="U9065" i="1"/>
  <c r="U9066" i="1"/>
  <c r="U9067" i="1"/>
  <c r="U9068" i="1"/>
  <c r="U9069" i="1"/>
  <c r="U9070" i="1"/>
  <c r="U9071" i="1"/>
  <c r="U9072" i="1"/>
  <c r="U9073" i="1"/>
  <c r="U9074" i="1"/>
  <c r="U9075" i="1"/>
  <c r="U9076" i="1"/>
  <c r="U9077" i="1"/>
  <c r="U9078" i="1"/>
  <c r="U9079" i="1"/>
  <c r="U9080" i="1"/>
  <c r="U9081" i="1"/>
  <c r="U9082" i="1"/>
  <c r="U9083" i="1"/>
  <c r="U9084" i="1"/>
  <c r="U9085" i="1"/>
  <c r="U9086" i="1"/>
  <c r="U9087" i="1"/>
  <c r="U9088" i="1"/>
  <c r="U9089" i="1"/>
  <c r="U9090" i="1"/>
  <c r="U9091" i="1"/>
  <c r="U9092" i="1"/>
  <c r="U9093" i="1"/>
  <c r="U9094" i="1"/>
  <c r="U9095" i="1"/>
  <c r="U9096" i="1"/>
  <c r="U9097" i="1"/>
  <c r="U9098" i="1"/>
  <c r="U9099" i="1"/>
  <c r="U9100" i="1"/>
  <c r="U9101" i="1"/>
  <c r="U9102" i="1"/>
  <c r="U9103" i="1"/>
  <c r="U9104" i="1"/>
  <c r="U9105" i="1"/>
  <c r="U9106" i="1"/>
  <c r="U9107" i="1"/>
  <c r="U9108" i="1"/>
  <c r="U9109" i="1"/>
  <c r="U9110" i="1"/>
  <c r="U9111" i="1"/>
  <c r="U9112" i="1"/>
  <c r="U9113" i="1"/>
  <c r="U9114" i="1"/>
  <c r="U9115" i="1"/>
  <c r="U9116" i="1"/>
  <c r="U9117" i="1"/>
  <c r="U9118" i="1"/>
  <c r="U9119" i="1"/>
  <c r="U9120" i="1"/>
  <c r="U9121" i="1"/>
  <c r="U9122" i="1"/>
  <c r="U9123" i="1"/>
  <c r="U9124" i="1"/>
  <c r="U9125" i="1"/>
  <c r="U9126" i="1"/>
  <c r="U9127" i="1"/>
  <c r="U9128" i="1"/>
  <c r="U9129" i="1"/>
  <c r="U9130" i="1"/>
  <c r="U9131" i="1"/>
  <c r="U9132" i="1"/>
  <c r="U9133" i="1"/>
  <c r="U9134" i="1"/>
  <c r="U9135" i="1"/>
  <c r="U9136" i="1"/>
  <c r="U9137" i="1"/>
  <c r="U9138" i="1"/>
  <c r="U9139" i="1"/>
  <c r="U9140" i="1"/>
  <c r="U9141" i="1"/>
  <c r="U9142" i="1"/>
  <c r="U9143" i="1"/>
  <c r="U9144" i="1"/>
  <c r="U9145" i="1"/>
  <c r="U9146" i="1"/>
  <c r="U9147" i="1"/>
  <c r="U9148" i="1"/>
  <c r="U9149" i="1"/>
  <c r="U9150" i="1"/>
  <c r="U9151" i="1"/>
  <c r="U9152" i="1"/>
  <c r="U9153" i="1"/>
  <c r="U9154" i="1"/>
  <c r="U9155" i="1"/>
  <c r="U9156" i="1"/>
  <c r="U9157" i="1"/>
  <c r="U9158" i="1"/>
  <c r="U9159" i="1"/>
  <c r="U9160" i="1"/>
  <c r="U9161" i="1"/>
  <c r="U9162" i="1"/>
  <c r="U9163" i="1"/>
  <c r="U9164" i="1"/>
  <c r="U9165" i="1"/>
  <c r="U9166" i="1"/>
  <c r="U9167" i="1"/>
  <c r="U9168" i="1"/>
  <c r="U9169" i="1"/>
  <c r="U9170" i="1"/>
  <c r="U9171" i="1"/>
  <c r="U9172" i="1"/>
  <c r="U9173" i="1"/>
  <c r="U9174" i="1"/>
  <c r="U9175" i="1"/>
  <c r="U9176" i="1"/>
  <c r="U9177" i="1"/>
  <c r="U9178" i="1"/>
  <c r="U9179" i="1"/>
  <c r="U9180" i="1"/>
  <c r="U9181" i="1"/>
  <c r="U9182" i="1"/>
  <c r="U9183" i="1"/>
  <c r="U9184" i="1"/>
  <c r="U9185" i="1"/>
  <c r="U9186" i="1"/>
  <c r="U9187" i="1"/>
  <c r="U9188" i="1"/>
  <c r="U9189" i="1"/>
  <c r="U9190" i="1"/>
  <c r="U9191" i="1"/>
  <c r="U9192" i="1"/>
  <c r="U9193" i="1"/>
  <c r="U9194" i="1"/>
  <c r="U9195" i="1"/>
  <c r="U9196" i="1"/>
  <c r="U9197" i="1"/>
  <c r="U9198" i="1"/>
  <c r="U9199" i="1"/>
  <c r="U9200" i="1"/>
  <c r="U9201" i="1"/>
  <c r="U9202" i="1"/>
  <c r="U9203" i="1"/>
  <c r="U9204" i="1"/>
  <c r="U9205" i="1"/>
  <c r="U9206" i="1"/>
  <c r="U9207" i="1"/>
  <c r="U9208" i="1"/>
  <c r="U9209" i="1"/>
  <c r="U9210" i="1"/>
  <c r="U9211" i="1"/>
  <c r="U9212" i="1"/>
  <c r="U9213" i="1"/>
  <c r="U9214" i="1"/>
  <c r="U9215" i="1"/>
  <c r="U9216" i="1"/>
  <c r="U9217" i="1"/>
  <c r="U9218" i="1"/>
  <c r="U9219" i="1"/>
  <c r="U9220" i="1"/>
  <c r="U9221" i="1"/>
  <c r="U9222" i="1"/>
  <c r="U9223" i="1"/>
  <c r="U9224" i="1"/>
  <c r="U9225" i="1"/>
  <c r="U9226" i="1"/>
  <c r="U9227" i="1"/>
  <c r="U9228" i="1"/>
  <c r="U9229" i="1"/>
  <c r="U9230" i="1"/>
  <c r="U9231" i="1"/>
  <c r="U9232" i="1"/>
  <c r="U9233" i="1"/>
  <c r="U9234" i="1"/>
  <c r="U9235" i="1"/>
  <c r="U9236" i="1"/>
  <c r="U9237" i="1"/>
  <c r="U9238" i="1"/>
  <c r="U9239" i="1"/>
  <c r="U9240" i="1"/>
  <c r="U9241" i="1"/>
  <c r="U9242" i="1"/>
  <c r="U9243" i="1"/>
  <c r="U9244" i="1"/>
  <c r="U9245" i="1"/>
  <c r="U9246" i="1"/>
  <c r="U9247" i="1"/>
  <c r="U9248" i="1"/>
  <c r="U9249" i="1"/>
  <c r="U9250" i="1"/>
  <c r="U9251" i="1"/>
  <c r="U9252" i="1"/>
  <c r="U9253" i="1"/>
  <c r="U9254" i="1"/>
  <c r="U9255" i="1"/>
  <c r="U9256" i="1"/>
  <c r="U9257" i="1"/>
  <c r="U9258" i="1"/>
  <c r="U9259" i="1"/>
  <c r="U9260" i="1"/>
  <c r="U9261" i="1"/>
  <c r="U9262" i="1"/>
  <c r="U9263" i="1"/>
  <c r="U9264" i="1"/>
  <c r="U9265" i="1"/>
  <c r="U9266" i="1"/>
  <c r="U9267" i="1"/>
  <c r="U9268" i="1"/>
  <c r="U9269" i="1"/>
  <c r="U9270" i="1"/>
  <c r="U9271" i="1"/>
  <c r="U9272" i="1"/>
  <c r="U9273" i="1"/>
  <c r="U9274" i="1"/>
  <c r="U9275" i="1"/>
  <c r="U9276" i="1"/>
  <c r="U9277" i="1"/>
  <c r="U9278" i="1"/>
  <c r="U9279" i="1"/>
  <c r="U9280" i="1"/>
  <c r="U9281" i="1"/>
  <c r="U9282" i="1"/>
  <c r="U9283" i="1"/>
  <c r="U9284" i="1"/>
  <c r="U9285" i="1"/>
  <c r="U9286" i="1"/>
  <c r="U9287" i="1"/>
  <c r="U9288" i="1"/>
  <c r="U9289" i="1"/>
  <c r="U9290" i="1"/>
  <c r="U9291" i="1"/>
  <c r="U9292" i="1"/>
  <c r="U9293" i="1"/>
  <c r="U9294" i="1"/>
  <c r="U9295" i="1"/>
  <c r="U9296" i="1"/>
  <c r="U9297" i="1"/>
  <c r="U9298" i="1"/>
  <c r="U9299" i="1"/>
  <c r="U9300" i="1"/>
  <c r="U9301" i="1"/>
  <c r="U9302" i="1"/>
  <c r="U9303" i="1"/>
  <c r="U9304" i="1"/>
  <c r="U9305" i="1"/>
  <c r="U9306" i="1"/>
  <c r="U9307" i="1"/>
  <c r="U9308" i="1"/>
  <c r="U9309" i="1"/>
  <c r="U9310" i="1"/>
  <c r="U9311" i="1"/>
  <c r="U9312" i="1"/>
  <c r="U9313" i="1"/>
  <c r="U9314" i="1"/>
  <c r="U9315" i="1"/>
  <c r="U9316" i="1"/>
  <c r="U9317" i="1"/>
  <c r="U9318" i="1"/>
  <c r="U9319" i="1"/>
  <c r="U9320" i="1"/>
  <c r="U9321" i="1"/>
  <c r="U9322" i="1"/>
  <c r="U9323" i="1"/>
  <c r="U9324" i="1"/>
  <c r="U9325" i="1"/>
  <c r="U9326" i="1"/>
  <c r="U9327" i="1"/>
  <c r="U9328" i="1"/>
  <c r="U9329" i="1"/>
  <c r="U9330" i="1"/>
  <c r="U9331" i="1"/>
  <c r="U9332" i="1"/>
  <c r="U9333" i="1"/>
  <c r="U9334" i="1"/>
  <c r="U9335" i="1"/>
  <c r="U9336" i="1"/>
  <c r="U9337" i="1"/>
  <c r="U9338" i="1"/>
  <c r="U9339" i="1"/>
  <c r="U9340" i="1"/>
  <c r="U9341" i="1"/>
  <c r="U9342" i="1"/>
  <c r="U9343" i="1"/>
  <c r="U9344" i="1"/>
  <c r="U9345" i="1"/>
  <c r="U9346" i="1"/>
  <c r="U9347" i="1"/>
  <c r="U9348" i="1"/>
  <c r="U9349" i="1"/>
  <c r="U9350" i="1"/>
  <c r="U9351" i="1"/>
  <c r="U9352" i="1"/>
  <c r="U9353" i="1"/>
  <c r="U9354" i="1"/>
  <c r="U9355" i="1"/>
  <c r="U9356" i="1"/>
  <c r="U9357" i="1"/>
  <c r="U9358" i="1"/>
  <c r="U9359" i="1"/>
  <c r="U9360" i="1"/>
  <c r="U9361" i="1"/>
  <c r="U9362" i="1"/>
  <c r="U9363" i="1"/>
  <c r="U9364" i="1"/>
  <c r="U9365" i="1"/>
  <c r="U9366" i="1"/>
  <c r="U9367" i="1"/>
  <c r="U9368" i="1"/>
  <c r="U9369" i="1"/>
  <c r="U9370" i="1"/>
  <c r="U9371" i="1"/>
  <c r="U9372" i="1"/>
  <c r="U9373" i="1"/>
  <c r="U9374" i="1"/>
  <c r="U9375" i="1"/>
  <c r="U9376" i="1"/>
  <c r="U9377" i="1"/>
  <c r="U9378" i="1"/>
  <c r="U9379" i="1"/>
  <c r="U9380" i="1"/>
  <c r="U9381" i="1"/>
  <c r="U9382" i="1"/>
  <c r="U9383" i="1"/>
  <c r="U9384" i="1"/>
  <c r="U9385" i="1"/>
  <c r="U9386" i="1"/>
  <c r="U9387" i="1"/>
  <c r="U9388" i="1"/>
  <c r="U9389" i="1"/>
  <c r="U9390" i="1"/>
  <c r="U9391" i="1"/>
  <c r="U9392" i="1"/>
  <c r="U9393" i="1"/>
  <c r="U9394" i="1"/>
  <c r="U9395" i="1"/>
  <c r="U9396" i="1"/>
  <c r="U9397" i="1"/>
  <c r="U9398" i="1"/>
  <c r="U9399" i="1"/>
  <c r="U9400" i="1"/>
  <c r="U9401" i="1"/>
  <c r="U9402" i="1"/>
  <c r="U9403" i="1"/>
  <c r="U9404" i="1"/>
  <c r="U9405" i="1"/>
  <c r="U9406" i="1"/>
  <c r="U9407" i="1"/>
  <c r="U9408" i="1"/>
  <c r="U9409" i="1"/>
  <c r="U9410" i="1"/>
  <c r="U9411" i="1"/>
  <c r="U9412" i="1"/>
  <c r="U9413" i="1"/>
  <c r="U9414" i="1"/>
  <c r="U9415" i="1"/>
  <c r="U9416" i="1"/>
  <c r="U9417" i="1"/>
  <c r="U9418" i="1"/>
  <c r="U9419" i="1"/>
  <c r="U9420" i="1"/>
  <c r="U9421" i="1"/>
  <c r="U9422" i="1"/>
  <c r="U9423" i="1"/>
  <c r="U9424" i="1"/>
  <c r="U9425" i="1"/>
  <c r="U9426" i="1"/>
  <c r="U9427" i="1"/>
  <c r="U9428" i="1"/>
  <c r="U9429" i="1"/>
  <c r="U9430" i="1"/>
  <c r="U9431" i="1"/>
  <c r="U9432" i="1"/>
  <c r="U9433" i="1"/>
  <c r="U9434" i="1"/>
  <c r="U9435" i="1"/>
  <c r="U9436" i="1"/>
  <c r="U9437" i="1"/>
  <c r="U9438" i="1"/>
  <c r="U9439" i="1"/>
  <c r="U9440" i="1"/>
  <c r="U9441" i="1"/>
  <c r="U9442" i="1"/>
  <c r="U9443" i="1"/>
  <c r="U9444" i="1"/>
  <c r="U9445" i="1"/>
  <c r="U9446" i="1"/>
  <c r="U9447" i="1"/>
  <c r="U9448" i="1"/>
  <c r="U9449" i="1"/>
  <c r="U9450" i="1"/>
  <c r="U9451" i="1"/>
  <c r="U9452" i="1"/>
  <c r="U9453" i="1"/>
  <c r="U9454" i="1"/>
  <c r="U9455" i="1"/>
  <c r="U9456" i="1"/>
  <c r="U9457" i="1"/>
  <c r="U9458" i="1"/>
  <c r="U9459" i="1"/>
  <c r="U9460" i="1"/>
  <c r="U9461" i="1"/>
  <c r="U9462" i="1"/>
  <c r="U9463" i="1"/>
  <c r="U9464" i="1"/>
  <c r="U9465" i="1"/>
  <c r="U9466" i="1"/>
  <c r="U9467" i="1"/>
  <c r="U9468" i="1"/>
  <c r="U9469" i="1"/>
  <c r="U9470" i="1"/>
  <c r="U9471" i="1"/>
  <c r="U9472" i="1"/>
  <c r="U9473" i="1"/>
  <c r="U9474" i="1"/>
  <c r="U9475" i="1"/>
  <c r="U9476" i="1"/>
  <c r="U9477" i="1"/>
  <c r="U9478" i="1"/>
  <c r="U9479" i="1"/>
  <c r="U9480" i="1"/>
  <c r="U9481" i="1"/>
  <c r="U9482" i="1"/>
  <c r="U9483" i="1"/>
  <c r="U9484" i="1"/>
  <c r="U9485" i="1"/>
  <c r="U9486" i="1"/>
  <c r="U9487" i="1"/>
  <c r="U9488" i="1"/>
  <c r="U9489" i="1"/>
  <c r="U9490" i="1"/>
  <c r="U9491" i="1"/>
  <c r="U9492" i="1"/>
  <c r="U9493" i="1"/>
  <c r="U9494" i="1"/>
  <c r="U9495" i="1"/>
  <c r="U9496" i="1"/>
  <c r="U9497" i="1"/>
  <c r="U9498" i="1"/>
  <c r="U9499" i="1"/>
  <c r="U9500" i="1"/>
  <c r="U9501" i="1"/>
  <c r="U9502" i="1"/>
  <c r="U9503" i="1"/>
  <c r="U9504" i="1"/>
  <c r="U9505" i="1"/>
  <c r="U9506" i="1"/>
  <c r="U9507" i="1"/>
  <c r="U9508" i="1"/>
  <c r="U9509" i="1"/>
  <c r="U9510" i="1"/>
  <c r="U9511" i="1"/>
  <c r="U9512" i="1"/>
  <c r="U9513" i="1"/>
  <c r="U9514" i="1"/>
  <c r="U9515" i="1"/>
  <c r="U9516" i="1"/>
  <c r="U9517" i="1"/>
  <c r="U9518" i="1"/>
  <c r="U9519" i="1"/>
  <c r="U9520" i="1"/>
  <c r="U9521" i="1"/>
  <c r="U9522" i="1"/>
  <c r="U9523" i="1"/>
  <c r="U9524" i="1"/>
  <c r="U9525" i="1"/>
  <c r="U9526" i="1"/>
  <c r="U9527" i="1"/>
  <c r="U9528" i="1"/>
  <c r="U9529" i="1"/>
  <c r="U9530" i="1"/>
  <c r="U9531" i="1"/>
  <c r="U9532" i="1"/>
  <c r="U9533" i="1"/>
  <c r="U9534" i="1"/>
  <c r="U9535" i="1"/>
  <c r="U9536" i="1"/>
  <c r="U9537" i="1"/>
  <c r="U9538" i="1"/>
  <c r="U9539" i="1"/>
  <c r="U9540" i="1"/>
  <c r="U9541" i="1"/>
  <c r="U9542" i="1"/>
  <c r="U9543" i="1"/>
  <c r="U9544" i="1"/>
  <c r="U9545" i="1"/>
  <c r="U9546" i="1"/>
  <c r="U9547" i="1"/>
  <c r="U9548" i="1"/>
  <c r="U9549" i="1"/>
  <c r="U9550" i="1"/>
  <c r="U9551" i="1"/>
  <c r="U9552" i="1"/>
  <c r="U9553" i="1"/>
  <c r="U9554" i="1"/>
  <c r="U9555" i="1"/>
  <c r="U9556" i="1"/>
  <c r="U9557" i="1"/>
  <c r="U9558" i="1"/>
  <c r="U9559" i="1"/>
  <c r="U9560" i="1"/>
  <c r="U9561" i="1"/>
  <c r="U9562" i="1"/>
  <c r="U9563" i="1"/>
  <c r="U9564" i="1"/>
  <c r="U9565" i="1"/>
  <c r="U9566" i="1"/>
  <c r="U9567" i="1"/>
  <c r="U9568" i="1"/>
  <c r="U9569" i="1"/>
  <c r="U9570" i="1"/>
  <c r="U9571" i="1"/>
  <c r="U9572" i="1"/>
  <c r="U9573" i="1"/>
  <c r="U9574" i="1"/>
  <c r="U9575" i="1"/>
  <c r="U9576" i="1"/>
  <c r="U9577" i="1"/>
  <c r="U9578" i="1"/>
  <c r="U9579" i="1"/>
  <c r="U9580" i="1"/>
  <c r="U9581" i="1"/>
  <c r="U9582" i="1"/>
  <c r="U9583" i="1"/>
  <c r="U9584" i="1"/>
  <c r="U9585" i="1"/>
  <c r="U9586" i="1"/>
  <c r="U9587" i="1"/>
  <c r="U9588" i="1"/>
  <c r="U9589" i="1"/>
  <c r="U9590" i="1"/>
  <c r="U9591" i="1"/>
  <c r="U9592" i="1"/>
  <c r="U9593" i="1"/>
  <c r="U9594" i="1"/>
  <c r="U9595" i="1"/>
  <c r="U9596" i="1"/>
  <c r="U9597" i="1"/>
  <c r="U9598" i="1"/>
  <c r="U9599" i="1"/>
  <c r="U9600" i="1"/>
  <c r="U9601" i="1"/>
  <c r="U9602" i="1"/>
  <c r="U9603" i="1"/>
  <c r="U9604" i="1"/>
  <c r="U9605" i="1"/>
  <c r="U9606" i="1"/>
  <c r="U9607" i="1"/>
  <c r="U9608" i="1"/>
  <c r="U9609" i="1"/>
  <c r="U9610" i="1"/>
  <c r="U9611" i="1"/>
  <c r="U9612" i="1"/>
  <c r="U9613" i="1"/>
  <c r="U9614" i="1"/>
  <c r="U9615" i="1"/>
  <c r="U9616" i="1"/>
  <c r="U9617" i="1"/>
  <c r="U9618" i="1"/>
  <c r="U9619" i="1"/>
  <c r="U9620" i="1"/>
  <c r="U9621" i="1"/>
  <c r="U9622" i="1"/>
  <c r="U9623" i="1"/>
  <c r="U9624" i="1"/>
  <c r="U9625" i="1"/>
  <c r="U9626" i="1"/>
  <c r="U9627" i="1"/>
  <c r="U9628" i="1"/>
  <c r="U9629" i="1"/>
  <c r="U9630" i="1"/>
  <c r="U9631" i="1"/>
  <c r="U9632" i="1"/>
  <c r="U9633" i="1"/>
  <c r="U9634" i="1"/>
  <c r="U9635" i="1"/>
  <c r="U9636" i="1"/>
  <c r="U9637" i="1"/>
  <c r="U9638" i="1"/>
  <c r="U9639" i="1"/>
  <c r="U9640" i="1"/>
  <c r="U9641" i="1"/>
  <c r="U9642" i="1"/>
  <c r="U9643" i="1"/>
  <c r="U9644" i="1"/>
  <c r="U9645" i="1"/>
  <c r="U9646" i="1"/>
  <c r="U9647" i="1"/>
  <c r="U9648" i="1"/>
  <c r="U9649" i="1"/>
  <c r="U9650" i="1"/>
  <c r="U9651" i="1"/>
  <c r="U9652" i="1"/>
  <c r="U9653" i="1"/>
  <c r="U9654" i="1"/>
  <c r="U9655" i="1"/>
  <c r="U9656" i="1"/>
  <c r="U9657" i="1"/>
  <c r="U9658" i="1"/>
  <c r="U9659" i="1"/>
  <c r="U9660" i="1"/>
  <c r="U9661" i="1"/>
  <c r="U9662" i="1"/>
  <c r="U9663" i="1"/>
  <c r="U9664" i="1"/>
  <c r="U9665" i="1"/>
  <c r="U9666" i="1"/>
  <c r="U9667" i="1"/>
  <c r="U9668" i="1"/>
  <c r="U9669" i="1"/>
  <c r="U9670" i="1"/>
  <c r="U9671" i="1"/>
  <c r="U9672" i="1"/>
  <c r="U9673" i="1"/>
  <c r="U9674" i="1"/>
  <c r="U9675" i="1"/>
  <c r="U9676" i="1"/>
  <c r="U9677" i="1"/>
  <c r="U9678" i="1"/>
  <c r="U9679" i="1"/>
  <c r="U9680" i="1"/>
  <c r="U9681" i="1"/>
  <c r="U9682" i="1"/>
  <c r="U9683" i="1"/>
  <c r="U9684" i="1"/>
  <c r="U9685" i="1"/>
  <c r="U9686" i="1"/>
  <c r="U9687" i="1"/>
  <c r="U9688" i="1"/>
  <c r="U9689" i="1"/>
  <c r="U9690" i="1"/>
  <c r="U9691" i="1"/>
  <c r="U9692" i="1"/>
  <c r="U9693" i="1"/>
  <c r="U9694" i="1"/>
  <c r="U9695" i="1"/>
  <c r="U9696" i="1"/>
  <c r="U9697" i="1"/>
  <c r="U9698" i="1"/>
  <c r="U9699" i="1"/>
  <c r="U9700" i="1"/>
  <c r="U9701" i="1"/>
  <c r="U9702" i="1"/>
  <c r="U9703" i="1"/>
  <c r="U9704" i="1"/>
  <c r="U9705" i="1"/>
  <c r="U9706" i="1"/>
  <c r="U9707" i="1"/>
  <c r="U9708" i="1"/>
  <c r="U9709" i="1"/>
  <c r="U9710" i="1"/>
  <c r="U9711" i="1"/>
  <c r="U9712" i="1"/>
  <c r="U9713" i="1"/>
  <c r="U9714" i="1"/>
  <c r="U9715" i="1"/>
  <c r="U9716" i="1"/>
  <c r="U9717" i="1"/>
  <c r="U9718" i="1"/>
  <c r="U9719" i="1"/>
  <c r="U9720" i="1"/>
  <c r="U9721" i="1"/>
  <c r="U9722" i="1"/>
  <c r="U9723" i="1"/>
  <c r="U9724" i="1"/>
  <c r="U9725" i="1"/>
  <c r="U9726" i="1"/>
  <c r="U9727" i="1"/>
  <c r="U9728" i="1"/>
  <c r="U9729" i="1"/>
  <c r="U9730" i="1"/>
  <c r="U9731" i="1"/>
  <c r="U9732" i="1"/>
  <c r="U9733" i="1"/>
  <c r="U9734" i="1"/>
  <c r="U9735" i="1"/>
  <c r="U9736" i="1"/>
  <c r="U9737" i="1"/>
  <c r="U9738" i="1"/>
  <c r="U9739" i="1"/>
  <c r="U9740" i="1"/>
  <c r="U9741" i="1"/>
  <c r="U9742" i="1"/>
  <c r="U9743" i="1"/>
  <c r="U9744" i="1"/>
  <c r="U9745" i="1"/>
  <c r="U9746" i="1"/>
  <c r="U9747" i="1"/>
  <c r="U9748" i="1"/>
  <c r="U9749" i="1"/>
  <c r="U9750" i="1"/>
  <c r="U9751" i="1"/>
  <c r="U9752" i="1"/>
  <c r="U9753" i="1"/>
  <c r="U9754" i="1"/>
  <c r="U9755" i="1"/>
  <c r="U9756" i="1"/>
  <c r="U9757" i="1"/>
  <c r="U9758" i="1"/>
  <c r="U9759" i="1"/>
  <c r="U9760" i="1"/>
  <c r="U9761" i="1"/>
  <c r="U9762" i="1"/>
  <c r="U9763" i="1"/>
  <c r="U9764" i="1"/>
  <c r="U9765" i="1"/>
  <c r="U9766" i="1"/>
  <c r="U9767" i="1"/>
  <c r="U9768" i="1"/>
  <c r="U9769" i="1"/>
  <c r="U9770" i="1"/>
  <c r="U9771" i="1"/>
  <c r="U9772" i="1"/>
  <c r="U9773" i="1"/>
  <c r="U9774" i="1"/>
  <c r="U9775" i="1"/>
  <c r="U9776" i="1"/>
  <c r="U9777" i="1"/>
  <c r="U9778" i="1"/>
  <c r="U9779" i="1"/>
  <c r="U9780" i="1"/>
  <c r="U9781" i="1"/>
  <c r="U9782" i="1"/>
  <c r="U9783" i="1"/>
  <c r="U9784" i="1"/>
  <c r="U9785" i="1"/>
  <c r="U9786" i="1"/>
  <c r="U9787" i="1"/>
  <c r="U9788" i="1"/>
  <c r="U9789" i="1"/>
  <c r="U9790" i="1"/>
  <c r="U9791" i="1"/>
  <c r="U9792" i="1"/>
  <c r="U9793" i="1"/>
  <c r="U9794" i="1"/>
  <c r="U9795" i="1"/>
  <c r="U9796" i="1"/>
  <c r="U9797" i="1"/>
  <c r="U9798" i="1"/>
  <c r="U9799" i="1"/>
  <c r="U9800" i="1"/>
  <c r="U9801" i="1"/>
  <c r="U9802" i="1"/>
  <c r="U9803" i="1"/>
  <c r="U9804" i="1"/>
  <c r="U9805" i="1"/>
  <c r="U9806" i="1"/>
  <c r="U9807" i="1"/>
  <c r="U9808" i="1"/>
  <c r="U9809" i="1"/>
  <c r="U9810" i="1"/>
  <c r="U9811" i="1"/>
  <c r="U9812" i="1"/>
  <c r="U9813" i="1"/>
  <c r="U9814" i="1"/>
  <c r="U9815" i="1"/>
  <c r="U9816" i="1"/>
  <c r="U9817" i="1"/>
  <c r="U9818" i="1"/>
  <c r="U9819" i="1"/>
  <c r="U9820" i="1"/>
  <c r="U9821" i="1"/>
  <c r="U9822" i="1"/>
  <c r="U9823" i="1"/>
  <c r="U9824" i="1"/>
  <c r="U9825" i="1"/>
  <c r="U9826" i="1"/>
  <c r="U9827" i="1"/>
  <c r="U9828" i="1"/>
  <c r="U9829" i="1"/>
  <c r="U9830" i="1"/>
  <c r="U9831" i="1"/>
  <c r="U9832" i="1"/>
  <c r="U9833" i="1"/>
  <c r="U9834" i="1"/>
  <c r="U9835" i="1"/>
  <c r="U9836" i="1"/>
  <c r="U9837" i="1"/>
  <c r="U9838" i="1"/>
  <c r="U9839" i="1"/>
  <c r="U9840" i="1"/>
  <c r="U9841" i="1"/>
  <c r="U9842" i="1"/>
  <c r="U9843" i="1"/>
  <c r="U9844" i="1"/>
  <c r="U9845" i="1"/>
  <c r="U9846" i="1"/>
  <c r="U9847" i="1"/>
  <c r="U9848" i="1"/>
  <c r="U9849" i="1"/>
  <c r="U9850" i="1"/>
  <c r="U9851" i="1"/>
  <c r="U9852" i="1"/>
  <c r="U9853" i="1"/>
  <c r="U9854" i="1"/>
  <c r="U9855" i="1"/>
  <c r="U9856" i="1"/>
  <c r="U9857" i="1"/>
  <c r="U9858" i="1"/>
  <c r="U9859" i="1"/>
  <c r="U9860" i="1"/>
  <c r="U9861" i="1"/>
  <c r="U9862" i="1"/>
  <c r="U9863" i="1"/>
  <c r="U9864" i="1"/>
  <c r="U9865" i="1"/>
  <c r="U9866" i="1"/>
  <c r="U9867" i="1"/>
  <c r="U9868" i="1"/>
  <c r="U9869" i="1"/>
  <c r="U9870" i="1"/>
  <c r="U9871" i="1"/>
  <c r="U9872" i="1"/>
  <c r="U9873" i="1"/>
  <c r="U9874" i="1"/>
  <c r="U9875" i="1"/>
  <c r="U9876" i="1"/>
  <c r="U9877" i="1"/>
  <c r="U9878" i="1"/>
  <c r="U9879" i="1"/>
  <c r="U9880" i="1"/>
  <c r="U9881" i="1"/>
  <c r="U9882" i="1"/>
  <c r="U9883" i="1"/>
  <c r="U9884" i="1"/>
  <c r="U9885" i="1"/>
  <c r="U9886" i="1"/>
  <c r="U9887" i="1"/>
  <c r="U9888" i="1"/>
  <c r="U9889" i="1"/>
  <c r="U9890" i="1"/>
  <c r="U9891" i="1"/>
  <c r="U9892" i="1"/>
  <c r="U9893" i="1"/>
  <c r="U9894" i="1"/>
  <c r="U9895" i="1"/>
  <c r="U9896" i="1"/>
  <c r="U9897" i="1"/>
  <c r="U9898" i="1"/>
  <c r="U9899" i="1"/>
  <c r="U9900" i="1"/>
  <c r="U9901" i="1"/>
  <c r="U9902" i="1"/>
  <c r="U9903" i="1"/>
  <c r="U9904" i="1"/>
  <c r="U9905" i="1"/>
  <c r="U9906" i="1"/>
  <c r="U9907" i="1"/>
  <c r="U9908" i="1"/>
  <c r="U9909" i="1"/>
  <c r="U9910" i="1"/>
  <c r="U9911" i="1"/>
  <c r="U9912" i="1"/>
  <c r="U9913" i="1"/>
  <c r="U9914" i="1"/>
  <c r="U9915" i="1"/>
  <c r="U9916" i="1"/>
  <c r="U9917" i="1"/>
  <c r="U9918" i="1"/>
  <c r="U9919" i="1"/>
  <c r="U9920" i="1"/>
  <c r="U9921" i="1"/>
  <c r="U9922" i="1"/>
  <c r="U9923" i="1"/>
  <c r="U9924" i="1"/>
  <c r="U9925" i="1"/>
  <c r="U9926" i="1"/>
  <c r="U9927" i="1"/>
  <c r="U9928" i="1"/>
  <c r="U9929" i="1"/>
  <c r="U9930" i="1"/>
  <c r="U9931" i="1"/>
  <c r="U9932" i="1"/>
  <c r="U9933" i="1"/>
  <c r="U9934" i="1"/>
  <c r="U9935" i="1"/>
  <c r="U9936" i="1"/>
  <c r="U9937" i="1"/>
  <c r="U9938" i="1"/>
  <c r="U9939" i="1"/>
  <c r="U9940" i="1"/>
  <c r="U9941" i="1"/>
  <c r="U9942" i="1"/>
  <c r="U9943" i="1"/>
  <c r="U9944" i="1"/>
  <c r="U9945" i="1"/>
  <c r="U9946" i="1"/>
  <c r="U9947" i="1"/>
  <c r="U9948" i="1"/>
  <c r="U9949" i="1"/>
  <c r="U9950" i="1"/>
  <c r="U9951" i="1"/>
  <c r="U9952" i="1"/>
  <c r="U9953" i="1"/>
  <c r="U9954" i="1"/>
  <c r="U9955" i="1"/>
  <c r="U9956" i="1"/>
  <c r="U9957" i="1"/>
  <c r="U9958" i="1"/>
  <c r="U9959" i="1"/>
  <c r="U9960" i="1"/>
  <c r="U9961" i="1"/>
  <c r="U9962" i="1"/>
  <c r="U9963" i="1"/>
  <c r="U9964" i="1"/>
  <c r="U9965" i="1"/>
  <c r="U9966" i="1"/>
  <c r="U9967" i="1"/>
  <c r="U9968" i="1"/>
  <c r="U9969" i="1"/>
  <c r="U9970" i="1"/>
  <c r="U9971" i="1"/>
  <c r="U9972" i="1"/>
  <c r="U9973" i="1"/>
  <c r="U9974" i="1"/>
  <c r="U9975" i="1"/>
  <c r="U9976" i="1"/>
  <c r="U9977" i="1"/>
  <c r="U9978" i="1"/>
  <c r="U9979" i="1"/>
  <c r="U9980" i="1"/>
  <c r="U9981" i="1"/>
  <c r="U9982" i="1"/>
  <c r="U9983" i="1"/>
  <c r="U9984" i="1"/>
  <c r="U9985" i="1"/>
  <c r="U9986" i="1"/>
  <c r="U9987" i="1"/>
  <c r="U9988" i="1"/>
  <c r="U9989" i="1"/>
  <c r="U9990" i="1"/>
  <c r="U9991" i="1"/>
  <c r="U9992" i="1"/>
  <c r="U9993" i="1"/>
  <c r="U9994" i="1"/>
  <c r="U9995" i="1"/>
  <c r="U9996" i="1"/>
  <c r="U9997" i="1"/>
  <c r="U9998" i="1"/>
  <c r="U9999" i="1"/>
  <c r="U10000" i="1"/>
  <c r="U10001" i="1"/>
  <c r="U10002" i="1"/>
  <c r="U10003" i="1"/>
  <c r="U10004" i="1"/>
  <c r="U10005" i="1"/>
  <c r="U10006" i="1"/>
  <c r="U10007" i="1"/>
  <c r="U10008" i="1"/>
  <c r="U10009" i="1"/>
  <c r="U10010" i="1"/>
  <c r="U10011" i="1"/>
  <c r="U10012" i="1"/>
  <c r="U10013" i="1"/>
  <c r="U10014" i="1"/>
  <c r="U10015" i="1"/>
  <c r="U10016" i="1"/>
  <c r="U10017" i="1"/>
  <c r="U10018" i="1"/>
  <c r="U10019" i="1"/>
  <c r="U10020" i="1"/>
  <c r="U10021" i="1"/>
  <c r="U10022" i="1"/>
  <c r="U10023" i="1"/>
  <c r="U10024" i="1"/>
  <c r="U10025" i="1"/>
  <c r="U10026" i="1"/>
  <c r="U10027" i="1"/>
  <c r="U10028" i="1"/>
  <c r="U10029" i="1"/>
  <c r="U10030" i="1"/>
  <c r="U10031" i="1"/>
  <c r="U10032" i="1"/>
  <c r="U10033" i="1"/>
  <c r="U10034" i="1"/>
  <c r="U10035" i="1"/>
  <c r="U10036" i="1"/>
  <c r="U10037" i="1"/>
  <c r="U10038" i="1"/>
  <c r="U10039" i="1"/>
  <c r="U10040" i="1"/>
  <c r="U10041" i="1"/>
  <c r="U10042" i="1"/>
  <c r="U10043" i="1"/>
  <c r="U10044" i="1"/>
  <c r="U10045" i="1"/>
  <c r="U10046" i="1"/>
  <c r="U10047" i="1"/>
  <c r="U10048" i="1"/>
  <c r="U10049" i="1"/>
  <c r="U10050" i="1"/>
  <c r="U10051" i="1"/>
  <c r="U10052" i="1"/>
  <c r="U10053" i="1"/>
  <c r="U10054" i="1"/>
  <c r="U10055" i="1"/>
  <c r="U10056" i="1"/>
  <c r="U10057" i="1"/>
  <c r="U10058" i="1"/>
  <c r="U10059" i="1"/>
  <c r="U10060" i="1"/>
  <c r="U10061" i="1"/>
  <c r="U10062" i="1"/>
  <c r="U10063" i="1"/>
  <c r="U10064" i="1"/>
  <c r="U10065" i="1"/>
  <c r="U10066" i="1"/>
  <c r="U10067" i="1"/>
  <c r="U10068" i="1"/>
  <c r="U10069" i="1"/>
  <c r="U10070" i="1"/>
  <c r="U10071" i="1"/>
  <c r="U10072" i="1"/>
  <c r="U10073" i="1"/>
  <c r="U10074" i="1"/>
  <c r="U10075" i="1"/>
  <c r="U10076" i="1"/>
  <c r="U10077" i="1"/>
  <c r="U10078" i="1"/>
  <c r="U10079" i="1"/>
  <c r="U10080" i="1"/>
  <c r="U10081" i="1"/>
  <c r="U10082" i="1"/>
  <c r="U10083" i="1"/>
  <c r="U10084" i="1"/>
  <c r="U10085" i="1"/>
  <c r="U10086" i="1"/>
  <c r="U10087" i="1"/>
  <c r="U10088" i="1"/>
  <c r="U10089" i="1"/>
  <c r="U10090" i="1"/>
  <c r="U10091" i="1"/>
  <c r="U10092" i="1"/>
  <c r="U10093" i="1"/>
  <c r="U10094" i="1"/>
  <c r="U10095" i="1"/>
  <c r="U10096" i="1"/>
  <c r="U10097" i="1"/>
  <c r="U10098" i="1"/>
  <c r="U10099" i="1"/>
  <c r="U10100" i="1"/>
  <c r="U10101" i="1"/>
  <c r="U10102" i="1"/>
  <c r="U10103" i="1"/>
  <c r="U10104" i="1"/>
  <c r="U10105" i="1"/>
  <c r="U10106" i="1"/>
  <c r="U10107" i="1"/>
  <c r="U10108" i="1"/>
  <c r="U10109" i="1"/>
  <c r="U10110" i="1"/>
  <c r="U10111" i="1"/>
  <c r="U10112" i="1"/>
  <c r="U10113" i="1"/>
  <c r="U10114" i="1"/>
  <c r="U10115" i="1"/>
  <c r="U10116" i="1"/>
  <c r="U10117" i="1"/>
  <c r="U10118" i="1"/>
  <c r="U10119" i="1"/>
  <c r="U10120" i="1"/>
  <c r="U10121" i="1"/>
  <c r="U10122" i="1"/>
  <c r="U10123" i="1"/>
  <c r="U10124" i="1"/>
  <c r="U10125" i="1"/>
  <c r="U10126" i="1"/>
  <c r="U10127" i="1"/>
  <c r="U10128" i="1"/>
  <c r="U10129" i="1"/>
  <c r="U10130" i="1"/>
  <c r="U10131" i="1"/>
  <c r="U10132" i="1"/>
  <c r="U10133" i="1"/>
  <c r="U10134" i="1"/>
  <c r="U10135" i="1"/>
  <c r="U10136" i="1"/>
  <c r="U10137" i="1"/>
  <c r="U10138" i="1"/>
  <c r="U10139" i="1"/>
  <c r="U10140" i="1"/>
  <c r="U10141" i="1"/>
  <c r="U10142" i="1"/>
  <c r="U10143" i="1"/>
  <c r="U10144" i="1"/>
  <c r="U10145" i="1"/>
  <c r="U10146" i="1"/>
  <c r="U10147" i="1"/>
  <c r="U10148" i="1"/>
  <c r="U10149" i="1"/>
  <c r="U10150" i="1"/>
  <c r="U10151" i="1"/>
  <c r="U10152" i="1"/>
  <c r="U10153" i="1"/>
  <c r="U10154" i="1"/>
  <c r="U10155" i="1"/>
  <c r="U10156" i="1"/>
  <c r="U10157" i="1"/>
  <c r="U10158" i="1"/>
  <c r="U10159" i="1"/>
  <c r="U10160" i="1"/>
  <c r="U10161" i="1"/>
  <c r="U10162" i="1"/>
  <c r="U10163" i="1"/>
  <c r="U10164" i="1"/>
  <c r="U10165" i="1"/>
  <c r="U10166" i="1"/>
  <c r="U10167" i="1"/>
  <c r="U10168" i="1"/>
  <c r="U10169" i="1"/>
  <c r="U10170" i="1"/>
  <c r="U10171" i="1"/>
  <c r="U10172" i="1"/>
  <c r="U10173" i="1"/>
  <c r="U10174" i="1"/>
  <c r="U10175" i="1"/>
  <c r="U10176" i="1"/>
  <c r="U10177" i="1"/>
  <c r="U10178" i="1"/>
  <c r="U10179" i="1"/>
  <c r="U10180" i="1"/>
  <c r="U10181" i="1"/>
  <c r="U10182" i="1"/>
  <c r="U10183" i="1"/>
  <c r="U10184" i="1"/>
  <c r="U10185" i="1"/>
  <c r="U10186" i="1"/>
  <c r="U10187" i="1"/>
  <c r="U10188" i="1"/>
  <c r="U10189" i="1"/>
  <c r="U10190" i="1"/>
  <c r="U10191" i="1"/>
  <c r="U10192" i="1"/>
  <c r="U10193" i="1"/>
  <c r="U10194" i="1"/>
  <c r="U10195" i="1"/>
  <c r="U10196" i="1"/>
  <c r="U10197" i="1"/>
  <c r="U10198" i="1"/>
  <c r="U10199" i="1"/>
  <c r="U10200" i="1"/>
  <c r="U10201" i="1"/>
  <c r="U10202" i="1"/>
  <c r="U10203" i="1"/>
  <c r="U10204" i="1"/>
  <c r="U10205" i="1"/>
  <c r="U10206" i="1"/>
  <c r="U10207" i="1"/>
  <c r="U10208" i="1"/>
  <c r="U10209" i="1"/>
  <c r="U10210" i="1"/>
  <c r="U10211" i="1"/>
  <c r="U10212" i="1"/>
  <c r="U10213" i="1"/>
  <c r="U10214" i="1"/>
  <c r="U10215" i="1"/>
  <c r="U10216" i="1"/>
  <c r="U10217" i="1"/>
  <c r="U10218" i="1"/>
  <c r="U10219" i="1"/>
  <c r="U10220" i="1"/>
  <c r="U10221" i="1"/>
  <c r="U10222" i="1"/>
  <c r="U10223" i="1"/>
  <c r="U10224" i="1"/>
  <c r="U10225" i="1"/>
  <c r="U10226" i="1"/>
  <c r="U10227" i="1"/>
  <c r="U10228" i="1"/>
  <c r="U10229" i="1"/>
  <c r="U10230" i="1"/>
  <c r="U10231" i="1"/>
  <c r="U10232" i="1"/>
  <c r="U10233" i="1"/>
  <c r="U10234" i="1"/>
  <c r="U10235" i="1"/>
  <c r="U10236" i="1"/>
  <c r="U10237" i="1"/>
  <c r="U10238" i="1"/>
  <c r="U10239" i="1"/>
  <c r="U10240" i="1"/>
  <c r="U10241" i="1"/>
  <c r="U10242" i="1"/>
  <c r="U10243" i="1"/>
  <c r="U10244" i="1"/>
  <c r="U10245" i="1"/>
  <c r="U10246" i="1"/>
  <c r="U10247" i="1"/>
  <c r="U10248" i="1"/>
  <c r="U10249" i="1"/>
  <c r="U10250" i="1"/>
  <c r="U10251" i="1"/>
  <c r="U10252" i="1"/>
  <c r="U10253" i="1"/>
  <c r="U10254" i="1"/>
  <c r="U10255" i="1"/>
  <c r="U10256" i="1"/>
  <c r="U10257" i="1"/>
  <c r="U10258" i="1"/>
  <c r="U10259" i="1"/>
  <c r="U10260" i="1"/>
  <c r="U10261" i="1"/>
  <c r="U10262" i="1"/>
  <c r="U10263" i="1"/>
  <c r="U10264" i="1"/>
  <c r="U10265" i="1"/>
  <c r="U10266" i="1"/>
  <c r="U10267" i="1"/>
  <c r="U10268" i="1"/>
  <c r="U10269" i="1"/>
  <c r="U10270" i="1"/>
  <c r="U10271" i="1"/>
  <c r="U10272" i="1"/>
  <c r="U10273" i="1"/>
  <c r="U10274" i="1"/>
  <c r="U10275" i="1"/>
  <c r="U10276" i="1"/>
  <c r="U10277" i="1"/>
  <c r="U10278" i="1"/>
  <c r="U10279" i="1"/>
  <c r="U10280" i="1"/>
  <c r="U10281" i="1"/>
  <c r="U10282" i="1"/>
  <c r="U10283" i="1"/>
  <c r="U10284" i="1"/>
  <c r="U10285" i="1"/>
  <c r="U10286" i="1"/>
  <c r="U10287" i="1"/>
  <c r="U10288" i="1"/>
  <c r="U10289" i="1"/>
  <c r="U10290" i="1"/>
  <c r="U10291" i="1"/>
  <c r="U10292" i="1"/>
  <c r="U10293" i="1"/>
  <c r="U10294" i="1"/>
  <c r="U10295" i="1"/>
  <c r="U10296" i="1"/>
  <c r="U10297" i="1"/>
  <c r="U10298" i="1"/>
  <c r="U10299" i="1"/>
  <c r="U10300" i="1"/>
  <c r="U10301" i="1"/>
  <c r="U10302" i="1"/>
  <c r="U10303" i="1"/>
  <c r="U10304" i="1"/>
  <c r="U10305" i="1"/>
  <c r="U10306" i="1"/>
  <c r="U10307" i="1"/>
  <c r="U10308" i="1"/>
  <c r="U10309" i="1"/>
  <c r="U10310" i="1"/>
  <c r="U10311" i="1"/>
  <c r="U10312" i="1"/>
  <c r="U10313" i="1"/>
  <c r="U10314" i="1"/>
  <c r="U10315" i="1"/>
  <c r="U10316" i="1"/>
  <c r="U10317" i="1"/>
  <c r="U10318" i="1"/>
  <c r="U10319" i="1"/>
  <c r="U10320" i="1"/>
  <c r="U10321" i="1"/>
  <c r="U10322" i="1"/>
  <c r="U10323" i="1"/>
  <c r="U10324" i="1"/>
  <c r="U10325" i="1"/>
  <c r="U10326" i="1"/>
  <c r="U10327" i="1"/>
  <c r="U10328" i="1"/>
  <c r="U10329" i="1"/>
  <c r="U10330" i="1"/>
  <c r="U10331" i="1"/>
  <c r="U10332" i="1"/>
  <c r="U10333" i="1"/>
  <c r="U10334" i="1"/>
  <c r="U10335" i="1"/>
  <c r="U10336" i="1"/>
  <c r="U10337" i="1"/>
  <c r="U10338" i="1"/>
  <c r="U10339" i="1"/>
  <c r="U10340" i="1"/>
  <c r="U10341" i="1"/>
  <c r="U10342" i="1"/>
  <c r="U10343" i="1"/>
  <c r="U10344" i="1"/>
  <c r="U10345" i="1"/>
  <c r="U10346" i="1"/>
  <c r="U10347" i="1"/>
  <c r="U10348" i="1"/>
  <c r="U10349" i="1"/>
  <c r="U10350" i="1"/>
  <c r="U10351" i="1"/>
  <c r="U10352" i="1"/>
  <c r="U10353" i="1"/>
  <c r="U10354" i="1"/>
  <c r="U10355" i="1"/>
  <c r="U10356" i="1"/>
  <c r="U10357" i="1"/>
  <c r="U10358" i="1"/>
  <c r="U10359" i="1"/>
  <c r="U10360" i="1"/>
  <c r="U10361" i="1"/>
  <c r="U10362" i="1"/>
  <c r="U10363" i="1"/>
  <c r="U10364" i="1"/>
  <c r="U10365" i="1"/>
  <c r="U10366" i="1"/>
  <c r="U10367" i="1"/>
  <c r="U10368" i="1"/>
  <c r="U10369" i="1"/>
  <c r="U10370" i="1"/>
  <c r="U10371" i="1"/>
  <c r="U10372" i="1"/>
  <c r="U10373" i="1"/>
  <c r="U10374" i="1"/>
  <c r="U10375" i="1"/>
  <c r="U10376" i="1"/>
  <c r="U10377" i="1"/>
  <c r="U10378" i="1"/>
  <c r="U10379" i="1"/>
  <c r="U10380" i="1"/>
  <c r="U10381" i="1"/>
  <c r="U10382" i="1"/>
  <c r="U10383" i="1"/>
  <c r="U10384" i="1"/>
  <c r="U10385" i="1"/>
  <c r="U10386" i="1"/>
  <c r="U10387" i="1"/>
  <c r="U10388" i="1"/>
  <c r="U10389" i="1"/>
  <c r="U10390" i="1"/>
  <c r="U10391" i="1"/>
  <c r="U10392" i="1"/>
  <c r="U10393" i="1"/>
  <c r="U10394" i="1"/>
  <c r="U10395" i="1"/>
  <c r="U10396" i="1"/>
  <c r="U10397" i="1"/>
  <c r="U10398" i="1"/>
  <c r="U10399" i="1"/>
  <c r="U10400" i="1"/>
  <c r="U10401" i="1"/>
  <c r="U10402" i="1"/>
  <c r="U10403" i="1"/>
  <c r="U10404" i="1"/>
  <c r="U10405" i="1"/>
  <c r="U10406" i="1"/>
  <c r="U10407" i="1"/>
  <c r="U10408" i="1"/>
  <c r="U10409" i="1"/>
  <c r="U10410" i="1"/>
  <c r="U10411" i="1"/>
  <c r="U10412" i="1"/>
  <c r="U10413" i="1"/>
  <c r="U10414" i="1"/>
  <c r="U10415" i="1"/>
  <c r="U10416" i="1"/>
  <c r="U10417" i="1"/>
  <c r="U10418" i="1"/>
  <c r="U10419" i="1"/>
  <c r="U10420" i="1"/>
  <c r="U10421" i="1"/>
  <c r="U10422" i="1"/>
  <c r="U10423" i="1"/>
  <c r="U10424" i="1"/>
  <c r="U10425" i="1"/>
  <c r="U10426" i="1"/>
  <c r="U10427" i="1"/>
  <c r="U10428" i="1"/>
  <c r="U10429" i="1"/>
  <c r="U10430" i="1"/>
  <c r="U10431" i="1"/>
  <c r="U10432" i="1"/>
  <c r="U10433" i="1"/>
  <c r="U10434" i="1"/>
  <c r="U10435" i="1"/>
</calcChain>
</file>

<file path=xl/sharedStrings.xml><?xml version="1.0" encoding="utf-8"?>
<sst xmlns="http://schemas.openxmlformats.org/spreadsheetml/2006/main" count="110869" uniqueCount="14087">
  <si>
    <t>Deltacoronavirus</t>
  </si>
  <si>
    <t>Bulbul coronavirus HKU11</t>
  </si>
  <si>
    <t>Mud crab virus</t>
  </si>
  <si>
    <t>Slow bee paralysis virus</t>
  </si>
  <si>
    <t>Bovine rhinitis A virus</t>
  </si>
  <si>
    <t>Melon mild mottle virus</t>
  </si>
  <si>
    <t>Bacillarnavirus</t>
  </si>
  <si>
    <t>Chaetoceros tenuissimus RNA virus 01</t>
  </si>
  <si>
    <t>Rhizosolenia setigera RNA virus 01</t>
  </si>
  <si>
    <t>Labyrnavirus</t>
  </si>
  <si>
    <t>Aurantiochytrium single-stranded RNA virus 01</t>
  </si>
  <si>
    <t>Tepovirus</t>
  </si>
  <si>
    <t>Bombyx mori latent virus</t>
  </si>
  <si>
    <t>Poinsettia mosaic virus</t>
  </si>
  <si>
    <t>Blackberry virus S</t>
  </si>
  <si>
    <t>Grapevine Syrah virus 1</t>
  </si>
  <si>
    <t>Olive latent virus 3</t>
  </si>
  <si>
    <t>Chiltepin yellow mosaic virus</t>
  </si>
  <si>
    <t>Alphatetraviridae</t>
  </si>
  <si>
    <t>Alvernaviridae</t>
  </si>
  <si>
    <t>Dinornavirus</t>
  </si>
  <si>
    <t>Heterocapsa circularisquama RNA virus 01</t>
  </si>
  <si>
    <t>Torque teno mini virus 10</t>
  </si>
  <si>
    <t>Torque teno mini virus 11</t>
  </si>
  <si>
    <t>Torque teno mini virus 12</t>
  </si>
  <si>
    <t>Torque teno midi virus 10</t>
  </si>
  <si>
    <t>Torque teno midi virus 11</t>
  </si>
  <si>
    <t>Torque teno midi virus 12</t>
  </si>
  <si>
    <t>Torque teno midi virus 13</t>
  </si>
  <si>
    <t>Torque teno midi virus 14</t>
  </si>
  <si>
    <t>Torque teno midi virus 15</t>
  </si>
  <si>
    <t>Torque teno midi virus 3</t>
  </si>
  <si>
    <t>Torque teno midi virus 4</t>
  </si>
  <si>
    <t>Torque teno midi virus 5</t>
  </si>
  <si>
    <t>Torque teno midi virus 6</t>
  </si>
  <si>
    <t>Torque teno midi virus 7</t>
  </si>
  <si>
    <t>Torque teno midi virus 8</t>
  </si>
  <si>
    <t>Torque teno midi virus 9</t>
  </si>
  <si>
    <t>Torque teno sus virus 1a</t>
  </si>
  <si>
    <t>Kappatorquevirus</t>
  </si>
  <si>
    <t>Lambdatorquevirus</t>
  </si>
  <si>
    <t>Avastrovirus 1</t>
  </si>
  <si>
    <t>Avastrovirus 2</t>
  </si>
  <si>
    <t>Avastrovirus 3</t>
  </si>
  <si>
    <t>Mamastrovirus 1</t>
  </si>
  <si>
    <t>Mamastrovirus 10</t>
  </si>
  <si>
    <t>Mamastrovirus 11</t>
  </si>
  <si>
    <t>Mamastrovirus 12</t>
  </si>
  <si>
    <t>Mamastrovirus 13</t>
  </si>
  <si>
    <t>Mamastrovirus 14</t>
  </si>
  <si>
    <t>Mamastrovirus 15</t>
  </si>
  <si>
    <t>Mamastrovirus 16</t>
  </si>
  <si>
    <t>Mamastrovirus 17</t>
  </si>
  <si>
    <t>Mamastrovirus 18</t>
  </si>
  <si>
    <t>Mamastrovirus 19</t>
  </si>
  <si>
    <t>Mamastrovirus 2</t>
  </si>
  <si>
    <t>Mamastrovirus 3</t>
  </si>
  <si>
    <t>Mamastrovirus 4</t>
  </si>
  <si>
    <t>Mamastrovirus 5</t>
  </si>
  <si>
    <t>Mamastrovirus 6</t>
  </si>
  <si>
    <t>Mamastrovirus 7</t>
  </si>
  <si>
    <t>Mamastrovirus 8</t>
  </si>
  <si>
    <t>Mamastrovirus 9</t>
  </si>
  <si>
    <t>Bidnaviridae</t>
  </si>
  <si>
    <t>Bidensovirus</t>
  </si>
  <si>
    <t>Bombyx mori bidensovirus</t>
  </si>
  <si>
    <t>Gayfeather mild mottle virus</t>
  </si>
  <si>
    <t>Blackberry chlorotic ringspot virus</t>
  </si>
  <si>
    <t>Lilac leaf chlorosis virus</t>
  </si>
  <si>
    <t>Strawberry necrotic shock virus</t>
  </si>
  <si>
    <t>Carmotetraviridae</t>
  </si>
  <si>
    <t>Alphacarmotetravirus</t>
  </si>
  <si>
    <t>Banana streak VN virus</t>
  </si>
  <si>
    <t>Bougainvillea chlorotic vein banding virus</t>
  </si>
  <si>
    <t>Citrus yellow mosaic virus</t>
  </si>
  <si>
    <t>Dioscorea bacilliform AL virus</t>
  </si>
  <si>
    <t>Dioscorea bacilliform SN virus</t>
  </si>
  <si>
    <t>Grapevine vein clearing virus</t>
  </si>
  <si>
    <t>Pineapple bacilliform CO virus</t>
  </si>
  <si>
    <t>Pineapple bacilliform ER virus</t>
  </si>
  <si>
    <t>Sugarcane bacilliform MO virus</t>
  </si>
  <si>
    <t>Sweet potato pakakuy virus</t>
  </si>
  <si>
    <t>Lamium leaf distortion virus</t>
  </si>
  <si>
    <t>Solendovirus</t>
  </si>
  <si>
    <t>Sweet potato vein clearing virus</t>
  </si>
  <si>
    <t>Cestrum yellow leaf curling virus</t>
  </si>
  <si>
    <t>Clavaviridae</t>
  </si>
  <si>
    <t>Clavavirus</t>
  </si>
  <si>
    <t>Aeropyrum pernix bacilliform virus 1</t>
  </si>
  <si>
    <t>Raspberry leaf mottle virus</t>
  </si>
  <si>
    <t>Strawberry chlorotic fleck-associated virus</t>
  </si>
  <si>
    <t>Corchorus yellow vein virus</t>
  </si>
  <si>
    <t>Merremia mosaic virus</t>
  </si>
  <si>
    <t>Hytrosaviridae</t>
  </si>
  <si>
    <t>Glossinavirus</t>
  </si>
  <si>
    <t>Muscavirus</t>
  </si>
  <si>
    <t>Megabirnaviridae</t>
  </si>
  <si>
    <t>Megabirnavirus</t>
  </si>
  <si>
    <t>Rosellinia necatrix megabirnavirus 1</t>
  </si>
  <si>
    <t>Faba bean necrotic stunt virus</t>
  </si>
  <si>
    <t>Pea necrotic yellow dwarf virus</t>
  </si>
  <si>
    <t>Alphapapillomavirus 1</t>
  </si>
  <si>
    <t>Alphapapillomavirus 10</t>
  </si>
  <si>
    <t>Alphapapillomavirus 11</t>
  </si>
  <si>
    <t>Alphapapillomavirus 12</t>
  </si>
  <si>
    <t>Alphapapillomavirus 13</t>
  </si>
  <si>
    <t>Alphapapillomavirus 14</t>
  </si>
  <si>
    <t>Alphapapillomavirus 2</t>
  </si>
  <si>
    <t>Alphapapillomavirus 3</t>
  </si>
  <si>
    <t>Alphapapillomavirus 4</t>
  </si>
  <si>
    <t>Alphapapillomavirus 5</t>
  </si>
  <si>
    <t>Alphapapillomavirus 6</t>
  </si>
  <si>
    <t>Alphapapillomavirus 7</t>
  </si>
  <si>
    <t>Alphapapillomavirus 8</t>
  </si>
  <si>
    <t>Alphapapillomavirus 9</t>
  </si>
  <si>
    <t>Betapapillomavirus 1</t>
  </si>
  <si>
    <t>Betapapillomavirus 2</t>
  </si>
  <si>
    <t>Betapapillomavirus 3</t>
  </si>
  <si>
    <t>Betapapillomavirus 4</t>
  </si>
  <si>
    <t>Betapapillomavirus 5</t>
  </si>
  <si>
    <t>Betapapillomavirus 6</t>
  </si>
  <si>
    <t>Chipapillomavirus</t>
  </si>
  <si>
    <t>Chipapillomavirus 1</t>
  </si>
  <si>
    <t>Chipapillomavirus 2</t>
  </si>
  <si>
    <t>Deltapapillomavirus 1</t>
  </si>
  <si>
    <t>Deltapapillomavirus 2</t>
  </si>
  <si>
    <t>Deltapapillomavirus 3</t>
  </si>
  <si>
    <t>Deltapapillomavirus 4</t>
  </si>
  <si>
    <t>Deltapapillomavirus 5</t>
  </si>
  <si>
    <t>Dyodeltapapillomavirus</t>
  </si>
  <si>
    <t>Dyodeltapapillomavirus 1</t>
  </si>
  <si>
    <t>Dyoepsilonpapillomavirus</t>
  </si>
  <si>
    <t>Dyoepsilonpapillomavirus 1</t>
  </si>
  <si>
    <t>Dyoetapapillomavirus</t>
  </si>
  <si>
    <t>Dyoetapapillomavirus 1</t>
  </si>
  <si>
    <t>Dyoiotapapillomavirus</t>
  </si>
  <si>
    <t>Dyoiotapapillomavirus 1</t>
  </si>
  <si>
    <t>Dyothetapapillomavirus</t>
  </si>
  <si>
    <t>Dyothetapapillomavirus 1</t>
  </si>
  <si>
    <t>Dyozetapapillomavirus</t>
  </si>
  <si>
    <t>Dyozetapapillomavirus 1</t>
  </si>
  <si>
    <t>Epsilonpapillomavirus 1</t>
  </si>
  <si>
    <t>Etapapillomavirus 1</t>
  </si>
  <si>
    <t>Gammapapillomavirus 1</t>
  </si>
  <si>
    <t>Gammapapillomavirus 10</t>
  </si>
  <si>
    <t>Gammapapillomavirus 2</t>
  </si>
  <si>
    <t>Gammapapillomavirus 3</t>
  </si>
  <si>
    <t>Gammapapillomavirus 4</t>
  </si>
  <si>
    <t>Gammapapillomavirus 5</t>
  </si>
  <si>
    <t>Gammapapillomavirus 6</t>
  </si>
  <si>
    <t>Gammapapillomavirus 7</t>
  </si>
  <si>
    <t>Gammapapillomavirus 8</t>
  </si>
  <si>
    <t>Gammapapillomavirus 9</t>
  </si>
  <si>
    <t>Iotapapillomavirus 1</t>
  </si>
  <si>
    <t>Kappapapillomavirus 1</t>
  </si>
  <si>
    <t>Kappapapillomavirus 2</t>
  </si>
  <si>
    <t>Lambdapapillomavirus 1</t>
  </si>
  <si>
    <t>Lambdapapillomavirus 2</t>
  </si>
  <si>
    <t>Lambdapapillomavirus 3</t>
  </si>
  <si>
    <t>Lambdapapillomavirus 4</t>
  </si>
  <si>
    <t>Mupapillomavirus 1</t>
  </si>
  <si>
    <t>Mupapillomavirus 2</t>
  </si>
  <si>
    <t>Nupapillomavirus 1</t>
  </si>
  <si>
    <t>Omegapapillomavirus</t>
  </si>
  <si>
    <t>Omegapapillomavirus 1</t>
  </si>
  <si>
    <t>Omikronpapillomavirus 1</t>
  </si>
  <si>
    <t>Phipapillomavirus</t>
  </si>
  <si>
    <t>Phipapillomavirus 1</t>
  </si>
  <si>
    <t>Pipapillomavirus 1</t>
  </si>
  <si>
    <t>Pipapillomavirus 2</t>
  </si>
  <si>
    <t>Psipapillomavirus</t>
  </si>
  <si>
    <t>Psipapillomavirus 1</t>
  </si>
  <si>
    <t>Rhopapillomavirus</t>
  </si>
  <si>
    <t>Rhopapillomavirus 1</t>
  </si>
  <si>
    <t>Sigmapapillomavirus</t>
  </si>
  <si>
    <t>Sigmapapillomavirus 1</t>
  </si>
  <si>
    <t>Taupapillomavirus</t>
  </si>
  <si>
    <t>Taupapillomavirus 1</t>
  </si>
  <si>
    <t>Thetapapillomavirus 1</t>
  </si>
  <si>
    <t>Upsilonpapillomavirus</t>
  </si>
  <si>
    <t>Upsilonpapillomavirus 1</t>
  </si>
  <si>
    <t>Upsilonpapillomavirus 2</t>
  </si>
  <si>
    <t>Xipapillomavirus 1</t>
  </si>
  <si>
    <t>Zetapapillomavirus 1</t>
  </si>
  <si>
    <t>Permutotetraviridae</t>
  </si>
  <si>
    <t>Alphapermutotetravirus</t>
  </si>
  <si>
    <t>Acanthocystis turfacea chlorella virus 1</t>
  </si>
  <si>
    <t>Ostreococcus tauri virus OtV5</t>
  </si>
  <si>
    <t>Pepper chat fruit viroid</t>
  </si>
  <si>
    <t>Ugandan cassava brown streak virus</t>
  </si>
  <si>
    <t>Poacevirus</t>
  </si>
  <si>
    <t>Triticum mosaic virus</t>
  </si>
  <si>
    <t>Sunflower chlorotic mottle virus</t>
  </si>
  <si>
    <t>Sweet potato virus C</t>
  </si>
  <si>
    <t>Yambean mosaic virus</t>
  </si>
  <si>
    <t>Mule deerpox virus</t>
  </si>
  <si>
    <t>Crocodylidpoxvirus</t>
  </si>
  <si>
    <t>Nile crocodilepox virus</t>
  </si>
  <si>
    <t>Skunkpox virus</t>
  </si>
  <si>
    <t>Squirrelpox virus</t>
  </si>
  <si>
    <t>Calibrachoa mottle virus</t>
  </si>
  <si>
    <t>Honeysuckle ringspot virus</t>
  </si>
  <si>
    <t>Soybean yellow mottle mosaic virus</t>
  </si>
  <si>
    <t>Cocksfoot mild mosaic virus</t>
  </si>
  <si>
    <t>Trichomonasvirus</t>
  </si>
  <si>
    <t>Trichomonas vaginalis virus 1</t>
  </si>
  <si>
    <t>Trichomonas vaginalis virus 2</t>
  </si>
  <si>
    <t>Trichomonas vaginalis virus 3</t>
  </si>
  <si>
    <t>Dinodnavirus</t>
  </si>
  <si>
    <t>Heterocapsa circularisquama DNA virus 01</t>
  </si>
  <si>
    <t>Imperata yellow mottle virus</t>
  </si>
  <si>
    <t>Japanese soil-borne wheat mosaic virus</t>
  </si>
  <si>
    <t>Strawberry pseudo mild yellow edge virus</t>
  </si>
  <si>
    <t>Sweet potato chlorotic fleck virus</t>
  </si>
  <si>
    <t>Verbena latent virus</t>
  </si>
  <si>
    <t>Citrivirus</t>
  </si>
  <si>
    <t>Citrus leaf blotch virus</t>
  </si>
  <si>
    <t>Foveavirus</t>
  </si>
  <si>
    <t>Apple stem pitting virus</t>
  </si>
  <si>
    <t>Apricot latent virus</t>
  </si>
  <si>
    <t>Parietaria mottle virus</t>
  </si>
  <si>
    <t>Prune dwarf virus</t>
  </si>
  <si>
    <t>Prunus necrotic ringspot virus</t>
  </si>
  <si>
    <t>Rotavirus</t>
  </si>
  <si>
    <t>Alstroemeria virus X</t>
  </si>
  <si>
    <t>Alternanthera mosaic virus</t>
  </si>
  <si>
    <t>Asparagus virus 3</t>
  </si>
  <si>
    <t>Bamboo mosaic virus</t>
  </si>
  <si>
    <t>Cactus virus X</t>
  </si>
  <si>
    <t>Cassava common mosaic virus</t>
  </si>
  <si>
    <t>Cassava virus X</t>
  </si>
  <si>
    <t>Clover yellow mosaic virus</t>
  </si>
  <si>
    <t>Cymbidium mosaic virus</t>
  </si>
  <si>
    <t>Foxtail mosaic virus</t>
  </si>
  <si>
    <t>Rice ragged stunt virus</t>
  </si>
  <si>
    <t>Phytoreovirus</t>
  </si>
  <si>
    <t>Avian carcinoma Mill Hill virus 2</t>
  </si>
  <si>
    <t>Avian myeloblastosis virus</t>
  </si>
  <si>
    <t>Avian myelocytomatosis virus 29</t>
  </si>
  <si>
    <t>Avian sarcoma virus CT10</t>
  </si>
  <si>
    <t>Scrophularia mottle virus</t>
  </si>
  <si>
    <t>Hepadnaviridae</t>
  </si>
  <si>
    <t>Sweet potato mild speckling virus</t>
  </si>
  <si>
    <t>Sweet potato virus 2</t>
  </si>
  <si>
    <t>Sweet potato virus G</t>
  </si>
  <si>
    <t>Telfairia mosaic virus</t>
  </si>
  <si>
    <t>Thunberg fritillary mosaic virus</t>
  </si>
  <si>
    <t>Tobacco etch virus</t>
  </si>
  <si>
    <t>Woolly monkey hepatitis B virus</t>
  </si>
  <si>
    <t>Hypoviridae</t>
  </si>
  <si>
    <t>Hordeivirus</t>
  </si>
  <si>
    <t>Anthoxanthum latent blanching virus</t>
  </si>
  <si>
    <t>Barley stripe mosaic virus</t>
  </si>
  <si>
    <t>Lychnis ringspot virus</t>
  </si>
  <si>
    <t>Poa semilatent virus</t>
  </si>
  <si>
    <t>Idaeovirus</t>
  </si>
  <si>
    <t>Ourmiavirus</t>
  </si>
  <si>
    <t>Cassava virus C</t>
  </si>
  <si>
    <t>Epirus cherry virus</t>
  </si>
  <si>
    <t>Ourmia melon virus</t>
  </si>
  <si>
    <t>Pecluvirus</t>
  </si>
  <si>
    <t>Indian peanut clump virus</t>
  </si>
  <si>
    <t>Peanut clump virus</t>
  </si>
  <si>
    <t>Sorghum chlorotic spot virus</t>
  </si>
  <si>
    <t>Bean golden mosaic virus</t>
  </si>
  <si>
    <t>Bean golden yellow mosaic virus</t>
  </si>
  <si>
    <t>Bhendi yellow vein mosaic virus</t>
  </si>
  <si>
    <t>Boerhavia yellow spot virus</t>
  </si>
  <si>
    <t>Cabbage leaf curl Jamaica virus</t>
  </si>
  <si>
    <t>Cabbage leaf curl virus</t>
  </si>
  <si>
    <t>Chayote yellow mosaic virus</t>
  </si>
  <si>
    <t>Chilli leaf curl virus</t>
  </si>
  <si>
    <t>Chino del tomate virus</t>
  </si>
  <si>
    <t>Clerodendron golden mosaic virus</t>
  </si>
  <si>
    <t>Corchorus golden mosaic virus</t>
  </si>
  <si>
    <t>Corchorus yellow spot virus</t>
  </si>
  <si>
    <t>Arabidopsis thaliana Art1 virus</t>
  </si>
  <si>
    <t>Arabidopsis thaliana AtRE1 virus</t>
  </si>
  <si>
    <t>Cotton leaf curl Alabad virus</t>
  </si>
  <si>
    <t>Capillovirus</t>
  </si>
  <si>
    <t>Cotton leaf curl Gezira virus</t>
  </si>
  <si>
    <t>Cotton leaf curl Kokhran virus</t>
  </si>
  <si>
    <t>Cryptosporidium parvum virus 1</t>
  </si>
  <si>
    <t>Botrytis virus F</t>
  </si>
  <si>
    <t>Carnation latent virus</t>
  </si>
  <si>
    <t>Eupatorium yellow vein mosaic virus</t>
  </si>
  <si>
    <t>Mycoflexivirus</t>
  </si>
  <si>
    <t>Alphaflexiviridae</t>
  </si>
  <si>
    <t>Euphorbia leaf curl Guangxi virus</t>
  </si>
  <si>
    <t>Euphorbia leaf curl virus</t>
  </si>
  <si>
    <t>Euphorbia mosaic virus</t>
  </si>
  <si>
    <t>Tomato leaf curl Java virus</t>
  </si>
  <si>
    <t>Pepper mild mottle virus</t>
  </si>
  <si>
    <t>Ribgrass mosaic virus</t>
  </si>
  <si>
    <t>Sunn-hemp mosaic virus</t>
  </si>
  <si>
    <t>Tomato leaf curl Joydebpur virus</t>
  </si>
  <si>
    <t>Bafinivirus</t>
  </si>
  <si>
    <t>White bream virus</t>
  </si>
  <si>
    <t>Anelloviridae</t>
  </si>
  <si>
    <t>Alphatorquevirus</t>
  </si>
  <si>
    <t>Betatorquevirus</t>
  </si>
  <si>
    <t>Gammatorquevirus</t>
  </si>
  <si>
    <t>Deltatorquevirus</t>
  </si>
  <si>
    <t>Torque teno virus 4</t>
  </si>
  <si>
    <t>Torque teno virus 5</t>
  </si>
  <si>
    <t>Torque teno virus 6</t>
  </si>
  <si>
    <t>Torque teno virus 7</t>
  </si>
  <si>
    <t>Torque teno virus 9</t>
  </si>
  <si>
    <t>Torque teno virus 10</t>
  </si>
  <si>
    <t>Torque teno virus 13</t>
  </si>
  <si>
    <t>Torque teno virus 14</t>
  </si>
  <si>
    <t>Torque teno virus 15</t>
  </si>
  <si>
    <t>Torque teno virus 17</t>
  </si>
  <si>
    <t>Torque teno virus 18</t>
  </si>
  <si>
    <t>Torque teno virus 19</t>
  </si>
  <si>
    <t>Torque teno virus 20</t>
  </si>
  <si>
    <t>Torque teno virus 21</t>
  </si>
  <si>
    <t>Torque teno virus 24</t>
  </si>
  <si>
    <t>Mimosa yellow leaf curl virus</t>
  </si>
  <si>
    <t>Mungbean yellow mosaic India virus</t>
  </si>
  <si>
    <t>Mungbean yellow mosaic virus</t>
  </si>
  <si>
    <t>Okra yellow crinkle virus</t>
  </si>
  <si>
    <t>Okra yellow mosaic Mexico virus</t>
  </si>
  <si>
    <t>Papaya leaf curl China virus</t>
  </si>
  <si>
    <t>Papaya leaf curl Guandong virus</t>
  </si>
  <si>
    <t>Papaya leaf curl virus</t>
  </si>
  <si>
    <t>Pepper golden mosaic virus</t>
  </si>
  <si>
    <t>Pepper huasteco yellow vein virus</t>
  </si>
  <si>
    <t>Grapevine rupestris stem pitting-associated virus</t>
  </si>
  <si>
    <t>Mandarivirus</t>
  </si>
  <si>
    <t>Rice dwarf virus</t>
  </si>
  <si>
    <t>Rice gall dwarf virus</t>
  </si>
  <si>
    <t>Wound tumor virus</t>
  </si>
  <si>
    <t>Trichovirus</t>
  </si>
  <si>
    <t>Rotavirus A</t>
  </si>
  <si>
    <t>Rotavirus B</t>
  </si>
  <si>
    <t>Rotavirus C</t>
  </si>
  <si>
    <t>Rotavirus D</t>
  </si>
  <si>
    <t>Seadornavirus</t>
  </si>
  <si>
    <t>Banna virus</t>
  </si>
  <si>
    <t>Kadipiro virus</t>
  </si>
  <si>
    <t>Liao ning virus</t>
  </si>
  <si>
    <t>Retroviridae</t>
  </si>
  <si>
    <t>Orthoretrovirinae</t>
  </si>
  <si>
    <t>Alpharetrovirus</t>
  </si>
  <si>
    <t>Kennedya yellow mosaic virus</t>
  </si>
  <si>
    <t>Melon rugose mosaic virus</t>
  </si>
  <si>
    <t>Nemesia ring necrosis virus</t>
  </si>
  <si>
    <t>Avian leukosis virus</t>
  </si>
  <si>
    <t>Passion fruit yellow mosaic virus</t>
  </si>
  <si>
    <t>Peanut yellow mosaic virus</t>
  </si>
  <si>
    <t>Petunia vein banding virus</t>
  </si>
  <si>
    <t>Physalis mottle virus</t>
  </si>
  <si>
    <t>Plantago mottle virus</t>
  </si>
  <si>
    <t>Miscanthus streak virus</t>
  </si>
  <si>
    <t>Panicum streak virus</t>
  </si>
  <si>
    <t>Sugarcane streak Egypt virus</t>
  </si>
  <si>
    <t>Sugarcane streak Reunion virus</t>
  </si>
  <si>
    <t>Sugarcane streak virus</t>
  </si>
  <si>
    <t>Tobacco yellow dwarf virus</t>
  </si>
  <si>
    <t>Wheat dwarf virus</t>
  </si>
  <si>
    <t>Topocuvirus</t>
  </si>
  <si>
    <t>Tomato pseudo-curly top virus</t>
  </si>
  <si>
    <t>Globuloviridae</t>
  </si>
  <si>
    <t>Rhopalanthe virus Y</t>
  </si>
  <si>
    <t>Sarcochilus virus Y</t>
  </si>
  <si>
    <t>Scallion mosaic virus</t>
  </si>
  <si>
    <t>Shallot yellow stripe virus</t>
  </si>
  <si>
    <t>Tobacco vein banding mosaic virus</t>
  </si>
  <si>
    <t>Tobacco vein mottling virus</t>
  </si>
  <si>
    <t>Tradescantia mild mosaic virus</t>
  </si>
  <si>
    <t>Tuberose mild mosaic virus</t>
  </si>
  <si>
    <t>Tuberose mild mottle virus</t>
  </si>
  <si>
    <t>Tulip breaking virus</t>
  </si>
  <si>
    <t>Tulip mosaic virus</t>
  </si>
  <si>
    <t>Turnip mosaic virus</t>
  </si>
  <si>
    <t>Watermelon leaf mottle virus</t>
  </si>
  <si>
    <t>Watermelon mosaic virus</t>
  </si>
  <si>
    <t>Polemovirus</t>
  </si>
  <si>
    <t>Poinsettia latent virus</t>
  </si>
  <si>
    <t>Pomovirus</t>
  </si>
  <si>
    <t>Beet soil-borne virus</t>
  </si>
  <si>
    <t>Beet virus Q</t>
  </si>
  <si>
    <t>Broad bean necrosis virus</t>
  </si>
  <si>
    <t>Potato mop-top virus</t>
  </si>
  <si>
    <t>Rhizidiovirus</t>
  </si>
  <si>
    <t>Rhizidiomyces virus</t>
  </si>
  <si>
    <t>Batrachovirus</t>
  </si>
  <si>
    <t>Ranid herpesvirus 1</t>
  </si>
  <si>
    <t>Cotton leaf curl Multan virus</t>
  </si>
  <si>
    <t>Cowpea golden mosaic virus</t>
  </si>
  <si>
    <t>Allexivirus</t>
  </si>
  <si>
    <t>Garlic mite-borne filamentous virus</t>
  </si>
  <si>
    <t>Cotton leaf crumple virus</t>
  </si>
  <si>
    <t>Garlic virus D</t>
  </si>
  <si>
    <t>Garlic virus E</t>
  </si>
  <si>
    <t>Garlic virus X</t>
  </si>
  <si>
    <t>Shallot virus X</t>
  </si>
  <si>
    <t>Version:</t>
    <phoneticPr fontId="4" type="noConversion"/>
  </si>
  <si>
    <t>Apple stem grooving virus</t>
  </si>
  <si>
    <t>Cherry virus A</t>
  </si>
  <si>
    <t>Carlavirus</t>
  </si>
  <si>
    <t>Aconitum latent virus</t>
  </si>
  <si>
    <t>American hop latent virus</t>
  </si>
  <si>
    <t>Blueberry scorch virus</t>
  </si>
  <si>
    <t>Cactus virus 2</t>
  </si>
  <si>
    <t>Caper latent virus</t>
  </si>
  <si>
    <t>Obuda pepper virus</t>
  </si>
  <si>
    <t>Odontoglossum ringspot virus</t>
  </si>
  <si>
    <t>Paprika mild mottle virus</t>
  </si>
  <si>
    <t>Eupatorium yellow vein virus</t>
  </si>
  <si>
    <t>Gammacoronavirus</t>
  </si>
  <si>
    <t>Avian coronavirus</t>
  </si>
  <si>
    <t>Beluga whale coronavirus SW1</t>
  </si>
  <si>
    <t>Torovirinae</t>
  </si>
  <si>
    <t>East African cassava mosaic Cameroon virus</t>
  </si>
  <si>
    <t>East African cassava mosaic Kenya virus</t>
  </si>
  <si>
    <t>East African cassava mosaic Malawi virus</t>
  </si>
  <si>
    <t>East African cassava mosaic virus</t>
  </si>
  <si>
    <t>East African cassava mosaic Zanzibar virus</t>
  </si>
  <si>
    <t>Erectites yellow mosaic virus</t>
  </si>
  <si>
    <t>Tobamovirus</t>
  </si>
  <si>
    <t>Cucumber fruit mottle mosaic virus</t>
  </si>
  <si>
    <t>Cucumber green mottle mosaic virus</t>
  </si>
  <si>
    <t>Frangipani mosaic virus</t>
  </si>
  <si>
    <t>Hibiscus latent Fort Pierce virus</t>
  </si>
  <si>
    <t>Hibiscus latent Singapore virus</t>
  </si>
  <si>
    <t>Kyuri green mottle mosaic virus</t>
  </si>
  <si>
    <t>Tomato leaf curl Hsinchu virus</t>
  </si>
  <si>
    <t>Torque teno virus 25</t>
  </si>
  <si>
    <t>Torque teno virus 26</t>
  </si>
  <si>
    <t>Pepper leaf curl Lahore virus</t>
  </si>
  <si>
    <t>Pepper leaf curl virus</t>
  </si>
  <si>
    <t>Lily virus X</t>
  </si>
  <si>
    <t>Mint virus X</t>
  </si>
  <si>
    <t>Narcissus mosaic virus</t>
  </si>
  <si>
    <t>Nerine virus X</t>
  </si>
  <si>
    <t>Opuntia virus X</t>
  </si>
  <si>
    <t>Papaya mosaic virus</t>
  </si>
  <si>
    <t>Plum pox virus</t>
  </si>
  <si>
    <t>Betacoronavirus</t>
  </si>
  <si>
    <t>Murine coronavirus</t>
  </si>
  <si>
    <t>Betacoronavirus 1</t>
  </si>
  <si>
    <t>Tomato leaf curl Guangxi virus</t>
  </si>
  <si>
    <t>Tomato leaf curl Gujarat virus</t>
  </si>
  <si>
    <t>Coleviroid</t>
  </si>
  <si>
    <t>Coleus blumei viroid 1</t>
  </si>
  <si>
    <t>Coleus blumei viroid 2</t>
  </si>
  <si>
    <t>Coleus blumei viroid 3</t>
  </si>
  <si>
    <t>Hostuviroid</t>
  </si>
  <si>
    <t>Hop stunt viroid</t>
  </si>
  <si>
    <t>Pospiviroid</t>
  </si>
  <si>
    <t>Chrysanthemum stunt viroid</t>
  </si>
  <si>
    <t>Citrus exocortis viroid</t>
  </si>
  <si>
    <t>Columnea latent viroid</t>
  </si>
  <si>
    <t>Iresine viroid 1</t>
  </si>
  <si>
    <t>Potato spindle tuber viroid</t>
  </si>
  <si>
    <t>Tomato apical stunt viroid</t>
  </si>
  <si>
    <t>Tomato chlorotic dwarf viroid</t>
  </si>
  <si>
    <t>Tomato planta macho viroid</t>
  </si>
  <si>
    <t>Potyviridae</t>
  </si>
  <si>
    <t>Bymovirus</t>
  </si>
  <si>
    <t>Barley mild mosaic virus</t>
  </si>
  <si>
    <t>Barley yellow mosaic virus</t>
  </si>
  <si>
    <t>Sweet potato chlorotic stunt virus</t>
  </si>
  <si>
    <t>Tomato chlorosis virus</t>
  </si>
  <si>
    <t>Beet pseudoyellows virus</t>
  </si>
  <si>
    <t>Blackberry yellow vein-associated virus</t>
  </si>
  <si>
    <t>Torque teno tamarin virus</t>
  </si>
  <si>
    <t>Torque teno douroucouli virus</t>
  </si>
  <si>
    <t>Rabbit fibroma virus</t>
  </si>
  <si>
    <t>Squirrel fibroma virus</t>
  </si>
  <si>
    <t>Molluscipoxvirus</t>
  </si>
  <si>
    <t>Sugarcane streak mosaic virus</t>
  </si>
  <si>
    <t>Leporipoxvirus</t>
  </si>
  <si>
    <t>Hare fibroma virus</t>
  </si>
  <si>
    <t>Myxoma virus</t>
  </si>
  <si>
    <t>Canarypox virus</t>
  </si>
  <si>
    <t>Fowlpox virus</t>
  </si>
  <si>
    <t>Juncopox virus</t>
  </si>
  <si>
    <t>Mynahpox virus</t>
  </si>
  <si>
    <t>Pigeonpox virus</t>
  </si>
  <si>
    <t>Psittacinepox virus</t>
  </si>
  <si>
    <t>Quailpox virus</t>
  </si>
  <si>
    <t>Sparrowpox virus</t>
  </si>
  <si>
    <t>Starlingpox virus</t>
  </si>
  <si>
    <t>Turkeypox virus</t>
  </si>
  <si>
    <t>Capripoxvirus</t>
  </si>
  <si>
    <t>Grapevine virus B</t>
  </si>
  <si>
    <t>Grapevine virus D</t>
  </si>
  <si>
    <t>Potato virus V</t>
  </si>
  <si>
    <t>Potato virus Y</t>
  </si>
  <si>
    <t>Ranunculus leaf distortion virus</t>
  </si>
  <si>
    <t>South African cassava mosaic virus</t>
  </si>
  <si>
    <t>Soybean blistering mosaic virus</t>
  </si>
  <si>
    <t>Spilanthes yellow vein virus</t>
  </si>
  <si>
    <t>Squash leaf curl China virus</t>
  </si>
  <si>
    <t>Squash leaf curl Philippines virus</t>
  </si>
  <si>
    <t>Squash leaf curl virus</t>
  </si>
  <si>
    <t>Squash leaf curl Yunnan virus</t>
  </si>
  <si>
    <t>Squash mild leaf curl virus</t>
  </si>
  <si>
    <t>Sri Lankan cassava mosaic virus</t>
  </si>
  <si>
    <t>Stachytarpheta leaf curl virus</t>
  </si>
  <si>
    <t>Sweet potato leaf curl Canary virus</t>
  </si>
  <si>
    <t>Sweet potato leaf curl China virus</t>
  </si>
  <si>
    <t>Sweet potato leaf curl Georgia virus</t>
  </si>
  <si>
    <t>Sweet potato leaf curl virus</t>
  </si>
  <si>
    <t>Tobacco curly shoot virus</t>
  </si>
  <si>
    <t>Henbane mosaic virus</t>
  </si>
  <si>
    <t>Hibbertia virus Y</t>
  </si>
  <si>
    <t>Hippeastrum mosaic virus</t>
  </si>
  <si>
    <t>Hyacinth mosaic virus</t>
  </si>
  <si>
    <t>Iris fulva mosaic virus</t>
  </si>
  <si>
    <t>Iris mild mosaic virus</t>
  </si>
  <si>
    <t>Iris severe mosaic virus</t>
  </si>
  <si>
    <t>Japanese yam mosaic virus</t>
  </si>
  <si>
    <t>Johnsongrass mosaic virus</t>
  </si>
  <si>
    <t>Konjac mosaic virus</t>
  </si>
  <si>
    <t>Leek yellow stripe virus</t>
  </si>
  <si>
    <t>Lettuce mosaic virus</t>
  </si>
  <si>
    <t>Lily mottle virus</t>
  </si>
  <si>
    <t>Lycoris mild mottle virus</t>
  </si>
  <si>
    <t>Abaca bunchy top virus</t>
  </si>
  <si>
    <t>Cardamom bushy dwarf virus</t>
  </si>
  <si>
    <t>Rose spring dwarf-associated virus</t>
  </si>
  <si>
    <t>Chickpea chlorotic stunt virus</t>
  </si>
  <si>
    <t>Melon aphid-borne yellows virus</t>
  </si>
  <si>
    <t>Brambyvirus</t>
  </si>
  <si>
    <t>Blackberry virus Y</t>
  </si>
  <si>
    <t>Emaravirus</t>
  </si>
  <si>
    <t>Omikronpapillomavirus</t>
  </si>
  <si>
    <t>Avsunviroidae</t>
  </si>
  <si>
    <t>Avsunviroid</t>
  </si>
  <si>
    <t>Avocado sunblotch viroid</t>
  </si>
  <si>
    <t>Elaviroid</t>
  </si>
  <si>
    <t>Eggplant latent viroid</t>
  </si>
  <si>
    <t>Pelamoviroid</t>
  </si>
  <si>
    <t>Chrysanthemum chlorotic mottle viroid</t>
  </si>
  <si>
    <t>Anguillid herpesvirus 1</t>
  </si>
  <si>
    <t>Munia coronavirus HKU13</t>
  </si>
  <si>
    <t>Banana streak MY virus</t>
  </si>
  <si>
    <t>Nootka lupine vein clearing virus</t>
  </si>
  <si>
    <t>Eragrostis streak virus</t>
  </si>
  <si>
    <t>Urochloa streak virus</t>
  </si>
  <si>
    <t>Miniopterus bat coronavirus 1</t>
  </si>
  <si>
    <t>Miniopterus bat coronavirus HKU8</t>
  </si>
  <si>
    <t>Rhinolophus bat coronavirus HKU2</t>
  </si>
  <si>
    <t>Scotophilus bat coronavirus 512</t>
  </si>
  <si>
    <t>Pipistrellus bat coronavirus HKU5</t>
  </si>
  <si>
    <t>Rousettus bat coronavirus HKU9</t>
  </si>
  <si>
    <t>Tylonycteris bat coronavirus HKU4</t>
  </si>
  <si>
    <t>Squash mosaic virus</t>
  </si>
  <si>
    <t>Ullucus virus C</t>
  </si>
  <si>
    <t>Broad bean wilt virus 1</t>
  </si>
  <si>
    <t>Broad bean wilt virus 2</t>
  </si>
  <si>
    <t>Gentian mosaic virus</t>
  </si>
  <si>
    <t>Mamastrovirus</t>
  </si>
  <si>
    <t>Artichoke Aegean ringspot virus</t>
  </si>
  <si>
    <t>Artichoke Italian latent virus</t>
  </si>
  <si>
    <t>Artichoke yellow ringspot virus</t>
  </si>
  <si>
    <t>Beet ringspot virus</t>
  </si>
  <si>
    <t>Blackcurrant reversion virus</t>
  </si>
  <si>
    <t>Blueberry leaf mottle virus</t>
  </si>
  <si>
    <t>Cassava American latent virus</t>
  </si>
  <si>
    <t>Cassava green mottle virus</t>
  </si>
  <si>
    <t>Maclura mosaic virus</t>
  </si>
  <si>
    <t>Narcissus latent virus</t>
  </si>
  <si>
    <t>Potyvirus</t>
  </si>
  <si>
    <t>Alstroemeria mosaic virus</t>
  </si>
  <si>
    <t>Amaranthus leaf mottle virus</t>
  </si>
  <si>
    <t>Amazon lily mosaic virus</t>
  </si>
  <si>
    <t>Apium virus Y</t>
  </si>
  <si>
    <t>Araujia mosaic virus</t>
  </si>
  <si>
    <t>Artichoke latent virus</t>
  </si>
  <si>
    <t>Asparagus virus 1</t>
  </si>
  <si>
    <t>Banana bract mosaic virus</t>
  </si>
  <si>
    <t>Basella rugose mosaic virus</t>
  </si>
  <si>
    <t>Bean common mosaic necrosis virus</t>
  </si>
  <si>
    <t>Bean common mosaic virus</t>
  </si>
  <si>
    <t>Bean yellow mosaic virus</t>
  </si>
  <si>
    <t>Beet mosaic virus</t>
  </si>
  <si>
    <t>Bidens mottle virus</t>
  </si>
  <si>
    <t>Carrot temperate virus 2</t>
  </si>
  <si>
    <t>Hop trefoil cryptic virus 2</t>
  </si>
  <si>
    <t>Red clover cryptic virus 2</t>
  </si>
  <si>
    <t>White clover cryptic virus 2</t>
  </si>
  <si>
    <t>Agaricus bisporus virus 4</t>
  </si>
  <si>
    <t>Aspergillus ochraceous virus</t>
  </si>
  <si>
    <t>Enterovirus</t>
  </si>
  <si>
    <t>Plodia interpunctella granulovirus</t>
  </si>
  <si>
    <t>Plutella xylostella granulovirus</t>
  </si>
  <si>
    <t>Erbovirus</t>
  </si>
  <si>
    <t>Hepatovirus</t>
  </si>
  <si>
    <t>Kobuvirus</t>
  </si>
  <si>
    <t>Culex nigripalpus nucleopolyhedrovirus</t>
  </si>
  <si>
    <t>Gammabaculovirus</t>
  </si>
  <si>
    <t>Neodiprion lecontei nucleopolyhedrovirus</t>
  </si>
  <si>
    <t>Sequivirus</t>
  </si>
  <si>
    <t>Dandelion yellow mosaic virus</t>
  </si>
  <si>
    <t>Anthriscus yellows virus</t>
  </si>
  <si>
    <t>Maize chlorotic dwarf virus</t>
  </si>
  <si>
    <t>Cheravirus</t>
  </si>
  <si>
    <t>Apple latent spherical virus</t>
  </si>
  <si>
    <t>Cherry rasp leaf virus</t>
  </si>
  <si>
    <t>Stocky prune virus</t>
  </si>
  <si>
    <t>Pennisetum mosaic virus</t>
  </si>
  <si>
    <t>Pepper mottle virus</t>
  </si>
  <si>
    <t>Pepper severe mosaic virus</t>
  </si>
  <si>
    <t>Pepper veinal mottle virus</t>
  </si>
  <si>
    <t>Pepper yellow mosaic virus</t>
  </si>
  <si>
    <t>Peru tomato mosaic virus</t>
  </si>
  <si>
    <t>Pfaffia mosaic virus</t>
  </si>
  <si>
    <t>Pleione virus Y</t>
  </si>
  <si>
    <t>Bicaudaviridae</t>
  </si>
  <si>
    <t>Bicaudavirus</t>
  </si>
  <si>
    <t>Acidianus two-tailed virus</t>
  </si>
  <si>
    <t>Spring beauty latent virus</t>
  </si>
  <si>
    <t>Cucumovirus</t>
  </si>
  <si>
    <t>Cucumber mosaic virus</t>
  </si>
  <si>
    <t>Paramecium bursaria Chlorella virus CA4A</t>
  </si>
  <si>
    <t>Paramecium bursaria Chlorella virus CA4B</t>
  </si>
  <si>
    <t>Paramecium bursaria Chlorella virus IL3A</t>
  </si>
  <si>
    <t>Acidianus filamentous virus 7</t>
  </si>
  <si>
    <t>Acidianus filamentous virus 6</t>
  </si>
  <si>
    <t>Acidianus filamentous virus 3</t>
  </si>
  <si>
    <t>Picovirinae</t>
  </si>
  <si>
    <t>Heliothis virescens ascovirus 3a</t>
  </si>
  <si>
    <t>Spodoptera frugiperda ascovirus 1a</t>
  </si>
  <si>
    <t>Anomala cuprea entomopoxvirus</t>
  </si>
  <si>
    <t>Aphodius tasmaniae entomopoxvirus</t>
  </si>
  <si>
    <t>Asfarviridae</t>
  </si>
  <si>
    <t>Asfivirus</t>
  </si>
  <si>
    <t>African swine fever virus</t>
  </si>
  <si>
    <t>Astroviridae</t>
  </si>
  <si>
    <t>Avastrovirus</t>
  </si>
  <si>
    <t>Melolontha melolontha entomopoxvirus</t>
  </si>
  <si>
    <t>Betaentomopoxvirus</t>
  </si>
  <si>
    <t>Horseradish curly top virus</t>
  </si>
  <si>
    <t>Mastrevirus</t>
  </si>
  <si>
    <t>Drosophila melanogaster Gypsy virus</t>
  </si>
  <si>
    <t>Drosophila melanogaster Idefix virus</t>
  </si>
  <si>
    <t>Drosophila melanogaster Tirant virus</t>
  </si>
  <si>
    <t>Drosophila melanogaster Zam virus</t>
  </si>
  <si>
    <t>Drosophila virilis Tv1 virus</t>
  </si>
  <si>
    <t>Siadenovirus</t>
  </si>
  <si>
    <t>Japanese iris necrotic ring virus</t>
  </si>
  <si>
    <t>Melon necrotic spot virus</t>
  </si>
  <si>
    <t>Equine torovirus</t>
  </si>
  <si>
    <t>Cytomegalovirus</t>
  </si>
  <si>
    <t>Muromegalovirus</t>
  </si>
  <si>
    <t>Andean potato mottle virus</t>
  </si>
  <si>
    <t>Bean pod mottle virus</t>
  </si>
  <si>
    <t>Bean rugose mosaic virus</t>
  </si>
  <si>
    <t>Broad bean stain virus</t>
  </si>
  <si>
    <t>Cowpea severe mosaic virus</t>
  </si>
  <si>
    <t>UR2 sarcoma virus</t>
  </si>
  <si>
    <t>Y73 sarcoma virus</t>
  </si>
  <si>
    <t>Betaretrovirus</t>
  </si>
  <si>
    <t>Adoxophyes honmai nucleopolyhedrovirus</t>
  </si>
  <si>
    <t>Agrotis ipsilon multiple nucleopolyhedrovirus</t>
  </si>
  <si>
    <t>Autographa californica multiple nucleopolyhedrovirus</t>
  </si>
  <si>
    <t>Bombyx mori nucleopolyhedrovirus</t>
  </si>
  <si>
    <t>Buzura suppressaria nucleopolyhedrovirus</t>
  </si>
  <si>
    <t>Choristoneura fumiferana DEF multiple nucleopolyhedrovirus</t>
  </si>
  <si>
    <t>Phlebovirus</t>
  </si>
  <si>
    <t>Mamestra brassicae multiple nucleopolyhedrovirus</t>
  </si>
  <si>
    <t>Mamestra configurata nucleopolyhedrovirus A</t>
  </si>
  <si>
    <t>Mamestra configurata nucleopolyhedrovirus B</t>
  </si>
  <si>
    <t>Orgyia pseudotsugata multiple nucleopolyhedrovirus</t>
  </si>
  <si>
    <t>Equine rhinitis A virus</t>
  </si>
  <si>
    <t>Harrisina brillians granulovirus</t>
  </si>
  <si>
    <t>Cryptophlebia leucotreta granulovirus</t>
  </si>
  <si>
    <t>Cydia pomonella granulovirus</t>
  </si>
  <si>
    <t>Saccharomyces cerevisiae Ty4 virus</t>
  </si>
  <si>
    <t>Helicoverpa armigera granulovirus</t>
  </si>
  <si>
    <t>Botrexvirus</t>
  </si>
  <si>
    <t>Sirevirus</t>
  </si>
  <si>
    <t>Arabidopsis thaliana Endovir virus</t>
  </si>
  <si>
    <t>Glycine max SIRE1 virus</t>
  </si>
  <si>
    <t>Lycopersicon esculentum ToRTL1 virus</t>
  </si>
  <si>
    <t>Phnom Penh bat virus</t>
  </si>
  <si>
    <t>Powassan virus</t>
  </si>
  <si>
    <t>Rio Bravo virus</t>
  </si>
  <si>
    <t>Royal Farm virus</t>
  </si>
  <si>
    <t>Saboya virus</t>
  </si>
  <si>
    <t>Sal Vieja virus</t>
  </si>
  <si>
    <t>San Perlita virus</t>
  </si>
  <si>
    <t>Aquareovirus</t>
  </si>
  <si>
    <t>Aquareovirus A</t>
  </si>
  <si>
    <t>Aquareovirus B</t>
  </si>
  <si>
    <t>Aquareovirus C</t>
  </si>
  <si>
    <t>Aquareovirus D</t>
  </si>
  <si>
    <t>Aquareovirus E</t>
  </si>
  <si>
    <t>Aquareovirus F</t>
  </si>
  <si>
    <t>Aquareovirus G</t>
  </si>
  <si>
    <t>Cardoreovirus</t>
  </si>
  <si>
    <t>Eriocheir sinensis reovirus</t>
  </si>
  <si>
    <t>Coltivirus</t>
  </si>
  <si>
    <t>Cypovirus</t>
  </si>
  <si>
    <t>Kirsten murine sarcoma virus</t>
  </si>
  <si>
    <t>Mirabilis mosaic virus</t>
  </si>
  <si>
    <t>Strawberry vein banding virus</t>
  </si>
  <si>
    <t>Thistle mottle virus</t>
  </si>
  <si>
    <t>Cavemovirus</t>
  </si>
  <si>
    <t>Cassava vein mosaic virus</t>
  </si>
  <si>
    <t>Tobacco vein clearing virus</t>
  </si>
  <si>
    <t>Petuvirus</t>
  </si>
  <si>
    <t>Alfamovirus</t>
  </si>
  <si>
    <t>Alfalfa mosaic virus</t>
  </si>
  <si>
    <t>Anulavirus</t>
  </si>
  <si>
    <t>Pelargonium zonate spot virus</t>
  </si>
  <si>
    <t>Bromovirus</t>
  </si>
  <si>
    <t>Broad bean mottle virus</t>
  </si>
  <si>
    <t>Brome mosaic virus</t>
  </si>
  <si>
    <t>Cassia yellow blotch virus</t>
  </si>
  <si>
    <t>Rice tungro bacilliform virus</t>
  </si>
  <si>
    <t>Chrysoviridae</t>
  </si>
  <si>
    <t>Circoviridae</t>
  </si>
  <si>
    <t>Circovirus</t>
  </si>
  <si>
    <t>Pigeon circovirus</t>
  </si>
  <si>
    <t>Duck circovirus</t>
  </si>
  <si>
    <t>Citrus variegation virus</t>
  </si>
  <si>
    <t>Elm mottle virus</t>
  </si>
  <si>
    <t>Fragaria chiloensis latent virus</t>
  </si>
  <si>
    <t>Humulus japonicus latent virus</t>
  </si>
  <si>
    <t>Lilac ring mottle virus</t>
  </si>
  <si>
    <t>Yaba monkey tumor virus</t>
  </si>
  <si>
    <t>Yatapoxvirus</t>
  </si>
  <si>
    <t>Tanapox virus</t>
  </si>
  <si>
    <t>Entomopoxvirinae</t>
  </si>
  <si>
    <t>Victorivirus</t>
  </si>
  <si>
    <t>Tonate virus</t>
  </si>
  <si>
    <t>Trocara virus</t>
  </si>
  <si>
    <t>Una virus</t>
  </si>
  <si>
    <t>Helicobasidium mompa totivirus 1-17</t>
  </si>
  <si>
    <t>Magnaporthe oryzae virus 1</t>
  </si>
  <si>
    <t>Sphaeropsis sapinea RNA virus 1</t>
  </si>
  <si>
    <t>Sphaeropsis sapinea RNA virus 2</t>
  </si>
  <si>
    <t>Ceratocystis resinifera virus 1</t>
  </si>
  <si>
    <t>Tombusviridae</t>
  </si>
  <si>
    <t>Aureusvirus</t>
  </si>
  <si>
    <t>Cucumber leaf spot virus</t>
  </si>
  <si>
    <t>Pothos latent virus</t>
  </si>
  <si>
    <t>Avenavirus</t>
  </si>
  <si>
    <t>Oat chlorotic stunt virus</t>
  </si>
  <si>
    <t>Ahlum waterborne virus</t>
  </si>
  <si>
    <t>Angelonia flower break virus</t>
  </si>
  <si>
    <t>Bean mild mosaic virus</t>
  </si>
  <si>
    <t>Cardamine chlorotic fleck virus</t>
  </si>
  <si>
    <t>Carnation mottle virus</t>
  </si>
  <si>
    <t>Mouse mammary tumor virus</t>
  </si>
  <si>
    <t>Squirrel monkey retrovirus</t>
  </si>
  <si>
    <t>Deltaretrovirus</t>
  </si>
  <si>
    <t>Jaagsiekte sheep retrovirus</t>
  </si>
  <si>
    <t>Langur virus</t>
  </si>
  <si>
    <t>Mason-Pfizer monkey virus</t>
  </si>
  <si>
    <t>Primate T-lymphotropic virus 3</t>
  </si>
  <si>
    <t>Epsilonretrovirus</t>
  </si>
  <si>
    <t>Walleye dermal sarcoma virus</t>
  </si>
  <si>
    <t>Walleye epidermal hyperplasia virus 1</t>
  </si>
  <si>
    <t>Walleye epidermal hyperplasia virus 2</t>
  </si>
  <si>
    <t>Gammaretrovirus</t>
  </si>
  <si>
    <t>Chick syncytial virus</t>
  </si>
  <si>
    <t>Feline leukemia virus</t>
  </si>
  <si>
    <t>Finkel-Biskis-Jinkins murine sarcoma virus</t>
  </si>
  <si>
    <t>Spodoptera frugiperda multiple nucleopolyhedrovirus</t>
  </si>
  <si>
    <t>Spodoptera littoralis nucleopolyhedrovirus</t>
  </si>
  <si>
    <t>Spodoptera litura nucleopolyhedrovirus</t>
  </si>
  <si>
    <t>Thysanoplusia orichalcea nucleopolyhedrovirus</t>
  </si>
  <si>
    <t>Trichoplusia ni single nucleopolyhedrovirus</t>
  </si>
  <si>
    <t>Tomato yellow leaf curl Sardinia virus</t>
  </si>
  <si>
    <t>Tomato yellow leaf curl Thailand virus</t>
  </si>
  <si>
    <t>Tomato yellow leaf curl Vietnam virus</t>
  </si>
  <si>
    <t>Senecio yellow mosaic virus</t>
  </si>
  <si>
    <t>Sida golden mosaic Costa Rica virus</t>
  </si>
  <si>
    <t>Sida golden mosaic Florida virus</t>
  </si>
  <si>
    <t>Sida golden mosaic virus</t>
  </si>
  <si>
    <t>Sida golden yellow vein virus</t>
  </si>
  <si>
    <t>Sida leaf curl virus</t>
  </si>
  <si>
    <t>Sida micrantha mosaic virus</t>
  </si>
  <si>
    <t>Sida mottle virus</t>
  </si>
  <si>
    <t>Sida yellow mosaic China virus</t>
  </si>
  <si>
    <t>Sida yellow mosaic virus</t>
  </si>
  <si>
    <t>Isavirus</t>
  </si>
  <si>
    <t>Thogotovirus</t>
  </si>
  <si>
    <t>Papillomaviridae</t>
  </si>
  <si>
    <t>Alphapapillomavirus</t>
  </si>
  <si>
    <t>Paramecium bursaria Chlorella virus NC1A</t>
  </si>
  <si>
    <t>Paramecium bursaria Chlorella virus XZ4A</t>
  </si>
  <si>
    <t>Paramecium bursaria Chlorella virus XZ4C</t>
  </si>
  <si>
    <t>Coccolithovirus</t>
  </si>
  <si>
    <t>Paramecium bursaria Chlorella virus SC1A</t>
  </si>
  <si>
    <t>Paramecium bursaria Chlorella virus XY6E</t>
  </si>
  <si>
    <t>Wheat spindle streak mosaic virus</t>
  </si>
  <si>
    <t>Wheat yellow mosaic virus</t>
  </si>
  <si>
    <t>Ipomovirus</t>
  </si>
  <si>
    <t>Epsilonpapillomavirus</t>
  </si>
  <si>
    <t>Omegatetravirus</t>
  </si>
  <si>
    <t>Dendrolimus punctatus virus</t>
  </si>
  <si>
    <t>Helicoverpa armigera stunt virus</t>
  </si>
  <si>
    <t>Nudaurelia capensis omega virus</t>
  </si>
  <si>
    <t>Togaviridae</t>
  </si>
  <si>
    <t>Alphavirus</t>
  </si>
  <si>
    <t>Aura virus</t>
  </si>
  <si>
    <t>Barmah Forest virus</t>
  </si>
  <si>
    <t>Bebaru virus</t>
  </si>
  <si>
    <t>Cabassou virus</t>
  </si>
  <si>
    <t>Chikungunya virus</t>
  </si>
  <si>
    <t>Eastern equine encephalitis virus</t>
  </si>
  <si>
    <t>Everglades virus</t>
  </si>
  <si>
    <t>Fort Morgan virus</t>
  </si>
  <si>
    <t>Getah virus</t>
  </si>
  <si>
    <t>Highlands J virus</t>
  </si>
  <si>
    <t>Mayaro virus</t>
  </si>
  <si>
    <t>Middelburg virus</t>
  </si>
  <si>
    <t>Mucambo virus</t>
  </si>
  <si>
    <t>Ndumu virus</t>
  </si>
  <si>
    <t>Pixuna virus</t>
  </si>
  <si>
    <t>Tomato leaf curl Karnataka virus</t>
  </si>
  <si>
    <t>Betapapillomavirus</t>
  </si>
  <si>
    <t>Picobirnaviridae</t>
  </si>
  <si>
    <t>Tomato yellow leaf curl Indonesia virus</t>
  </si>
  <si>
    <t>Tomato yellow leaf curl Kanchanaburi virus</t>
  </si>
  <si>
    <t>Beet black scorch virus</t>
  </si>
  <si>
    <t>Chenopodium necrosis virus</t>
  </si>
  <si>
    <t>Leek white stripe virus</t>
  </si>
  <si>
    <t>Olive latent virus 1</t>
  </si>
  <si>
    <t>Olive mild mosaic virus</t>
  </si>
  <si>
    <t>Tobacco necrosis virus A</t>
  </si>
  <si>
    <t>Hop trefoil cryptic virus 1</t>
  </si>
  <si>
    <t>Hop trefoil cryptic virus 3</t>
  </si>
  <si>
    <t>Radish yellow edge virus</t>
  </si>
  <si>
    <t>Ryegrass cryptic virus</t>
  </si>
  <si>
    <t>Spinach temperate virus</t>
  </si>
  <si>
    <t>Vicia cryptic virus</t>
  </si>
  <si>
    <t>White clover cryptic virus 1</t>
  </si>
  <si>
    <t>White clover cryptic virus 3</t>
  </si>
  <si>
    <t>Petunia asteroid mosaic virus</t>
  </si>
  <si>
    <t>Maize dwarf mosaic virus</t>
  </si>
  <si>
    <t>Meadow saffron breaking virus</t>
  </si>
  <si>
    <t>Moroccan watermelon mosaic virus</t>
  </si>
  <si>
    <t>Penicillium stoloniferum virus S</t>
  </si>
  <si>
    <t>Rhizoctonia solani virus 717</t>
  </si>
  <si>
    <t>Nothoscordum mosaic virus</t>
  </si>
  <si>
    <t>Onion yellow dwarf virus</t>
  </si>
  <si>
    <t>Ornithogalum mosaic virus</t>
  </si>
  <si>
    <t>Gremmeniella abietina RNA virus MS1</t>
  </si>
  <si>
    <t>Herpesvirales</t>
  </si>
  <si>
    <t>Alloherpesviridae</t>
  </si>
  <si>
    <t>Ictalurid herpesvirus 1</t>
  </si>
  <si>
    <t>Cyprinid herpesvirus 3</t>
  </si>
  <si>
    <t>Herpesviridae</t>
  </si>
  <si>
    <t>Alphaherpesvirinae</t>
  </si>
  <si>
    <t>Iltovirus</t>
  </si>
  <si>
    <t>Quail pea mosaic virus</t>
  </si>
  <si>
    <t>Radish mosaic virus</t>
  </si>
  <si>
    <t>Emiliania huxleyi virus 86</t>
  </si>
  <si>
    <t>Phaeovirus</t>
  </si>
  <si>
    <t>Ectocarpus fasciculatus virus a</t>
  </si>
  <si>
    <t>Rice necrosis mosaic virus</t>
  </si>
  <si>
    <t>Lamium mild mosaic virus</t>
  </si>
  <si>
    <t>Apricot latent ringspot virus</t>
  </si>
  <si>
    <t>Arabis mosaic virus</t>
  </si>
  <si>
    <t>Arracacha virus A</t>
  </si>
  <si>
    <t>Cassava brown streak virus</t>
  </si>
  <si>
    <t>Cucumber vein yellowing virus</t>
  </si>
  <si>
    <t>Squash vein yellowing virus</t>
  </si>
  <si>
    <t>Sweet potato mild mottle virus</t>
  </si>
  <si>
    <t>Macluravirus</t>
  </si>
  <si>
    <t>Alpinia mosaic virus</t>
  </si>
  <si>
    <t>Cardamom mosaic virus</t>
  </si>
  <si>
    <t>Chinese yam necrotic mosaic virus</t>
  </si>
  <si>
    <t>Etapapillomavirus</t>
  </si>
  <si>
    <t>Gammapapillomavirus</t>
  </si>
  <si>
    <t>Ectocarpus siliculosus virus 1</t>
  </si>
  <si>
    <t>Ectocarpus siliculosus virus a</t>
  </si>
  <si>
    <t>Feldmannia irregularis virus a</t>
  </si>
  <si>
    <t>Feldmannia species virus</t>
  </si>
  <si>
    <t>Feldmannia species virus a</t>
  </si>
  <si>
    <t>Hincksia hinckiae virus a</t>
  </si>
  <si>
    <t>Myriotrichia clavaeformis virus a</t>
  </si>
  <si>
    <t>Pilayella littoralis virus 1</t>
  </si>
  <si>
    <t>Prasinovirus</t>
  </si>
  <si>
    <t>Micromonas pusilla virus SP1</t>
  </si>
  <si>
    <t>Prymnesiovirus</t>
  </si>
  <si>
    <t>Chrysochromulina brevifilum virus PW1</t>
  </si>
  <si>
    <t>Raphidovirus</t>
  </si>
  <si>
    <t>Heterosigma akashiwo virus 01</t>
  </si>
  <si>
    <t>Plasmaviridae</t>
  </si>
  <si>
    <t>Plasmavirus</t>
  </si>
  <si>
    <t>Alfalfa cryptic virus 1</t>
  </si>
  <si>
    <t>Beet cryptic virus 1</t>
  </si>
  <si>
    <t>Beet cryptic virus 2</t>
  </si>
  <si>
    <t>Beet cryptic virus 3</t>
  </si>
  <si>
    <t>Carnation cryptic virus 1</t>
  </si>
  <si>
    <t>Carrot temperate virus 1</t>
  </si>
  <si>
    <t>Carrot temperate virus 3</t>
  </si>
  <si>
    <t>Carrot temperate virus 4</t>
  </si>
  <si>
    <t>Narcissus degeneration virus</t>
  </si>
  <si>
    <t>Narcissus late season yellows virus</t>
  </si>
  <si>
    <t>Narcissus yellow stripe virus</t>
  </si>
  <si>
    <t>Nerine yellow stripe virus</t>
  </si>
  <si>
    <t>Parechovirus</t>
  </si>
  <si>
    <t>Teschovirus</t>
  </si>
  <si>
    <t>Ornithogalum virus 2</t>
  </si>
  <si>
    <t>Ornithogalum virus 3</t>
  </si>
  <si>
    <t>Papaya leaf distortion mosaic virus</t>
  </si>
  <si>
    <t>Papaya ringspot virus</t>
  </si>
  <si>
    <t>Parsnip mosaic virus</t>
  </si>
  <si>
    <t>Passiflora chlorosis virus</t>
  </si>
  <si>
    <t>Passion fruit woodiness virus</t>
  </si>
  <si>
    <t>Pea seed-borne mosaic virus</t>
  </si>
  <si>
    <t>Peanut mottle virus</t>
  </si>
  <si>
    <t>Polyomaviridae</t>
  </si>
  <si>
    <t>Paramecium bursaria Chlorella virus AL2A</t>
  </si>
  <si>
    <t>Paramecium bursaria Chlorella virus BJ2C</t>
  </si>
  <si>
    <t>Senecavirus</t>
  </si>
  <si>
    <t>Tremovirus</t>
  </si>
  <si>
    <t>Iguanid herpesvirus 2</t>
  </si>
  <si>
    <t>Ostreavirus</t>
  </si>
  <si>
    <t>Ostreid herpesvirus 1</t>
  </si>
  <si>
    <t>Mononegavirales</t>
  </si>
  <si>
    <t>Ichtadenovirus</t>
  </si>
  <si>
    <t>Salterprovirus</t>
  </si>
  <si>
    <t>Sobemovirus</t>
  </si>
  <si>
    <t>Blueberry shoestring virus</t>
  </si>
  <si>
    <t>Cocksfoot mottle virus</t>
  </si>
  <si>
    <t>Lucerne transient streak virus</t>
  </si>
  <si>
    <t>Rice yellow mottle virus</t>
  </si>
  <si>
    <t>Ryegrass mottle virus</t>
  </si>
  <si>
    <t>Plectrovirus</t>
  </si>
  <si>
    <t>Narnavirus</t>
  </si>
  <si>
    <t>Saccharomyces 20S RNA narnavirus</t>
  </si>
  <si>
    <t>Invertebrate iridescent virus 6</t>
  </si>
  <si>
    <t>Lymphocystivirus</t>
  </si>
  <si>
    <t>Lymphocystis disease virus 1</t>
  </si>
  <si>
    <t>Megalocytivirus</t>
  </si>
  <si>
    <t>Infectious spleen and kidney necrosis virus</t>
  </si>
  <si>
    <t>Ranavirus</t>
  </si>
  <si>
    <t>Ambystoma tigrinum virus</t>
  </si>
  <si>
    <t>Iridovirus</t>
  </si>
  <si>
    <t>Triatoma virus</t>
  </si>
  <si>
    <t>Acute bee paralysis virus</t>
  </si>
  <si>
    <t>Kashmir bee virus</t>
  </si>
  <si>
    <t>Taura syndrome virus</t>
  </si>
  <si>
    <t>Dicistroviridae</t>
  </si>
  <si>
    <t>Cripavirus</t>
  </si>
  <si>
    <t>Aphid lethal paralysis virus</t>
  </si>
  <si>
    <t>Black queen cell virus</t>
  </si>
  <si>
    <t>Cricket paralysis virus</t>
  </si>
  <si>
    <t>Drosophila C virus</t>
  </si>
  <si>
    <t>Plautia stali intestine virus</t>
  </si>
  <si>
    <t>Rhopalosiphum padi virus</t>
  </si>
  <si>
    <t>Aphthovirus</t>
  </si>
  <si>
    <t>Tobacco mottle virus</t>
  </si>
  <si>
    <t>Order</t>
  </si>
  <si>
    <t>Tomato yellow margin leaf curl virus</t>
  </si>
  <si>
    <t>Tomato yellow spot virus</t>
  </si>
  <si>
    <t>Tomato yellow vein streak virus</t>
  </si>
  <si>
    <t>Errantivirus</t>
  </si>
  <si>
    <t>Ceratitis capitata Yoyo virus</t>
  </si>
  <si>
    <t>Drosophila ananassae Tom virus</t>
  </si>
  <si>
    <t>Drosophila melanogaster 297 virus</t>
  </si>
  <si>
    <t>Iotapapillomavirus</t>
  </si>
  <si>
    <t>Trichoplusia ni TED virus</t>
  </si>
  <si>
    <t>Metavirus</t>
  </si>
  <si>
    <t>Arabidopsis thaliana Athila virus</t>
  </si>
  <si>
    <t>Arabidopsis thaliana Tat4 virus</t>
  </si>
  <si>
    <t>Bombyx mori Mag virus</t>
  </si>
  <si>
    <t>Caenorhabditis elegans Cer1 virus</t>
  </si>
  <si>
    <t>Cladosporium fulvum T-1 virus</t>
  </si>
  <si>
    <t>Dictyostelium discoideum Skipper virus</t>
  </si>
  <si>
    <t>Ampullaviridae</t>
  </si>
  <si>
    <t>Arenaviridae</t>
  </si>
  <si>
    <t>Human coronavirus NL63</t>
  </si>
  <si>
    <t>Porcine epidemic diarrhea virus</t>
  </si>
  <si>
    <t>Torovirus</t>
  </si>
  <si>
    <t>Bovine torovirus</t>
  </si>
  <si>
    <t>Porcine torovirus</t>
  </si>
  <si>
    <t>Roniviridae</t>
  </si>
  <si>
    <t>Okavirus</t>
  </si>
  <si>
    <t>Gill-associated virus</t>
  </si>
  <si>
    <t>Picornavirales</t>
  </si>
  <si>
    <t>Broad bean true mosaic virus</t>
  </si>
  <si>
    <t>Cowpea mosaic virus</t>
  </si>
  <si>
    <t>Sapelovirus</t>
  </si>
  <si>
    <t>Malacoherpesviridae</t>
  </si>
  <si>
    <t>Avihepatovirus</t>
  </si>
  <si>
    <t>Hepeviridae</t>
  </si>
  <si>
    <t>Sowbane mosaic virus</t>
  </si>
  <si>
    <t>Subterranean clover mottle virus</t>
  </si>
  <si>
    <t>Turnip rosette virus</t>
  </si>
  <si>
    <t>Velvet tobacco mottle virus</t>
  </si>
  <si>
    <t>Tenuivirus</t>
  </si>
  <si>
    <t>Milk vetch dwarf virus</t>
  </si>
  <si>
    <t>Subterranean clover stunt virus</t>
  </si>
  <si>
    <t>Coconut foliar decay virus</t>
  </si>
  <si>
    <t>Narnaviridae</t>
  </si>
  <si>
    <t>Saccharomyces 23S RNA narnavirus</t>
  </si>
  <si>
    <t>Nimaviridae</t>
  </si>
  <si>
    <t>Whispovirus</t>
  </si>
  <si>
    <t>White spot syndrome virus</t>
  </si>
  <si>
    <t>Nodaviridae</t>
  </si>
  <si>
    <t>Alphanodavirus</t>
  </si>
  <si>
    <t>Black beetle virus</t>
  </si>
  <si>
    <t>Boolarra virus</t>
  </si>
  <si>
    <t>Flock House virus</t>
  </si>
  <si>
    <t>Nodamura virus</t>
  </si>
  <si>
    <t>Pariacoto virus</t>
  </si>
  <si>
    <t>Betanodavirus</t>
  </si>
  <si>
    <t>Barfin flounder nervous necrosis virus</t>
  </si>
  <si>
    <t>Epizootic haematopoietic necrosis virus</t>
  </si>
  <si>
    <t>Frog virus 3</t>
  </si>
  <si>
    <t>Santee-Cooper ranavirus</t>
  </si>
  <si>
    <t>Iflaviridae</t>
  </si>
  <si>
    <t>Iflavirus</t>
  </si>
  <si>
    <t>Deformed wing virus</t>
  </si>
  <si>
    <t>Ectropis obliqua virus</t>
  </si>
  <si>
    <t>Infectious flacherie virus</t>
  </si>
  <si>
    <t>Perina nuda virus</t>
  </si>
  <si>
    <t>Sacbrood virus</t>
  </si>
  <si>
    <t>Marnaviridae</t>
  </si>
  <si>
    <t>Marnavirus</t>
  </si>
  <si>
    <t>Heterosigma akashiwo RNA virus</t>
  </si>
  <si>
    <t>Picornaviridae</t>
  </si>
  <si>
    <t>Deltalipothrixvirus</t>
  </si>
  <si>
    <t>Carrot mottle virus</t>
  </si>
  <si>
    <t>Groundnut rosette virus</t>
  </si>
  <si>
    <t>Novirhabdovirus</t>
  </si>
  <si>
    <t>Tobacco bushy top virus</t>
  </si>
  <si>
    <t>Enamovirus</t>
  </si>
  <si>
    <t>Luteovirus</t>
  </si>
  <si>
    <t>Soybean dwarf virus</t>
  </si>
  <si>
    <t>Chickpea stunt disease associated virus</t>
  </si>
  <si>
    <t>Vernonia yellow vein virus</t>
  </si>
  <si>
    <t>Watermelon chlorotic stunt virus</t>
  </si>
  <si>
    <t>Curtovirus</t>
  </si>
  <si>
    <t>Beet curly top virus</t>
  </si>
  <si>
    <t>Flaviviridae</t>
  </si>
  <si>
    <t>Flavivirus</t>
  </si>
  <si>
    <t>Apoi virus</t>
  </si>
  <si>
    <t>Aroa virus</t>
  </si>
  <si>
    <t>Bagaza virus</t>
  </si>
  <si>
    <t>Banzi virus</t>
  </si>
  <si>
    <t>Bouboui virus</t>
  </si>
  <si>
    <t>Bukalasa bat virus</t>
  </si>
  <si>
    <t>Kappapapillomavirus</t>
  </si>
  <si>
    <t>Lambdapapillomavirus</t>
  </si>
  <si>
    <t>Mupapillomavirus</t>
  </si>
  <si>
    <t>Nupapillomavirus</t>
  </si>
  <si>
    <t>Pipapillomavirus</t>
  </si>
  <si>
    <t>Thetapapillomavirus</t>
  </si>
  <si>
    <t>Drosophila buzzatii Osvaldo virus</t>
  </si>
  <si>
    <t>Drosophila melanogaster 412 virus</t>
  </si>
  <si>
    <t>Drosophila melanogaster Blastopia virus</t>
  </si>
  <si>
    <t>Drosophila melanogaster Mdg1 virus</t>
  </si>
  <si>
    <t>Drosophila melanogaster Mdg3 virus</t>
  </si>
  <si>
    <t>Drosophila melanogaster Micropia virus</t>
  </si>
  <si>
    <t>Glycine mosaic virus</t>
  </si>
  <si>
    <t>Pea green mottle virus</t>
  </si>
  <si>
    <t>Gokushovirinae</t>
  </si>
  <si>
    <t>Caenorhabditis elegans Cer13 virus</t>
  </si>
  <si>
    <t>Drosophila melanogaster Bel virus</t>
  </si>
  <si>
    <t>Drosophila melanogaster Roo virus</t>
  </si>
  <si>
    <t>Gooseberry vein banding associated virus</t>
  </si>
  <si>
    <t>Wiseana signata nucleopolyhedrovirus</t>
  </si>
  <si>
    <t>Betabaculovirus</t>
  </si>
  <si>
    <t>Adoxophyes orana granulovirus</t>
  </si>
  <si>
    <t>Artogeia rapae granulovirus</t>
  </si>
  <si>
    <t>Choristoneura fumiferana granulovirus</t>
  </si>
  <si>
    <t>Botrytis virus X</t>
  </si>
  <si>
    <t>Tymovirales</t>
  </si>
  <si>
    <t>Betaflexiviridae</t>
  </si>
  <si>
    <t>Murray Valley encephalitis virus</t>
  </si>
  <si>
    <t>Ntaya virus</t>
  </si>
  <si>
    <t>Omsk hemorrhagic fever virus</t>
  </si>
  <si>
    <t>Horsegram yellow mosaic virus</t>
  </si>
  <si>
    <t>Indian cassava mosaic virus</t>
  </si>
  <si>
    <t>Kudzu mosaic virus</t>
  </si>
  <si>
    <t>Lindernia anagallis yellow vein virus</t>
  </si>
  <si>
    <t>Tobacco latent virus</t>
  </si>
  <si>
    <t>Saumarez Reef virus</t>
  </si>
  <si>
    <t>Sepik virus</t>
  </si>
  <si>
    <t>Tembusu virus</t>
  </si>
  <si>
    <t>Tick-borne encephalitis virus</t>
  </si>
  <si>
    <t>Tyuleniy virus</t>
  </si>
  <si>
    <t>Uganda S virus</t>
  </si>
  <si>
    <t>Usutu virus</t>
  </si>
  <si>
    <t>Wesselsbron virus</t>
  </si>
  <si>
    <t>West Nile virus</t>
  </si>
  <si>
    <t>Yaounde virus</t>
  </si>
  <si>
    <t>Yellow fever virus</t>
  </si>
  <si>
    <t>Yokose virus</t>
  </si>
  <si>
    <t>Zika virus</t>
  </si>
  <si>
    <t>Hepacivirus</t>
  </si>
  <si>
    <t>Pestivirus</t>
  </si>
  <si>
    <t>Ludwigia yellow vein Vietnam virus</t>
  </si>
  <si>
    <t>Ludwigia yellow vein virus</t>
  </si>
  <si>
    <t>Luffa yellow mosaic virus</t>
  </si>
  <si>
    <t>Moloney murine sarcoma virus</t>
  </si>
  <si>
    <t>Murine leukemia virus</t>
  </si>
  <si>
    <t>Porcine type-C oncovirus</t>
  </si>
  <si>
    <t>Reticuloendotheliosis virus</t>
  </si>
  <si>
    <t>Petunia vein clearing virus</t>
  </si>
  <si>
    <t>Soymovirus</t>
  </si>
  <si>
    <t>Blueberry red ringspot virus</t>
  </si>
  <si>
    <t>Peanut chlorotic streak virus</t>
  </si>
  <si>
    <t>Soybean chlorotic mottle virus</t>
  </si>
  <si>
    <t>Tungrovirus</t>
  </si>
  <si>
    <t>Caprine arthritis encephalitis virus</t>
  </si>
  <si>
    <t>Equine infectious anemia virus</t>
  </si>
  <si>
    <t>Feline immunodeficiency virus</t>
  </si>
  <si>
    <t>Human immunodeficiency virus 1</t>
  </si>
  <si>
    <t>Human immunodeficiency virus 2</t>
  </si>
  <si>
    <t>Puma lentivirus</t>
  </si>
  <si>
    <t>Simian immunodeficiency virus</t>
  </si>
  <si>
    <t>Spumaretrovirinae</t>
  </si>
  <si>
    <t>Finch circovirus</t>
  </si>
  <si>
    <t>Goose circovirus</t>
  </si>
  <si>
    <t>Gull circovirus</t>
  </si>
  <si>
    <t>Indian citrus ringspot virus</t>
  </si>
  <si>
    <t>Potexvirus</t>
  </si>
  <si>
    <t>Spinach latent virus</t>
  </si>
  <si>
    <t>Orthopoxvirus</t>
  </si>
  <si>
    <t>Camelpox virus</t>
  </si>
  <si>
    <t>Cowpox virus</t>
  </si>
  <si>
    <t>Ectromelia virus</t>
  </si>
  <si>
    <t>Monkeypox virus</t>
  </si>
  <si>
    <t>Raccoonpox virus</t>
  </si>
  <si>
    <t>Taterapox virus</t>
  </si>
  <si>
    <t>Vaccinia virus</t>
  </si>
  <si>
    <t>Variola virus</t>
  </si>
  <si>
    <t>Volepox virus</t>
  </si>
  <si>
    <t>Parapoxvirus</t>
  </si>
  <si>
    <t>Bovine papular stomatitis virus</t>
  </si>
  <si>
    <t>Orf virus</t>
  </si>
  <si>
    <t>Pseudocowpox virus</t>
  </si>
  <si>
    <t>Suipoxvirus</t>
  </si>
  <si>
    <t>Swinepox virus</t>
  </si>
  <si>
    <t>Chalara elegans RNA Virus 1</t>
  </si>
  <si>
    <t>Coniothyrium minitans RNA virus</t>
  </si>
  <si>
    <t>Epichloe festucae virus 1</t>
  </si>
  <si>
    <t>Gremmeniella abietina RNA virus L1</t>
  </si>
  <si>
    <t>Avihepadnavirus</t>
  </si>
  <si>
    <t>Duck hepatitis B virus</t>
  </si>
  <si>
    <t>Heron hepatitis B virus</t>
  </si>
  <si>
    <t>Orthohepadnavirus</t>
  </si>
  <si>
    <t>Ground squirrel hepatitis virus</t>
  </si>
  <si>
    <t>Hepatitis B virus</t>
  </si>
  <si>
    <t>Woodchuck hepatitis virus</t>
  </si>
  <si>
    <t>Ophiostoma partitivirus 1</t>
  </si>
  <si>
    <t>Penicillium stoloniferum virus F</t>
  </si>
  <si>
    <t>Pleurotus ostreatus virus 1</t>
  </si>
  <si>
    <t>Cryspovirus</t>
  </si>
  <si>
    <t>Turnip yellow mosaic virus</t>
  </si>
  <si>
    <t>Voandzeia necrotic mosaic virus</t>
  </si>
  <si>
    <t>Wild cucumber mosaic virus</t>
  </si>
  <si>
    <t>Benyvirus</t>
  </si>
  <si>
    <t>Beet necrotic yellow vein virus</t>
  </si>
  <si>
    <t>Beet soil-borne mosaic virus</t>
  </si>
  <si>
    <t>Deltavirus</t>
  </si>
  <si>
    <t>Furovirus</t>
  </si>
  <si>
    <t>Chinese wheat mosaic virus</t>
  </si>
  <si>
    <t>Oat golden stripe virus</t>
  </si>
  <si>
    <t>Soil-borne cereal mosaic virus</t>
  </si>
  <si>
    <t>Soil-borne wheat mosaic virus</t>
  </si>
  <si>
    <t>Bovine leukemia virus</t>
  </si>
  <si>
    <t>Primate T-lymphotropic virus 1</t>
  </si>
  <si>
    <t>Primate T-lymphotropic virus 2</t>
  </si>
  <si>
    <t>Pea stem necrosis virus</t>
  </si>
  <si>
    <t>Pelargonium flower break virus</t>
  </si>
  <si>
    <t>Saguaro cactus virus</t>
  </si>
  <si>
    <t>Turnip crinkle virus</t>
  </si>
  <si>
    <t>Weddel waterborne virus</t>
  </si>
  <si>
    <t>Dianthovirus</t>
  </si>
  <si>
    <t>Carnation ringspot virus</t>
  </si>
  <si>
    <t>Red clover necrotic mosaic virus</t>
  </si>
  <si>
    <t>Sweet clover necrotic mosaic virus</t>
  </si>
  <si>
    <t>Machlomovirus</t>
  </si>
  <si>
    <t>Maize chlorotic mottle virus</t>
  </si>
  <si>
    <t>Gardner-Arnstein feline sarcoma virus</t>
  </si>
  <si>
    <t>Gibbon ape leukemia virus</t>
  </si>
  <si>
    <t>Guinea pig type-C oncovirus</t>
  </si>
  <si>
    <t>Hardy-Zuckerman feline sarcoma virus</t>
  </si>
  <si>
    <t>Harvey murine sarcoma virus</t>
  </si>
  <si>
    <t>Cotton leaf curl Bangalore virus</t>
  </si>
  <si>
    <t>Arabidopsis thaliana Ta1 virus</t>
  </si>
  <si>
    <t>Brassica oleracea Melmoth virus</t>
  </si>
  <si>
    <t>Cajanus cajan Panzee virus</t>
  </si>
  <si>
    <t>Glycine max Tgmr virus</t>
  </si>
  <si>
    <t>Hordeum vulgare BARE-1 virus</t>
  </si>
  <si>
    <t>Nicotiana tabacum Tnt1 virus</t>
  </si>
  <si>
    <t>Nicotiana tabacum Tto1 virus</t>
  </si>
  <si>
    <t>Percavirus</t>
  </si>
  <si>
    <t>Rhadinovirus</t>
  </si>
  <si>
    <t>Simplexvirus</t>
  </si>
  <si>
    <t>Varicellovirus</t>
  </si>
  <si>
    <t>Rudiviridae</t>
  </si>
  <si>
    <t>Original release</t>
    <phoneticPr fontId="4" type="noConversion"/>
  </si>
  <si>
    <t>Lymphocryptovirus</t>
  </si>
  <si>
    <t>Date</t>
    <phoneticPr fontId="4" type="noConversion"/>
  </si>
  <si>
    <t>Change:</t>
    <phoneticPr fontId="4" type="noConversion"/>
  </si>
  <si>
    <t>St Croix River virus</t>
  </si>
  <si>
    <t>Umatilla virus</t>
  </si>
  <si>
    <t>Wad Medani virus</t>
  </si>
  <si>
    <t>Wallal virus</t>
  </si>
  <si>
    <t>Warrego virus</t>
  </si>
  <si>
    <t>Wongorr virus</t>
  </si>
  <si>
    <t>Yunnan orbivirus</t>
  </si>
  <si>
    <t>Orthoreovirus</t>
  </si>
  <si>
    <t>Avian orthoreovirus</t>
  </si>
  <si>
    <t>Baboon orthoreovirus</t>
  </si>
  <si>
    <t>Mammalian orthoreovirus</t>
  </si>
  <si>
    <t>Nelson Bay orthoreovirus</t>
  </si>
  <si>
    <t>Reptilian orthoreovirus</t>
  </si>
  <si>
    <t>Oryzavirus</t>
  </si>
  <si>
    <t>Echinochloa ragged stunt virus</t>
  </si>
  <si>
    <t>Rio Negro virus</t>
  </si>
  <si>
    <t>Ross River virus</t>
  </si>
  <si>
    <t>Salmon pancreas disease virus</t>
  </si>
  <si>
    <t>Semliki Forest virus</t>
  </si>
  <si>
    <t>Sindbis virus</t>
  </si>
  <si>
    <t>Southern elephant seal virus</t>
  </si>
  <si>
    <t>Macavirus</t>
  </si>
  <si>
    <t>Henipavirus</t>
  </si>
  <si>
    <t>Morbillivirus</t>
  </si>
  <si>
    <t>Cetacean morbillivirus</t>
  </si>
  <si>
    <t>Respirovirus</t>
  </si>
  <si>
    <t>Bermuda grass etched-line virus</t>
  </si>
  <si>
    <t>Citrus sudden death-associated virus</t>
  </si>
  <si>
    <t>Maize rayado fino virus</t>
  </si>
  <si>
    <t>Oat blue dwarf virus</t>
  </si>
  <si>
    <t>Totivirus</t>
  </si>
  <si>
    <t>Saccharomyces cerevisiae virus L-A</t>
  </si>
  <si>
    <t>Ustilago maydis virus H1</t>
  </si>
  <si>
    <t>Tymoviridae</t>
  </si>
  <si>
    <t>Maculavirus</t>
  </si>
  <si>
    <t>Grapevine fleck virus</t>
  </si>
  <si>
    <t>Marafivirus</t>
  </si>
  <si>
    <t>Spounavirinae</t>
  </si>
  <si>
    <t>Tevenvirinae</t>
  </si>
  <si>
    <t>Scutavirus</t>
  </si>
  <si>
    <t>Bundibugyo ebolavirus</t>
  </si>
  <si>
    <t>Marburg marburgvirus</t>
  </si>
  <si>
    <t>Aquaparamyxovirus</t>
  </si>
  <si>
    <t>Ferlavirus</t>
  </si>
  <si>
    <t>Ictalurivirus</t>
  </si>
  <si>
    <t>Phycodnaviridae</t>
  </si>
  <si>
    <t>Chlorovirus</t>
  </si>
  <si>
    <t>Hydra viridis Chlorella virus 1</t>
  </si>
  <si>
    <t>Paramecium bursaria Chlorella virus 1</t>
  </si>
  <si>
    <t>Paramecium bursaria Chlorella virus A1</t>
  </si>
  <si>
    <t>Paramecium bursaria Chlorella virus AL1A</t>
  </si>
  <si>
    <t>Pea mild mosaic virus</t>
  </si>
  <si>
    <t>Trichoplusia ni ascovirus 2a</t>
  </si>
  <si>
    <t>Red clover mottle virus</t>
  </si>
  <si>
    <t>Aparavirus</t>
  </si>
  <si>
    <t>Israeli acute paralysis virus</t>
  </si>
  <si>
    <t>Idnoreovirus 1</t>
  </si>
  <si>
    <t>Idnoreovirus 2</t>
  </si>
  <si>
    <t>Idnoreovirus 3</t>
  </si>
  <si>
    <t>Idnoreovirus 4</t>
  </si>
  <si>
    <t>Idnoreovirus 5</t>
  </si>
  <si>
    <t>Severe acute respiratory syndrome-related coronavirus</t>
  </si>
  <si>
    <t>Bovine immunodeficiency virus</t>
  </si>
  <si>
    <t>Bovine foamy virus</t>
  </si>
  <si>
    <t>Equine foamy virus</t>
  </si>
  <si>
    <t>Feline foamy virus</t>
  </si>
  <si>
    <t>African horse sickness virus</t>
  </si>
  <si>
    <t>Bluetongue virus</t>
  </si>
  <si>
    <t>Changuinola virus</t>
  </si>
  <si>
    <t>Chenuda virus</t>
  </si>
  <si>
    <t>Chobar Gorge virus</t>
  </si>
  <si>
    <t>Corriparta virus</t>
  </si>
  <si>
    <t>Ephemerovirus</t>
  </si>
  <si>
    <t>Lyssavirus</t>
  </si>
  <si>
    <t>Mardivirus</t>
  </si>
  <si>
    <t>Coronaviridae</t>
  </si>
  <si>
    <t>Human coronavirus 229E</t>
  </si>
  <si>
    <t>Aviadenovirus</t>
  </si>
  <si>
    <t>Cowpea mottle virus</t>
  </si>
  <si>
    <t>Cucumber soil-borne virus</t>
  </si>
  <si>
    <t>Galinsoga mosaic virus</t>
  </si>
  <si>
    <t>Hibiscus chlorotic ringspot virus</t>
  </si>
  <si>
    <t>Epizootic hemorrhagic disease virus</t>
  </si>
  <si>
    <t>Equine encephalosis virus</t>
  </si>
  <si>
    <t>Eubenangee virus</t>
  </si>
  <si>
    <t>Great Island virus</t>
  </si>
  <si>
    <t>Ieri virus</t>
  </si>
  <si>
    <t>Lebombo virus</t>
  </si>
  <si>
    <t>Betaherpesvirinae</t>
  </si>
  <si>
    <t>Human coronavirus HKU1</t>
  </si>
  <si>
    <t>Proboscivirus</t>
  </si>
  <si>
    <t>Roseolovirus</t>
  </si>
  <si>
    <t>Orungo virus</t>
  </si>
  <si>
    <t>Palyam virus</t>
  </si>
  <si>
    <t>Peruvian horse sickness virus</t>
  </si>
  <si>
    <t>Gammaherpesvirinae</t>
  </si>
  <si>
    <t>Bornaviridae</t>
  </si>
  <si>
    <t>Filoviridae</t>
  </si>
  <si>
    <t>Ebolavirus</t>
  </si>
  <si>
    <t>Reston ebolavirus</t>
  </si>
  <si>
    <t>Sudan ebolavirus</t>
  </si>
  <si>
    <t>Zaire ebolavirus</t>
  </si>
  <si>
    <t>Marburgvirus</t>
  </si>
  <si>
    <t>Paramyxoviridae</t>
  </si>
  <si>
    <t>Sesbania mosaic virus</t>
  </si>
  <si>
    <t>Solanum nodiflorum mottle virus</t>
  </si>
  <si>
    <t>Southern bean mosaic virus</t>
  </si>
  <si>
    <t>Southern cowpea mosaic virus</t>
  </si>
  <si>
    <t>Olive latent ringspot virus</t>
  </si>
  <si>
    <t>Peach rosette mosaic virus</t>
  </si>
  <si>
    <t>Potato black ringspot virus</t>
  </si>
  <si>
    <t>Potato virus U</t>
  </si>
  <si>
    <t>Raspberry ringspot virus</t>
  </si>
  <si>
    <t>Iridoviridae</t>
  </si>
  <si>
    <t>Chloriridovirus</t>
  </si>
  <si>
    <t>Invertebrate iridescent virus 3</t>
  </si>
  <si>
    <t>Tobacco ringspot virus</t>
  </si>
  <si>
    <t>Tomato black ring virus</t>
  </si>
  <si>
    <t>Tomato ringspot virus</t>
  </si>
  <si>
    <t>Snyder-Theilen feline sarcoma virus</t>
  </si>
  <si>
    <t>Trager duck spleen necrosis virus</t>
  </si>
  <si>
    <t>Viper retrovirus</t>
  </si>
  <si>
    <t>Woolly monkey sarcoma virus</t>
  </si>
  <si>
    <t>Lentivirus</t>
  </si>
  <si>
    <t>Himetobi P virus</t>
  </si>
  <si>
    <t>Avian metapneumovirus</t>
  </si>
  <si>
    <t>Human metapneumovirus</t>
  </si>
  <si>
    <t>Rhabdoviridae</t>
  </si>
  <si>
    <t>Cytorhabdovirus</t>
  </si>
  <si>
    <t>Vesiculovirus</t>
  </si>
  <si>
    <t>Nidovirales</t>
  </si>
  <si>
    <t>Arteriviridae</t>
  </si>
  <si>
    <t>Mastadenovirus</t>
  </si>
  <si>
    <t>Pepino mosaic virus</t>
  </si>
  <si>
    <t>Plantago asiatica mosaic virus</t>
  </si>
  <si>
    <t>Plantain virus X</t>
  </si>
  <si>
    <t>Potato aucuba mosaic virus</t>
  </si>
  <si>
    <t>Potato virus X</t>
  </si>
  <si>
    <t>Schlumbergera virus X</t>
  </si>
  <si>
    <t>Pepper leaf curl Bangladesh virus</t>
  </si>
  <si>
    <t>Hosta virus X</t>
  </si>
  <si>
    <t>Hydrangea ringspot virus</t>
  </si>
  <si>
    <t>Tulip virus X</t>
  </si>
  <si>
    <t>White clover mosaic virus</t>
  </si>
  <si>
    <t>Zygocactus virus X</t>
  </si>
  <si>
    <t>Strawberry mild yellow edge virus</t>
  </si>
  <si>
    <t>Tamus red mosaic virus</t>
  </si>
  <si>
    <t>Apple chlorotic leaf spot virus</t>
  </si>
  <si>
    <t>Desmodium yellow mottle virus</t>
  </si>
  <si>
    <t>Dulcamara mottle virus</t>
  </si>
  <si>
    <t>Eggplant mosaic virus</t>
  </si>
  <si>
    <t>Erysimum latent virus</t>
  </si>
  <si>
    <t>Guttaviridae</t>
  </si>
  <si>
    <t>Ranunculus mild mosaic virus</t>
  </si>
  <si>
    <t>Ranunculus mosaic virus</t>
  </si>
  <si>
    <t>Okra mosaic virus</t>
  </si>
  <si>
    <t>Ononis yellow mosaic virus</t>
  </si>
  <si>
    <t>Sorghum mosaic virus</t>
  </si>
  <si>
    <t>Soybean mosaic virus</t>
  </si>
  <si>
    <t>Sugarcane mosaic virus</t>
  </si>
  <si>
    <t>Sunflower mosaic virus</t>
  </si>
  <si>
    <t>Sweet potato feathery mottle virus</t>
  </si>
  <si>
    <t>Sweet potato latent virus</t>
  </si>
  <si>
    <t>Torque teno virus 29</t>
  </si>
  <si>
    <t>Pepper yellow leaf curl Indonesia virus</t>
  </si>
  <si>
    <t>Pepper yellow vein Mali virus</t>
  </si>
  <si>
    <t>Potato yellow mosaic Panama virus</t>
  </si>
  <si>
    <t>Potato yellow mosaic virus</t>
  </si>
  <si>
    <t>Pumpkin yellow mosaic virus</t>
  </si>
  <si>
    <t>Tymovirus</t>
  </si>
  <si>
    <t>Anagyris vein yellowing virus</t>
  </si>
  <si>
    <t>Andean potato latent virus</t>
  </si>
  <si>
    <t>Belladonna mottle virus</t>
  </si>
  <si>
    <t>Cacao yellow mosaic virus</t>
  </si>
  <si>
    <t>Calopogonium yellow vein virus</t>
  </si>
  <si>
    <t>Chayote mosaic virus</t>
  </si>
  <si>
    <t>Clitoria yellow vein virus</t>
  </si>
  <si>
    <t>Chloris striate mosaic virus</t>
  </si>
  <si>
    <t>Digitaria streak virus</t>
  </si>
  <si>
    <t>Maize streak virus</t>
  </si>
  <si>
    <t>Wild potato mosaic virus</t>
  </si>
  <si>
    <t>Wisteria vein mosaic virus</t>
  </si>
  <si>
    <t>Yam mild mosaic virus</t>
  </si>
  <si>
    <t>Yam mosaic virus</t>
  </si>
  <si>
    <t>Zantedeschia mild mosaic virus</t>
  </si>
  <si>
    <t>Zea mosaic virus</t>
  </si>
  <si>
    <t>Ranid herpesvirus 2</t>
  </si>
  <si>
    <t>Cyprinivirus</t>
  </si>
  <si>
    <t>Cyprinid herpesvirus 1</t>
  </si>
  <si>
    <t>Cyprinid herpesvirus 2</t>
  </si>
  <si>
    <t>Salmonivirus</t>
  </si>
  <si>
    <t>Croton yellow vein mosaic virus</t>
  </si>
  <si>
    <t>Desmodium leaf distortion virus</t>
  </si>
  <si>
    <t>Dicliptera yellow mottle Cuba virus</t>
  </si>
  <si>
    <t>Dicliptera yellow mottle virus</t>
  </si>
  <si>
    <t>Dolichos yellow mosaic virus</t>
  </si>
  <si>
    <t>Garlic virus A</t>
  </si>
  <si>
    <t>Garlic virus B</t>
  </si>
  <si>
    <t>Garlic virus C</t>
  </si>
  <si>
    <t>Salmonid herpesvirus 3</t>
  </si>
  <si>
    <t>Parsnip yellow fleck virus</t>
  </si>
  <si>
    <t>Rice tungro spherical virus</t>
  </si>
  <si>
    <t>Sclerotinia sclerotiorum debilitation-associated RNA virus</t>
  </si>
  <si>
    <t>African oil palm ringspot virus</t>
  </si>
  <si>
    <t>Rosellinia necatrix virus 1</t>
  </si>
  <si>
    <t>Helminthosporium victoriae virus 190S</t>
  </si>
  <si>
    <t>Varicosavirus</t>
  </si>
  <si>
    <t>Acipenserid herpesvirus 2</t>
  </si>
  <si>
    <t>Oat sterile dwarf virus</t>
  </si>
  <si>
    <t>Pangola stunt virus</t>
  </si>
  <si>
    <t>Chironomus plumosus entomopoxvirus</t>
  </si>
  <si>
    <t>Aedes aegypti Mosqcopia virus</t>
  </si>
  <si>
    <t>Candida albicans Tca2 virus</t>
  </si>
  <si>
    <t>Rehmannia mosaic virus</t>
  </si>
  <si>
    <t>Brugmansia mild mottle virus</t>
  </si>
  <si>
    <t>Streptocarpus flower break virus</t>
  </si>
  <si>
    <t>Grapevine virus E</t>
  </si>
  <si>
    <t>Tomato leaf curl Guangdong virus</t>
  </si>
  <si>
    <t>Tomato leaf curl Kerala virus</t>
  </si>
  <si>
    <t>Tomato leaf curl Laos virus</t>
  </si>
  <si>
    <t>Tomato leaf curl Madagascar virus</t>
  </si>
  <si>
    <t>Tomato leaf curl Malaysia virus</t>
  </si>
  <si>
    <t>Tomato leaf curl Mali virus</t>
  </si>
  <si>
    <t>Tomato leaf curl New Delhi virus</t>
  </si>
  <si>
    <t>Tomato leaf curl Philippines virus</t>
  </si>
  <si>
    <t>Tomato leaf curl Pune virus</t>
  </si>
  <si>
    <t>Tomato leaf curl Seychelles virus</t>
  </si>
  <si>
    <t>Tomato leaf curl Sinaloa virus</t>
  </si>
  <si>
    <t>Tomato leaf curl Sri Lanka virus</t>
  </si>
  <si>
    <t>Tomato leaf curl Sudan virus</t>
  </si>
  <si>
    <t>Tomato leaf curl Taiwan virus</t>
  </si>
  <si>
    <t>Tomato leaf curl Uganda virus</t>
  </si>
  <si>
    <t>Tomato leaf curl Vietnam virus</t>
  </si>
  <si>
    <t>Tomato leaf curl virus</t>
  </si>
  <si>
    <t>Tomato mild yellow leaf curl Aragua virus</t>
  </si>
  <si>
    <t>Tomato mosaic Havana virus</t>
  </si>
  <si>
    <t>Gammaentomopoxvirus</t>
  </si>
  <si>
    <t>Aedes aegypti entomopoxvirus</t>
  </si>
  <si>
    <t>Oat mosaic virus</t>
  </si>
  <si>
    <t>Rymovirus</t>
  </si>
  <si>
    <t>Agropyron mosaic virus</t>
  </si>
  <si>
    <t>Hordeum mosaic virus</t>
  </si>
  <si>
    <t>Ryegrass mosaic virus</t>
  </si>
  <si>
    <t>Tritimovirus</t>
  </si>
  <si>
    <t>Brome streak mosaic virus</t>
  </si>
  <si>
    <t>Oat necrotic mottle virus</t>
  </si>
  <si>
    <t>Wheat streak mosaic virus</t>
  </si>
  <si>
    <t>Candida albicans Tca5 virus</t>
  </si>
  <si>
    <t>Drosophila melanogaster 1731 virus</t>
  </si>
  <si>
    <t>Tomato infectious chlorosis virus</t>
  </si>
  <si>
    <t>Mint vein banding-associated virus</t>
  </si>
  <si>
    <t>Torque teno mini virus 7</t>
  </si>
  <si>
    <t>Torque teno mini virus 8</t>
  </si>
  <si>
    <t>Torque teno mini virus 9</t>
  </si>
  <si>
    <t>Goatpox virus</t>
  </si>
  <si>
    <t>Lumpy skin disease virus</t>
  </si>
  <si>
    <t>Sheeppox virus</t>
  </si>
  <si>
    <t>Cervidpoxvirus</t>
  </si>
  <si>
    <t>Torque teno tupaia virus</t>
  </si>
  <si>
    <t>Philosamia cynthia x ricini virus</t>
  </si>
  <si>
    <t>Providence virus</t>
  </si>
  <si>
    <t>Calanthe mild mosaic virus</t>
  </si>
  <si>
    <t>Carnation vein mottle virus</t>
  </si>
  <si>
    <t>Carrot thin leaf virus</t>
  </si>
  <si>
    <t>Carrot virus Y</t>
  </si>
  <si>
    <t>Celery mosaic virus</t>
  </si>
  <si>
    <t>Ceratobium mosaic virus</t>
  </si>
  <si>
    <t>Chilli veinal mottle virus</t>
  </si>
  <si>
    <t>Chinese artichoke mosaic virus</t>
  </si>
  <si>
    <t>Clitoria virus Y</t>
  </si>
  <si>
    <t>Clover yellow vein virus</t>
  </si>
  <si>
    <t>Pokeweed mosaic virus</t>
  </si>
  <si>
    <t>Potato virus A</t>
  </si>
  <si>
    <t>Tectiviridae</t>
  </si>
  <si>
    <t>Tomato leaf curl Bangalore virus</t>
  </si>
  <si>
    <t>Tomato leaf curl Bangladesh virus</t>
  </si>
  <si>
    <t>Cypovirus 13</t>
  </si>
  <si>
    <t>Cypovirus 14</t>
  </si>
  <si>
    <t>Cypovirus 15</t>
  </si>
  <si>
    <t>Cypovirus 16</t>
  </si>
  <si>
    <t>Cypovirus 2</t>
  </si>
  <si>
    <t>Zucchini yellow fleck virus</t>
  </si>
  <si>
    <t>Zucchini yellow mosaic virus</t>
  </si>
  <si>
    <t>Cypovirus 1</t>
  </si>
  <si>
    <t>Cypovirus 8</t>
  </si>
  <si>
    <t>Cypovirus 9</t>
  </si>
  <si>
    <t>Dinovernavirus</t>
  </si>
  <si>
    <t>Giardia lamblia virus</t>
  </si>
  <si>
    <t>Leishmaniavirus</t>
  </si>
  <si>
    <t>Atkinsonella hypoxylon virus</t>
  </si>
  <si>
    <t>Discula destructiva virus 1</t>
  </si>
  <si>
    <t>Maize rough dwarf virus</t>
  </si>
  <si>
    <t>Mal de Rio Cuarto virus</t>
  </si>
  <si>
    <t>Nilaparvata lugens reovirus</t>
  </si>
  <si>
    <t>Rice black streaked dwarf virus</t>
  </si>
  <si>
    <t>Idnoreovirus</t>
  </si>
  <si>
    <t>Tobacco leaf curl Cuba virus</t>
  </si>
  <si>
    <t>Tobacco leaf curl Yunnan virus</t>
  </si>
  <si>
    <t>Tobacco leaf curl Zimbabwe virus</t>
  </si>
  <si>
    <t>Faba bean necrotic yellows virus</t>
  </si>
  <si>
    <t>Garlic common latent virus</t>
  </si>
  <si>
    <t>Helenium virus S</t>
  </si>
  <si>
    <t>Hop latent virus</t>
  </si>
  <si>
    <t>Hop mosaic virus</t>
  </si>
  <si>
    <t>Parvovirinae</t>
  </si>
  <si>
    <t>Redspotted grouper nervous necrosis virus</t>
  </si>
  <si>
    <t>Striped jack nervous necrosis virus</t>
  </si>
  <si>
    <t>Tiger puffer nervous necrosis virus</t>
  </si>
  <si>
    <t>Ophiovirus</t>
  </si>
  <si>
    <t>Orthomyxoviridae</t>
  </si>
  <si>
    <t>Lipothrixviridae</t>
  </si>
  <si>
    <t>Betalipothrixvirus</t>
  </si>
  <si>
    <t>Sulfolobus islandicus filamentous virus</t>
  </si>
  <si>
    <t>Bean leafroll virus</t>
  </si>
  <si>
    <t>Lettuce speckles mottle virus</t>
  </si>
  <si>
    <t>Polerovirus</t>
  </si>
  <si>
    <t>Beet chlorosis virus</t>
  </si>
  <si>
    <t>Beet western yellows virus</t>
  </si>
  <si>
    <t>Carrot red leaf virus</t>
  </si>
  <si>
    <t>Cucurbit aphid-borne yellows virus</t>
  </si>
  <si>
    <t>Potato leafroll virus</t>
  </si>
  <si>
    <t>Sugarcane yellow leaf virus</t>
  </si>
  <si>
    <t>Turnip yellows virus</t>
  </si>
  <si>
    <t>Endornaviridae</t>
  </si>
  <si>
    <t>Tobacco vein distorting virus</t>
  </si>
  <si>
    <t>Metaviridae</t>
  </si>
  <si>
    <t>Vitivirus</t>
  </si>
  <si>
    <t>Grapevine virus A</t>
  </si>
  <si>
    <t>Cacipacore virus</t>
  </si>
  <si>
    <t>Carey Island virus</t>
  </si>
  <si>
    <t>Cowbone Ridge virus</t>
  </si>
  <si>
    <t>Dakar bat virus</t>
  </si>
  <si>
    <t>Dengue virus</t>
  </si>
  <si>
    <t>Edge Hill virus</t>
  </si>
  <si>
    <t>Entebbe bat virus</t>
  </si>
  <si>
    <t>Gadgets Gully virus</t>
  </si>
  <si>
    <t>Ilheus virus</t>
  </si>
  <si>
    <t>Israel turkey meningoencephalomyelitis virus</t>
  </si>
  <si>
    <t>Japanese encephalitis virus</t>
  </si>
  <si>
    <t>Jugra virus</t>
  </si>
  <si>
    <t>Jutiapa virus</t>
  </si>
  <si>
    <t>Kadam virus</t>
  </si>
  <si>
    <t>Kedougou virus</t>
  </si>
  <si>
    <t>Kokobera virus</t>
  </si>
  <si>
    <t>Koutango virus</t>
  </si>
  <si>
    <t>Kyasanur Forest disease virus</t>
  </si>
  <si>
    <t>Langat virus</t>
  </si>
  <si>
    <t>Louping ill virus</t>
  </si>
  <si>
    <t>Meaban virus</t>
  </si>
  <si>
    <t>Modoc virus</t>
  </si>
  <si>
    <t>Xipapillomavirus</t>
  </si>
  <si>
    <t>Zetapapillomavirus</t>
  </si>
  <si>
    <t>Partitiviridae</t>
  </si>
  <si>
    <t>Schizosaccharomyces pombe Tf2 virus</t>
  </si>
  <si>
    <t>Takifugu rubripes Sushi virus</t>
  </si>
  <si>
    <t>Tribolium castaneum Woot virus</t>
  </si>
  <si>
    <t>Tripneustis gratilla SURL virus</t>
  </si>
  <si>
    <t>Drosophila virilis Ulysses virus</t>
  </si>
  <si>
    <t>Fusarium oxysporum Skippy virus</t>
  </si>
  <si>
    <t>Lilium henryi Del1 virus</t>
  </si>
  <si>
    <t>Saccharomyces cerevisiae Ty3 virus</t>
  </si>
  <si>
    <t>Schizosaccharomyces pombe Tf1 virus</t>
  </si>
  <si>
    <t>Inoviridae</t>
  </si>
  <si>
    <t>Inovirus</t>
  </si>
  <si>
    <t>Drosophila simulans Ninja virus</t>
  </si>
  <si>
    <t>Microviridae</t>
  </si>
  <si>
    <t>Oryza australiensis RIRE1 virus</t>
  </si>
  <si>
    <t>Oryza longistaminata Retrofit virus</t>
  </si>
  <si>
    <t>Physarum polycephalum Tp1 virus</t>
  </si>
  <si>
    <t>Saccharomyces cerevisiae Ty1 virus</t>
  </si>
  <si>
    <t>Saccharomyces cerevisiae Ty2 virus</t>
  </si>
  <si>
    <t>Gammaflexiviridae</t>
  </si>
  <si>
    <t>Sclerodarnavirus</t>
  </si>
  <si>
    <t>Honeysuckle yellow vein virus</t>
  </si>
  <si>
    <t>Epsilontorquevirus</t>
  </si>
  <si>
    <t>Zetatorquevirus</t>
  </si>
  <si>
    <t>Etatorquevirus</t>
  </si>
  <si>
    <t>Thetatorquevirus</t>
  </si>
  <si>
    <t>Iotatorquevirus</t>
  </si>
  <si>
    <t>Torque teno virus 1</t>
  </si>
  <si>
    <t>Torque teno virus 2</t>
  </si>
  <si>
    <t>Torque teno virus 3</t>
  </si>
  <si>
    <t>Tobacco mild green mosaic virus</t>
  </si>
  <si>
    <t>Tobacco mosaic virus</t>
  </si>
  <si>
    <t>Tomato mosaic virus</t>
  </si>
  <si>
    <t>Turnip vein-clearing virus</t>
  </si>
  <si>
    <t>Ullucus mild mottle virus</t>
  </si>
  <si>
    <t>Wasabi mottle virus</t>
  </si>
  <si>
    <t>Youcai mosaic virus</t>
  </si>
  <si>
    <t>Zucchini green mottle mosaic virus</t>
  </si>
  <si>
    <t>Tobravirus</t>
  </si>
  <si>
    <t>Pea early-browning virus</t>
  </si>
  <si>
    <t>Pepper ringspot virus</t>
  </si>
  <si>
    <t>Tobacco rattle virus</t>
  </si>
  <si>
    <t>Umbravirus</t>
  </si>
  <si>
    <t>Carrot mottle mimic virus</t>
  </si>
  <si>
    <t>Malvastrum yellow vein virus</t>
  </si>
  <si>
    <t>Malvastrum yellow vein Yunnan virus</t>
  </si>
  <si>
    <t>Melon chlorotic leaf curl virus</t>
  </si>
  <si>
    <t>Macroptilium mosaic Puerto Rico virus</t>
  </si>
  <si>
    <t>Macroptilium yellow mosaic Florida virus</t>
  </si>
  <si>
    <t>Macroptilium yellow mosaic virus</t>
  </si>
  <si>
    <t>Malvastrum leaf curl virus</t>
  </si>
  <si>
    <t>Malvastrum yellow mosaic virus</t>
  </si>
  <si>
    <t>Sweet potato collusive virus</t>
  </si>
  <si>
    <t>Cucurbit leaf crumple virus</t>
  </si>
  <si>
    <t>Peach latent mosaic viroid</t>
  </si>
  <si>
    <t>Baculoviridae</t>
  </si>
  <si>
    <t>Alphabaculovirus</t>
  </si>
  <si>
    <t>Cherry leaf roll virus</t>
  </si>
  <si>
    <t>Chicory yellow mottle virus</t>
  </si>
  <si>
    <t>Cocoa necrosis virus</t>
  </si>
  <si>
    <t>Crimson clover latent virus</t>
  </si>
  <si>
    <t>Cycas necrotic stunt virus</t>
  </si>
  <si>
    <t>Grapevine Anatolian ringspot virus</t>
  </si>
  <si>
    <t>Grapevine Bulgarian latent virus</t>
  </si>
  <si>
    <t>Grapevine chrome mosaic virus</t>
  </si>
  <si>
    <t>Grapevine deformation virus</t>
  </si>
  <si>
    <t>Grapevine fanleaf virus</t>
  </si>
  <si>
    <t>Grapevine Tunisian ringspot virus</t>
  </si>
  <si>
    <t>Hibiscus latent ringspot virus</t>
  </si>
  <si>
    <t>Lucerne Australian latent virus</t>
  </si>
  <si>
    <t>Mulberry ringspot virus</t>
  </si>
  <si>
    <t>Myrobalan latent ringspot virus</t>
  </si>
  <si>
    <t>Anticarsia gemmatalis multiple nucleopolyhedrovirus</t>
  </si>
  <si>
    <t>Choristoneura fumiferana multiple nucleopolyhedrovirus</t>
  </si>
  <si>
    <t>Choristoneura rosaceana nucleopolyhedrovirus</t>
  </si>
  <si>
    <t>Ectropis obliqua nucleopolyhedrovirus</t>
  </si>
  <si>
    <t>Epiphyas postvittana nucleopolyhedrovirus</t>
  </si>
  <si>
    <t>Helicoverpa armigera nucleopolyhedrovirus</t>
  </si>
  <si>
    <t>Lymantria dispar multiple nucleopolyhedrovirus</t>
  </si>
  <si>
    <t>Foot-and-mouth disease virus</t>
  </si>
  <si>
    <t>Cardiovirus</t>
  </si>
  <si>
    <t>Lacanobia oleracea granulovirus</t>
  </si>
  <si>
    <t>Phthorimaea operculella granulovirus</t>
  </si>
  <si>
    <t>Solanum tuberosum Tst1 virus</t>
  </si>
  <si>
    <t>Zea mays Hopscotch virus</t>
  </si>
  <si>
    <t>Trichoplusia ni granulovirus</t>
  </si>
  <si>
    <t>Xestia c-nigrum granulovirus</t>
  </si>
  <si>
    <t>Deltabaculovirus</t>
  </si>
  <si>
    <t>Phaseolus vulgaris Tpv2-6 virus</t>
  </si>
  <si>
    <t>Neodiprion sertifer nucleopolyhedrovirus</t>
  </si>
  <si>
    <t>Barnaviridae</t>
  </si>
  <si>
    <t>Barnavirus</t>
  </si>
  <si>
    <t>Mushroom bacilliform virus</t>
  </si>
  <si>
    <t>Birnaviridae</t>
  </si>
  <si>
    <t>Aquabirnavirus</t>
  </si>
  <si>
    <t>Infectious pancreatic necrosis virus</t>
  </si>
  <si>
    <t>Tellina virus</t>
  </si>
  <si>
    <t>Yellowtail ascites virus</t>
  </si>
  <si>
    <t>Avibirnavirus</t>
  </si>
  <si>
    <t>Figwort mosaic virus</t>
  </si>
  <si>
    <t>Horseradish latent virus</t>
  </si>
  <si>
    <t>Sadwavirus</t>
  </si>
  <si>
    <t>Satsuma dwarf virus</t>
  </si>
  <si>
    <t>Strawberry mottle virus</t>
  </si>
  <si>
    <t>Adenoviridae</t>
  </si>
  <si>
    <t>Atadenovirus</t>
  </si>
  <si>
    <t>Infectious bursal disease virus</t>
  </si>
  <si>
    <t>Blosnavirus</t>
  </si>
  <si>
    <t>Blotched snakehead virus</t>
  </si>
  <si>
    <t>Entomobirnavirus</t>
  </si>
  <si>
    <t>Drosophila X virus</t>
  </si>
  <si>
    <t>Bromoviridae</t>
  </si>
  <si>
    <t>Acidianus filamentous virus 9</t>
  </si>
  <si>
    <t>Acidianus filamentous virus 8</t>
  </si>
  <si>
    <t>Cowpea chlorotic mottle virus</t>
  </si>
  <si>
    <t>Melandrium yellow fleck virus</t>
  </si>
  <si>
    <t>Beak and feather disease virus</t>
  </si>
  <si>
    <t>Canary circovirus</t>
  </si>
  <si>
    <t>Peanut stunt virus</t>
  </si>
  <si>
    <t>Tomato aspermy virus</t>
  </si>
  <si>
    <t>Ilarvirus</t>
  </si>
  <si>
    <t>American plum line pattern virus</t>
  </si>
  <si>
    <t>Apple mosaic virus</t>
  </si>
  <si>
    <t>Asparagus virus 2</t>
  </si>
  <si>
    <t>Blueberry shock virus</t>
  </si>
  <si>
    <t>Citrus leaf rugose virus</t>
  </si>
  <si>
    <t>Ascoviridae</t>
  </si>
  <si>
    <t>Ascovirus</t>
  </si>
  <si>
    <t>Alphaentomopoxvirus</t>
  </si>
  <si>
    <t>Dermolepida albohirtum entomopoxvirus</t>
  </si>
  <si>
    <t>Geotrupes sylvaticus entomopoxvirus</t>
  </si>
  <si>
    <t>Venezuelan equine encephalitis virus</t>
  </si>
  <si>
    <t>Western equine encephalitis virus</t>
  </si>
  <si>
    <t>Whataroa virus</t>
  </si>
  <si>
    <t>Rubivirus</t>
  </si>
  <si>
    <t>Fujinami sarcoma virus</t>
  </si>
  <si>
    <t>Rous sarcoma virus</t>
  </si>
  <si>
    <t>Tomato chino La Paz virus</t>
  </si>
  <si>
    <t>Tomato chlorotic mottle virus</t>
  </si>
  <si>
    <t>Tomato curly stunt virus</t>
  </si>
  <si>
    <t>Tomato golden mosaic virus</t>
  </si>
  <si>
    <t>Tomato golden mottle virus</t>
  </si>
  <si>
    <t>Tomato leaf curl Arusha virus</t>
  </si>
  <si>
    <t>Pineapple mealybug wilt-associated virus 3</t>
  </si>
  <si>
    <t>Camptochironomus tentans entomopoxvirus</t>
  </si>
  <si>
    <t>Cypovirus 10</t>
  </si>
  <si>
    <t>Cypovirus 11</t>
  </si>
  <si>
    <t>Cypovirus 12</t>
  </si>
  <si>
    <t>Salmonid herpesvirus 1</t>
  </si>
  <si>
    <t>Aedes pseudoscutellaris reovirus</t>
  </si>
  <si>
    <t>Fijivirus</t>
  </si>
  <si>
    <t>Fiji disease virus</t>
  </si>
  <si>
    <t>Garlic dwarf virus</t>
  </si>
  <si>
    <t>Ictalurid herpesvirus 2</t>
  </si>
  <si>
    <t>Tomato yellow leaf curl virus</t>
  </si>
  <si>
    <t>Family</t>
  </si>
  <si>
    <t>Subfamily</t>
  </si>
  <si>
    <t>Genus</t>
  </si>
  <si>
    <t>Species</t>
  </si>
  <si>
    <t>Rhynchosia golden mosaic Sinaloa virus</t>
  </si>
  <si>
    <t>Rhynchosia golden mosaic virus</t>
  </si>
  <si>
    <t>Swan circovirus</t>
  </si>
  <si>
    <t>Nebovirus</t>
  </si>
  <si>
    <t>Alphacoronavirus</t>
  </si>
  <si>
    <t>Alphacoronavirus 1</t>
  </si>
  <si>
    <t>Tomato leaf curl Comoros virus</t>
  </si>
  <si>
    <t>Sida yellow mosaic Yucatan virus</t>
  </si>
  <si>
    <t>Sida yellow vein Vietnam virus</t>
  </si>
  <si>
    <t>Sida yellow vein virus</t>
  </si>
  <si>
    <t>Siegesbeckia yellow vein Guangxi virus</t>
  </si>
  <si>
    <t>Siegesbeckia yellow vein virus</t>
  </si>
  <si>
    <t>Torque teno mini virus 2</t>
  </si>
  <si>
    <t>Torque teno mini virus 3</t>
  </si>
  <si>
    <t>Torque teno mini virus 4</t>
  </si>
  <si>
    <t>Paramecium bursaria Chlorella virus NE8A</t>
  </si>
  <si>
    <t>Paramecium bursaria Chlorella virus NY2A</t>
  </si>
  <si>
    <t>Paramecium bursaria Chlorella virus NYs1</t>
  </si>
  <si>
    <t>Dasychira pudibunda virus</t>
  </si>
  <si>
    <t>Euprosterna elaeasa virus</t>
  </si>
  <si>
    <t>Nudaurelia capensis beta virus</t>
  </si>
  <si>
    <t>Paramecium bursaria Chlorella virus XZ3A</t>
  </si>
  <si>
    <t>Pseudoplusia includens virus</t>
  </si>
  <si>
    <t>Thosea asigna virus</t>
  </si>
  <si>
    <t>Trichoplusia ni virus</t>
  </si>
  <si>
    <t>Tomato mottle Taino virus</t>
  </si>
  <si>
    <t>Tomato mottle virus</t>
  </si>
  <si>
    <t>Tomato rugose mosaic virus</t>
  </si>
  <si>
    <t>Tomato severe leaf curl virus</t>
  </si>
  <si>
    <t>Tomato severe rugose virus</t>
  </si>
  <si>
    <t>Tomato yellow leaf curl Axarquia virus</t>
  </si>
  <si>
    <t>Tomato yellow leaf curl China virus</t>
  </si>
  <si>
    <t>Tomato yellow leaf curl Guangdong virus</t>
  </si>
  <si>
    <t>Tomato yellow leaf curl Malaga virus</t>
  </si>
  <si>
    <t>Torque teno mini virus 1</t>
  </si>
  <si>
    <t>Drosophila melanogaster copia virus</t>
  </si>
  <si>
    <t>Saccharomyces cerevisiae Ty5 virus</t>
  </si>
  <si>
    <t>Torque teno mini virus 5</t>
  </si>
  <si>
    <t>Torque teno mini virus 6</t>
  </si>
  <si>
    <t>Betatetravirus</t>
  </si>
  <si>
    <t>Antheraea eucalypti virus</t>
  </si>
  <si>
    <t>Darna trima virus</t>
  </si>
  <si>
    <t>Torque teno midi virus 1</t>
  </si>
  <si>
    <t>Torque teno midi virus 2</t>
  </si>
  <si>
    <t>Deltapapillomavirus</t>
  </si>
  <si>
    <t>Helleborus net necrosis virus</t>
  </si>
  <si>
    <t>Waikavirus</t>
  </si>
  <si>
    <t>Comovirus</t>
  </si>
  <si>
    <t>Fabavirus</t>
  </si>
  <si>
    <t>Nepovirus</t>
  </si>
  <si>
    <t>Comovirinae</t>
  </si>
  <si>
    <t>Spiranthes mosaic virus 3</t>
  </si>
  <si>
    <t>Maize white line mosaic virus</t>
  </si>
  <si>
    <t>Volvox carteri Osser virus</t>
  </si>
  <si>
    <t>Pseudovirus</t>
  </si>
  <si>
    <t>Tobacco necrosis virus D</t>
  </si>
  <si>
    <t>Panicovirus</t>
  </si>
  <si>
    <t>Panicum mosaic virus</t>
  </si>
  <si>
    <t>Tombusvirus</t>
  </si>
  <si>
    <t>Artichoke mottled crinkle virus</t>
  </si>
  <si>
    <t>Carnation Italian ringspot virus</t>
  </si>
  <si>
    <t>Cucumber necrosis virus</t>
  </si>
  <si>
    <t>Cymbidium ringspot virus</t>
  </si>
  <si>
    <t>Eggplant mottled crinkle virus</t>
  </si>
  <si>
    <t>Cypovirus 3</t>
  </si>
  <si>
    <t>Cypovirus 4</t>
  </si>
  <si>
    <t>Cypovirus 5</t>
  </si>
  <si>
    <t>Cypovirus 6</t>
  </si>
  <si>
    <t>Cypovirus 7</t>
  </si>
  <si>
    <t>Tomato bushy stunt virus</t>
  </si>
  <si>
    <t>Totiviridae</t>
  </si>
  <si>
    <t>Giardiavirus</t>
  </si>
  <si>
    <t>Discula destructiva virus 2</t>
  </si>
  <si>
    <t>Fusarium poae virus 1</t>
  </si>
  <si>
    <t>Fusarium solani virus 1</t>
  </si>
  <si>
    <t>Parvoviridae</t>
  </si>
  <si>
    <t>Densovirinae</t>
  </si>
  <si>
    <t>Mimoreovirus</t>
  </si>
  <si>
    <t>Micromonas pusilla reovirus</t>
  </si>
  <si>
    <t>Mycoreovirus</t>
  </si>
  <si>
    <t>Mycoreovirus 1</t>
  </si>
  <si>
    <t>Mycoreovirus 2</t>
  </si>
  <si>
    <t>Mycoreovirus 3</t>
  </si>
  <si>
    <t>Orbivirus</t>
  </si>
  <si>
    <t>Molluscum contagiosum virus</t>
  </si>
  <si>
    <t>Tomato leaf curl China virus</t>
  </si>
  <si>
    <t>Grapevine Algerian latent virus</t>
  </si>
  <si>
    <t>Havel River virus</t>
  </si>
  <si>
    <t>Lato River virus</t>
  </si>
  <si>
    <t>Limonium flower distortion virus</t>
  </si>
  <si>
    <t>Moroccan pepper virus</t>
  </si>
  <si>
    <t>Neckar River virus</t>
  </si>
  <si>
    <t>Pelargonium leaf curl virus</t>
  </si>
  <si>
    <t>Pelargonium necrotic spot virus</t>
  </si>
  <si>
    <t>Tomato yellow leaf curl Mali virus</t>
  </si>
  <si>
    <t>Commelina yellow mottle virus</t>
  </si>
  <si>
    <t>Carnation etched ring virus</t>
  </si>
  <si>
    <t>Cauliflower mosaic virus</t>
  </si>
  <si>
    <t>Bdellomicrovirus</t>
  </si>
  <si>
    <t>Chlamydiamicrovirus</t>
  </si>
  <si>
    <t>Cowpea mild mottle virus</t>
  </si>
  <si>
    <t>Daphne virus S</t>
  </si>
  <si>
    <t>Narcissus common latent virus</t>
  </si>
  <si>
    <t>Nerine latent virus</t>
  </si>
  <si>
    <t>Passiflora latent virus</t>
  </si>
  <si>
    <t>Pea streak virus</t>
  </si>
  <si>
    <t>Poplar mosaic virus</t>
  </si>
  <si>
    <t>Potato latent virus</t>
  </si>
  <si>
    <t>Potato virus M</t>
  </si>
  <si>
    <t>Potato virus P</t>
  </si>
  <si>
    <t>Potato virus S</t>
  </si>
  <si>
    <t>Red clover vein mosaic virus</t>
  </si>
  <si>
    <t>Shallot latent virus</t>
  </si>
  <si>
    <t>Starling circovirus</t>
  </si>
  <si>
    <t>Gyrovirus</t>
  </si>
  <si>
    <t>Chicken anemia virus</t>
  </si>
  <si>
    <t>Closteroviridae</t>
  </si>
  <si>
    <t>Ampelovirus</t>
  </si>
  <si>
    <t>Tobacco streak virus</t>
  </si>
  <si>
    <t>Tulare apple mosaic virus</t>
  </si>
  <si>
    <t>Oleavirus</t>
  </si>
  <si>
    <t>Olive latent virus 2</t>
  </si>
  <si>
    <t>Acidianus filamentous virus 2</t>
  </si>
  <si>
    <t>Lettuce chlorosis virus</t>
  </si>
  <si>
    <t>Lettuce infectious yellows virus</t>
  </si>
  <si>
    <t>Potato yellow vein virus</t>
  </si>
  <si>
    <t>Strawberry pallidosis-associated virus</t>
  </si>
  <si>
    <t>Beet mild yellowing virus</t>
  </si>
  <si>
    <t>Orthobunyavirus</t>
  </si>
  <si>
    <t>Groundnut rosette assistor virus</t>
  </si>
  <si>
    <t>Indonesian soybean dwarf virus</t>
  </si>
  <si>
    <t>Sweet potato leaf speckling virus</t>
  </si>
  <si>
    <t>Tobacco necrotic dwarf virus</t>
  </si>
  <si>
    <t>Cherry green ring mottle virus</t>
  </si>
  <si>
    <t>Cherry necrotic rusty mottle virus</t>
  </si>
  <si>
    <t>Potato virus T</t>
  </si>
  <si>
    <t>African cassava mosaic virus</t>
  </si>
  <si>
    <t>Ageratum enation virus</t>
  </si>
  <si>
    <t>Ageratum leaf curl virus</t>
  </si>
  <si>
    <t>Ageratum yellow vein Hualian virus</t>
  </si>
  <si>
    <t>Ageratum yellow vein Sri Lanka virus</t>
  </si>
  <si>
    <t>Ageratum yellow vein virus</t>
  </si>
  <si>
    <t>Alternanthera yellow vein virus</t>
  </si>
  <si>
    <t>Bean calico mosaic virus</t>
  </si>
  <si>
    <t>Bean dwarf mosaic virus</t>
  </si>
  <si>
    <t>Montana myotis leukoencephalitis virus</t>
  </si>
  <si>
    <t>Cilevirus</t>
  </si>
  <si>
    <t>Citrus leprosis virus C</t>
  </si>
  <si>
    <t>Virgaviridae</t>
  </si>
  <si>
    <t>Torradovirus</t>
  </si>
  <si>
    <t>Tomato torrado virus</t>
  </si>
  <si>
    <t>Tomato marchitez virus</t>
  </si>
  <si>
    <t>Secoviridae</t>
  </si>
  <si>
    <t>Maize necrotic streak virus</t>
  </si>
  <si>
    <t>Pelargonium line pattern virus</t>
  </si>
  <si>
    <t>Caliciviridae</t>
  </si>
  <si>
    <t>Lagovirus</t>
  </si>
  <si>
    <t>European brown hare syndrome virus</t>
  </si>
  <si>
    <t>Rabbit hemorrhagic disease virus</t>
  </si>
  <si>
    <t>Norovirus</t>
  </si>
  <si>
    <t>Norwalk virus</t>
  </si>
  <si>
    <t>Sapovirus</t>
  </si>
  <si>
    <t>Sapporo virus</t>
  </si>
  <si>
    <t>Vesivirus</t>
  </si>
  <si>
    <t>Feline calicivirus</t>
  </si>
  <si>
    <t>Vesicular exanthema of swine virus</t>
  </si>
  <si>
    <t>Caulimoviridae</t>
  </si>
  <si>
    <t>Badnavirus</t>
  </si>
  <si>
    <t>Aglaonema bacilliform virus</t>
  </si>
  <si>
    <t>Semotivirus</t>
  </si>
  <si>
    <t>Anopheles gambiae Moose virus</t>
  </si>
  <si>
    <t>Ascaris lumbricoides Tas virus</t>
  </si>
  <si>
    <t>Bombyx mori Pao virus</t>
  </si>
  <si>
    <t>Canna yellow mottle virus</t>
  </si>
  <si>
    <t>Chironomus attenuatus entomopoxvirus</t>
  </si>
  <si>
    <t>Sugarcane bacilliform IM virus</t>
  </si>
  <si>
    <t>Taro bacilliform virus</t>
  </si>
  <si>
    <t>Lettuce virus X</t>
  </si>
  <si>
    <t>Piper yellow mottle virus</t>
  </si>
  <si>
    <t>Rubus yellow net virus</t>
  </si>
  <si>
    <t>Spiromicrovirus</t>
  </si>
  <si>
    <t>Mimiviridae</t>
  </si>
  <si>
    <t>Mimivirus</t>
  </si>
  <si>
    <t>Acanthamoeba polyphaga mimivirus</t>
  </si>
  <si>
    <t>Nanoviridae</t>
  </si>
  <si>
    <t>Babuvirus</t>
  </si>
  <si>
    <t>Banana bunchy top virus</t>
  </si>
  <si>
    <t>Nanovirus</t>
  </si>
  <si>
    <t>Dahlia mosaic virus</t>
  </si>
  <si>
    <t>Chrysanthemum virus B</t>
  </si>
  <si>
    <t>Cole latent virus</t>
  </si>
  <si>
    <t>Lily symptomless virus</t>
  </si>
  <si>
    <t>Melon yellowing-associated virus</t>
  </si>
  <si>
    <t>Pospiviroidae</t>
  </si>
  <si>
    <t>Apscaviroid</t>
  </si>
  <si>
    <t>Apple dimple fruit viroid</t>
  </si>
  <si>
    <t>Apple scar skin viroid</t>
  </si>
  <si>
    <t>Australian grapevine viroid</t>
  </si>
  <si>
    <t>Citrus bent leaf viroid</t>
  </si>
  <si>
    <t>Citrus dwarfing viroid</t>
  </si>
  <si>
    <t>Grapevine yellow speckle viroid 1</t>
  </si>
  <si>
    <t>Grapevine yellow speckle viroid 2</t>
  </si>
  <si>
    <t>Pear blister canker viroid</t>
  </si>
  <si>
    <t>Cocadviroid</t>
  </si>
  <si>
    <t>Citrus bark cracking viroid</t>
  </si>
  <si>
    <t>Coconut cadang-cadang viroid</t>
  </si>
  <si>
    <t>Coconut tinangaja viroid</t>
  </si>
  <si>
    <t>Hop latent viroid</t>
  </si>
  <si>
    <t>Grapevine leafroll-associated virus 1</t>
  </si>
  <si>
    <t>Grapevine leafroll-associated virus 3</t>
  </si>
  <si>
    <t>Little cherry virus 2</t>
  </si>
  <si>
    <t>Pineapple mealybug wilt-associated virus 1</t>
  </si>
  <si>
    <t>Pineapple mealybug wilt-associated virus 2</t>
  </si>
  <si>
    <t>Closterovirus</t>
  </si>
  <si>
    <t>Beet yellow stunt virus</t>
  </si>
  <si>
    <t>Beet yellows virus</t>
  </si>
  <si>
    <t>Burdock yellows virus</t>
  </si>
  <si>
    <t>Carnation necrotic fleck virus</t>
  </si>
  <si>
    <t>Carrot yellow leaf virus</t>
  </si>
  <si>
    <t>Citrus tristeza virus</t>
  </si>
  <si>
    <t>Grapevine leafroll-associated virus 2</t>
  </si>
  <si>
    <t>Mint virus 1</t>
  </si>
  <si>
    <t>Wheat yellow leaf virus</t>
  </si>
  <si>
    <t>Crinivirus</t>
  </si>
  <si>
    <t>Abutilon yellows virus</t>
  </si>
  <si>
    <t>Cucurbit yellow stunting disorder virus</t>
  </si>
  <si>
    <t>Corticoviridae</t>
  </si>
  <si>
    <t>Corticovirus</t>
  </si>
  <si>
    <t>Volvox carteri Lueckenbuesser virus</t>
  </si>
  <si>
    <t>Cystoviridae</t>
  </si>
  <si>
    <t>Tomato mild mottle virus</t>
  </si>
  <si>
    <t>Poxviridae</t>
  </si>
  <si>
    <t>Chordopoxvirinae</t>
  </si>
  <si>
    <t>Avipoxvirus</t>
  </si>
  <si>
    <t>Cystovirus</t>
  </si>
  <si>
    <t>Apricot pseudo-chlorotic leaf spot virus</t>
  </si>
  <si>
    <t>Cherry mottle leaf virus</t>
  </si>
  <si>
    <t>Grapevine berry inner necrosis virus</t>
  </si>
  <si>
    <t>Peach mosaic virus</t>
  </si>
  <si>
    <t>Heracleum latent virus</t>
  </si>
  <si>
    <t>Fuselloviridae</t>
  </si>
  <si>
    <t>Sulfolobus spindle-shaped virus 1</t>
  </si>
  <si>
    <t>Geminiviridae</t>
  </si>
  <si>
    <t>Begomovirus</t>
  </si>
  <si>
    <t>Abutilon mosaic virus</t>
  </si>
  <si>
    <t>Cocksfoot streak virus</t>
  </si>
  <si>
    <t>Colombian datura virus</t>
  </si>
  <si>
    <t>Commelina mosaic virus</t>
  </si>
  <si>
    <t>Cowpea aphid-borne mosaic virus</t>
  </si>
  <si>
    <t>Cypripedium virus Y</t>
  </si>
  <si>
    <t>Daphne mosaic virus</t>
  </si>
  <si>
    <t>Dasheen mosaic virus</t>
  </si>
  <si>
    <t>Datura shoestring virus</t>
  </si>
  <si>
    <t>Diuris virus Y</t>
  </si>
  <si>
    <t>East Asian Passiflora virus</t>
  </si>
  <si>
    <t>Endive necrotic mosaic virus</t>
  </si>
  <si>
    <t>Euphorbia ringspot virus</t>
  </si>
  <si>
    <t>Freesia mosaic virus</t>
  </si>
  <si>
    <t>Fritillary virus Y</t>
  </si>
  <si>
    <t>Gloriosa stripe mosaic virus</t>
  </si>
  <si>
    <t>Algerian watermelon mosaic virus</t>
  </si>
  <si>
    <t>Alternanthera mild mosaic virus</t>
  </si>
  <si>
    <t>Angelica virus Y</t>
  </si>
  <si>
    <t>Butterfly flower mosaic virus</t>
  </si>
  <si>
    <t>Canna yellow streak virus</t>
  </si>
  <si>
    <t>Hardenbergia mosaic virus</t>
  </si>
  <si>
    <t>Peach chlorotic mottle virus</t>
  </si>
  <si>
    <t>Mint virus 2</t>
  </si>
  <si>
    <t>Coleus vein necrosis virus</t>
  </si>
  <si>
    <t>Ligustrum necrotic ringspot virus</t>
  </si>
  <si>
    <t>Malva mosaic virus</t>
  </si>
  <si>
    <t>Phaius virus X</t>
  </si>
  <si>
    <t>Johnsongrass chlorotic stripe mosaic virus</t>
  </si>
  <si>
    <t>Lolavirus</t>
  </si>
  <si>
    <t>Lolium latent virus</t>
  </si>
  <si>
    <t>Plum bark necrosis stem pitting-associated virus</t>
  </si>
  <si>
    <t>Bean yellow disorder virus</t>
  </si>
  <si>
    <t>Banana streak GF virus</t>
  </si>
  <si>
    <t>Banana streak OL virus</t>
  </si>
  <si>
    <t>Salmonid herpesvirus 2</t>
  </si>
  <si>
    <t>Bovine rhinitis B virus</t>
  </si>
  <si>
    <t>Chironomus luridus entomopoxvirus</t>
  </si>
  <si>
    <t>Caulimovirus</t>
  </si>
  <si>
    <t>Diachasmimorpha entomopoxvirus</t>
  </si>
  <si>
    <t>Pseudoviridae</t>
  </si>
  <si>
    <t>Hemivirus</t>
  </si>
  <si>
    <t>Arracacha mottle virus</t>
  </si>
  <si>
    <t>Brugmansia suaveolens mottle virus</t>
  </si>
  <si>
    <t>Chilli ringspot virus</t>
  </si>
  <si>
    <t>Malva vein clearing virus</t>
  </si>
  <si>
    <t>Telosma mosaic virus</t>
  </si>
  <si>
    <t>Twisted-stalk chlorotic streak virus</t>
  </si>
  <si>
    <t>Vallota mosaic virus</t>
  </si>
  <si>
    <t>Wild tomato mosaic virus</t>
  </si>
  <si>
    <t>Wheat eqlid mosaic virus</t>
  </si>
  <si>
    <t>Carrot necrotic dieback virus</t>
  </si>
  <si>
    <t>Black raspberry necrosis virus</t>
  </si>
  <si>
    <t>Citrus viroid V</t>
  </si>
  <si>
    <t>Citrus viroid VI</t>
  </si>
  <si>
    <t>Beet curly top Iran virus</t>
  </si>
  <si>
    <t>Grapevine leafroll-associated virus 7</t>
  </si>
  <si>
    <t>Little cherry virus 1</t>
  </si>
  <si>
    <t>Olive leaf yellowing-associated virus</t>
  </si>
  <si>
    <t>Aurivirus</t>
  </si>
  <si>
    <t>Haliotid herpesvirus 1</t>
  </si>
  <si>
    <t>Ligamenvirales</t>
  </si>
  <si>
    <t>Perhabdovirus</t>
  </si>
  <si>
    <t>Sigmavirus</t>
  </si>
  <si>
    <t>Tibrovirus</t>
  </si>
  <si>
    <t>Mesoniviridae</t>
  </si>
  <si>
    <t>Alphamesonivirus</t>
  </si>
  <si>
    <t>Alphamesonivirus 1</t>
  </si>
  <si>
    <t>Aquamavirus</t>
  </si>
  <si>
    <t>Aquamavirus A</t>
  </si>
  <si>
    <t>Cosavirus</t>
  </si>
  <si>
    <t>Cosavirus A</t>
  </si>
  <si>
    <t>Dicipivirus</t>
  </si>
  <si>
    <t>Cadicivirus A</t>
  </si>
  <si>
    <t>Enterovirus A</t>
  </si>
  <si>
    <t>Enterovirus B</t>
  </si>
  <si>
    <t>Enterovirus C</t>
  </si>
  <si>
    <t>Enterovirus D</t>
  </si>
  <si>
    <t>Enterovirus E</t>
  </si>
  <si>
    <t>Enterovirus F</t>
  </si>
  <si>
    <t>Enterovirus G</t>
  </si>
  <si>
    <t>Enterovirus H</t>
  </si>
  <si>
    <t>Enterovirus J</t>
  </si>
  <si>
    <t>Rhinovirus A</t>
  </si>
  <si>
    <t>Rhinovirus B</t>
  </si>
  <si>
    <t>Rhinovirus C</t>
  </si>
  <si>
    <t>Aichivirus A</t>
  </si>
  <si>
    <t>Aichivirus B</t>
  </si>
  <si>
    <t>Aichivirus C</t>
  </si>
  <si>
    <t>Megrivirus</t>
  </si>
  <si>
    <t>Salivirus</t>
  </si>
  <si>
    <t>Salivirus A</t>
  </si>
  <si>
    <t>Cucurbit mild mosaic virus</t>
  </si>
  <si>
    <t>Blueberry latent spherical virus</t>
  </si>
  <si>
    <t>Allium virus X</t>
  </si>
  <si>
    <t>Lagenaria mild mosaic virus</t>
  </si>
  <si>
    <t>Blackberry virus E</t>
  </si>
  <si>
    <t>Butterbur mosaic virus</t>
  </si>
  <si>
    <t>Cucumber vein-clearing virus</t>
  </si>
  <si>
    <t>Helleborus mosaic virus</t>
  </si>
  <si>
    <t>Hippeastrum latent virus</t>
  </si>
  <si>
    <t>Hydrangea chlorotic mottle virus</t>
  </si>
  <si>
    <t>Mirabilis jalapa mottle virus</t>
  </si>
  <si>
    <t>Phlox virus B</t>
  </si>
  <si>
    <t>Phlox virus M</t>
  </si>
  <si>
    <t>Phlox virus S</t>
  </si>
  <si>
    <t>Sweet potato C6 virus</t>
  </si>
  <si>
    <t>Asian prunus virus 1</t>
  </si>
  <si>
    <t>Grapevine Pinot gris virus</t>
  </si>
  <si>
    <t>Phlomis mottle virus</t>
  </si>
  <si>
    <t>Banana virus X</t>
  </si>
  <si>
    <t>Hardenbergia virus A</t>
  </si>
  <si>
    <t>Actinidia virus A</t>
  </si>
  <si>
    <t>Antheraea pernyi nucleopolyhedrovirus</t>
  </si>
  <si>
    <t>Chrysodeixis chalcites nucleopolyhedrovirus</t>
  </si>
  <si>
    <t>Clanis bilineata nucleopolyhedrovirus</t>
  </si>
  <si>
    <t>Euproctis pseudoconspersa nucleopolyhedrovirus</t>
  </si>
  <si>
    <t>Hyphantria cunea nucleopolyhedrovirus</t>
  </si>
  <si>
    <t>Leucania separata nucleopolyhedrovirus</t>
  </si>
  <si>
    <t>Maruca vitrata nucleopolyhedrovirus</t>
  </si>
  <si>
    <t>Grapevine leafroll-associated virus 4</t>
  </si>
  <si>
    <t>Diodia vein chlorosis virus</t>
  </si>
  <si>
    <t>Pegivirus</t>
  </si>
  <si>
    <t>Pegivirus A</t>
  </si>
  <si>
    <t>Pegivirus B</t>
  </si>
  <si>
    <t>Alphafusellovirus</t>
  </si>
  <si>
    <t>Sulfolobus spindle-shaped virus 2</t>
  </si>
  <si>
    <t>Sulfolobus spindle-shaped virus 4</t>
  </si>
  <si>
    <t>Sulfolobus spindle-shaped virus 5</t>
  </si>
  <si>
    <t>Sulfolobus spindle-shaped virus 7</t>
  </si>
  <si>
    <t>Sulfolobus spindle-shaped virus 8</t>
  </si>
  <si>
    <t>Sulfolobus spindle-shaped virus 9</t>
  </si>
  <si>
    <t>Betafusellovirus</t>
  </si>
  <si>
    <t>Acidianus spindle-shaped virus 1</t>
  </si>
  <si>
    <t>Sulfolobus spindle-shaped virus 6</t>
  </si>
  <si>
    <t>Becurtovirus</t>
  </si>
  <si>
    <t>Spinach curly top Arizona virus</t>
  </si>
  <si>
    <t>Spinach severe curly top virus</t>
  </si>
  <si>
    <t>Eragrovirus</t>
  </si>
  <si>
    <t>Eragrostis curvula streak virus</t>
  </si>
  <si>
    <t>Bromus catharticus striate mosaic virus</t>
  </si>
  <si>
    <t>Chickpea chlorosis Australia virus</t>
  </si>
  <si>
    <t>Chickpea chlorosis virus</t>
  </si>
  <si>
    <t>Chickpea chlorotic dwarf virus</t>
  </si>
  <si>
    <t>Chickpea redleaf virus</t>
  </si>
  <si>
    <t>Chickpea yellows virus</t>
  </si>
  <si>
    <t>Digitaria ciliaris striate mosaic virus</t>
  </si>
  <si>
    <t>Digitaria didactyla striate mosaic virus</t>
  </si>
  <si>
    <t>Eragrostis minor streak virus</t>
  </si>
  <si>
    <t>Maize streak Reunion virus</t>
  </si>
  <si>
    <t>Oat dwarf virus</t>
  </si>
  <si>
    <t>Paspalum dilatatum striate mosaic virus</t>
  </si>
  <si>
    <t>Paspalum striate mosaic virus</t>
  </si>
  <si>
    <t>Saccharum streak virus</t>
  </si>
  <si>
    <t>Wheat dwarf India virus</t>
  </si>
  <si>
    <t>Turncurtovirus</t>
  </si>
  <si>
    <t>Turnip curly top virus</t>
  </si>
  <si>
    <t>Betaguttavirus</t>
  </si>
  <si>
    <t>Aeropyrum pernix ovoid virus 1</t>
  </si>
  <si>
    <t>Cafeteriavirus</t>
  </si>
  <si>
    <t>Cafeteria roenbergensis virus</t>
  </si>
  <si>
    <t>Faba bean yellow leaf virus</t>
  </si>
  <si>
    <t>Quaranjavirus</t>
  </si>
  <si>
    <t>Quadriviridae</t>
  </si>
  <si>
    <t>Quadrivirus</t>
  </si>
  <si>
    <t>Rosellinia necatrix quadrivirus 1</t>
  </si>
  <si>
    <t>Madariaga virus</t>
  </si>
  <si>
    <t>Alphanecrovirus</t>
  </si>
  <si>
    <t>Betanecrovirus</t>
  </si>
  <si>
    <t>Gallantivirus</t>
  </si>
  <si>
    <t>Macanavirus</t>
  </si>
  <si>
    <t>Furcraea necrotic streak virus</t>
  </si>
  <si>
    <t>Zeavirus</t>
  </si>
  <si>
    <t>Rice stripe necrosis virus</t>
  </si>
  <si>
    <t>Bell pepper mottle virus</t>
  </si>
  <si>
    <t>Cactus mild mottle virus</t>
  </si>
  <si>
    <t>Clitoria yellow mottle virus</t>
  </si>
  <si>
    <t>Cucumber mottle virus</t>
  </si>
  <si>
    <t>Maracuja mosaic virus</t>
  </si>
  <si>
    <t>Passion fruit mosaic virus</t>
  </si>
  <si>
    <t>Rattail cactus necrosis-associated virus</t>
  </si>
  <si>
    <t>Tropical soda apple mosaic virus</t>
  </si>
  <si>
    <t>Actinidia virus B</t>
  </si>
  <si>
    <t>Cuevavirus</t>
  </si>
  <si>
    <t>Lloviu cuevavirus</t>
  </si>
  <si>
    <t>Nyamiviridae</t>
  </si>
  <si>
    <t>Nyavirus</t>
  </si>
  <si>
    <t>Sprivivirus</t>
  </si>
  <si>
    <t>Tupavirus</t>
  </si>
  <si>
    <t>Lygus lineolaris virus 1</t>
  </si>
  <si>
    <t>Nilaparvata lugens honeydew virus 1</t>
  </si>
  <si>
    <t>Avisivirus</t>
  </si>
  <si>
    <t>Avisivirus A</t>
  </si>
  <si>
    <t>Gallivirus</t>
  </si>
  <si>
    <t>Gallivirus A</t>
  </si>
  <si>
    <t>Hunnivirus</t>
  </si>
  <si>
    <t>Hunnivirus A</t>
  </si>
  <si>
    <t>Mischivirus</t>
  </si>
  <si>
    <t>Mischivirus A</t>
  </si>
  <si>
    <t>Mosavirus</t>
  </si>
  <si>
    <t>Mosavirus A</t>
  </si>
  <si>
    <t>Oscivirus</t>
  </si>
  <si>
    <t>Oscivirus A</t>
  </si>
  <si>
    <t>Pasivirus</t>
  </si>
  <si>
    <t>Pasivirus A</t>
  </si>
  <si>
    <t>Passerivirus</t>
  </si>
  <si>
    <t>Passerivirus A</t>
  </si>
  <si>
    <t>Rosavirus</t>
  </si>
  <si>
    <t>Rosavirus A</t>
  </si>
  <si>
    <t>Arracacha virus B</t>
  </si>
  <si>
    <t>Citrus yellow vein clearing virus</t>
  </si>
  <si>
    <t>Rubus canadensis virus 1</t>
  </si>
  <si>
    <t>Diuris virus A</t>
  </si>
  <si>
    <t>Diuris virus B</t>
  </si>
  <si>
    <t>Grapevine virus F</t>
  </si>
  <si>
    <t>Andean potato mild mosaic virus</t>
  </si>
  <si>
    <t>Bovine atadenovirus D</t>
  </si>
  <si>
    <t>Duck atadenovirus A</t>
  </si>
  <si>
    <t>Ovine atadenovirus D</t>
  </si>
  <si>
    <t>Possum atadenovirus A</t>
  </si>
  <si>
    <t>Snake atadenovirus A</t>
  </si>
  <si>
    <t>Falcon aviadenovirus A</t>
  </si>
  <si>
    <t>Fowl aviadenovirus A</t>
  </si>
  <si>
    <t>Fowl aviadenovirus B</t>
  </si>
  <si>
    <t>Fowl aviadenovirus C</t>
  </si>
  <si>
    <t>Fowl aviadenovirus D</t>
  </si>
  <si>
    <t>Fowl aviadenovirus E</t>
  </si>
  <si>
    <t>Goose aviadenovirus A</t>
  </si>
  <si>
    <t>Turkey aviadenovirus B</t>
  </si>
  <si>
    <t>Sturgeon ichtadenovirus A</t>
  </si>
  <si>
    <t>Bat mastadenovirus A</t>
  </si>
  <si>
    <t>Bat mastadenovirus B</t>
  </si>
  <si>
    <t>Bovine mastadenovirus A</t>
  </si>
  <si>
    <t>Bovine mastadenovirus B</t>
  </si>
  <si>
    <t>Bovine mastadenovirus C</t>
  </si>
  <si>
    <t>Canine mastadenovirus A</t>
  </si>
  <si>
    <t>Equine mastadenovirus A</t>
  </si>
  <si>
    <t>Equine mastadenovirus B</t>
  </si>
  <si>
    <t>Human mastadenovirus A</t>
  </si>
  <si>
    <t>Human mastadenovirus B</t>
  </si>
  <si>
    <t>Human mastadenovirus C</t>
  </si>
  <si>
    <t>Human mastadenovirus D</t>
  </si>
  <si>
    <t>Human mastadenovirus E</t>
  </si>
  <si>
    <t>Human mastadenovirus F</t>
  </si>
  <si>
    <t>Human mastadenovirus G</t>
  </si>
  <si>
    <t>Murine mastadenovirus A</t>
  </si>
  <si>
    <t>Murine mastadenovirus B</t>
  </si>
  <si>
    <t>Murine mastadenovirus C</t>
  </si>
  <si>
    <t>Ovine mastadenovirus A</t>
  </si>
  <si>
    <t>Ovine mastadenovirus B</t>
  </si>
  <si>
    <t>Porcine mastadenovirus A</t>
  </si>
  <si>
    <t>Porcine mastadenovirus B</t>
  </si>
  <si>
    <t>Porcine mastadenovirus C</t>
  </si>
  <si>
    <t>Simian mastadenovirus A</t>
  </si>
  <si>
    <t>Tree shrew mastadenovirus A</t>
  </si>
  <si>
    <t>Frog siadenovirus A</t>
  </si>
  <si>
    <t>Great tit siadenovirus A</t>
  </si>
  <si>
    <t>Raptor siadenovirus A</t>
  </si>
  <si>
    <t>Skua siadenovirus A</t>
  </si>
  <si>
    <t>Turkey siadenovirus A</t>
  </si>
  <si>
    <t>Amalgaviridae</t>
  </si>
  <si>
    <t>Amalgavirus</t>
  </si>
  <si>
    <t>Blueberry latent virus</t>
  </si>
  <si>
    <t>Rhododendron virus A</t>
  </si>
  <si>
    <t>Southern tomato virus</t>
  </si>
  <si>
    <t>Vicia cryptic virus M</t>
  </si>
  <si>
    <t>Benyviridae</t>
  </si>
  <si>
    <t>Burdock mottle virus</t>
  </si>
  <si>
    <t>Amazon lily mild mottle virus</t>
  </si>
  <si>
    <t>Velarivirus</t>
  </si>
  <si>
    <t>Cordyline virus 1</t>
  </si>
  <si>
    <t>Abutilon mosaic Bolivia virus</t>
  </si>
  <si>
    <t>Abutilon mosaic Brazil virus</t>
  </si>
  <si>
    <t>Allamanda leaf curl virus</t>
  </si>
  <si>
    <t>Bean chlorosis virus</t>
  </si>
  <si>
    <t>Bean yellow mosaic Mexico virus</t>
  </si>
  <si>
    <t>Bhendi yellow vein Bhubhaneswar virus</t>
  </si>
  <si>
    <t>Bhendi yellow vein Haryana virus</t>
  </si>
  <si>
    <t>Blainvillea yellow spot virus</t>
  </si>
  <si>
    <t>Blechum interveinal chlorosis virus</t>
  </si>
  <si>
    <t>Centrosema yellow spot virus</t>
  </si>
  <si>
    <t>Chino del tomate Amazonas virus</t>
  </si>
  <si>
    <t>Cleome golden mosaic virus</t>
  </si>
  <si>
    <t>Cleome leaf crumple virus</t>
  </si>
  <si>
    <t>Dalechampia chlorotic mosaic virus</t>
  </si>
  <si>
    <t>Datura leaf distortion virus</t>
  </si>
  <si>
    <t>Euphorbia yellow mosaic virus</t>
  </si>
  <si>
    <t>Hollyhock leaf curl virus</t>
  </si>
  <si>
    <t>Jacquemontia mosaic Yucatan virus</t>
  </si>
  <si>
    <t>Jatropha mosaic India virus</t>
  </si>
  <si>
    <t>Leonurus mosaic virus</t>
  </si>
  <si>
    <t>Macroptilium golden mosaic virus</t>
  </si>
  <si>
    <t>Macroptilium yellow spot virus</t>
  </si>
  <si>
    <t>Macroptilium yellow vein virus</t>
  </si>
  <si>
    <t>Malvastrum yellow mosaic Helshire virus</t>
  </si>
  <si>
    <t>Malvastrum yellow mosaic Jamaica virus</t>
  </si>
  <si>
    <t>Malvastrum yellow vein Honghe virus</t>
  </si>
  <si>
    <t>Melon chlorotic mosaic virus</t>
  </si>
  <si>
    <t>Merremia mosaic Puerto Rico virus</t>
  </si>
  <si>
    <t>Okra enation leaf curl virus</t>
  </si>
  <si>
    <t>Okra mottle virus</t>
  </si>
  <si>
    <t>Papaya leaf crumple virus</t>
  </si>
  <si>
    <t>Passionfruit severe leaf distortion virus</t>
  </si>
  <si>
    <t>Pepper leaf curl Yunnan virus</t>
  </si>
  <si>
    <t>Rhynchosia golden mosaic Havana virus</t>
  </si>
  <si>
    <t>Rhynchosia mild mosaic virus</t>
  </si>
  <si>
    <t>Rhynchosia rugose golden mosaic virus</t>
  </si>
  <si>
    <t>Rhynchosia yellow mosaic virus</t>
  </si>
  <si>
    <t>Rose leaf curl virus</t>
  </si>
  <si>
    <t>Sida golden mosaic Braco virus</t>
  </si>
  <si>
    <t>Sida golden mosaic Buckup virus</t>
  </si>
  <si>
    <t>Sida golden mottle virus</t>
  </si>
  <si>
    <t>Sida mosaic Alagoas virus</t>
  </si>
  <si>
    <t>Sida mosaic Bolivia virus 1</t>
  </si>
  <si>
    <t>Sida mosaic Bolivia virus 2</t>
  </si>
  <si>
    <t>Sida mosaic Sinaloa virus</t>
  </si>
  <si>
    <t>Sida mottle Alagoas virus</t>
  </si>
  <si>
    <t>Sida yellow blotch virus</t>
  </si>
  <si>
    <t>Sida yellow mosaic Alagoas virus</t>
  </si>
  <si>
    <t>Sida yellow mottle virus</t>
  </si>
  <si>
    <t>Sida yellow net virus</t>
  </si>
  <si>
    <t>Soybean mild mottle virus</t>
  </si>
  <si>
    <t>Sweet potato leaf curl Sao Paulo virus</t>
  </si>
  <si>
    <t>Sweet potato leaf curl South Carolina virus</t>
  </si>
  <si>
    <t>Sweet potato mosaic virus</t>
  </si>
  <si>
    <t>Tobacco leaf curl Pusa virus</t>
  </si>
  <si>
    <t>Tobacco leaf curl Thailand virus</t>
  </si>
  <si>
    <t>Tobacco leaf rugose virus</t>
  </si>
  <si>
    <t>Tobacco mottle leaf curl virus</t>
  </si>
  <si>
    <t>Tobacco yellow crinkle virus</t>
  </si>
  <si>
    <t>Tomato chlorotic leaf distortion virus</t>
  </si>
  <si>
    <t>Tomato common mosaic virus</t>
  </si>
  <si>
    <t>Tomato dwarf leaf virus</t>
  </si>
  <si>
    <t>Tomato golden vein virus</t>
  </si>
  <si>
    <t>Tomato leaf curl Anjouan virus</t>
  </si>
  <si>
    <t>Tomato leaf curl Cebu virus</t>
  </si>
  <si>
    <t>Tomato leaf curl Diana virus</t>
  </si>
  <si>
    <t>Tomato leaf curl Ghana virus</t>
  </si>
  <si>
    <t>Tomato leaf curl Hainan virus</t>
  </si>
  <si>
    <t>Tomato leaf curl Hanoi virus</t>
  </si>
  <si>
    <t>Tomato leaf curl Iran virus</t>
  </si>
  <si>
    <t>Tomato leaf curl Mindanao virus</t>
  </si>
  <si>
    <t>Tomato leaf curl Moheli virus</t>
  </si>
  <si>
    <t>Tomato leaf curl Namakely virus</t>
  </si>
  <si>
    <t>Tomato leaf curl Nigeria virus</t>
  </si>
  <si>
    <t>Tomato leaf curl Toliara virus</t>
  </si>
  <si>
    <t>Tomato leaf deformation virus</t>
  </si>
  <si>
    <t>Tomato leaf distortion virus</t>
  </si>
  <si>
    <t>Tomato mild mosaic virus</t>
  </si>
  <si>
    <t>Tomato mottle leaf curl virus</t>
  </si>
  <si>
    <t>Tomato rugose yellow leaf curl virus</t>
  </si>
  <si>
    <t>Tomato yellow leaf distortion virus</t>
  </si>
  <si>
    <t>Tomato yellow mottle virus</t>
  </si>
  <si>
    <t>West African Asystasia virus 1</t>
  </si>
  <si>
    <t>West African Asystasia virus 2</t>
  </si>
  <si>
    <t>Wissadula golden mosaic virus</t>
  </si>
  <si>
    <t>Pea enation mosaic virus 1</t>
  </si>
  <si>
    <t>Cotton leafroll dwarf virus</t>
  </si>
  <si>
    <t>Suakwa aphid-borne yellows virus</t>
  </si>
  <si>
    <t>Marseilleviridae</t>
  </si>
  <si>
    <t>Marseillevirus</t>
  </si>
  <si>
    <t>Marseillevirus marseillevirus</t>
  </si>
  <si>
    <t>Senegalvirus marseillevirus</t>
  </si>
  <si>
    <t>Lausannevirus</t>
  </si>
  <si>
    <t>Tunisvirus</t>
  </si>
  <si>
    <t>Nudiviridae</t>
  </si>
  <si>
    <t>Alphanudivirus</t>
  </si>
  <si>
    <t>Gryllus bimaculatus nudivirus</t>
  </si>
  <si>
    <t>Oryctes rhinoceros nudivirus</t>
  </si>
  <si>
    <t>Betanudivirus</t>
  </si>
  <si>
    <t>Heliothis zea nudivirus</t>
  </si>
  <si>
    <t>Chipapillomavirus 3</t>
  </si>
  <si>
    <t>Deltapapillomavirus 6</t>
  </si>
  <si>
    <t>Dyoiotapapillomavirus 2</t>
  </si>
  <si>
    <t>Dyokappapapillomavirus</t>
  </si>
  <si>
    <t>Dyokappapapillomavirus 1</t>
  </si>
  <si>
    <t>Dyolambdapapillomavirus</t>
  </si>
  <si>
    <t>Dyolambdapapillomavirus 1</t>
  </si>
  <si>
    <t>Dyomupapillomavirus</t>
  </si>
  <si>
    <t>Dyomupapillomavirus 1</t>
  </si>
  <si>
    <t>Dyonupapillomavirus</t>
  </si>
  <si>
    <t>Dyonupapillomavirus 1</t>
  </si>
  <si>
    <t>Dyoomikronpapillomavirus</t>
  </si>
  <si>
    <t>Dyoomikronpapillomavirus 1</t>
  </si>
  <si>
    <t>Dyopipapillomavirus</t>
  </si>
  <si>
    <t>Dyopipapillomavirus 1</t>
  </si>
  <si>
    <t>Dyorhopapillomavirus</t>
  </si>
  <si>
    <t>Dyorhopapillomavirus 1</t>
  </si>
  <si>
    <t>Dyosigmapapillomavirus</t>
  </si>
  <si>
    <t>Dyosigmapapillomavirus 1</t>
  </si>
  <si>
    <t>Dyoxipapillomavirus</t>
  </si>
  <si>
    <t>Dyoxipapillomavirus 1</t>
  </si>
  <si>
    <t>Gammapapillomavirus 11</t>
  </si>
  <si>
    <t>Gammapapillomavirus 12</t>
  </si>
  <si>
    <t>Gammapapillomavirus 13</t>
  </si>
  <si>
    <t>Gammapapillomavirus 14</t>
  </si>
  <si>
    <t>Gammapapillomavirus 15</t>
  </si>
  <si>
    <t>Gammapapillomavirus 16</t>
  </si>
  <si>
    <t>Gammapapillomavirus 17</t>
  </si>
  <si>
    <t>Gammapapillomavirus 18</t>
  </si>
  <si>
    <t>Gammapapillomavirus 19</t>
  </si>
  <si>
    <t>Gammapapillomavirus 20</t>
  </si>
  <si>
    <t>Lambdapapillomavirus 5</t>
  </si>
  <si>
    <t>Taupapillomavirus 2</t>
  </si>
  <si>
    <t>Upsilonpapillomavirus 3</t>
  </si>
  <si>
    <t>Xipapillomavirus 2</t>
  </si>
  <si>
    <t>Alphapartitivirus</t>
  </si>
  <si>
    <t>Carrot cryptic virus</t>
  </si>
  <si>
    <t>Cherry chlorotic rusty spot associated partitivirus</t>
  </si>
  <si>
    <t>Chondrostereum purpureum cryptic virus 1</t>
  </si>
  <si>
    <t>Flammulina velutipes browning virus</t>
  </si>
  <si>
    <t>Rosellinia necatrix partitivirus 2</t>
  </si>
  <si>
    <t>Betapartitivirus</t>
  </si>
  <si>
    <t>Cannabis cryptic virus</t>
  </si>
  <si>
    <t>Crimson clover cryptic virus 2</t>
  </si>
  <si>
    <t>Dill cryptic virus 2</t>
  </si>
  <si>
    <t>Primula malacoides virus 1</t>
  </si>
  <si>
    <t>Deltapartitivirus</t>
  </si>
  <si>
    <t>Fig cryptic virus</t>
  </si>
  <si>
    <t>Pepper cryptic virus 1</t>
  </si>
  <si>
    <t>Pepper cryptic virus 2</t>
  </si>
  <si>
    <t>Gammapartitivirus</t>
  </si>
  <si>
    <t>Iteradensovirus</t>
  </si>
  <si>
    <t>Lepidopteran iteradensovirus 1</t>
  </si>
  <si>
    <t>Lepidopteran iteradensovirus 2</t>
  </si>
  <si>
    <t>Lepidopteran iteradensovirus 3</t>
  </si>
  <si>
    <t>Lepidopteran iteradensovirus 4</t>
  </si>
  <si>
    <t>Lepidopteran iteradensovirus 5</t>
  </si>
  <si>
    <t>Amdoparvovirus</t>
  </si>
  <si>
    <t>Carnivore amdoparvovirus 1</t>
  </si>
  <si>
    <t>Carnivore amdoparvovirus 2</t>
  </si>
  <si>
    <t>Aveparvovirus</t>
  </si>
  <si>
    <t>Galliform aveparvovirus 1</t>
  </si>
  <si>
    <t>Bocaparvovirus</t>
  </si>
  <si>
    <t>Carnivore bocaparvovirus 1</t>
  </si>
  <si>
    <t>Carnivore bocaparvovirus 2</t>
  </si>
  <si>
    <t>Carnivore bocaparvovirus 3</t>
  </si>
  <si>
    <t>Pinniped bocaparvovirus 1</t>
  </si>
  <si>
    <t>Pinniped bocaparvovirus 2</t>
  </si>
  <si>
    <t>Primate bocaparvovirus 1</t>
  </si>
  <si>
    <t>Primate bocaparvovirus 2</t>
  </si>
  <si>
    <t>Ungulate bocaparvovirus 1</t>
  </si>
  <si>
    <t>Ungulate bocaparvovirus 2</t>
  </si>
  <si>
    <t>Ungulate bocaparvovirus 3</t>
  </si>
  <si>
    <t>Ungulate bocaparvovirus 4</t>
  </si>
  <si>
    <t>Ungulate bocaparvovirus 5</t>
  </si>
  <si>
    <t>Copiparvovirus</t>
  </si>
  <si>
    <t>Ungulate copiparvovirus 1</t>
  </si>
  <si>
    <t>Ungulate copiparvovirus 2</t>
  </si>
  <si>
    <t>Dependoparvovirus</t>
  </si>
  <si>
    <t>Adeno-associated dependoparvovirus A</t>
  </si>
  <si>
    <t>Adeno-associated dependoparvovirus B</t>
  </si>
  <si>
    <t>Anseriform dependoparvovirus 1</t>
  </si>
  <si>
    <t>Avian dependoparvovirus 1</t>
  </si>
  <si>
    <t>Chiropteran dependoparvovirus 1</t>
  </si>
  <si>
    <t>Pinniped dependoparvovirus 1</t>
  </si>
  <si>
    <t>Squamate dependoparvovirus 1</t>
  </si>
  <si>
    <t>Erythroparvovirus</t>
  </si>
  <si>
    <t>Primate erythroparvovirus 1</t>
  </si>
  <si>
    <t>Primate erythroparvovirus 2</t>
  </si>
  <si>
    <t>Primate erythroparvovirus 3</t>
  </si>
  <si>
    <t>Primate erythroparvovirus 4</t>
  </si>
  <si>
    <t>Rodent erythroparvovirus 1</t>
  </si>
  <si>
    <t>Ungulate erythroparvovirus 1</t>
  </si>
  <si>
    <t>Protoparvovirus</t>
  </si>
  <si>
    <t>Carnivore protoparvovirus 1</t>
  </si>
  <si>
    <t>Primate protoparvovirus 1</t>
  </si>
  <si>
    <t>Rodent protoparvovirus 1</t>
  </si>
  <si>
    <t>Rodent protoparvovirus 2</t>
  </si>
  <si>
    <t>Ungulate protoparvovirus 1</t>
  </si>
  <si>
    <t>Tetraparvovirus</t>
  </si>
  <si>
    <t>Chiropteran tetraparvovirus 1</t>
  </si>
  <si>
    <t>Primate tetraparvovirus 1</t>
  </si>
  <si>
    <t>Ungulate tetraparvovirus 1</t>
  </si>
  <si>
    <t>Ungulate tetraparvovirus 2</t>
  </si>
  <si>
    <t>Ungulate tetraparvovirus 3</t>
  </si>
  <si>
    <t>Ungulate tetraparvovirus 4</t>
  </si>
  <si>
    <t>Rose yellow mosaic virus</t>
  </si>
  <si>
    <t>Spiraviridae</t>
  </si>
  <si>
    <t>Alphaspiravirus</t>
  </si>
  <si>
    <t>Aeropyrum coil-shaped virus</t>
  </si>
  <si>
    <t>Eilat virus</t>
  </si>
  <si>
    <t>Leishmania RNA virus 1</t>
  </si>
  <si>
    <t>Leishmania RNA virus 2</t>
  </si>
  <si>
    <t>Scheffersomyces segobiensis virus L</t>
  </si>
  <si>
    <t>Tuber aestivum virus 1</t>
  </si>
  <si>
    <t>Xanthophyllomyces dendrorhous virus L1A</t>
  </si>
  <si>
    <t>Xanthophyllomyces dendrorhous virus L1B</t>
  </si>
  <si>
    <t>Trichomonas vaginalis virus 4</t>
  </si>
  <si>
    <t>Aspergillus foetidus slow virus 1</t>
  </si>
  <si>
    <t>Beauveria bassiana victorivirus 1</t>
  </si>
  <si>
    <t>Magnaporthe oryzae virus 2</t>
  </si>
  <si>
    <t>Rosellinia necatrix victorivirus 1</t>
  </si>
  <si>
    <t>Tolypocladium cylindrosporum virus 1</t>
  </si>
  <si>
    <t>Turriviridae</t>
  </si>
  <si>
    <t>Alphaturrivirus</t>
  </si>
  <si>
    <t>Sulfolobus turreted icosahedral virus 1</t>
  </si>
  <si>
    <t>Sulfolobus turreted icosahedral virus 2</t>
  </si>
  <si>
    <t>Higrevirus</t>
  </si>
  <si>
    <t>Hibiscus green spot virus 2</t>
  </si>
  <si>
    <t>Pea enation mosaic virus 2</t>
  </si>
  <si>
    <t>Eucampyvirinae</t>
  </si>
  <si>
    <t>Avihepatovirus A</t>
  </si>
  <si>
    <t>Cardiovirus A</t>
  </si>
  <si>
    <t>Cardiovirus B</t>
  </si>
  <si>
    <t>Cardiovirus C</t>
  </si>
  <si>
    <t>Erbovirus A</t>
  </si>
  <si>
    <t>Hepatovirus A</t>
  </si>
  <si>
    <t>Kunsagivirus</t>
  </si>
  <si>
    <t>Kunsagivirus A</t>
  </si>
  <si>
    <t>Parechovirus A</t>
  </si>
  <si>
    <t>Parechovirus B</t>
  </si>
  <si>
    <t>Sakobuvirus</t>
  </si>
  <si>
    <t>Sakobuvirus A</t>
  </si>
  <si>
    <t>Sapelovirus A</t>
  </si>
  <si>
    <t>Sapelovirus B</t>
  </si>
  <si>
    <t>Senecavirus A</t>
  </si>
  <si>
    <t>Sicinivirus</t>
  </si>
  <si>
    <t>Sicinivirus A</t>
  </si>
  <si>
    <t>Teschovirus A</t>
  </si>
  <si>
    <t>Tremovirus A</t>
  </si>
  <si>
    <t>Lettuce necrotic leaf curl virus</t>
  </si>
  <si>
    <t>Mammarenavirus</t>
  </si>
  <si>
    <t>Allpahuayo mammarenavirus</t>
  </si>
  <si>
    <t>Bear Canyon mammarenavirus</t>
  </si>
  <si>
    <t>Chapare mammarenavirus</t>
  </si>
  <si>
    <t>Cupixi mammarenavirus</t>
  </si>
  <si>
    <t>Flexal mammarenavirus</t>
  </si>
  <si>
    <t>Guanarito mammarenavirus</t>
  </si>
  <si>
    <t>Ippy mammarenavirus</t>
  </si>
  <si>
    <t>Lassa mammarenavirus</t>
  </si>
  <si>
    <t>Latino mammarenavirus</t>
  </si>
  <si>
    <t>Lujo mammarenavirus</t>
  </si>
  <si>
    <t>Luna mammarenavirus</t>
  </si>
  <si>
    <t>Lunk mammarenavirus</t>
  </si>
  <si>
    <t>Lymphocytic choriomeningitis mammarenavirus</t>
  </si>
  <si>
    <t>Machupo mammarenavirus</t>
  </si>
  <si>
    <t>Merino Walk mammarenavirus</t>
  </si>
  <si>
    <t>Mobala mammarenavirus</t>
  </si>
  <si>
    <t>Mopeia mammarenavirus</t>
  </si>
  <si>
    <t>Oliveros mammarenavirus</t>
  </si>
  <si>
    <t>Pirital mammarenavirus</t>
  </si>
  <si>
    <t>Tacaribe mammarenavirus</t>
  </si>
  <si>
    <t>Tamiami mammarenavirus</t>
  </si>
  <si>
    <t>Whitewater Arroyo mammarenavirus</t>
  </si>
  <si>
    <t>Reptarenavirus</t>
  </si>
  <si>
    <t>Banana streak IM virus</t>
  </si>
  <si>
    <t>Banana streak UA virus</t>
  </si>
  <si>
    <t>Banana streak UI virus</t>
  </si>
  <si>
    <t>Banana streak UL virus</t>
  </si>
  <si>
    <t>Banana streak UM virus</t>
  </si>
  <si>
    <t>Fig badnavirus 1</t>
  </si>
  <si>
    <t>Pagoda yellow mosaic associated virus</t>
  </si>
  <si>
    <t>Soybean Putnam virus</t>
  </si>
  <si>
    <t>Rosadnavirus</t>
  </si>
  <si>
    <t>Rose yellow vein virus</t>
  </si>
  <si>
    <t>Piscihepevirus</t>
  </si>
  <si>
    <t>Helicobasidium mompa partitivirus V70</t>
  </si>
  <si>
    <t>Heterobasidion partitivirus 1</t>
  </si>
  <si>
    <t>Heterobasidion partitivirus 3</t>
  </si>
  <si>
    <t>Heterobasidion partitivirus 2</t>
  </si>
  <si>
    <t>Heterobasidion partitivirus 8</t>
  </si>
  <si>
    <t>Heterobasidion partitivirus P</t>
  </si>
  <si>
    <t>Dahlia latent viroid</t>
  </si>
  <si>
    <t>Bidens mosaic virus</t>
  </si>
  <si>
    <t>Blue squill virus A</t>
  </si>
  <si>
    <t>Brugmansia mosaic virus</t>
  </si>
  <si>
    <t>Calla lily latent virus</t>
  </si>
  <si>
    <t>Cyrtanthus elatus virus A</t>
  </si>
  <si>
    <t>Habenaria mosaic virus</t>
  </si>
  <si>
    <t>Keunjorong mosaic virus</t>
  </si>
  <si>
    <t>Lupinus mosaic virus</t>
  </si>
  <si>
    <t>Panax virus Y</t>
  </si>
  <si>
    <t>Tomato necrotic stunt virus</t>
  </si>
  <si>
    <t>Verbena virus Y</t>
  </si>
  <si>
    <t>Zucchini tigre mosaic virus</t>
  </si>
  <si>
    <t>Tall oatgrass mosaic virus</t>
  </si>
  <si>
    <t>Demodema bonariensis entomopoxvirus</t>
  </si>
  <si>
    <t>Figulus sublaevis entomopoxvirus</t>
  </si>
  <si>
    <t>Acrobasis zelleri entomopoxvirus</t>
  </si>
  <si>
    <t>Adoxophyes honmai entomopoxvirus</t>
  </si>
  <si>
    <t>Amsacta moorei entomopoxvirus</t>
  </si>
  <si>
    <t>Arphia conspersa entomopoxvirus</t>
  </si>
  <si>
    <t>Choristoneura biennis entomopoxvirus</t>
  </si>
  <si>
    <t>Choristoneura conflicta entomopoxvirus</t>
  </si>
  <si>
    <t>Choristoneura diversuma entomopoxvirus</t>
  </si>
  <si>
    <t>Choristoneura fumiferana entomopoxvirus</t>
  </si>
  <si>
    <t>Choristoneura rosaceana entomopoxvirus</t>
  </si>
  <si>
    <t>Chorizagrotis auxiliaris entomopoxvirus</t>
  </si>
  <si>
    <t>Heliothis armigera entomopoxvirus</t>
  </si>
  <si>
    <t>Locusta migratoria entomopoxvirus</t>
  </si>
  <si>
    <t>Mythimna separata entomopoxvirus</t>
  </si>
  <si>
    <t>Oedaleus senegalensis entomopoxvirus</t>
  </si>
  <si>
    <t>Operophtera brumata entomopoxvirus</t>
  </si>
  <si>
    <t>Schistocerca gregaria entomopoxvirus</t>
  </si>
  <si>
    <t>Goeldichironomus holoprasinus entomopoxvirus</t>
  </si>
  <si>
    <t>Rotavirus F</t>
  </si>
  <si>
    <t>Rotavirus G</t>
  </si>
  <si>
    <t>Rotavirus H</t>
  </si>
  <si>
    <t>Sphaerolipoviridae</t>
  </si>
  <si>
    <t>Alphasphaerolipovirus</t>
  </si>
  <si>
    <t>Thin paspalum asymptomatic virus</t>
  </si>
  <si>
    <t>Elderberry latent virus</t>
  </si>
  <si>
    <t>Pelargonium chlorotic ring pattern virus</t>
  </si>
  <si>
    <t>Pelargonium ringspot virus</t>
  </si>
  <si>
    <t>Rosa rugosa leaf distortion virus</t>
  </si>
  <si>
    <t>Tomato mottle mosaic virus</t>
  </si>
  <si>
    <t>Yellow tailflower mild mottle virus</t>
  </si>
  <si>
    <t>dsDNA</t>
  </si>
  <si>
    <t>ssRNA(-)</t>
  </si>
  <si>
    <t>ssRNA(+)</t>
  </si>
  <si>
    <t>ssDNA</t>
  </si>
  <si>
    <t>dsRNA</t>
  </si>
  <si>
    <t>ssRNA-RT</t>
  </si>
  <si>
    <t>Mosso das Pedras virus</t>
  </si>
  <si>
    <t>Genome Composition</t>
  </si>
  <si>
    <t>Taxon History URL</t>
  </si>
  <si>
    <t>Last Change</t>
  </si>
  <si>
    <t>Spiraea yellow leafspot virus</t>
  </si>
  <si>
    <t>Arabidopsis thaliana evelknievel virus</t>
  </si>
  <si>
    <t>Campylobacter virus IBB35</t>
  </si>
  <si>
    <t>Kayvirus</t>
  </si>
  <si>
    <t>Silviavirus</t>
  </si>
  <si>
    <t>Twortvirus</t>
  </si>
  <si>
    <t>Acinetobacter virus 133</t>
  </si>
  <si>
    <t>Vequintavirinae</t>
  </si>
  <si>
    <t>Agatevirus</t>
  </si>
  <si>
    <t>Bastillevirus</t>
  </si>
  <si>
    <t>Bcepmuvirus</t>
  </si>
  <si>
    <t>Biquartavirus</t>
  </si>
  <si>
    <t>Hapunavirus</t>
  </si>
  <si>
    <t>Muvirus</t>
  </si>
  <si>
    <t>Myohalovirus</t>
  </si>
  <si>
    <t>Aeromonas virus 43</t>
  </si>
  <si>
    <t>Pakpunavirus</t>
  </si>
  <si>
    <t>Pbunavirus</t>
  </si>
  <si>
    <t>Pseudomonas virus DL68</t>
  </si>
  <si>
    <t>Pseudomonas virus JG024</t>
  </si>
  <si>
    <t>Phikzvirus</t>
  </si>
  <si>
    <t>Vhmlvirus</t>
  </si>
  <si>
    <t>Wphvirus</t>
  </si>
  <si>
    <t>Phikmvvirus</t>
  </si>
  <si>
    <t>Nonanavirus</t>
  </si>
  <si>
    <t>Pagevirus</t>
  </si>
  <si>
    <t>Guernseyvirinae</t>
  </si>
  <si>
    <t>Jerseyvirus</t>
  </si>
  <si>
    <t>Tunavirinae</t>
  </si>
  <si>
    <t>Rtpvirus</t>
  </si>
  <si>
    <t>Tlsvirus</t>
  </si>
  <si>
    <t>Andromedavirus</t>
  </si>
  <si>
    <t>Barnyardvirus</t>
  </si>
  <si>
    <t>Bignuzvirus</t>
  </si>
  <si>
    <t>Biseptimavirus</t>
  </si>
  <si>
    <t>Bronvirus</t>
  </si>
  <si>
    <t>Mycobacterium virus Bron</t>
  </si>
  <si>
    <t>Cbastvirus</t>
  </si>
  <si>
    <t>Cecivirus</t>
  </si>
  <si>
    <t>Charlievirus</t>
  </si>
  <si>
    <t>Mycobacterium virus Ardmore</t>
  </si>
  <si>
    <t>Mycobacterium virus Boomer</t>
  </si>
  <si>
    <t>Mycobacterium virus Che8</t>
  </si>
  <si>
    <t>Mycobacterium virus Dlane</t>
  </si>
  <si>
    <t>Mycobacterium virus Dorothy</t>
  </si>
  <si>
    <t>Mycobacterium virus Drago</t>
  </si>
  <si>
    <t>Mycobacterium virus Fruitloop</t>
  </si>
  <si>
    <t>Mycobacterium virus Ibhubesi</t>
  </si>
  <si>
    <t>Mycobacterium virus Llij</t>
  </si>
  <si>
    <t>Mycobacterium virus Mozy</t>
  </si>
  <si>
    <t>Mycobacterium virus Mutaforma13</t>
  </si>
  <si>
    <t>Mycobacterium virus Pacc40</t>
  </si>
  <si>
    <t>Mycobacterium virus PMC</t>
  </si>
  <si>
    <t>Mycobacterium virus Ramsey</t>
  </si>
  <si>
    <t>Mycobacterium virus SG4</t>
  </si>
  <si>
    <t>Mycobacterium virus Shauna1</t>
  </si>
  <si>
    <t>Mycobacterium virus Shilan</t>
  </si>
  <si>
    <t>Mycobacterium virus Spartacus</t>
  </si>
  <si>
    <t>Mycobacterium virus Taj</t>
  </si>
  <si>
    <t>Mycobacterium virus Tweety</t>
  </si>
  <si>
    <t>Mycobacterium virus Wee</t>
  </si>
  <si>
    <t>Chivirus</t>
  </si>
  <si>
    <t>Corndogvirus</t>
  </si>
  <si>
    <t>Lambdavirus</t>
  </si>
  <si>
    <t>Liefievirus</t>
  </si>
  <si>
    <t>Mycobacterium virus Halo</t>
  </si>
  <si>
    <t>Mycobacterium virus Liefie</t>
  </si>
  <si>
    <t>Nonagvirus</t>
  </si>
  <si>
    <t>Omegavirus</t>
  </si>
  <si>
    <t>Phietavirus</t>
  </si>
  <si>
    <t>Phifelvirus</t>
  </si>
  <si>
    <t>Psavirus</t>
  </si>
  <si>
    <t>Psimunavirus</t>
  </si>
  <si>
    <t>Reyvirus</t>
  </si>
  <si>
    <t>Seuratvirus</t>
  </si>
  <si>
    <t>Sextaecvirus</t>
  </si>
  <si>
    <t>Slashvirus</t>
  </si>
  <si>
    <t>Spbetavirus</t>
  </si>
  <si>
    <t>Mycobacterium virus TM4</t>
  </si>
  <si>
    <t>Triavirus</t>
  </si>
  <si>
    <t>Wbetavirus</t>
  </si>
  <si>
    <t>Yuavirus</t>
  </si>
  <si>
    <t>Pseudomonas virus M6</t>
  </si>
  <si>
    <t>Pseudomonas virus Yua</t>
  </si>
  <si>
    <t>Gallid alphaherpesvirus 1</t>
  </si>
  <si>
    <t>Psittacid alphaherpesvirus 1</t>
  </si>
  <si>
    <t>Anatid alphaherpesvirus 1</t>
  </si>
  <si>
    <t>Columbid alphaherpesvirus 1</t>
  </si>
  <si>
    <t>Gallid alphaherpesvirus 2</t>
  </si>
  <si>
    <t>Gallid alphaherpesvirus 3</t>
  </si>
  <si>
    <t>Meleagrid alphaherpesvirus 1</t>
  </si>
  <si>
    <t>Chelonid alphaherpesvirus 5</t>
  </si>
  <si>
    <t>Ateline alphaherpesvirus 1</t>
  </si>
  <si>
    <t>Bovine alphaherpesvirus 2</t>
  </si>
  <si>
    <t>Cercopithecine alphaherpesvirus 2</t>
  </si>
  <si>
    <t>Human alphaherpesvirus 1</t>
  </si>
  <si>
    <t>Human alphaherpesvirus 2</t>
  </si>
  <si>
    <t>Leporid alphaherpesvirus 4</t>
  </si>
  <si>
    <t>Macacine alphaherpesvirus 1</t>
  </si>
  <si>
    <t>Macropodid alphaherpesvirus 1</t>
  </si>
  <si>
    <t>Macropodid alphaherpesvirus 2</t>
  </si>
  <si>
    <t>Panine alphaherpesvirus 3</t>
  </si>
  <si>
    <t>Papiine alphaherpesvirus 2</t>
  </si>
  <si>
    <t>Saimiriine alphaherpesvirus 1</t>
  </si>
  <si>
    <t>Chelonid alphaherpesvirus 6</t>
  </si>
  <si>
    <t>Bovine alphaherpesvirus 1</t>
  </si>
  <si>
    <t>Bovine alphaherpesvirus 5</t>
  </si>
  <si>
    <t>Bubaline alphaherpesvirus 1</t>
  </si>
  <si>
    <t>Canid alphaherpesvirus 1</t>
  </si>
  <si>
    <t>Caprine alphaherpesvirus 1</t>
  </si>
  <si>
    <t>Cercopithecine alphaherpesvirus 9</t>
  </si>
  <si>
    <t>Cervid alphaherpesvirus 1</t>
  </si>
  <si>
    <t>Cervid alphaherpesvirus 2</t>
  </si>
  <si>
    <t>Equid alphaherpesvirus 1</t>
  </si>
  <si>
    <t>Equid alphaherpesvirus 3</t>
  </si>
  <si>
    <t>Equid alphaherpesvirus 4</t>
  </si>
  <si>
    <t>Equid alphaherpesvirus 8</t>
  </si>
  <si>
    <t>Equid alphaherpesvirus 9</t>
  </si>
  <si>
    <t>Felid alphaherpesvirus 1</t>
  </si>
  <si>
    <t>Human alphaherpesvirus 3</t>
  </si>
  <si>
    <t>Phocid alphaherpesvirus 1</t>
  </si>
  <si>
    <t>Suid alphaherpesvirus 1</t>
  </si>
  <si>
    <t>Aotine betaherpesvirus 1</t>
  </si>
  <si>
    <t>Cebine betaherpesvirus 1</t>
  </si>
  <si>
    <t>Cercopithecine betaherpesvirus 5</t>
  </si>
  <si>
    <t>Human betaherpesvirus 5</t>
  </si>
  <si>
    <t>Macacine betaherpesvirus 3</t>
  </si>
  <si>
    <t>Panine betaherpesvirus 2</t>
  </si>
  <si>
    <t>Papiine betaherpesvirus 3</t>
  </si>
  <si>
    <t>Saimiriine betaherpesvirus 4</t>
  </si>
  <si>
    <t>Murid betaherpesvirus 1</t>
  </si>
  <si>
    <t>Murid betaherpesvirus 2</t>
  </si>
  <si>
    <t>Murid betaherpesvirus 8</t>
  </si>
  <si>
    <t>Elephantid betaherpesvirus 1</t>
  </si>
  <si>
    <t>Human betaherpesvirus 7</t>
  </si>
  <si>
    <t>Human betaherpesvirus 6A</t>
  </si>
  <si>
    <t>Human betaherpesvirus 6B</t>
  </si>
  <si>
    <t>Caviid betaherpesvirus 2</t>
  </si>
  <si>
    <t>Suid betaherpesvirus 2</t>
  </si>
  <si>
    <t>Tupaiid betaherpesvirus 1</t>
  </si>
  <si>
    <t>Callitrichine gammaherpesvirus 3</t>
  </si>
  <si>
    <t>Cercopithecine gammaherpesvirus 14</t>
  </si>
  <si>
    <t>Gorilline gammaherpesvirus 1</t>
  </si>
  <si>
    <t>Human gammaherpesvirus 4</t>
  </si>
  <si>
    <t>Macacine gammaherpesvirus 4</t>
  </si>
  <si>
    <t>Panine gammaherpesvirus 1</t>
  </si>
  <si>
    <t>Papiine gammaherpesvirus 1</t>
  </si>
  <si>
    <t>Pongine gammaherpesvirus 2</t>
  </si>
  <si>
    <t>Alcelaphine gammaherpesvirus 1</t>
  </si>
  <si>
    <t>Alcelaphine gammaherpesvirus 2</t>
  </si>
  <si>
    <t>Bovine gammaherpesvirus 6</t>
  </si>
  <si>
    <t>Caprine gammaherpesvirus 2</t>
  </si>
  <si>
    <t>Hippotragine gammaherpesvirus 1</t>
  </si>
  <si>
    <t>Ovine gammaherpesvirus 2</t>
  </si>
  <si>
    <t>Suid gammaherpesvirus 3</t>
  </si>
  <si>
    <t>Suid gammaherpesvirus 4</t>
  </si>
  <si>
    <t>Suid gammaherpesvirus 5</t>
  </si>
  <si>
    <t>Equid gammaherpesvirus 2</t>
  </si>
  <si>
    <t>Equid gammaherpesvirus 5</t>
  </si>
  <si>
    <t>Mustelid gammaherpesvirus 1</t>
  </si>
  <si>
    <t>Ateline gammaherpesvirus 2</t>
  </si>
  <si>
    <t>Ateline gammaherpesvirus 3</t>
  </si>
  <si>
    <t>Bovine gammaherpesvirus 4</t>
  </si>
  <si>
    <t>Cricetid gammaherpesvirus 2</t>
  </si>
  <si>
    <t>Human gammaherpesvirus 8</t>
  </si>
  <si>
    <t>Macacine gammaherpesvirus 5</t>
  </si>
  <si>
    <t>Murid gammaherpesvirus 4</t>
  </si>
  <si>
    <t>Murid gammaherpesvirus 7</t>
  </si>
  <si>
    <t>Saimiriine gammaherpesvirus 2</t>
  </si>
  <si>
    <t>Equid gammaherpesvirus 7</t>
  </si>
  <si>
    <t>Phocid gammaherpesvirus 2</t>
  </si>
  <si>
    <t>Saguinine gammaherpesvirus 1</t>
  </si>
  <si>
    <t>Mymonaviridae</t>
  </si>
  <si>
    <t>Sclerotimonavirus</t>
  </si>
  <si>
    <t>Socyvirus</t>
  </si>
  <si>
    <t>Cedar henipavirus</t>
  </si>
  <si>
    <t>Ghanaian bat henipavirus</t>
  </si>
  <si>
    <t>Mojiang henipavirus</t>
  </si>
  <si>
    <t>Feline morbillivirus</t>
  </si>
  <si>
    <t>Pneumoviridae</t>
  </si>
  <si>
    <t>Orthopneumovirus</t>
  </si>
  <si>
    <t>Dichorhavirus</t>
  </si>
  <si>
    <t>Sunviridae</t>
  </si>
  <si>
    <t>Sunshinevirus</t>
  </si>
  <si>
    <t>Anphevirus</t>
  </si>
  <si>
    <t>Arlivirus</t>
  </si>
  <si>
    <t>Crustavirus</t>
  </si>
  <si>
    <t>Bat coronavirus CDPHE15</t>
  </si>
  <si>
    <t>Bat coronavirus HKU10</t>
  </si>
  <si>
    <t>Mink coronavirus 1</t>
  </si>
  <si>
    <t>Hedgehog coronavirus 1</t>
  </si>
  <si>
    <t>Middle East respiratory syndrome-related coronavirus</t>
  </si>
  <si>
    <t>Common moorhen coronavirus HKU21</t>
  </si>
  <si>
    <t>Coronavirus HKU15</t>
  </si>
  <si>
    <t>Night heron coronavirus HKU19</t>
  </si>
  <si>
    <t>White-eye coronavirus HKU16</t>
  </si>
  <si>
    <t>Wigeon coronavirus HKU20</t>
  </si>
  <si>
    <t>Fathead minnow nidovirus 1</t>
  </si>
  <si>
    <t>Ball python nidovirus 1</t>
  </si>
  <si>
    <t>Alphamesonivirus 2</t>
  </si>
  <si>
    <t>Alphamesonivirus 3</t>
  </si>
  <si>
    <t>Alphamesonivirus 4</t>
  </si>
  <si>
    <t>Alphamesonivirus 5</t>
  </si>
  <si>
    <t>Triatovirus</t>
  </si>
  <si>
    <t>Antheraea pernyi iflavirus</t>
  </si>
  <si>
    <t>Dinocampus coccinellae paralysis virus</t>
  </si>
  <si>
    <t>Lymantria dispar iflavirus 1</t>
  </si>
  <si>
    <t>Spodoptera exigua iflavirus 1</t>
  </si>
  <si>
    <t>Spodoptera exigua iflavirus 2</t>
  </si>
  <si>
    <t>Limnipivirus</t>
  </si>
  <si>
    <t>Limnipivirus A</t>
  </si>
  <si>
    <t>Limnipivirus B</t>
  </si>
  <si>
    <t>Limnipivirus C</t>
  </si>
  <si>
    <t>Potamipivirus</t>
  </si>
  <si>
    <t>Potamipivirus A</t>
  </si>
  <si>
    <t>Aeonium ringspot virus</t>
  </si>
  <si>
    <t>Mulberry mosaic leaf roll associated virus</t>
  </si>
  <si>
    <t>Carrot torradovirus 1</t>
  </si>
  <si>
    <t>Motherwort yellow mottle virus</t>
  </si>
  <si>
    <t>Platypuvirus</t>
  </si>
  <si>
    <t>Donkey orchid symptomless virus</t>
  </si>
  <si>
    <t>Yam virus X</t>
  </si>
  <si>
    <t>Quinvirinae</t>
  </si>
  <si>
    <t>Gaillardia latent virus</t>
  </si>
  <si>
    <t>Potato virus H</t>
  </si>
  <si>
    <t>Robigovirus</t>
  </si>
  <si>
    <t>Cherry rusty mottle associated virus</t>
  </si>
  <si>
    <t>Cherry twisted leaf associated virus</t>
  </si>
  <si>
    <t>Trivirinae</t>
  </si>
  <si>
    <t>Chordovirus</t>
  </si>
  <si>
    <t>Carrot Ch virus 1</t>
  </si>
  <si>
    <t>Carrot Ch virus 2</t>
  </si>
  <si>
    <t>Divavirus</t>
  </si>
  <si>
    <t>Prunevirus</t>
  </si>
  <si>
    <t>Apricot vein clearing associated virus</t>
  </si>
  <si>
    <t>Caucasus prunus virus</t>
  </si>
  <si>
    <t>Prunus virus T</t>
  </si>
  <si>
    <t>Duck aviadenovirus B</t>
  </si>
  <si>
    <t>Pigeon aviadenovirus A</t>
  </si>
  <si>
    <t>Turkey aviadenovirus C</t>
  </si>
  <si>
    <t>Turkey aviadenovirus D</t>
  </si>
  <si>
    <t>Simian mastadenovirus B</t>
  </si>
  <si>
    <t>Simian mastadenovirus C</t>
  </si>
  <si>
    <t>ssDNA(-)</t>
  </si>
  <si>
    <t>Torque teno sus virus k2a</t>
  </si>
  <si>
    <t>Torque teno sus virus k2b</t>
  </si>
  <si>
    <t>ssRNA(+/-)</t>
  </si>
  <si>
    <t>Gairo mammarenavirus</t>
  </si>
  <si>
    <t>Mariental mammarenavirus</t>
  </si>
  <si>
    <t>Okahandja mammarenavirus</t>
  </si>
  <si>
    <t>Wenzhou mammarenavirus</t>
  </si>
  <si>
    <t>Toursvirus</t>
  </si>
  <si>
    <t>Agrotis segetum nucleopolyhedrovirus A</t>
  </si>
  <si>
    <t>Agrotis segetum nucleopolyhedrovirus B</t>
  </si>
  <si>
    <t>Chrysodeixis includens nucleopolyhedrovirus</t>
  </si>
  <si>
    <t>Sucra jujuba nucleopolyhedrovirus</t>
  </si>
  <si>
    <t>Agrotis segetum granulovirus</t>
  </si>
  <si>
    <t>Erinnyis ello granulovirus</t>
  </si>
  <si>
    <t>Spodoptera frugiperda granulovirus</t>
  </si>
  <si>
    <t>Acara orthobunyavirus</t>
  </si>
  <si>
    <t>Akabane orthobunyavirus</t>
  </si>
  <si>
    <t>Alajuela orthobunyavirus</t>
  </si>
  <si>
    <t>Anopheles A orthobunyavirus</t>
  </si>
  <si>
    <t>Anopheles B orthobunyavirus</t>
  </si>
  <si>
    <t>Bakau orthobunyavirus</t>
  </si>
  <si>
    <t>Batama orthobunyavirus</t>
  </si>
  <si>
    <t>Benevides orthobunyavirus</t>
  </si>
  <si>
    <t>Bertioga orthobunyavirus</t>
  </si>
  <si>
    <t>Bimiti orthobunyavirus</t>
  </si>
  <si>
    <t>Botambi orthobunyavirus</t>
  </si>
  <si>
    <t>Bunyamwera orthobunyavirus</t>
  </si>
  <si>
    <t>Bushbush orthobunyavirus</t>
  </si>
  <si>
    <t>Bwamba orthobunyavirus</t>
  </si>
  <si>
    <t>California encephalitis orthobunyavirus</t>
  </si>
  <si>
    <t>Capim orthobunyavirus</t>
  </si>
  <si>
    <t>Caraparu orthobunyavirus</t>
  </si>
  <si>
    <t>Catu orthobunyavirus</t>
  </si>
  <si>
    <t>Gamboa orthobunyavirus</t>
  </si>
  <si>
    <t>Guajara orthobunyavirus</t>
  </si>
  <si>
    <t>Guama orthobunyavirus</t>
  </si>
  <si>
    <t>Guaroa orthobunyavirus</t>
  </si>
  <si>
    <t>Kaeng Khoi orthobunyavirus</t>
  </si>
  <si>
    <t>Kairi orthobunyavirus</t>
  </si>
  <si>
    <t>Koongol orthobunyavirus</t>
  </si>
  <si>
    <t>Madrid orthobunyavirus</t>
  </si>
  <si>
    <t>Main Drain orthobunyavirus</t>
  </si>
  <si>
    <t>Manzanilla orthobunyavirus</t>
  </si>
  <si>
    <t>Marituba orthobunyavirus</t>
  </si>
  <si>
    <t>Minatitlan orthobunyavirus</t>
  </si>
  <si>
    <t>MPoko orthobunyavirus</t>
  </si>
  <si>
    <t>Nyando orthobunyavirus</t>
  </si>
  <si>
    <t>Olifantsvlei orthobunyavirus</t>
  </si>
  <si>
    <t>Oriboca orthobunyavirus</t>
  </si>
  <si>
    <t>Oropouche orthobunyavirus</t>
  </si>
  <si>
    <t>Patois orthobunyavirus</t>
  </si>
  <si>
    <t>Shuni orthobunyavirus</t>
  </si>
  <si>
    <t>Simbu orthobunyavirus</t>
  </si>
  <si>
    <t>Tacaiuma orthobunyavirus</t>
  </si>
  <si>
    <t>Tete orthobunyavirus</t>
  </si>
  <si>
    <t>Thimiri orthobunyavirus</t>
  </si>
  <si>
    <t>Timboteua orthobunyavirus</t>
  </si>
  <si>
    <t>Turlock orthobunyavirus</t>
  </si>
  <si>
    <t>Wyeomyia orthobunyavirus</t>
  </si>
  <si>
    <t>Bujaru phlebovirus</t>
  </si>
  <si>
    <t>Candiru phlebovirus</t>
  </si>
  <si>
    <t>Frijoles phlebovirus</t>
  </si>
  <si>
    <t>Punta Toro phlebovirus</t>
  </si>
  <si>
    <t>Rift Valley fever phlebovirus</t>
  </si>
  <si>
    <t>Salehabad phlebovirus</t>
  </si>
  <si>
    <t>dsDNA-RT</t>
  </si>
  <si>
    <t>Cacao swollen shoot CD virus</t>
  </si>
  <si>
    <t>Cacao swollen shoot Togo A virus</t>
  </si>
  <si>
    <t>Grapevine Roditis leaf discoloration-associated virus</t>
  </si>
  <si>
    <t>Sugarcane bacilliform Guadeloupe A virus</t>
  </si>
  <si>
    <t>Sugarcane bacilliform Guadeloupe D virus</t>
  </si>
  <si>
    <t>Barbel circovirus</t>
  </si>
  <si>
    <t>ssDNA(+/-)</t>
  </si>
  <si>
    <t>Canine circovirus</t>
  </si>
  <si>
    <t>European catfish circovirus</t>
  </si>
  <si>
    <t>Mink circovirus</t>
  </si>
  <si>
    <t>Porcine circovirus 1</t>
  </si>
  <si>
    <t>Porcine circovirus 2</t>
  </si>
  <si>
    <t>Raven circovirus</t>
  </si>
  <si>
    <t>Zebra finch circovirus</t>
  </si>
  <si>
    <t>Cyclovirus</t>
  </si>
  <si>
    <t>Blackberry vein banding-associated virus</t>
  </si>
  <si>
    <t>Blueberry virus A</t>
  </si>
  <si>
    <t>Cordyline virus 2</t>
  </si>
  <si>
    <t>Cordyline virus 3</t>
  </si>
  <si>
    <t>Cordyline virus 4</t>
  </si>
  <si>
    <t>Abutilon golden mosaic virus</t>
  </si>
  <si>
    <t>Capraria yellow spot virus</t>
  </si>
  <si>
    <t>Cassava mosaic Madagascar virus</t>
  </si>
  <si>
    <t>Catharanthus yellow mosaic virus</t>
  </si>
  <si>
    <t>Chenopodium leaf curl virus</t>
  </si>
  <si>
    <t>Chilli leaf curl India virus</t>
  </si>
  <si>
    <t>Chilli leaf curl Kanpur virus</t>
  </si>
  <si>
    <t>Chilli leaf curl Vellanad virus</t>
  </si>
  <si>
    <t>Clerodendron yellow mosaic virus</t>
  </si>
  <si>
    <t>Clerodendrum golden mosaic China virus</t>
  </si>
  <si>
    <t>Clerodendrum golden mosaic Jiangsu virus</t>
  </si>
  <si>
    <t>Corchorus yellow vein mosaic virus</t>
  </si>
  <si>
    <t>Cotton chlorotic spot virus</t>
  </si>
  <si>
    <t>Crassocephalum yellow vein virus</t>
  </si>
  <si>
    <t>Emilia yellow vein virus</t>
  </si>
  <si>
    <t>French bean leaf curl virus</t>
  </si>
  <si>
    <t>Hedyotis uncinella yellow mosaic virus</t>
  </si>
  <si>
    <t>Hemidesmus yellow mosaic virus</t>
  </si>
  <si>
    <t>Jatropha leaf curl virus</t>
  </si>
  <si>
    <t>Jatropha mosaic Nigeria virus</t>
  </si>
  <si>
    <t>Jatropha mosaic virus</t>
  </si>
  <si>
    <t>Jatropha yellow mosaic virus</t>
  </si>
  <si>
    <t>Malvastrum leaf curl Philippines virus</t>
  </si>
  <si>
    <t>Mesta yellow vein mosaic Bahraich virus</t>
  </si>
  <si>
    <t>Pepper yellow leaf curl virus</t>
  </si>
  <si>
    <t>Pouzolzia golden mosaic virus</t>
  </si>
  <si>
    <t>Pouzolzia mosaic Guangdong virus</t>
  </si>
  <si>
    <t>Premna leaf curl virus</t>
  </si>
  <si>
    <t>Rhynchosia yellow mosaic India virus</t>
  </si>
  <si>
    <t>Sauropus leaf curl virus</t>
  </si>
  <si>
    <t>Sida ciliaris golden mosaic virus</t>
  </si>
  <si>
    <t>Sida common mosaic virus</t>
  </si>
  <si>
    <t>Sida golden mosaic Brazil virus</t>
  </si>
  <si>
    <t>Sida golden mosaic Lara virus</t>
  </si>
  <si>
    <t>Sida yellow leaf curl virus</t>
  </si>
  <si>
    <t>Sidastrum golden leaf spot virus</t>
  </si>
  <si>
    <t>Soybean chlorotic blotch virus</t>
  </si>
  <si>
    <t>Spinach yellow vein virus</t>
  </si>
  <si>
    <t>Sunn hemp leaf distortion virus</t>
  </si>
  <si>
    <t>Sweet potato leaf curl Henan virus</t>
  </si>
  <si>
    <t>Sweet potato leaf curl Sichuan virus 1</t>
  </si>
  <si>
    <t>Sweet potato leaf curl Sichuan virus 2</t>
  </si>
  <si>
    <t>Tobacco leaf curl Comoros virus</t>
  </si>
  <si>
    <t>Tomato bright yellow mosaic virus</t>
  </si>
  <si>
    <t>Tomato bright yellow mottle virus</t>
  </si>
  <si>
    <t>Tomato golden leaf distortion virus</t>
  </si>
  <si>
    <t>Tomato interveinal chlorosis virus</t>
  </si>
  <si>
    <t>Tomato leaf curl Liwa virus</t>
  </si>
  <si>
    <t>Tomato leaf curl New Delhi virus 2</t>
  </si>
  <si>
    <t>Tomato leaf curl New Delhi virus 4</t>
  </si>
  <si>
    <t>Tomato leaf curl Palampur virus</t>
  </si>
  <si>
    <t>Tomato leaf curl Patna virus</t>
  </si>
  <si>
    <t>Tomato leaf curl Rajasthan virus</t>
  </si>
  <si>
    <t>Tomato leaf curl Sulawesi virus</t>
  </si>
  <si>
    <t>Velvet bean severe mosaic virus</t>
  </si>
  <si>
    <t>Vigna yellow mosaic virus</t>
  </si>
  <si>
    <t>Axonopus compressus streak virus</t>
  </si>
  <si>
    <t>Sugarcane white streak virus</t>
  </si>
  <si>
    <t>Switchgrass mosaic-associated virus</t>
  </si>
  <si>
    <t>Genomoviridae</t>
  </si>
  <si>
    <t>Gemycircularvirus</t>
  </si>
  <si>
    <t>Long-fingered bat hepatitis B virus</t>
  </si>
  <si>
    <t>Roundleaf bat hepatitis B virus</t>
  </si>
  <si>
    <t>Tent-making bat hepatitis B virus</t>
  </si>
  <si>
    <t>ssDNA(+)</t>
  </si>
  <si>
    <t>Lavidaviridae</t>
  </si>
  <si>
    <t>Mavirus</t>
  </si>
  <si>
    <t>Cafeteriavirus-dependent mavirus</t>
  </si>
  <si>
    <t>Sputnikvirus</t>
  </si>
  <si>
    <t>Mimivirus-dependent virus Sputnik</t>
  </si>
  <si>
    <t>Mimivirus-dependent virus Zamilon</t>
  </si>
  <si>
    <t>Bullavirinae</t>
  </si>
  <si>
    <t>Bdellovibrio virus MAC1</t>
  </si>
  <si>
    <t>Black medic leaf roll virus</t>
  </si>
  <si>
    <t>Pea yellow stunt virus</t>
  </si>
  <si>
    <t>Dyochipapillomavirus</t>
  </si>
  <si>
    <t>Dyochipapillomavirus 1</t>
  </si>
  <si>
    <t>Dyokappapapillomavirus 2</t>
  </si>
  <si>
    <t>Dyoomegapapillomavirus 1</t>
  </si>
  <si>
    <t>Dyophipapillomavirus</t>
  </si>
  <si>
    <t>Dyophipapillomavirus 1</t>
  </si>
  <si>
    <t>Dyopsipapillomavirus</t>
  </si>
  <si>
    <t>Dyopsipapillomavirus 1</t>
  </si>
  <si>
    <t>Dyotaupapillomavirus</t>
  </si>
  <si>
    <t>Dyotaupapillomavirus 1</t>
  </si>
  <si>
    <t>Dyoupsilonpapillomavirus</t>
  </si>
  <si>
    <t>Dyoupsilonpapillomavirus 1</t>
  </si>
  <si>
    <t>Gammapapillomavirus 21</t>
  </si>
  <si>
    <t>Gammapapillomavirus 22</t>
  </si>
  <si>
    <t>Gammapapillomavirus 23</t>
  </si>
  <si>
    <t>Gammapapillomavirus 24</t>
  </si>
  <si>
    <t>Gammapapillomavirus 25</t>
  </si>
  <si>
    <t>Gammapapillomavirus 26</t>
  </si>
  <si>
    <t>Mupapillomavirus 3</t>
  </si>
  <si>
    <t>Rhopapillomavirus 2</t>
  </si>
  <si>
    <t>Taupapillomavirus 3</t>
  </si>
  <si>
    <t>Treisdeltapapillomavirus</t>
  </si>
  <si>
    <t>Treisdeltapapillomavirus 1</t>
  </si>
  <si>
    <t>Treisepsilonpapillomavirus</t>
  </si>
  <si>
    <t>Treisepsilonpapillomavirus 1</t>
  </si>
  <si>
    <t>Treisetapapillomavirus</t>
  </si>
  <si>
    <t>Treisetapapillomavirus 1</t>
  </si>
  <si>
    <t>Treiszetapapillomavirus</t>
  </si>
  <si>
    <t>Treiszetapapillomavirus 1</t>
  </si>
  <si>
    <t>Xipapillomavirus 3</t>
  </si>
  <si>
    <t>Heterobasidion partitivirus 12</t>
  </si>
  <si>
    <t>Heterobasidion partitivirus 13</t>
  </si>
  <si>
    <t>Heterobasidion partitivirus 15</t>
  </si>
  <si>
    <t>Heterobasidion partitivirus 7</t>
  </si>
  <si>
    <t>Pleolipoviridae</t>
  </si>
  <si>
    <t>Alphapleolipovirus</t>
  </si>
  <si>
    <t>Betapleolipovirus</t>
  </si>
  <si>
    <t>Gammapleolipovirus</t>
  </si>
  <si>
    <t>Alphapolyomavirus</t>
  </si>
  <si>
    <t>Betapolyomavirus</t>
  </si>
  <si>
    <t>Deltapolyomavirus</t>
  </si>
  <si>
    <t>Gammapolyomavirus</t>
  </si>
  <si>
    <t>Caladenia virus A</t>
  </si>
  <si>
    <t>Catharanthus mosaic virus</t>
  </si>
  <si>
    <t>Donkey orchid virus A</t>
  </si>
  <si>
    <t>Sunflower mild mosaic virus</t>
  </si>
  <si>
    <t>Tamarillo leaf malformation virus</t>
  </si>
  <si>
    <t>Vanilla distortion mosaic virus</t>
  </si>
  <si>
    <t>Southern rice black-streaked dwarf virus</t>
  </si>
  <si>
    <t>Piscine orthoreovirus</t>
  </si>
  <si>
    <t>Sarthroviridae</t>
  </si>
  <si>
    <t>Macronovirus</t>
  </si>
  <si>
    <t>Macrobrachium satellite virus 1</t>
  </si>
  <si>
    <t>Alphacarmovirus</t>
  </si>
  <si>
    <t>Yam spherical virus</t>
  </si>
  <si>
    <t>Betacarmovirus</t>
  </si>
  <si>
    <t>Gammacarmovirus</t>
  </si>
  <si>
    <t>Pelarspovirus</t>
  </si>
  <si>
    <t>Albetovirus</t>
  </si>
  <si>
    <t>Tobacco albetovirus 1</t>
  </si>
  <si>
    <t>Tobacco albetovirus 2</t>
  </si>
  <si>
    <t>Tobacco albetovirus 3</t>
  </si>
  <si>
    <t>Aumaivirus</t>
  </si>
  <si>
    <t>Maize aumaivirus 1</t>
  </si>
  <si>
    <t>Botybirnavirus</t>
  </si>
  <si>
    <t>Botrytis porri botybirnavirus 1</t>
  </si>
  <si>
    <t>Papanivirus</t>
  </si>
  <si>
    <t>Panicum papanivirus 1</t>
  </si>
  <si>
    <t>Sinaivirus</t>
  </si>
  <si>
    <t>Lake Sinai virus 1</t>
  </si>
  <si>
    <t>Lake Sinai virus 2</t>
  </si>
  <si>
    <t>Artemisia virus A</t>
  </si>
  <si>
    <t>Cymbidium chlorotic mosaic virus</t>
  </si>
  <si>
    <t>Papaya lethal yellowing virus</t>
  </si>
  <si>
    <t>Rottboellia yellow mottle virus</t>
  </si>
  <si>
    <t>Soybean yellow common mosaic virus</t>
  </si>
  <si>
    <t>Virtovirus</t>
  </si>
  <si>
    <t>Tobacco virtovirus 1</t>
  </si>
  <si>
    <t>Goravirus</t>
  </si>
  <si>
    <t>Drakaea virus A</t>
  </si>
  <si>
    <t>Gentian ovary ringspot virus</t>
  </si>
  <si>
    <t>Metapneumovirus</t>
  </si>
  <si>
    <t>Dyoomegapapillomavirus</t>
  </si>
  <si>
    <t>Spreadsheet Column Name</t>
  </si>
  <si>
    <t>Definition</t>
  </si>
  <si>
    <t>The web url link that provides the complete taxonomic history of the species. The proposal indicated above can be downloaded from the link provided by the last changed entry in the history.</t>
  </si>
  <si>
    <t>MSL of Last Change</t>
  </si>
  <si>
    <t>Andes orthohantavirus</t>
  </si>
  <si>
    <t>Bayou orthohantavirus</t>
  </si>
  <si>
    <t>Black Creek Canal orthohantavirus</t>
  </si>
  <si>
    <t>Cano Delgadito orthohantavirus</t>
  </si>
  <si>
    <t>Dobrava-Belgrade orthohantavirus</t>
  </si>
  <si>
    <t>El Moro Canyon orthohantavirus</t>
  </si>
  <si>
    <t>Hantaan orthohantavirus</t>
  </si>
  <si>
    <t>Khabarovsk orthohantavirus</t>
  </si>
  <si>
    <t>Laguna Negra orthohantavirus</t>
  </si>
  <si>
    <t>Prospect Hill orthohantavirus</t>
  </si>
  <si>
    <t>Puumala orthohantavirus</t>
  </si>
  <si>
    <t>Sangassou orthohantavirus</t>
  </si>
  <si>
    <t>Seoul orthohantavirus</t>
  </si>
  <si>
    <t>Sin Nombre orthohantavirus</t>
  </si>
  <si>
    <t>Thailand orthohantavirus</t>
  </si>
  <si>
    <t>Tula orthohantavirus</t>
  </si>
  <si>
    <t>Crimean-Congo hemorrhagic fever orthonairovirus</t>
  </si>
  <si>
    <t>Dera Ghazi Khan orthonairovirus</t>
  </si>
  <si>
    <t>Dugbe orthonairovirus</t>
  </si>
  <si>
    <t>Hughes orthonairovirus</t>
  </si>
  <si>
    <t>Qalyub orthonairovirus</t>
  </si>
  <si>
    <t>Sakhalin orthonairovirus</t>
  </si>
  <si>
    <t>Thiafora orthonairovirus</t>
  </si>
  <si>
    <t>Echinochloa hoja blanca tenuivirus</t>
  </si>
  <si>
    <t>Iranian wheat stripe tenuivirus</t>
  </si>
  <si>
    <t>Maize stripe tenuivirus</t>
  </si>
  <si>
    <t>Rice grassy stunt tenuivirus</t>
  </si>
  <si>
    <t>Rice hoja blanca tenuivirus</t>
  </si>
  <si>
    <t>Rice stripe tenuivirus</t>
  </si>
  <si>
    <t>Urochloa hoja blanca tenuivirus</t>
  </si>
  <si>
    <t>Alphaendornavirus</t>
  </si>
  <si>
    <t>Basella alba alphaendornavirus 1</t>
  </si>
  <si>
    <t>Bell pepper alphaendornavirus</t>
  </si>
  <si>
    <t>Helicobasidium mompa alphaendornavirus 1</t>
  </si>
  <si>
    <t>Oryza rufipogon alphaendornavirus</t>
  </si>
  <si>
    <t>Oryza sativa alphaendornavirus</t>
  </si>
  <si>
    <t>Persea americana alphaendornavirus 1</t>
  </si>
  <si>
    <t>Phaseolus vulgaris alphaendornavirus 1</t>
  </si>
  <si>
    <t>Phaseolus vulgaris alphaendornavirus 2</t>
  </si>
  <si>
    <t>Phytophthora alphaendornavirus 1</t>
  </si>
  <si>
    <t>Vicia faba alphaendornavirus</t>
  </si>
  <si>
    <t>Yerba mate alphaendornavirus</t>
  </si>
  <si>
    <t>Bunyavirales</t>
  </si>
  <si>
    <t>Fimoviridae</t>
  </si>
  <si>
    <t>Hantaviridae</t>
  </si>
  <si>
    <t>Orthohantavirus</t>
  </si>
  <si>
    <t>Nairoviridae</t>
  </si>
  <si>
    <t>Orthonairovirus</t>
  </si>
  <si>
    <t>Peribunyaviridae</t>
  </si>
  <si>
    <t>Phenuiviridae</t>
  </si>
  <si>
    <t>Ounavirinae</t>
  </si>
  <si>
    <t>Elvirus</t>
  </si>
  <si>
    <t>Bclasvirinae</t>
  </si>
  <si>
    <t>Acadianvirus</t>
  </si>
  <si>
    <t>Coopervirus</t>
  </si>
  <si>
    <t>Pipefishvirus</t>
  </si>
  <si>
    <t>Rosebushvirus</t>
  </si>
  <si>
    <t>Mclasvirinae</t>
  </si>
  <si>
    <t>Bongovirus</t>
  </si>
  <si>
    <t>Pclasvirinae</t>
  </si>
  <si>
    <t>Fishburnevirus</t>
  </si>
  <si>
    <t>Patiencevirus</t>
  </si>
  <si>
    <t>Hapavirus</t>
  </si>
  <si>
    <t>Betaendornavirus</t>
  </si>
  <si>
    <t>Sclerotinia sclerotiorum betaendornavirus 1</t>
  </si>
  <si>
    <t>Fibrovirus</t>
  </si>
  <si>
    <t>Lineavirus</t>
  </si>
  <si>
    <t>Saetivirus</t>
  </si>
  <si>
    <t>Vespertiliovirus</t>
  </si>
  <si>
    <t>Alphairidovirinae</t>
  </si>
  <si>
    <t>Betairidovirinae</t>
  </si>
  <si>
    <t>Tristromaviridae</t>
  </si>
  <si>
    <t>Alphatristromavirus</t>
  </si>
  <si>
    <t>Asama orthohantavirus</t>
  </si>
  <si>
    <t>Asikkala orthohantavirus</t>
  </si>
  <si>
    <t>Bowe orthohantavirus</t>
  </si>
  <si>
    <t>Bruges orthohantavirus</t>
  </si>
  <si>
    <t>Cao Bang orthohantavirus</t>
  </si>
  <si>
    <t>Choclo orthohantavirus</t>
  </si>
  <si>
    <t>Dabieshan orthohantavirus</t>
  </si>
  <si>
    <t>Fugong orthohantavirus</t>
  </si>
  <si>
    <t>Fusong orthohantavirus</t>
  </si>
  <si>
    <t>Jeju orthohantavirus</t>
  </si>
  <si>
    <t>Kenkeme orthohantavirus</t>
  </si>
  <si>
    <t>Luxi orthohantavirus</t>
  </si>
  <si>
    <t>Maporal orthohantavirus</t>
  </si>
  <si>
    <t>Montano orthohantavirus</t>
  </si>
  <si>
    <t>Necocli orthohantavirus</t>
  </si>
  <si>
    <t>Oxbow orthohantavirus</t>
  </si>
  <si>
    <t>Rockport orthohantavirus</t>
  </si>
  <si>
    <t>Yakeshi orthohantavirus</t>
  </si>
  <si>
    <t>Herbevirus</t>
  </si>
  <si>
    <t>Herbert herbevirus</t>
  </si>
  <si>
    <t>Kibale herbevirus</t>
  </si>
  <si>
    <t>Tai herbevirus</t>
  </si>
  <si>
    <t>Hazara orthonairovirus</t>
  </si>
  <si>
    <t>Kasokero orthonairovirus</t>
  </si>
  <si>
    <t>Keterah orthonairovirus</t>
  </si>
  <si>
    <t>Nairobi sheep disease orthonairovirus</t>
  </si>
  <si>
    <t>Phasmaviridae</t>
  </si>
  <si>
    <t>Orthophasmavirus</t>
  </si>
  <si>
    <t>Kigluaik phantom orthophasmavirus</t>
  </si>
  <si>
    <t>Wuchang cockroach orthophasmavirus 1</t>
  </si>
  <si>
    <t>Wuhan mosquito orthophasmavirus 1</t>
  </si>
  <si>
    <t>Wuhan mosquito orthophasmavirus 2</t>
  </si>
  <si>
    <t>Goukovirus</t>
  </si>
  <si>
    <t>Cumuto goukovirus</t>
  </si>
  <si>
    <t>Gouleako goukovirus</t>
  </si>
  <si>
    <t>Yichang insect goukovirus</t>
  </si>
  <si>
    <t>Phasivirus</t>
  </si>
  <si>
    <t>Badu phasivirus</t>
  </si>
  <si>
    <t>Phasi Charoen-like phasivirus</t>
  </si>
  <si>
    <t>Wutai mosquito phasivirus</t>
  </si>
  <si>
    <t>Mooglevirus</t>
  </si>
  <si>
    <t>Suspvirus</t>
  </si>
  <si>
    <t>Tsarbombavirus</t>
  </si>
  <si>
    <t>Moonvirus</t>
  </si>
  <si>
    <t>Abouovirus</t>
  </si>
  <si>
    <t>Jimmervirus</t>
  </si>
  <si>
    <t>Marthavirus</t>
  </si>
  <si>
    <t>Pradovirus</t>
  </si>
  <si>
    <t>Sepvirinae</t>
  </si>
  <si>
    <t>Arquatrovirinae</t>
  </si>
  <si>
    <t>Camvirus</t>
  </si>
  <si>
    <t>Likavirus</t>
  </si>
  <si>
    <t>Phayoncevirus</t>
  </si>
  <si>
    <t>Pseudomonas virus Ab18</t>
  </si>
  <si>
    <t>Pseudomonas virus Ab19</t>
  </si>
  <si>
    <t>Pseudomonas virus PaMx11</t>
  </si>
  <si>
    <t>Amigovirus</t>
  </si>
  <si>
    <t>Cronusvirus</t>
  </si>
  <si>
    <t>Decurrovirus</t>
  </si>
  <si>
    <t>Demosthenesvirus</t>
  </si>
  <si>
    <t>Eiauvirus</t>
  </si>
  <si>
    <t>Gaiavirus</t>
  </si>
  <si>
    <t>Gilesvirus</t>
  </si>
  <si>
    <t>Gordonvirus</t>
  </si>
  <si>
    <t>Gordtnkvirus</t>
  </si>
  <si>
    <t>Harrisonvirus</t>
  </si>
  <si>
    <t>Jenstvirus</t>
  </si>
  <si>
    <t>Kelleziovirus</t>
  </si>
  <si>
    <t>Korravirus</t>
  </si>
  <si>
    <t>Laroyevirus</t>
  </si>
  <si>
    <t>Marvinvirus</t>
  </si>
  <si>
    <t>Mudcatvirus</t>
  </si>
  <si>
    <t>Smoothievirus</t>
  </si>
  <si>
    <t>Soupsvirus</t>
  </si>
  <si>
    <t>Tankvirus</t>
  </si>
  <si>
    <t>Titanvirus</t>
  </si>
  <si>
    <t>Vegasvirus</t>
  </si>
  <si>
    <t>Vendettavirus</t>
  </si>
  <si>
    <t>Wildcatvirus</t>
  </si>
  <si>
    <t>Mycobacterium virus Wildcat</t>
  </si>
  <si>
    <t>Woesvirus</t>
  </si>
  <si>
    <t>Pseudomonas virus LKO4</t>
  </si>
  <si>
    <t>Pseudomonas virus MP1412</t>
  </si>
  <si>
    <t>Pseudomonas virus PAE1</t>
  </si>
  <si>
    <t>Peropuvirus</t>
  </si>
  <si>
    <t>Almendravirus</t>
  </si>
  <si>
    <t>Curiovirus</t>
  </si>
  <si>
    <t>Ledantevirus</t>
  </si>
  <si>
    <t>Sripuvirus</t>
  </si>
  <si>
    <t>Bovine nidovirus 1</t>
  </si>
  <si>
    <t>Chinook salmon nidovirus 1</t>
  </si>
  <si>
    <t>Brevicoryne brassicae virus</t>
  </si>
  <si>
    <t>Ampivirus</t>
  </si>
  <si>
    <t>Ampivirus A</t>
  </si>
  <si>
    <t>Avisivirus B</t>
  </si>
  <si>
    <t>Avisivirus C</t>
  </si>
  <si>
    <t>Cosavirus B</t>
  </si>
  <si>
    <t>Cosavirus D</t>
  </si>
  <si>
    <t>Cosavirus E</t>
  </si>
  <si>
    <t>Cosavirus F</t>
  </si>
  <si>
    <t>Enterovirus I</t>
  </si>
  <si>
    <t>Harkavirus</t>
  </si>
  <si>
    <t>Harkavirus A</t>
  </si>
  <si>
    <t>Hepatovirus B</t>
  </si>
  <si>
    <t>Hepatovirus C</t>
  </si>
  <si>
    <t>Hepatovirus D</t>
  </si>
  <si>
    <t>Hepatovirus E</t>
  </si>
  <si>
    <t>Hepatovirus F</t>
  </si>
  <si>
    <t>Hepatovirus G</t>
  </si>
  <si>
    <t>Hepatovirus H</t>
  </si>
  <si>
    <t>Hepatovirus I</t>
  </si>
  <si>
    <t>Aichivirus D</t>
  </si>
  <si>
    <t>Aichivirus E</t>
  </si>
  <si>
    <t>Aichivirus F</t>
  </si>
  <si>
    <t>Mischivirus B</t>
  </si>
  <si>
    <t>Mischivirus C</t>
  </si>
  <si>
    <t>Parechovirus C</t>
  </si>
  <si>
    <t>Parechovirus D</t>
  </si>
  <si>
    <t>Rabovirus</t>
  </si>
  <si>
    <t>Rabovirus A</t>
  </si>
  <si>
    <t>Torchivirus</t>
  </si>
  <si>
    <t>Torchivirus A</t>
  </si>
  <si>
    <t>Currant latent virus</t>
  </si>
  <si>
    <t>Squash chlorotic leaf spot virus</t>
  </si>
  <si>
    <t>Chocolate lily virus A</t>
  </si>
  <si>
    <t>Bellflower vein chlorosis virus</t>
  </si>
  <si>
    <t>Nectarine marafivirus M</t>
  </si>
  <si>
    <t>Tomato blistering mosaic tymovirus</t>
  </si>
  <si>
    <t>Lizard atadenovirus A</t>
  </si>
  <si>
    <t>Psittacine atadenovirus A</t>
  </si>
  <si>
    <t>Dolphin mastadenovirus A</t>
  </si>
  <si>
    <t>Platyrrhini mastadenovirus A</t>
  </si>
  <si>
    <t>Sea lion mastadenovirus A</t>
  </si>
  <si>
    <t>Simian mastadenovirus D</t>
  </si>
  <si>
    <t>Simian mastadenovirus E</t>
  </si>
  <si>
    <t>Simian mastadenovirus F</t>
  </si>
  <si>
    <t>Simian mastadenovirus G</t>
  </si>
  <si>
    <t>Simian mastadenovirus H</t>
  </si>
  <si>
    <t>Skunk mastadenovirus A</t>
  </si>
  <si>
    <t>Penguin siadenovirus A</t>
  </si>
  <si>
    <t>Loei River mammarenavirus</t>
  </si>
  <si>
    <t>Solwezi mammarenavirus</t>
  </si>
  <si>
    <t>Catopsilia pomona nucleopolyhedrovirus</t>
  </si>
  <si>
    <t>Choristoneura murinana nucleopolyhedrovirus</t>
  </si>
  <si>
    <t>Lambdina fiscellaria nucleopolyhedrovirus</t>
  </si>
  <si>
    <t>Lymantria xylina nucleopolyhedrovirus</t>
  </si>
  <si>
    <t>Orgyia leucostigma nucleopolyhedrovirus</t>
  </si>
  <si>
    <t>Clostera anachoreta granulovirus</t>
  </si>
  <si>
    <t>Clostera anastomosis granulovirus A</t>
  </si>
  <si>
    <t>Clostera anastomosis granulovirus B</t>
  </si>
  <si>
    <t>Diatraea saccharalis granulovirus</t>
  </si>
  <si>
    <t>Epinotia aporema granulovirus</t>
  </si>
  <si>
    <t>Spodoptera litura granulovirus</t>
  </si>
  <si>
    <t>Mulberry badnavirus 1</t>
  </si>
  <si>
    <t>Taro bacilliform CH virus</t>
  </si>
  <si>
    <t>Yacon necrotic mottle virus</t>
  </si>
  <si>
    <t>Atractylodes mild mottle virus</t>
  </si>
  <si>
    <t>Bat associated circovirus 4</t>
  </si>
  <si>
    <t>Bat associated circovirus 5</t>
  </si>
  <si>
    <t>Bat associated circovirus 6</t>
  </si>
  <si>
    <t>Bat associated circovirus 7</t>
  </si>
  <si>
    <t>Bat associated circovirus 8</t>
  </si>
  <si>
    <t>Bat associated cyclovirus 6</t>
  </si>
  <si>
    <t>Bat associated cyclovirus 7</t>
  </si>
  <si>
    <t>Bat associated cyclovirus 8</t>
  </si>
  <si>
    <t>Bat associated cyclovirus 9</t>
  </si>
  <si>
    <t>Bat associated cyclovirus 10</t>
  </si>
  <si>
    <t>Bat associated cyclovirus 11</t>
  </si>
  <si>
    <t>Bat associated cyclovirus 12</t>
  </si>
  <si>
    <t>Bat associated cyclovirus 13</t>
  </si>
  <si>
    <t>Bat associated cyclovirus 14</t>
  </si>
  <si>
    <t>Bat associated cyclovirus 15</t>
  </si>
  <si>
    <t>Bat associated cyclovirus 16</t>
  </si>
  <si>
    <t>Feline associated cyclovirus 1</t>
  </si>
  <si>
    <t>Horse associated cyclovirus 1</t>
  </si>
  <si>
    <t>Human associated cyclovirus 11</t>
  </si>
  <si>
    <t>Squirrel associated cyclovirus 1</t>
  </si>
  <si>
    <t>Rose leaf rosette-associated virus</t>
  </si>
  <si>
    <t>Tobacco virus 1</t>
  </si>
  <si>
    <t>Tetterwort vein chlorosis virus</t>
  </si>
  <si>
    <t>Persimmon virus B</t>
  </si>
  <si>
    <t>Areca palm velarivirus 1</t>
  </si>
  <si>
    <t>Cucumis melo alphaendornavirus</t>
  </si>
  <si>
    <t>Erysiphe cichoracearum alphaendornavirus</t>
  </si>
  <si>
    <t>Grapevine endophyte alphaendornavirus</t>
  </si>
  <si>
    <t>Hordeum vulgare alphaendornavirus</t>
  </si>
  <si>
    <t>Hot pepper alphaendornavirus</t>
  </si>
  <si>
    <t>Lagenaria siceraria alphaendornavirus</t>
  </si>
  <si>
    <t>Rhizoctonia cerealis alphaendornavirus 1</t>
  </si>
  <si>
    <t>Alternaria brassicicola betaendornavirus 1</t>
  </si>
  <si>
    <t>Gremmeniella abietina betaendornavirus 1</t>
  </si>
  <si>
    <t>Tuber aestivum betaendornavirus</t>
  </si>
  <si>
    <t>Hepacivirus A</t>
  </si>
  <si>
    <t>Hepacivirus B</t>
  </si>
  <si>
    <t>Hepacivirus D</t>
  </si>
  <si>
    <t>Hepacivirus E</t>
  </si>
  <si>
    <t>Hepacivirus F</t>
  </si>
  <si>
    <t>Hepacivirus G</t>
  </si>
  <si>
    <t>Hepacivirus H</t>
  </si>
  <si>
    <t>Hepacivirus I</t>
  </si>
  <si>
    <t>Hepacivirus J</t>
  </si>
  <si>
    <t>Hepacivirus K</t>
  </si>
  <si>
    <t>Hepacivirus L</t>
  </si>
  <si>
    <t>Hepacivirus M</t>
  </si>
  <si>
    <t>Hepacivirus N</t>
  </si>
  <si>
    <t>Pegivirus C</t>
  </si>
  <si>
    <t>Pegivirus D</t>
  </si>
  <si>
    <t>Pegivirus E</t>
  </si>
  <si>
    <t>Pegivirus F</t>
  </si>
  <si>
    <t>Pegivirus G</t>
  </si>
  <si>
    <t>Pegivirus H</t>
  </si>
  <si>
    <t>Pegivirus I</t>
  </si>
  <si>
    <t>Pegivirus J</t>
  </si>
  <si>
    <t>Pegivirus K</t>
  </si>
  <si>
    <t>Capulavirus</t>
  </si>
  <si>
    <t>Alfalfa leaf curl virus</t>
  </si>
  <si>
    <t>Euphorbia caput-medusae latent virus</t>
  </si>
  <si>
    <t>French bean severe leaf curl virus</t>
  </si>
  <si>
    <t>Plantago lanceolata latent virus</t>
  </si>
  <si>
    <t>Grablovirus</t>
  </si>
  <si>
    <t>Grapevine red blotch virus</t>
  </si>
  <si>
    <t>Citrus chlorotic dwarf associated virus</t>
  </si>
  <si>
    <t>Gemyduguivirus</t>
  </si>
  <si>
    <t>Gemygorvirus</t>
  </si>
  <si>
    <t>Gemykibivirus</t>
  </si>
  <si>
    <t>Gemykolovirus</t>
  </si>
  <si>
    <t>Gemykrogvirus</t>
  </si>
  <si>
    <t>Gemykroznavirus</t>
  </si>
  <si>
    <t>Gemytondvirus</t>
  </si>
  <si>
    <t>Gemyvongvirus</t>
  </si>
  <si>
    <t>Parrot hepatitis B virus</t>
  </si>
  <si>
    <t>Pomona bat hepatitis B virus</t>
  </si>
  <si>
    <t>White sucker hepatitis B virus</t>
  </si>
  <si>
    <t>Habenivirus</t>
  </si>
  <si>
    <t>Singapore grouper iridovirus</t>
  </si>
  <si>
    <t>Alfalfa enamovirus 1</t>
  </si>
  <si>
    <t>Broad-leafed dock virus A</t>
  </si>
  <si>
    <t>Yam chlorotic mosaic virus</t>
  </si>
  <si>
    <t>Jasmine virus T</t>
  </si>
  <si>
    <t>Lettuce Italian necrotic virus</t>
  </si>
  <si>
    <t>Zucchini shoestring virus</t>
  </si>
  <si>
    <t>Centapoxvirus</t>
  </si>
  <si>
    <t>Yokapox virus</t>
  </si>
  <si>
    <t>Pteropox virus</t>
  </si>
  <si>
    <t>Rotavirus I</t>
  </si>
  <si>
    <t>Koala retrovirus</t>
  </si>
  <si>
    <t>Jembrana disease virus</t>
  </si>
  <si>
    <t>Solinviviridae</t>
  </si>
  <si>
    <t>Invictavirus</t>
  </si>
  <si>
    <t>Solenopsis invicta virus 3</t>
  </si>
  <si>
    <t>Nyfulvavirus</t>
  </si>
  <si>
    <t>Nylanderia fulva virus 1</t>
  </si>
  <si>
    <t>Tolecusatellitidae</t>
  </si>
  <si>
    <t>Betasatellite</t>
  </si>
  <si>
    <t>Ageratum leaf curl Buea betasatellite</t>
  </si>
  <si>
    <t>Ageratum leaf curl Cameroon betasatellite</t>
  </si>
  <si>
    <t>Ageratum yellow leaf curl betasatellite</t>
  </si>
  <si>
    <t>Ageratum yellow vein betasatellite</t>
  </si>
  <si>
    <t>Ageratum yellow vein Sri Lanka betasatellite</t>
  </si>
  <si>
    <t>Alternanthera yellow vein betasatellite</t>
  </si>
  <si>
    <t>Andrographis yellow vein leaf curl betasatellite</t>
  </si>
  <si>
    <t>Bhendi yellow vein mosaic betasatellite</t>
  </si>
  <si>
    <t>Cardiospermum yellow leaf curl betasatellite</t>
  </si>
  <si>
    <t>Chili leaf curl betasatellite</t>
  </si>
  <si>
    <t>Chili leaf curl Jaunpur betasatellite</t>
  </si>
  <si>
    <t>Chili leaf curl Sri Lanka betasatellite</t>
  </si>
  <si>
    <t>Cotton leaf curl Gezira betasatellite</t>
  </si>
  <si>
    <t>Cotton leaf curl Multan betasatellite</t>
  </si>
  <si>
    <t>Croton yellow vein mosaic betasatellite</t>
  </si>
  <si>
    <t>Eupatorium yellow vein betasatellite</t>
  </si>
  <si>
    <t>Eupatorium yellow vein mosaic betasatellite</t>
  </si>
  <si>
    <t>French bean leaf curl betasatellite</t>
  </si>
  <si>
    <t>Hedyotis yellow mosaic betasatellite</t>
  </si>
  <si>
    <t>Honeysuckle yellow vein betasatellite</t>
  </si>
  <si>
    <t>Honeysuckle yellow vein mosaic betasatellite</t>
  </si>
  <si>
    <t>Malvastrum leaf curl betasatellite</t>
  </si>
  <si>
    <t>Mirabilis leaf curl betasatellite</t>
  </si>
  <si>
    <t>Momordica yellow mosaic betasatellite</t>
  </si>
  <si>
    <t>Mungbean yellow mosaic betasatellite</t>
  </si>
  <si>
    <t>Okra leaf curl Oman betasatellite</t>
  </si>
  <si>
    <t>Papaya leaf curl betasatellite</t>
  </si>
  <si>
    <t>Papaya leaf curl China betasatellite</t>
  </si>
  <si>
    <t>Papaya leaf curl India betasatellite</t>
  </si>
  <si>
    <t>Rhynchosia yellow mosaic betasatellite</t>
  </si>
  <si>
    <t>Rose leaf curl betasatellite</t>
  </si>
  <si>
    <t>Siegesbeckia yellow vein betasatellite</t>
  </si>
  <si>
    <t>Tobacco curly shoot betasatellite</t>
  </si>
  <si>
    <t>Tobacco leaf curl betasatellite</t>
  </si>
  <si>
    <t>Tobacco leaf curl Japan betasatellite</t>
  </si>
  <si>
    <t>Tobacco leaf curl Patna betasatellite</t>
  </si>
  <si>
    <t>Tomato leaf curl Bangalore betasatellite</t>
  </si>
  <si>
    <t>Tomato leaf curl Bangladesh betasatellite</t>
  </si>
  <si>
    <t>Tomato leaf curl betasatellite</t>
  </si>
  <si>
    <t>Tomato leaf curl China betasatellite</t>
  </si>
  <si>
    <t>Tomato leaf curl Gandhinagar betasatellite</t>
  </si>
  <si>
    <t>Tomato leaf curl Joydebpur betasatellite</t>
  </si>
  <si>
    <t>Tomato leaf curl Laguna betasatellite</t>
  </si>
  <si>
    <t>Tomato leaf curl Laos betasatellite</t>
  </si>
  <si>
    <t>Tomato leaf curl Malaysia betasatellite</t>
  </si>
  <si>
    <t>Tomato leaf curl Nepal betasatellite</t>
  </si>
  <si>
    <t>Tomato leaf curl Patna betasatellite</t>
  </si>
  <si>
    <t>Tomato leaf curl Philippine betasatellite</t>
  </si>
  <si>
    <t>Tomato leaf curl Sri Lanka betasatellite</t>
  </si>
  <si>
    <t>Tomato leaf curl Yemen betasatellite</t>
  </si>
  <si>
    <t>Tomato yellow leaf curl China betasatellite</t>
  </si>
  <si>
    <t>Tomato yellow leaf curl Shandong betasatellite</t>
  </si>
  <si>
    <t>Tomato yellow leaf curl Thailand betasatellite</t>
  </si>
  <si>
    <t>Tomato yellow leaf curl Vietnam betasatellite</t>
  </si>
  <si>
    <t>Tomato yellow leaf curl Yunnan betasatellite</t>
  </si>
  <si>
    <t>Vernonia yellow vein betasatellite</t>
  </si>
  <si>
    <t>Vernonia yellow vein Fujian betasatellite</t>
  </si>
  <si>
    <t>Deltasatellite</t>
  </si>
  <si>
    <t>Croton yellow vein deltasatellite</t>
  </si>
  <si>
    <t>Malvastrum leaf curl deltasatellite</t>
  </si>
  <si>
    <t>Sida golden yellow vein deltasatellite 1</t>
  </si>
  <si>
    <t>Sida golden yellow vein deltasatellite 2</t>
  </si>
  <si>
    <t>Sida golden yellow vein deltasatellite 3</t>
  </si>
  <si>
    <t>Sweet potato leaf curl deltasatellite 1</t>
  </si>
  <si>
    <t>Sweet potato leaf curl deltasatellite 2</t>
  </si>
  <si>
    <t>Sweet potato leaf curl deltasatellite 3</t>
  </si>
  <si>
    <t>Tomato leaf curl deltasatellite</t>
  </si>
  <si>
    <t>Tomato yellow leaf distortion deltasatellite 1</t>
  </si>
  <si>
    <t>Tomato yellow leaf distortion deltasatellite 2</t>
  </si>
  <si>
    <t>Ethiopian tobacco bushy top virus</t>
  </si>
  <si>
    <t>Opium poppy mosaic virus</t>
  </si>
  <si>
    <t>Blunervirus</t>
  </si>
  <si>
    <t>Blueberry necrotic ring blotch virus</t>
  </si>
  <si>
    <t>Citrus leprosis virus C2</t>
  </si>
  <si>
    <t>Tilapinevirus</t>
  </si>
  <si>
    <t>Colombian potato soil-borne virus</t>
  </si>
  <si>
    <t>Plumeria mosaic virus</t>
  </si>
  <si>
    <t>Tomato brown rugose fruit virus</t>
  </si>
  <si>
    <t>New,</t>
  </si>
  <si>
    <t>Renamed,Moved,</t>
  </si>
  <si>
    <t>Moved,</t>
  </si>
  <si>
    <t>Renamed,</t>
  </si>
  <si>
    <t>Reptilian ferlavirus</t>
  </si>
  <si>
    <t>Hendra henipavirus</t>
  </si>
  <si>
    <t>Nipah henipavirus</t>
  </si>
  <si>
    <t>Canine morbillivirus</t>
  </si>
  <si>
    <t>Measles morbillivirus</t>
  </si>
  <si>
    <t>Phocine morbillivirus</t>
  </si>
  <si>
    <t>Rinderpest morbillivirus</t>
  </si>
  <si>
    <t>Small ruminant morbillivirus</t>
  </si>
  <si>
    <t>Bovine respirovirus 3</t>
  </si>
  <si>
    <t>Human respirovirus 1</t>
  </si>
  <si>
    <t>Human respirovirus 3</t>
  </si>
  <si>
    <t>Murine respirovirus</t>
  </si>
  <si>
    <t>Porcine respirovirus 1</t>
  </si>
  <si>
    <t>Bovine orthopneumovirus</t>
  </si>
  <si>
    <t>Human orthopneumovirus</t>
  </si>
  <si>
    <t>Murine orthopneumovirus</t>
  </si>
  <si>
    <t>Diadromus pulchellus toursvirus</t>
  </si>
  <si>
    <t>Bat associated circovirus 1</t>
  </si>
  <si>
    <t>Bat associated circovirus 2</t>
  </si>
  <si>
    <t>Bat associated circovirus 3</t>
  </si>
  <si>
    <t>Chimpanzee associated circovirus 1</t>
  </si>
  <si>
    <t>Human associated circovirus 1</t>
  </si>
  <si>
    <t>Bat associated cyclovirus 1</t>
  </si>
  <si>
    <t>Bat associated cyclovirus 2</t>
  </si>
  <si>
    <t>Bat associated cyclovirus 3</t>
  </si>
  <si>
    <t>Bat associated cyclovirus 4</t>
  </si>
  <si>
    <t>Bat associated cyclovirus 5</t>
  </si>
  <si>
    <t>Bovine associated cyclovirus 1</t>
  </si>
  <si>
    <t>Chicken associated cyclovirus 1</t>
  </si>
  <si>
    <t>Chimpanzee associated cyclovirus 1</t>
  </si>
  <si>
    <t>Cockroach associated cyclovirus 1</t>
  </si>
  <si>
    <t>Dragonfly associated cyclovirus 1</t>
  </si>
  <si>
    <t>Dragonfly associated cyclovirus 2</t>
  </si>
  <si>
    <t>Dragonfly associated cyclovirus 3</t>
  </si>
  <si>
    <t>Dragonfly associated cyclovirus 4</t>
  </si>
  <si>
    <t>Dragonfly associated cyclovirus 5</t>
  </si>
  <si>
    <t>Dragonfly associated cyclovirus 6</t>
  </si>
  <si>
    <t>Dragonfly associated cyclovirus 7</t>
  </si>
  <si>
    <t>Dragonfly associated cyclovirus 8</t>
  </si>
  <si>
    <t>Goat associated cyclovirus 1</t>
  </si>
  <si>
    <t>Human associated cyclovirus 1</t>
  </si>
  <si>
    <t>Human associated cyclovirus 2</t>
  </si>
  <si>
    <t>Human associated cyclovirus 3</t>
  </si>
  <si>
    <t>Human associated cyclovirus 4</t>
  </si>
  <si>
    <t>Human associated cyclovirus 5</t>
  </si>
  <si>
    <t>Human associated cyclovirus 6</t>
  </si>
  <si>
    <t>Human associated cyclovirus 7</t>
  </si>
  <si>
    <t>Human associated cyclovirus 8</t>
  </si>
  <si>
    <t>Human associated cyclovirus 9</t>
  </si>
  <si>
    <t>Human associated cyclovirus 10</t>
  </si>
  <si>
    <t>Hepacivirus C</t>
  </si>
  <si>
    <t>Artashat orthonairovirus</t>
  </si>
  <si>
    <t>Chim orthonairovirus</t>
  </si>
  <si>
    <t>Tamdy orthonairovirus</t>
  </si>
  <si>
    <t>Wolkberg orthobunyavirus</t>
  </si>
  <si>
    <t>Ackermannviridae</t>
  </si>
  <si>
    <t>Aglimvirinae</t>
  </si>
  <si>
    <t>Limestonevirus</t>
  </si>
  <si>
    <t>Cvivirinae</t>
  </si>
  <si>
    <t>Machinavirus</t>
  </si>
  <si>
    <t>Svunavirus</t>
  </si>
  <si>
    <t>Jwalphavirus</t>
  </si>
  <si>
    <t>Chebruvirinae</t>
  </si>
  <si>
    <t>Brujitavirus</t>
  </si>
  <si>
    <t>Dclasvirinae</t>
  </si>
  <si>
    <t>Hawkeyevirus</t>
  </si>
  <si>
    <t>Plotvirus</t>
  </si>
  <si>
    <t>Mccleskeyvirinae</t>
  </si>
  <si>
    <t>Nclasvirinae</t>
  </si>
  <si>
    <t>Nymbaxtervirinae</t>
  </si>
  <si>
    <t>Baxtervirus</t>
  </si>
  <si>
    <t>Nymphadoravirus</t>
  </si>
  <si>
    <t>Anatolevirus</t>
  </si>
  <si>
    <t>Attisvirus</t>
  </si>
  <si>
    <t>Doucettevirus</t>
  </si>
  <si>
    <t>Escherichia virus DE3</t>
  </si>
  <si>
    <t>Trigintaduovirus</t>
  </si>
  <si>
    <t>Wizardvirus</t>
  </si>
  <si>
    <t>Ranid herpesvirus 3</t>
  </si>
  <si>
    <t>Carbovirus</t>
  </si>
  <si>
    <t>Orthobornavirus</t>
  </si>
  <si>
    <t>Tai Forest ebolavirus</t>
  </si>
  <si>
    <t>Ortervirales</t>
  </si>
  <si>
    <t>Belpaoviridae</t>
  </si>
  <si>
    <t>Antheraea semotivirus Tamy</t>
  </si>
  <si>
    <t>Drosophila semotivirus Max</t>
  </si>
  <si>
    <t>Schistosoma semotivirus Sinbad</t>
  </si>
  <si>
    <t>Takifugu rubripes Suzu virus</t>
  </si>
  <si>
    <t>Cacao mild mosaic virus</t>
  </si>
  <si>
    <t>Cacao yellow vein banding virus</t>
  </si>
  <si>
    <t>Dioscorea bacilliform RT virus 1</t>
  </si>
  <si>
    <t>Dioscorea bacilliform RT virus 2</t>
  </si>
  <si>
    <t>Dioscorea bacilliform TR virus</t>
  </si>
  <si>
    <t>Kalanchoe top-spotting virus</t>
  </si>
  <si>
    <t>Wisteria badnavirus 1</t>
  </si>
  <si>
    <t>Drosophila melanogaster 17-6 virus</t>
  </si>
  <si>
    <t xml:space="preserve">Proposal for Last Change </t>
  </si>
  <si>
    <t>Triticum aestivum WIS2 virus</t>
  </si>
  <si>
    <t>Zea mays Sto4 virus</t>
  </si>
  <si>
    <t>Zea mays Opie2 virus</t>
  </si>
  <si>
    <t>Zea mays Prem2 virus</t>
  </si>
  <si>
    <t>Visna-maedi virus</t>
  </si>
  <si>
    <t>Bovispumavirus</t>
  </si>
  <si>
    <t>Equispumavirus</t>
  </si>
  <si>
    <t>Felispumavirus</t>
  </si>
  <si>
    <t>Prosimiispumavirus</t>
  </si>
  <si>
    <t>Brown greater galago prosimian foamy virus</t>
  </si>
  <si>
    <t>Simiispumavirus</t>
  </si>
  <si>
    <t>Bornean orangutan simian foamy virus</t>
  </si>
  <si>
    <t>Eastern chimpanzee simian foamy virus</t>
  </si>
  <si>
    <t>Grivet simian foamy virus</t>
  </si>
  <si>
    <t>Guenon simian foamy virus</t>
  </si>
  <si>
    <t>Japanese macaque simian foamy virus</t>
  </si>
  <si>
    <t>Rhesus macaque simian foamy virus</t>
  </si>
  <si>
    <t>Spider monkey simian foamy virus</t>
  </si>
  <si>
    <t>Squirrel monkey simian foamy virus</t>
  </si>
  <si>
    <t>Taiwanese macaque simian foamy virus</t>
  </si>
  <si>
    <t>Western chimpanzee simian foamy virus</t>
  </si>
  <si>
    <t>Western lowland gorilla simian foamy virus</t>
  </si>
  <si>
    <t>White-tufted-ear marmoset simian foamy virus</t>
  </si>
  <si>
    <t>Yellow-breasted capuchin simian foamy virus</t>
  </si>
  <si>
    <t>Solenopsis invicta virus 1</t>
  </si>
  <si>
    <t>Homalodisca coagulata virus 1</t>
  </si>
  <si>
    <t>Aalivirus</t>
  </si>
  <si>
    <t>Aalivirus A</t>
  </si>
  <si>
    <t>Bopivirus</t>
  </si>
  <si>
    <t>Bopivirus A</t>
  </si>
  <si>
    <t>Crohivirus</t>
  </si>
  <si>
    <t>Crohivirus A</t>
  </si>
  <si>
    <t>Crohivirus B</t>
  </si>
  <si>
    <t>Enterovirus K</t>
  </si>
  <si>
    <t>Enterovirus L</t>
  </si>
  <si>
    <t>Kunsagivirus B</t>
  </si>
  <si>
    <t>Kunsagivirus C</t>
  </si>
  <si>
    <t>Megrivirus A</t>
  </si>
  <si>
    <t>Megrivirus B</t>
  </si>
  <si>
    <t>Megrivirus C</t>
  </si>
  <si>
    <t>Megrivirus D</t>
  </si>
  <si>
    <t>Megrivirus E</t>
  </si>
  <si>
    <t>Orivirus</t>
  </si>
  <si>
    <t>Orivirus A</t>
  </si>
  <si>
    <t>Shanbavirus</t>
  </si>
  <si>
    <t>Shanbavirus A</t>
  </si>
  <si>
    <t>Polycipiviridae</t>
  </si>
  <si>
    <t>Chipolycivirus</t>
  </si>
  <si>
    <t>Chironomus riparius virus 1</t>
  </si>
  <si>
    <t>Hubei chipolycivirus</t>
  </si>
  <si>
    <t>Hupolycivirus</t>
  </si>
  <si>
    <t>Hubei hupolycivirus</t>
  </si>
  <si>
    <t>Sopolycivirus</t>
  </si>
  <si>
    <t>Formica exsecta virus 3</t>
  </si>
  <si>
    <t>Lasius neglectus virus 1</t>
  </si>
  <si>
    <t>Lasius neglectus virus 2</t>
  </si>
  <si>
    <t>Lasius niger virus 1</t>
  </si>
  <si>
    <t>Linepithema humile virus 2</t>
  </si>
  <si>
    <t>Monomorium pharaonis virus 1</t>
  </si>
  <si>
    <t>Monomorium pharaonis virus 2</t>
  </si>
  <si>
    <t>Myrmica scabrinodis virus 1</t>
  </si>
  <si>
    <t>Shuangao insect virus 8</t>
  </si>
  <si>
    <t>Solenopsis invicta virus 2</t>
  </si>
  <si>
    <t>Solenopsis invicta virus 4</t>
  </si>
  <si>
    <t>Grapevine fabavirus</t>
  </si>
  <si>
    <t>Prunus virus F</t>
  </si>
  <si>
    <t>Potato virus B</t>
  </si>
  <si>
    <t>Soybean latent spherical virus</t>
  </si>
  <si>
    <t>Dioscorea mosaic associated virus</t>
  </si>
  <si>
    <t>Chaetoceros socialis forma radians RNA virus 1</t>
  </si>
  <si>
    <t>Alfalfa virus S</t>
  </si>
  <si>
    <t>Arachis pintoi virus</t>
  </si>
  <si>
    <t>Vanilla latent virus</t>
  </si>
  <si>
    <t>Pitaya virus X</t>
  </si>
  <si>
    <t>Vanilla virus X</t>
  </si>
  <si>
    <t>Atractylodes mottle virus</t>
  </si>
  <si>
    <t>Kalanchoe latent virus</t>
  </si>
  <si>
    <t>Ligustrum virus A</t>
  </si>
  <si>
    <t>Sambucus virus C</t>
  </si>
  <si>
    <t>Sambucus virus D</t>
  </si>
  <si>
    <t>Sambucus virus E</t>
  </si>
  <si>
    <t>Sint-Jan onion latent virus</t>
  </si>
  <si>
    <t>Yam latent virus</t>
  </si>
  <si>
    <t>Asian prunus virus 2</t>
  </si>
  <si>
    <t>Arracacha virus V</t>
  </si>
  <si>
    <t>Deltaflexiviridae</t>
  </si>
  <si>
    <t>Deltaflexivirus</t>
  </si>
  <si>
    <t>Fusarium deltaflexivirus 1</t>
  </si>
  <si>
    <t>Sclerotinia deltaflexivirus 1</t>
  </si>
  <si>
    <t>Soybean-associated deltaflexivirus 1</t>
  </si>
  <si>
    <t>Grapevine asteroid mosaic associated virus</t>
  </si>
  <si>
    <t>Peach marafivirus D</t>
  </si>
  <si>
    <t>Deer atadenovirus A</t>
  </si>
  <si>
    <t>Pigeon aviadenovirus B</t>
  </si>
  <si>
    <t>Psittacine aviadenovirus B</t>
  </si>
  <si>
    <t>Bat mastadenovirus C</t>
  </si>
  <si>
    <t>Bat mastadenovirus D</t>
  </si>
  <si>
    <t>Bat mastadenovirus E</t>
  </si>
  <si>
    <t>Bat mastadenovirus F</t>
  </si>
  <si>
    <t>Bat mastadenovirus G</t>
  </si>
  <si>
    <t>Deer mastadenovirus B</t>
  </si>
  <si>
    <t>Dolphin mastadenovirus B</t>
  </si>
  <si>
    <t>Simian mastadenovirus I</t>
  </si>
  <si>
    <t>Squirrel mastadenovirus A</t>
  </si>
  <si>
    <t>Alphasatellitidae</t>
  </si>
  <si>
    <t>Geminialphasatellitinae</t>
  </si>
  <si>
    <t>Ageyesisatellite</t>
  </si>
  <si>
    <t>Ageratum yellow vein Singapore alphasatellite</t>
  </si>
  <si>
    <t>2017.004P.A.v4.Alphasatellitidae.zip</t>
  </si>
  <si>
    <t>Cotton leaf curl Saudi Arabia alphasatellite</t>
  </si>
  <si>
    <t>Clecrusatellite</t>
  </si>
  <si>
    <t>Cleome leaf crumple alphasatellite</t>
  </si>
  <si>
    <t>Croton yellow vein mosaic alphasatellite</t>
  </si>
  <si>
    <t>Euphorbia yellow mosaic alphasatellite</t>
  </si>
  <si>
    <t>Melon chlorotic mosaic alphasatellite</t>
  </si>
  <si>
    <t>Sida Cuba alphasatellite</t>
  </si>
  <si>
    <t>Tomato yellow spot alphasatellite</t>
  </si>
  <si>
    <t>Whitefly associated Guatemala alphasatellite 2</t>
  </si>
  <si>
    <t>Whitefly associated Puerto Rico alphasatellite 1</t>
  </si>
  <si>
    <t>Colecusatellite</t>
  </si>
  <si>
    <t>Ageratum enation alphasatellite</t>
  </si>
  <si>
    <t>Ageratum yellow vein alphasatellite</t>
  </si>
  <si>
    <t>Ageratum yellow vein China alphasatellite</t>
  </si>
  <si>
    <t>Ageratum yellow vein India alphasatellite</t>
  </si>
  <si>
    <t>Bhendi yellow vein alphasatellite</t>
  </si>
  <si>
    <t>Cassava mosaic Madagascar alphasatellite</t>
  </si>
  <si>
    <t>Chilli leaf curl alphasatellite</t>
  </si>
  <si>
    <t>Cotton leaf curl Egypt alphasatellite</t>
  </si>
  <si>
    <t>Cotton leaf curl Gezira alphasatellite</t>
  </si>
  <si>
    <t>Cotton leaf curl Lucknow alphasatellite</t>
  </si>
  <si>
    <t>Cotton leaf curl Multan alphasatellite</t>
  </si>
  <si>
    <t>Gossypium darwinii symptomless alphasatellite</t>
  </si>
  <si>
    <t>Malvastrum yellow mosaic alphasatellite</t>
  </si>
  <si>
    <t>Malvastrum yellow mosaic Cameroon alphasatellite</t>
  </si>
  <si>
    <t>Pedilanthus leaf curl alphasatellite</t>
  </si>
  <si>
    <t>Sida leaf curl alphasatellite</t>
  </si>
  <si>
    <t>Sida yellow vein Vietnam alphasatellite</t>
  </si>
  <si>
    <t>Sunflower leaf curl Karnataka alphasatellite</t>
  </si>
  <si>
    <t>Synedrella leaf curl alphasatellite</t>
  </si>
  <si>
    <t>Tobacco curly shoot alphasatellite</t>
  </si>
  <si>
    <t>Tomato leaf curl Buea alphasatellite</t>
  </si>
  <si>
    <t>Tomato leaf curl Cameroon alphasatellite</t>
  </si>
  <si>
    <t>Tomato yellow leaf curl China alphasatellite</t>
  </si>
  <si>
    <t>Tomato yellow leaf curl Thailand alphasatellite</t>
  </si>
  <si>
    <t>Tomato yellow leaf curl Yunnan alphasatellite</t>
  </si>
  <si>
    <t>Gosmusatellite</t>
  </si>
  <si>
    <t>Gossypium mustelinum symptomless alphasatellite</t>
  </si>
  <si>
    <t>Hollyhock yellow vein alphasatellite</t>
  </si>
  <si>
    <t>Mesta yellow vein mosaic alphasatellite</t>
  </si>
  <si>
    <t>Okra enation leaf curl alphasatellite</t>
  </si>
  <si>
    <t>Okra yellow crinkle Cameroon alphasatellite</t>
  </si>
  <si>
    <t>Vernonia yellow vein Fujian alphasatellite</t>
  </si>
  <si>
    <t>Dragonfly associated alphasatellite</t>
  </si>
  <si>
    <t>Nanoalphasatellitinae</t>
  </si>
  <si>
    <t>Babusatellite</t>
  </si>
  <si>
    <t>Banana bunchy top alphasatellite 1</t>
  </si>
  <si>
    <t>Banana bunchy top alphasatellite 3</t>
  </si>
  <si>
    <t>Cardamom bushy dwarf alphasatellite</t>
  </si>
  <si>
    <t>Clostunsatellite</t>
  </si>
  <si>
    <t>Subterranean clover stunt alphasatellite 2</t>
  </si>
  <si>
    <t>Fabenesatellite</t>
  </si>
  <si>
    <t>Faba bean necrotic yellows alphasatellite 2</t>
  </si>
  <si>
    <t>Milvetsatellite</t>
  </si>
  <si>
    <t>Mivedwarsatellite</t>
  </si>
  <si>
    <t>Faba bean necrotic stunt alphasatellite</t>
  </si>
  <si>
    <t>Sophora yellow stunt alphasatellite 2</t>
  </si>
  <si>
    <t>Sophoyesatellite</t>
  </si>
  <si>
    <t>Sophora yellow stunt alphasatellite 3</t>
  </si>
  <si>
    <t>Subclovsatellite</t>
  </si>
  <si>
    <t>Faba bean necrotic yellows alphasatellite 1</t>
  </si>
  <si>
    <t>Subterranean clover stunt alphasatellite 1</t>
  </si>
  <si>
    <t>2007.075a-xxV.v4.Anelloviridae.pdf</t>
  </si>
  <si>
    <t>2010.007aV.A.v2.Betatorquevirus-3sp.pdf</t>
  </si>
  <si>
    <t>2010.008aV.A.v2.Gammatorquevirus-13sp.pdf</t>
  </si>
  <si>
    <t>2015.003a,bD.A.v1.Kappatorquevirus_sp,ren.pdf</t>
  </si>
  <si>
    <t>Hartmanivirus</t>
  </si>
  <si>
    <t>Haartman hartmanivirus</t>
  </si>
  <si>
    <t>Argentinian mammarenavirus</t>
  </si>
  <si>
    <t>Brazilian mammarenavirus</t>
  </si>
  <si>
    <t>Cali mammarenavirus</t>
  </si>
  <si>
    <t>Paraguayan mammarenavirus</t>
  </si>
  <si>
    <t>Ryukyu mammarenavirus</t>
  </si>
  <si>
    <t>Souris mammarenavirus</t>
  </si>
  <si>
    <t>California reptarenavirus</t>
  </si>
  <si>
    <t>Giessen reptarenavirus</t>
  </si>
  <si>
    <t>Golden reptarenavirus</t>
  </si>
  <si>
    <t>Ordinary reptarenavirus</t>
  </si>
  <si>
    <t>Rotterdam reptarenavirus</t>
  </si>
  <si>
    <t>Aspiviridae</t>
  </si>
  <si>
    <t>Bacilladnaviridae</t>
  </si>
  <si>
    <t>Diatodnavirus</t>
  </si>
  <si>
    <t>Chaetoceros diatodnavirus 1</t>
  </si>
  <si>
    <t>Kieseladnavirus</t>
  </si>
  <si>
    <t>Avon-Heathcote Estuary associated kieseladnavirus</t>
  </si>
  <si>
    <t>Protobacilladnavirus</t>
  </si>
  <si>
    <t>Chaetoceros protobacilladnavirus 1</t>
  </si>
  <si>
    <t>Chaetoceros protobacilladnavirus 2</t>
  </si>
  <si>
    <t>Chaetoceros protobacilladnavirus 3</t>
  </si>
  <si>
    <t>Chaetoceros protobacilladnavirus 4</t>
  </si>
  <si>
    <t>Marine protobacilladnavirus 1</t>
  </si>
  <si>
    <t>Snail associated protobacilladnavirus 1</t>
  </si>
  <si>
    <t>Snail associated protobacilladnavirus 2</t>
  </si>
  <si>
    <t>Cnaphalocrocis medinalis granulovirus</t>
  </si>
  <si>
    <t>Mythimna unipuncta granulovirus A</t>
  </si>
  <si>
    <t>Mythimna unipuncta granulovirus B</t>
  </si>
  <si>
    <t>Ageratum latent virus</t>
  </si>
  <si>
    <t>Privet ringspot virus</t>
  </si>
  <si>
    <t>Tomato necrotic streak virus</t>
  </si>
  <si>
    <t>Newbury 1 virus</t>
  </si>
  <si>
    <t>Bat associated circovirus 9</t>
  </si>
  <si>
    <t>Porcine circovirus 3</t>
  </si>
  <si>
    <t>Human associated cyclovirus 12</t>
  </si>
  <si>
    <t>Mouse associated cyclovirus 1</t>
  </si>
  <si>
    <t>Grapevine leafroll-associated virus 13</t>
  </si>
  <si>
    <t>Winged bean alphaendornavirus 1</t>
  </si>
  <si>
    <t>Botrytis cinerea betaendornavirus 1</t>
  </si>
  <si>
    <t>Saint Louis encephalitis virus</t>
  </si>
  <si>
    <t>Pestivirus A</t>
  </si>
  <si>
    <t>Pestivirus B</t>
  </si>
  <si>
    <t>Pestivirus C</t>
  </si>
  <si>
    <t>Pestivirus D</t>
  </si>
  <si>
    <t>Pestivirus E</t>
  </si>
  <si>
    <t>Pestivirus F</t>
  </si>
  <si>
    <t>Pestivirus G</t>
  </si>
  <si>
    <t>Pestivirus H</t>
  </si>
  <si>
    <t>Pestivirus I</t>
  </si>
  <si>
    <t>Pestivirus J</t>
  </si>
  <si>
    <t>Pestivirus K</t>
  </si>
  <si>
    <t>2011.001a-fB.A.v3.Betafusellovirus.pdf</t>
  </si>
  <si>
    <t>Allamanda leaf mottle distortion virus</t>
  </si>
  <si>
    <t>Andrographis yellow vein leaf curl virus</t>
  </si>
  <si>
    <t>Asystasia mosaic Madagascar virus</t>
  </si>
  <si>
    <t>Bean white chlorosis mosaic virus</t>
  </si>
  <si>
    <t>Cnidoscolus mosaic leaf deformation virus</t>
  </si>
  <si>
    <t>Coccinia mosaic Tamil Nadu virus</t>
  </si>
  <si>
    <t>Common bean mottle virus</t>
  </si>
  <si>
    <t>Common bean severe mosaic virus</t>
  </si>
  <si>
    <t>Cotton leaf curl Barasat virus</t>
  </si>
  <si>
    <t>Cotton yellow mosaic virus</t>
  </si>
  <si>
    <t>Deinbollia mosaic virus</t>
  </si>
  <si>
    <t>Desmodium mottle virus</t>
  </si>
  <si>
    <t>Duranta leaf curl virus</t>
  </si>
  <si>
    <t>Euphorbia mosaic Peru virus</t>
  </si>
  <si>
    <t>Euphorbia yellow leaf curl virus</t>
  </si>
  <si>
    <t>Hollyhock yellow vein mosaic virus</t>
  </si>
  <si>
    <t>Jacquemontia yellow mosaic virus</t>
  </si>
  <si>
    <t>Jatropha leaf curl Gujarat virus</t>
  </si>
  <si>
    <t>Jatropha leaf yellow mosaic virus</t>
  </si>
  <si>
    <t>Lisianthus enation leaf curl virus</t>
  </si>
  <si>
    <t>Lycianthes yellow mosaic virus</t>
  </si>
  <si>
    <t>Macroptilium bright mosaic virus</t>
  </si>
  <si>
    <t>Macroptilium common mosaic virus</t>
  </si>
  <si>
    <t>Malvastrum bright yellow mosaic virus</t>
  </si>
  <si>
    <t>Malvastrum yellow vein Cambodia virus</t>
  </si>
  <si>
    <t>Melochia mosaic virus</t>
  </si>
  <si>
    <t>Melochia yellow mosaic virus</t>
  </si>
  <si>
    <t>Mirabilis leaf curl virus</t>
  </si>
  <si>
    <t>Okra leaf curl Oman virus</t>
  </si>
  <si>
    <t>Oxalis yellow vein virus</t>
  </si>
  <si>
    <t>Passionfruit leaf distortion virus</t>
  </si>
  <si>
    <t>Pavonia mosaic virus</t>
  </si>
  <si>
    <t>Pavonia yellow mosaic virus</t>
  </si>
  <si>
    <t>Pea leaf distortion virus</t>
  </si>
  <si>
    <t>Pedilanthus leaf curl virus</t>
  </si>
  <si>
    <t>Pepper yellow leaf curl Thailand virus</t>
  </si>
  <si>
    <t>Ramie mosaic Yunnan virus</t>
  </si>
  <si>
    <t>Senna leaf curl virus</t>
  </si>
  <si>
    <t>Sida angular mosaic virus</t>
  </si>
  <si>
    <t>Sida bright yellow mosaic virus</t>
  </si>
  <si>
    <t>Sida chlorotic mottle virus</t>
  </si>
  <si>
    <t>Sida chlorotic vein virus</t>
  </si>
  <si>
    <t>Sida golden yellow spot virus</t>
  </si>
  <si>
    <t>Solanum mosaic Bolivia virus</t>
  </si>
  <si>
    <t>Sweet potato golden vein Korea virus</t>
  </si>
  <si>
    <t>Sweet potato leaf curl Guangxi virus</t>
  </si>
  <si>
    <t>Synedrella yellow vein clearing virus</t>
  </si>
  <si>
    <t>Telfairia golden mosaic virus</t>
  </si>
  <si>
    <t>Tomato chlorotic mottle Guyane virus</t>
  </si>
  <si>
    <t>Tomato enation leaf curl virus</t>
  </si>
  <si>
    <t>Tomato golden leaf spot virus</t>
  </si>
  <si>
    <t>Tomato latent virus</t>
  </si>
  <si>
    <t>Tomato leaf curl Burkina Faso virus</t>
  </si>
  <si>
    <t>Tomato mottle wrinkle virus</t>
  </si>
  <si>
    <t>Tomato yellow leaf curl Shuangbai virus</t>
  </si>
  <si>
    <t>Tomato yellow leaf curl Yunnan virus</t>
  </si>
  <si>
    <t>Triumfetta yellow mosaic virus</t>
  </si>
  <si>
    <t>Velvet bean golden mosaic virus</t>
  </si>
  <si>
    <t>Vernonia crinkle virus</t>
  </si>
  <si>
    <t>Vinca leaf curl virus</t>
  </si>
  <si>
    <t>Whitefly-associated begomovirus 1</t>
  </si>
  <si>
    <t>Whitefly-associated begomovirus 2</t>
  </si>
  <si>
    <t>Whitefly-associated begomovirus 3</t>
  </si>
  <si>
    <t>Whitefly-associated begomovirus 4</t>
  </si>
  <si>
    <t>Whitefly-associated begomovirus 6</t>
  </si>
  <si>
    <t>Whitefly-associated begomovirus 7</t>
  </si>
  <si>
    <t>Wissadula yellow mosaic virus</t>
  </si>
  <si>
    <t>Chickpea yellow dwarf virus</t>
  </si>
  <si>
    <t>Dragonfly-associated mastrevirus</t>
  </si>
  <si>
    <t>Sporobolus striate mosaic virus 1</t>
  </si>
  <si>
    <t>Sporobolus striate mosaic virus 2</t>
  </si>
  <si>
    <t>Sugarcane chlorotic streak virus</t>
  </si>
  <si>
    <t>Sugarcane striate virus</t>
  </si>
  <si>
    <t>Sweet potato symptomless virus 1</t>
  </si>
  <si>
    <t>Turnip leaf roll virus</t>
  </si>
  <si>
    <t>Tibetan frog hepatitis B virus</t>
  </si>
  <si>
    <t>Common midwife toad virus</t>
  </si>
  <si>
    <t>Barley yellow dwarf virus kerII</t>
  </si>
  <si>
    <t>Barley yellow dwarf virus kerIII</t>
  </si>
  <si>
    <t>Barley yellow dwarf virus MAV</t>
  </si>
  <si>
    <t>Barley yellow dwarf virus PAS</t>
  </si>
  <si>
    <t>Barley yellow dwarf virus PAV</t>
  </si>
  <si>
    <t>Cereal yellow dwarf virus RPS</t>
  </si>
  <si>
    <t>Cereal yellow dwarf virus RPV</t>
  </si>
  <si>
    <t>Maize yellow dwarf virus RMV</t>
  </si>
  <si>
    <t>Maize yellow mosaic virus</t>
  </si>
  <si>
    <t>Pepo aphid-borne yellows virus</t>
  </si>
  <si>
    <t>Barley yellow dwarf virus GPV</t>
  </si>
  <si>
    <t>Barley yellow dwarf virus SGV</t>
  </si>
  <si>
    <t>Alphainfluenzavirus</t>
  </si>
  <si>
    <t>Betainfluenzavirus</t>
  </si>
  <si>
    <t>Deltainfluenzavirus</t>
  </si>
  <si>
    <t>Gammainfluenzavirus</t>
  </si>
  <si>
    <t>Firstpapillomavirinae</t>
  </si>
  <si>
    <t>Deltapapillomavirus 7</t>
  </si>
  <si>
    <t>Dyokappapapillomavirus 3</t>
  </si>
  <si>
    <t>Dyokappapapillomavirus 4</t>
  </si>
  <si>
    <t>Dyokappapapillomavirus 5</t>
  </si>
  <si>
    <t>Dyoxipapillomavirus 2</t>
  </si>
  <si>
    <t>Epsilonpapillomavirus 2</t>
  </si>
  <si>
    <t>Gammapapillomavirus 27</t>
  </si>
  <si>
    <t>Iotapapillomavirus 2</t>
  </si>
  <si>
    <t>Psipapillomavirus 2</t>
  </si>
  <si>
    <t>Psipapillomavirus 3</t>
  </si>
  <si>
    <t>Taupapillomavirus 4</t>
  </si>
  <si>
    <t>Treisiotapapillomavirus</t>
  </si>
  <si>
    <t>Treisiotapapillomavirus 1</t>
  </si>
  <si>
    <t>Treiskappapapillomavirus</t>
  </si>
  <si>
    <t>Treiskappapapillomavirus 1</t>
  </si>
  <si>
    <t>Treisthetapapillomavirus</t>
  </si>
  <si>
    <t>Treisthetapapillomavirus 1</t>
  </si>
  <si>
    <t>Xipapillomavirus 4</t>
  </si>
  <si>
    <t>Xipapillomavirus 5</t>
  </si>
  <si>
    <t>Secondpapillomavirinae</t>
  </si>
  <si>
    <t>Alefpapillomavirus</t>
  </si>
  <si>
    <t>Alefpapillomavirus 1</t>
  </si>
  <si>
    <t>Gaeumannomyces graminis virus 0196A</t>
  </si>
  <si>
    <t>Gaeumannomyces graminis virus T1A</t>
  </si>
  <si>
    <t>Carnivore amdoparvovirus 3</t>
  </si>
  <si>
    <t>Carnivore amdoparvovirus 4</t>
  </si>
  <si>
    <t>Carnivore bocaparvovirus 4</t>
  </si>
  <si>
    <t>Carnivore bocaparvovirus 5</t>
  </si>
  <si>
    <t>Carnivore bocaparvovirus 6</t>
  </si>
  <si>
    <t>Chiropteran bocaparvovirus 1</t>
  </si>
  <si>
    <t>Chiropteran bocaparvovirus 2</t>
  </si>
  <si>
    <t>Chiropteran bocaparvovirus 3</t>
  </si>
  <si>
    <t>Chiropteran bocaparvovirus 4</t>
  </si>
  <si>
    <t>Lagomorph bocaparvovirus 1</t>
  </si>
  <si>
    <t>Ungulate bocaparvovirus 6</t>
  </si>
  <si>
    <t>Chiropteran protoparvovirus 1</t>
  </si>
  <si>
    <t>Eulipotyphla protoparvovirus 1</t>
  </si>
  <si>
    <t>Primate protoparvovirus 2</t>
  </si>
  <si>
    <t>Primate protoparvovirus 3</t>
  </si>
  <si>
    <t>Rodent protoparvovirus 3</t>
  </si>
  <si>
    <t>Ungulate protoparvovirus 2</t>
  </si>
  <si>
    <t>Portogloboviridae</t>
  </si>
  <si>
    <t>Alphaportoglobovirus</t>
  </si>
  <si>
    <t>Sulfolobus alphaportoglobovirus 1</t>
  </si>
  <si>
    <t>Bevemovirus</t>
  </si>
  <si>
    <t>Bellflower veinal mottle virus</t>
  </si>
  <si>
    <t>Coccinia mottle virus</t>
  </si>
  <si>
    <t>Barbacena virus Y</t>
  </si>
  <si>
    <t>Callistephus mottle virus</t>
  </si>
  <si>
    <t>Daphne virus Y</t>
  </si>
  <si>
    <t>Impatiens flower break virus</t>
  </si>
  <si>
    <t>Kalanchoe mosaic virus</t>
  </si>
  <si>
    <t>Pecan mosaic-associated virus</t>
  </si>
  <si>
    <t>Sunflower ring blotch virus</t>
  </si>
  <si>
    <t>Tobacco mosqueado virus</t>
  </si>
  <si>
    <t>Wild onion symptomless virus</t>
  </si>
  <si>
    <t>Roymovirus</t>
  </si>
  <si>
    <t>Yellow oat grass mosaic virus</t>
  </si>
  <si>
    <t>Melanoplus sanguinipes entomopoxvirus</t>
  </si>
  <si>
    <t>Mahlapitsi orthoreovirus</t>
  </si>
  <si>
    <t>Smacoviridae</t>
  </si>
  <si>
    <t>Bovismacovirus</t>
  </si>
  <si>
    <t>Cosmacovirus</t>
  </si>
  <si>
    <t>Dragsmacovirus</t>
  </si>
  <si>
    <t>Drosmacovirus</t>
  </si>
  <si>
    <t>Huchismacovirus</t>
  </si>
  <si>
    <t>Porprismacovirus</t>
  </si>
  <si>
    <t>Solemoviridae</t>
  </si>
  <si>
    <t>Alphatectivirus</t>
  </si>
  <si>
    <t>Betatectivirus</t>
  </si>
  <si>
    <t>Onyong-nyong virus</t>
  </si>
  <si>
    <t>2016.021a-kP.A.v2.Tolecusatellitidae.pdf</t>
  </si>
  <si>
    <t>Tomato leaf curl Java betasatellite</t>
  </si>
  <si>
    <t>Saccharomyces cerevisiae virus LBCLa</t>
  </si>
  <si>
    <t>Opuntia chlorotic ringspot virus</t>
  </si>
  <si>
    <t>Realm</t>
  </si>
  <si>
    <t>Subrealm</t>
  </si>
  <si>
    <t>Kingdom</t>
  </si>
  <si>
    <t>Subkingdom</t>
  </si>
  <si>
    <t>Phylum</t>
  </si>
  <si>
    <t>Subphylum</t>
  </si>
  <si>
    <t>Class</t>
  </si>
  <si>
    <t>Subclass</t>
  </si>
  <si>
    <t>Suborder</t>
  </si>
  <si>
    <t>Subgenus</t>
  </si>
  <si>
    <t>Negarnaviricota</t>
  </si>
  <si>
    <t>Haploviricotina</t>
  </si>
  <si>
    <t>Chunqiuviricetes</t>
  </si>
  <si>
    <t>Muvirales</t>
  </si>
  <si>
    <t>Qinviridae</t>
  </si>
  <si>
    <t>Yingvirus</t>
  </si>
  <si>
    <t>Milneviricetes</t>
  </si>
  <si>
    <t>Serpentovirales</t>
  </si>
  <si>
    <t>Monjiviricetes</t>
  </si>
  <si>
    <t>Jingchuvirales</t>
  </si>
  <si>
    <t>Chuviridae</t>
  </si>
  <si>
    <t>Mivirus</t>
  </si>
  <si>
    <t>Artoviridae</t>
  </si>
  <si>
    <t>Lispiviridae</t>
  </si>
  <si>
    <t>Berhavirus</t>
  </si>
  <si>
    <t>Orinovirus</t>
  </si>
  <si>
    <t>Tapwovirus</t>
  </si>
  <si>
    <t>Xinmoviridae</t>
  </si>
  <si>
    <t>Yunchangviricetes</t>
  </si>
  <si>
    <t>Goujianvirales</t>
  </si>
  <si>
    <t>Yueviridae</t>
  </si>
  <si>
    <t>Yuyuevirus</t>
  </si>
  <si>
    <t>Polyploviricotina</t>
  </si>
  <si>
    <t>Ellioviricetes</t>
  </si>
  <si>
    <t>Cruliviridae</t>
  </si>
  <si>
    <t>Lincruvirus</t>
  </si>
  <si>
    <t>Loanvirus</t>
  </si>
  <si>
    <t>Longquan loanvirus</t>
  </si>
  <si>
    <t>Mobatvirus</t>
  </si>
  <si>
    <t>Laibin mobatvirus</t>
  </si>
  <si>
    <t>Nova mobatvirus</t>
  </si>
  <si>
    <t>Quezon mobatvirus</t>
  </si>
  <si>
    <t>Thottimvirus</t>
  </si>
  <si>
    <t>Imjin thottimvirus</t>
  </si>
  <si>
    <t>Mypoviridae</t>
  </si>
  <si>
    <t>Hubavirus</t>
  </si>
  <si>
    <t>Shaspivirus</t>
  </si>
  <si>
    <t>Spider shaspivirus</t>
  </si>
  <si>
    <t>Striwavirus</t>
  </si>
  <si>
    <t>Strider striwavirus</t>
  </si>
  <si>
    <t>Shangavirus</t>
  </si>
  <si>
    <t>Insect shangavirus</t>
  </si>
  <si>
    <t>Feravirus</t>
  </si>
  <si>
    <t>Ferak feravirus</t>
  </si>
  <si>
    <t>Jonvirus</t>
  </si>
  <si>
    <t>Jonchet jonvirus</t>
  </si>
  <si>
    <t>Wuhivirus</t>
  </si>
  <si>
    <t>Insect wuhivirus</t>
  </si>
  <si>
    <t>Beidivirus</t>
  </si>
  <si>
    <t>Dipteran beidivirus</t>
  </si>
  <si>
    <t>Horwuvirus</t>
  </si>
  <si>
    <t>Horsefly horwuvirus</t>
  </si>
  <si>
    <t>Hudivirus</t>
  </si>
  <si>
    <t>Dipteran hudivirus</t>
  </si>
  <si>
    <t>Hudovirus</t>
  </si>
  <si>
    <t>Lepidopteran hudovirus</t>
  </si>
  <si>
    <t>Mobuvirus</t>
  </si>
  <si>
    <t>Mothra mobuvirus</t>
  </si>
  <si>
    <t>Pidchovirus</t>
  </si>
  <si>
    <t>Pidgey pidchovirus</t>
  </si>
  <si>
    <t>Wupedeviridae</t>
  </si>
  <si>
    <t>Wumivirus</t>
  </si>
  <si>
    <t>Insthoviricetes</t>
  </si>
  <si>
    <t>Articulavirales</t>
  </si>
  <si>
    <t>Amnoonviridae</t>
  </si>
  <si>
    <t>Abnidovirineae</t>
  </si>
  <si>
    <t>Abyssoviridae</t>
  </si>
  <si>
    <t>Tiamatvirinae</t>
  </si>
  <si>
    <t>Alphaabyssovirus</t>
  </si>
  <si>
    <t>Aplyccavirus</t>
  </si>
  <si>
    <t>Aplysia abyssovirus 1</t>
  </si>
  <si>
    <t>Arnidovirineae</t>
  </si>
  <si>
    <t>Crocarterivirinae</t>
  </si>
  <si>
    <t>Muarterivirus</t>
  </si>
  <si>
    <t>Muarterivirus afrigant</t>
  </si>
  <si>
    <t>Equarterivirinae</t>
  </si>
  <si>
    <t>Alphaarterivirus</t>
  </si>
  <si>
    <t>Alphaarterivirus equid</t>
  </si>
  <si>
    <t>Heroarterivirinae</t>
  </si>
  <si>
    <t>Lambdaarterivirus</t>
  </si>
  <si>
    <t>Lambdaarterivirus afriporav</t>
  </si>
  <si>
    <t>Simarterivirinae</t>
  </si>
  <si>
    <t>Deltaarterivirus</t>
  </si>
  <si>
    <t>Hedartevirus</t>
  </si>
  <si>
    <t>Deltaarterivirus hemfev</t>
  </si>
  <si>
    <t>Epsilonarterivirus</t>
  </si>
  <si>
    <t>Sheartevirus</t>
  </si>
  <si>
    <t>Epsilonarterivirus hemcep</t>
  </si>
  <si>
    <t>Epsilonarterivirus safriver</t>
  </si>
  <si>
    <t>Epsilonarterivirus zamalb</t>
  </si>
  <si>
    <t>Etaarterivirus</t>
  </si>
  <si>
    <t>Etaarterivirus ugarco 1</t>
  </si>
  <si>
    <t>Iotaarterivirus</t>
  </si>
  <si>
    <t>Kigiartevirus</t>
  </si>
  <si>
    <t>Iotaarterivirus kibreg 1</t>
  </si>
  <si>
    <t>Thetaarterivirus</t>
  </si>
  <si>
    <t>Mitartevirus</t>
  </si>
  <si>
    <t>Thetaarterivirus mikelba 1</t>
  </si>
  <si>
    <t>Variarterivirinae</t>
  </si>
  <si>
    <t>Betaarterivirus</t>
  </si>
  <si>
    <t>Ampobartevirus</t>
  </si>
  <si>
    <t>Betaarterivirus suid 2</t>
  </si>
  <si>
    <t>Debiartevirus</t>
  </si>
  <si>
    <t>Iotaarterivirus debrazmo</t>
  </si>
  <si>
    <t>Kaftartevirus</t>
  </si>
  <si>
    <t>Thetaarterivirus kafuba</t>
  </si>
  <si>
    <t>Gammaarterivirus</t>
  </si>
  <si>
    <t>Gammaarterivirus lacdeh</t>
  </si>
  <si>
    <t>Zealarterivirinae</t>
  </si>
  <si>
    <t>Kappaarterivirus</t>
  </si>
  <si>
    <t>Kappaarterivirus wobum</t>
  </si>
  <si>
    <t>Zetaarterivirus</t>
  </si>
  <si>
    <t>Zetaarterivirus ugarco 1</t>
  </si>
  <si>
    <t>Cornidovirineae</t>
  </si>
  <si>
    <t>Letovirinae</t>
  </si>
  <si>
    <t>Alphaletovirus</t>
  </si>
  <si>
    <t>Milecovirus</t>
  </si>
  <si>
    <t>Microhyla letovirus 1</t>
  </si>
  <si>
    <t>Chibartevirus</t>
  </si>
  <si>
    <t>Betaarterivirus chinrav 1</t>
  </si>
  <si>
    <t>Betaarterivirus ninrav</t>
  </si>
  <si>
    <t>Eurpobartevirus</t>
  </si>
  <si>
    <t>Betaarterivirus suid 1</t>
  </si>
  <si>
    <t>Orthocoronavirinae</t>
  </si>
  <si>
    <t>Colacovirus</t>
  </si>
  <si>
    <t>Luchacovirus</t>
  </si>
  <si>
    <t>Lucheng Rn rat coronavirus</t>
  </si>
  <si>
    <t>Minacovirus</t>
  </si>
  <si>
    <t>Myotacovirus</t>
  </si>
  <si>
    <t>Myotis ricketti alphacoronavirus Sax-2011</t>
  </si>
  <si>
    <t>Nyctacovirus</t>
  </si>
  <si>
    <t>Nyctalus velutinus alphacoronavirus SC-2013</t>
  </si>
  <si>
    <t>Decacovirus</t>
  </si>
  <si>
    <t>Rhinolophus ferrumequinum alphacoronavirus HuB-2013</t>
  </si>
  <si>
    <t>Pedacovirus</t>
  </si>
  <si>
    <t>Duvinacovirus</t>
  </si>
  <si>
    <t>Rhinacovirus</t>
  </si>
  <si>
    <t>Setracovirus</t>
  </si>
  <si>
    <t>NL63-related bat coronavirus strain BtKYNL63-9b</t>
  </si>
  <si>
    <t>Minunacovirus</t>
  </si>
  <si>
    <t>Tegacovirus</t>
  </si>
  <si>
    <t>Hibecovirus</t>
  </si>
  <si>
    <t>Bat Hp-betacoronavirus Zhejiang2013</t>
  </si>
  <si>
    <t>Nobecovirus</t>
  </si>
  <si>
    <t>Rousettus bat coronavirus GCCDC1</t>
  </si>
  <si>
    <t>Sarbecovirus</t>
  </si>
  <si>
    <t>Embecovirus</t>
  </si>
  <si>
    <t>China Rattus coronavirus HKU24</t>
  </si>
  <si>
    <t>Buldecovirus</t>
  </si>
  <si>
    <t>Merbecovirus</t>
  </si>
  <si>
    <t>Herdecovirus</t>
  </si>
  <si>
    <t>Igacovirus</t>
  </si>
  <si>
    <t>Andecovirus</t>
  </si>
  <si>
    <t>Mesnidovirineae</t>
  </si>
  <si>
    <t>Medioniviridae</t>
  </si>
  <si>
    <t>Medionivirinae</t>
  </si>
  <si>
    <t>Turrinivirus</t>
  </si>
  <si>
    <t>Beturrivirus</t>
  </si>
  <si>
    <t>Turrinivirus 1</t>
  </si>
  <si>
    <t>Bolenivirus</t>
  </si>
  <si>
    <t>Balbicanovirus</t>
  </si>
  <si>
    <t>Botrylloides leachii nidovirus</t>
  </si>
  <si>
    <t>Cegacovirus</t>
  </si>
  <si>
    <t>Hexponivirinae</t>
  </si>
  <si>
    <t>Casualivirus</t>
  </si>
  <si>
    <t>Kadilivirus</t>
  </si>
  <si>
    <t>Alphamesonivirus 7</t>
  </si>
  <si>
    <t>Karsalivirus</t>
  </si>
  <si>
    <t>Ofalivirus</t>
  </si>
  <si>
    <t>Alphamesonivirus 6</t>
  </si>
  <si>
    <t>Enselivirus</t>
  </si>
  <si>
    <t>Alphamesonivirus 8</t>
  </si>
  <si>
    <t>Hanalivirus</t>
  </si>
  <si>
    <t>Monidovirineae</t>
  </si>
  <si>
    <t>Mononiviridae</t>
  </si>
  <si>
    <t>Mononivirinae</t>
  </si>
  <si>
    <t>Alphamononivirus</t>
  </si>
  <si>
    <t>Dumedivirus</t>
  </si>
  <si>
    <t>Planidovirus 1</t>
  </si>
  <si>
    <t>Menolivirus</t>
  </si>
  <si>
    <t>Alphamesonivirus 9</t>
  </si>
  <si>
    <t>Ronidovirineae</t>
  </si>
  <si>
    <t>Euroniviridae</t>
  </si>
  <si>
    <t>Ceronivirinae</t>
  </si>
  <si>
    <t>Charybnivirus</t>
  </si>
  <si>
    <t>Cradenivirus</t>
  </si>
  <si>
    <t>Charybnivirus 1</t>
  </si>
  <si>
    <t>Namcalivirus</t>
  </si>
  <si>
    <t>Wenilivirus</t>
  </si>
  <si>
    <t>Decronivirus 1</t>
  </si>
  <si>
    <t>Paguronivirus</t>
  </si>
  <si>
    <t>Behecravirus</t>
  </si>
  <si>
    <t>Paguronivirus 1</t>
  </si>
  <si>
    <t>Okanivirinae</t>
  </si>
  <si>
    <t>Tipravirus</t>
  </si>
  <si>
    <t>Yellow head virus</t>
  </si>
  <si>
    <t>Tornidovirineae</t>
  </si>
  <si>
    <t>Tobaniviridae</t>
  </si>
  <si>
    <t>Piscanivirinae</t>
  </si>
  <si>
    <t>Pimfabavirus</t>
  </si>
  <si>
    <t>Oncotshavirus</t>
  </si>
  <si>
    <t>Salnivirus</t>
  </si>
  <si>
    <t>Remotovirinae</t>
  </si>
  <si>
    <t>Bostovirus</t>
  </si>
  <si>
    <t>Bosnitovirus</t>
  </si>
  <si>
    <t>Serpentovirinae</t>
  </si>
  <si>
    <t>Infratovirus</t>
  </si>
  <si>
    <t>Xintolivirus</t>
  </si>
  <si>
    <t>Infratovirus 1</t>
  </si>
  <si>
    <t>Pregotovirus</t>
  </si>
  <si>
    <t>Roypretovirus</t>
  </si>
  <si>
    <t>Blicbavirus</t>
  </si>
  <si>
    <t>Sectovirus</t>
  </si>
  <si>
    <t>Sanematovirus</t>
  </si>
  <si>
    <t>Sectovirus 1</t>
  </si>
  <si>
    <t>Tilitovirus</t>
  </si>
  <si>
    <t>Shingleback nidovirus 1</t>
  </si>
  <si>
    <t>Renitovirus</t>
  </si>
  <si>
    <t>Banana bunchy top alphasatellite 2</t>
  </si>
  <si>
    <t>Milk vetch dwarf alphasatellite 2</t>
  </si>
  <si>
    <t>Pea necrotic yellow dwarf alphasatellite 2</t>
  </si>
  <si>
    <t>Sophora yellow stunt alphasatellite 4</t>
  </si>
  <si>
    <t>Sophora yellow stunt alphasatellite 5</t>
  </si>
  <si>
    <t>Milk vetch dwarf alphasatellite 3</t>
  </si>
  <si>
    <t>Milk vetch dwarf alphasatellite 1</t>
  </si>
  <si>
    <t>Pea necrotic yellow dwarf alphasatellite 1</t>
  </si>
  <si>
    <t>ssRNA</t>
  </si>
  <si>
    <t>A  'Family' is a rank in the taxonomic hierarchy into which virus species can be classified.</t>
  </si>
  <si>
    <t>A  'Subrealm' is a rank in the taxonomic hierarchy into which virus species can be classified.</t>
  </si>
  <si>
    <t>A  'Kingdom' is a rank in the taxonomic hierarchy into which virus species can be classified.</t>
  </si>
  <si>
    <t>A  'Subkingdom' is a rank in the taxonomic hierarchy into which virus species can be classified.</t>
  </si>
  <si>
    <t>A  'Phylum' is a rank in the taxonomic hierarchy into which virus species can be classified.</t>
  </si>
  <si>
    <t>A  'Subphylum' is a rank in the taxonomic hierarchy into which virus species can be classified.</t>
  </si>
  <si>
    <t>A  'Class' is a rank in the taxonomic hierarchy into which virus species can be classified.</t>
  </si>
  <si>
    <t>A  'Subclass' is a rank in the taxonomic hierarchy into which virus species can be classified.</t>
  </si>
  <si>
    <t>A  'Order' is a rank in the taxonomic hierarchy into which virus species can be classified.</t>
  </si>
  <si>
    <t>A  'suborder' is a rank in the taxonomic hierarchy into which virus species can be classified.</t>
  </si>
  <si>
    <t>A  'Subfamily' is a rank in the taxonomic hierarchy into which virus species can be classified.</t>
  </si>
  <si>
    <t>A  'Genus' is a rank in the taxonomic hierarchy into which virus species can be classified.</t>
  </si>
  <si>
    <t>A  'Subgenus' is a rank in the taxonomic hierarchy into which virus species can be classified.</t>
  </si>
  <si>
    <t>A 'Realm' is the highest taxonomic rank into which virus species can be classified.</t>
  </si>
  <si>
    <r>
      <t xml:space="preserve">A Species is the lowest taxonomic rank in the hierarchy approved by the ICTV. While subspecies levels of classification may exist for some viruses (e.g. </t>
    </r>
    <r>
      <rPr>
        <i/>
        <sz val="12"/>
        <color indexed="8"/>
        <rFont val="Arial"/>
        <family val="2"/>
      </rPr>
      <t>Hepatitis C virus</t>
    </r>
    <r>
      <rPr>
        <sz val="12"/>
        <color indexed="8"/>
        <rFont val="Arial"/>
        <family val="2"/>
      </rPr>
      <t>), the ICTV does not classify viruses below the species level.</t>
    </r>
  </si>
  <si>
    <t>The molecular and genetic composition of the virus genome packaged into the virion. Possible values are:
- dsDNA
- ssDNA
- ssDNA(-)
- ssDNA(+)
- ssDNA(+/-)
- dsDNA-RT
- ssRNA-RT
- dsRNA
- ssRNA
- ssRNA(-)
- ssRNA(+)
- ssRNA(+/-)</t>
  </si>
  <si>
    <t>An integer that, when sorted in numeric order, will produce the correct rank and alphabetic sorting of these species in the MSL.</t>
  </si>
  <si>
    <t>The file name of the taxonomic proposal that details the justification for the last change. Proposals can be retrieved by appending the file nameand '.pdf' to the end of the following url: https://talk.ictvonline.org/ictv/proposals/&lt;replace with file name.pdf&gt;</t>
  </si>
  <si>
    <t>Riboviria</t>
  </si>
  <si>
    <t>2017.006G.A.v3.Riboviria.zip</t>
  </si>
  <si>
    <t>Cultervirus</t>
  </si>
  <si>
    <t>Striavirus</t>
  </si>
  <si>
    <t>Xilang striavirus</t>
  </si>
  <si>
    <t>Thamnovirus</t>
  </si>
  <si>
    <t>Huangjiao thamnovirus</t>
  </si>
  <si>
    <t>Avulavirinae</t>
  </si>
  <si>
    <t>Metaavulavirus</t>
  </si>
  <si>
    <t>Avian metaavulavirus 2</t>
  </si>
  <si>
    <t>Avian metaavulavirus 5</t>
  </si>
  <si>
    <t>Avian metaavulavirus 6</t>
  </si>
  <si>
    <t>Avian metaavulavirus 7</t>
  </si>
  <si>
    <t>Avian metaavulavirus 8</t>
  </si>
  <si>
    <t>Avian metaavulavirus 10</t>
  </si>
  <si>
    <t>Avian metaavulavirus 11</t>
  </si>
  <si>
    <t>Avian metaavulavirus 14</t>
  </si>
  <si>
    <t>Avian metaavulavirus 15</t>
  </si>
  <si>
    <t>Avian metaavulavirus 20</t>
  </si>
  <si>
    <t>Orthoavulavirus</t>
  </si>
  <si>
    <t>Avian orthoavulavirus 1</t>
  </si>
  <si>
    <t>Avian orthoavulavirus 9</t>
  </si>
  <si>
    <t>Avian orthoavulavirus 12</t>
  </si>
  <si>
    <t>Avian orthoavulavirus 13</t>
  </si>
  <si>
    <t>Avian orthoavulavirus 16</t>
  </si>
  <si>
    <t>Avian orthoavulavirus 17</t>
  </si>
  <si>
    <t>Avian orthoavulavirus 18</t>
  </si>
  <si>
    <t>Avian orthoavulavirus 19</t>
  </si>
  <si>
    <t>Paraavulavirus</t>
  </si>
  <si>
    <t>Avian paraavulavirus 3</t>
  </si>
  <si>
    <t>Avian paraavulavirus 4</t>
  </si>
  <si>
    <t>Metaparamyxovirinae</t>
  </si>
  <si>
    <t>Synodonvirus</t>
  </si>
  <si>
    <t>Orthoparamyxovirinae</t>
  </si>
  <si>
    <t>Jeilongvirus</t>
  </si>
  <si>
    <t>Beilong jeilongvirus</t>
  </si>
  <si>
    <t>Jun jeilongvirus</t>
  </si>
  <si>
    <t>Lophuromys jeilongvirus 1</t>
  </si>
  <si>
    <t>Lophuromys jeilongvirus 2</t>
  </si>
  <si>
    <t>Myodes jeilongvirus</t>
  </si>
  <si>
    <t>Tailam jeilongvirus</t>
  </si>
  <si>
    <t>Narmovirus</t>
  </si>
  <si>
    <t>Mossman narmovirus</t>
  </si>
  <si>
    <t>Myodes narmovirus</t>
  </si>
  <si>
    <t>Nariva narmovirus</t>
  </si>
  <si>
    <t>Tupaia narmovirus</t>
  </si>
  <si>
    <t>Caprine respirovirus 3</t>
  </si>
  <si>
    <t>Salemvirus</t>
  </si>
  <si>
    <t>Salem salemvirus</t>
  </si>
  <si>
    <t>Rubulavirinae</t>
  </si>
  <si>
    <t>Orthorubulavirus</t>
  </si>
  <si>
    <t>Human orthorubulavirus 2</t>
  </si>
  <si>
    <t>Human orthorubulavirus 4</t>
  </si>
  <si>
    <t>Mammalian orthorubulavirus 5</t>
  </si>
  <si>
    <t>Mapuera orthorubulavirus</t>
  </si>
  <si>
    <t>Mumps orthorubulavirus</t>
  </si>
  <si>
    <t>Porcine orthorubulavirus</t>
  </si>
  <si>
    <t>Simian orthorubulavirus</t>
  </si>
  <si>
    <t>Pararubulavirus</t>
  </si>
  <si>
    <t>Achimota pararubulavirus 1</t>
  </si>
  <si>
    <t>Achimota pararubulavirus 2</t>
  </si>
  <si>
    <t>Menangle pararubulavirus</t>
  </si>
  <si>
    <t>Sosuga pararubulavirus</t>
  </si>
  <si>
    <t>Teviot pararubulavirus</t>
  </si>
  <si>
    <t>Tioman pararubulavirus</t>
  </si>
  <si>
    <t>Tuhoko pararubulavirus 1</t>
  </si>
  <si>
    <t>Tuhoko pararubulavirus 2</t>
  </si>
  <si>
    <t>Tuhoko pararubulavirus 3</t>
  </si>
  <si>
    <t>Alphanemrhavirus</t>
  </si>
  <si>
    <t>Caligrhavirus</t>
  </si>
  <si>
    <t>Antennavirus</t>
  </si>
  <si>
    <t>Hairy antennavirus</t>
  </si>
  <si>
    <t>Striated antennavirus</t>
  </si>
  <si>
    <t>Actantavirinae</t>
  </si>
  <si>
    <t>Actinovirus</t>
  </si>
  <si>
    <t>Batfish actinovirus</t>
  </si>
  <si>
    <t>Goosefish actinovirus</t>
  </si>
  <si>
    <t>Spikefish actinovirus</t>
  </si>
  <si>
    <t>Agantavirinae</t>
  </si>
  <si>
    <t>Agnathovirus</t>
  </si>
  <si>
    <t>Hagfish agnathovirus</t>
  </si>
  <si>
    <t>Mammantavirinae</t>
  </si>
  <si>
    <t>Tigray orthohantavirus</t>
  </si>
  <si>
    <t>Repantavirinae</t>
  </si>
  <si>
    <t>Reptillovirus</t>
  </si>
  <si>
    <t>Gecko reptillovirus</t>
  </si>
  <si>
    <t>Leishbuviridae</t>
  </si>
  <si>
    <t>Shilevirus</t>
  </si>
  <si>
    <t>Estero Real orthonairovirus</t>
  </si>
  <si>
    <t>Aino orthobunyavirus</t>
  </si>
  <si>
    <t>Anadyr orthobunyavirus</t>
  </si>
  <si>
    <t>Anhembi orthobunyavirus</t>
  </si>
  <si>
    <t>Batai orthobunyavirus</t>
  </si>
  <si>
    <t>Bellavista orthobunyavirus</t>
  </si>
  <si>
    <t>Birao orthobunyavirus</t>
  </si>
  <si>
    <t>Bozo orthobunyavirus</t>
  </si>
  <si>
    <t>Buttonwillow orthobunyavirus</t>
  </si>
  <si>
    <t>Cache Valley orthobunyavirus</t>
  </si>
  <si>
    <t>Cachoeira Porteira orthobunyavirus</t>
  </si>
  <si>
    <t>Cat Que orthobunyavirus</t>
  </si>
  <si>
    <t>Enseada orthobunyavirus</t>
  </si>
  <si>
    <t>Faceys paddock orthobunyavirus</t>
  </si>
  <si>
    <t>Fort Sherman orthobunyavirus</t>
  </si>
  <si>
    <t>Iaco orthobunyavirus</t>
  </si>
  <si>
    <t>Ilesha orthobunyavirus</t>
  </si>
  <si>
    <t>Ingwavuma orthobunyavirus</t>
  </si>
  <si>
    <t>Jamestown Canyon orthobunyavirus</t>
  </si>
  <si>
    <t>Jatobal orthobunyavirus</t>
  </si>
  <si>
    <t>Keystone orthobunyavirus</t>
  </si>
  <si>
    <t>La Crosse orthobunyavirus</t>
  </si>
  <si>
    <t>Leanyer orthobunyavirus</t>
  </si>
  <si>
    <t>Macaua orthobunyavirus</t>
  </si>
  <si>
    <t>Maguari orthobunyavirus</t>
  </si>
  <si>
    <t>Melao orthobunyavirus</t>
  </si>
  <si>
    <t>Mermet orthobunyavirus</t>
  </si>
  <si>
    <t>Peaton orthobunyavirus</t>
  </si>
  <si>
    <t>Potosi orthobunyavirus</t>
  </si>
  <si>
    <t>Sabo orthobunyavirus</t>
  </si>
  <si>
    <t>San Angelo orthobunyavirus</t>
  </si>
  <si>
    <t>Sango orthobunyavirus</t>
  </si>
  <si>
    <t>Schmallenberg orthobunyavirus</t>
  </si>
  <si>
    <t>Serra do Navio orthobunyavirus</t>
  </si>
  <si>
    <t>Snowshoe hare orthobunyavirus</t>
  </si>
  <si>
    <t>Sororoca orthobunyavirus</t>
  </si>
  <si>
    <t>Tahyna orthobunyavirus</t>
  </si>
  <si>
    <t>Tataguine orthobunyavirus</t>
  </si>
  <si>
    <t>Tensaw orthobunyavirus</t>
  </si>
  <si>
    <t>Trivittatus orthobunyavirus</t>
  </si>
  <si>
    <t>Utinga orthobunyavirus</t>
  </si>
  <si>
    <t>Witwatersrand orthobunyavirus</t>
  </si>
  <si>
    <t>Pacuvirus</t>
  </si>
  <si>
    <t>Pacui pacuvirus</t>
  </si>
  <si>
    <t>Rio Preto da Eva pacuvirus</t>
  </si>
  <si>
    <t>Tapirape pacuvirus</t>
  </si>
  <si>
    <t>Culex orthophasmavirus</t>
  </si>
  <si>
    <t>Ganda orthophasmavirus</t>
  </si>
  <si>
    <t>Odonate orthophasmavirus</t>
  </si>
  <si>
    <t>Qingling orthophasmavirus</t>
  </si>
  <si>
    <t>Sawastrivirus</t>
  </si>
  <si>
    <t>Sanxia sawastrivirus</t>
  </si>
  <si>
    <t>Laulavirus</t>
  </si>
  <si>
    <t>Laurel Lake laulavirus</t>
  </si>
  <si>
    <t>Mukawa phlebovirus</t>
  </si>
  <si>
    <t>Wenrivirus</t>
  </si>
  <si>
    <t>Shrimp wenrivirus</t>
  </si>
  <si>
    <t>Tospoviridae</t>
  </si>
  <si>
    <t>Orthotospovirus</t>
  </si>
  <si>
    <t>Bean necrotic mosaic orthotospovirus</t>
  </si>
  <si>
    <t>Calla lily chlorotic spot orthotospovirus</t>
  </si>
  <si>
    <t>Capsicum chlorosis orthotospovirus</t>
  </si>
  <si>
    <t>Chrysanthemum stem necrosis orthotospovirus</t>
  </si>
  <si>
    <t>Melon severe mosaic orthotospovirus</t>
  </si>
  <si>
    <t>Melon yellow spot orthotospovirus</t>
  </si>
  <si>
    <t>Soybean vein necrosis orthotospovirus</t>
  </si>
  <si>
    <t>Coguvirus</t>
  </si>
  <si>
    <t>Citrus coguvirus</t>
  </si>
  <si>
    <t>Kusarnavirus</t>
  </si>
  <si>
    <t>Astarnavirus</t>
  </si>
  <si>
    <t>Locarnavirus</t>
  </si>
  <si>
    <t>Jericarnavirus B</t>
  </si>
  <si>
    <t>Sanfarnavirus 1</t>
  </si>
  <si>
    <t>Sanfarnavirus 2</t>
  </si>
  <si>
    <t>Sanfarnavirus 3</t>
  </si>
  <si>
    <t>Salisharnavirus</t>
  </si>
  <si>
    <t>Britarnavirus 1</t>
  </si>
  <si>
    <t>Britarnavirus 4</t>
  </si>
  <si>
    <t>Palmarnavirus 128</t>
  </si>
  <si>
    <t>Palmarnavirus 473</t>
  </si>
  <si>
    <t>Sogarnavirus</t>
  </si>
  <si>
    <t>Britarnavirus 2</t>
  </si>
  <si>
    <t>Britarnavirus 3</t>
  </si>
  <si>
    <t>Chaetarnavirus 2</t>
  </si>
  <si>
    <t>Chaetenuissarnavirus II</t>
  </si>
  <si>
    <t>Jericarnavirus A</t>
  </si>
  <si>
    <t>Palmarnavirus 156</t>
  </si>
  <si>
    <t>Ailurivirus</t>
  </si>
  <si>
    <t>Ailurivirus A</t>
  </si>
  <si>
    <t>Anativirus</t>
  </si>
  <si>
    <t>Anativirus A</t>
  </si>
  <si>
    <t>Cadicivirus B</t>
  </si>
  <si>
    <t>Livupivirus</t>
  </si>
  <si>
    <t>Livupivirus A</t>
  </si>
  <si>
    <t>Malagasivirus</t>
  </si>
  <si>
    <t>Malagasivirus A</t>
  </si>
  <si>
    <t>Malagasivirus B</t>
  </si>
  <si>
    <t>Mischivirus D</t>
  </si>
  <si>
    <t>Passerivirus B</t>
  </si>
  <si>
    <t>Poecivirus</t>
  </si>
  <si>
    <t>Poecivirus A</t>
  </si>
  <si>
    <t>Rabovirus B</t>
  </si>
  <si>
    <t>Rabovirus C</t>
  </si>
  <si>
    <t>Rabovirus D</t>
  </si>
  <si>
    <t>Rafivirus</t>
  </si>
  <si>
    <t>Rafivirus A</t>
  </si>
  <si>
    <t>Rafivirus B</t>
  </si>
  <si>
    <t>Rosavirus B</t>
  </si>
  <si>
    <t>Rosavirus C</t>
  </si>
  <si>
    <t>Tottorivirus</t>
  </si>
  <si>
    <t>Tottorivirus A</t>
  </si>
  <si>
    <t>Grapevine virus T</t>
  </si>
  <si>
    <t>Currant virus A</t>
  </si>
  <si>
    <t>Mume virus A</t>
  </si>
  <si>
    <t>Actinidia seed borne latent virus</t>
  </si>
  <si>
    <t>Blackberry virus A</t>
  </si>
  <si>
    <t>Grapevine virus G</t>
  </si>
  <si>
    <t>Grapevine virus H</t>
  </si>
  <si>
    <t>Grapevine virus I</t>
  </si>
  <si>
    <t>Grapevine virus J</t>
  </si>
  <si>
    <t>Wamavirus</t>
  </si>
  <si>
    <t>Watermelon virus A</t>
  </si>
  <si>
    <t>Allium cepa amalgavirus 1</t>
  </si>
  <si>
    <t>Allium cepa amalgavirus 2</t>
  </si>
  <si>
    <t>Spinach amalgavirus 1</t>
  </si>
  <si>
    <t>Zoostera marina amalgavirus 1</t>
  </si>
  <si>
    <t>Zoostera marina amalgavirus 2</t>
  </si>
  <si>
    <t>Zybavirus</t>
  </si>
  <si>
    <t>Zygosaccharomyces bailii virus Z</t>
  </si>
  <si>
    <t>Botourmiaviridae</t>
  </si>
  <si>
    <t>Botoulivirus</t>
  </si>
  <si>
    <t>Botrytis botoulivirus</t>
  </si>
  <si>
    <t>Sclerotinia botoulivirus 2</t>
  </si>
  <si>
    <t>Magoulivirus</t>
  </si>
  <si>
    <t>Magnaporthe magoulivirus 1</t>
  </si>
  <si>
    <t>Rhizoctonia magoulivirus 1</t>
  </si>
  <si>
    <t>Scleroulivirus</t>
  </si>
  <si>
    <t>Sclerotinia scleroulivirus 1</t>
  </si>
  <si>
    <t>Soybean scleroulivirus 1</t>
  </si>
  <si>
    <t>Soybean scleroulivirus 2</t>
  </si>
  <si>
    <t>Bavovirus</t>
  </si>
  <si>
    <t>Bavaria virus</t>
  </si>
  <si>
    <t>Minovirus</t>
  </si>
  <si>
    <t>Minovirus A</t>
  </si>
  <si>
    <t>Nacovirus</t>
  </si>
  <si>
    <t>Nacovirus A</t>
  </si>
  <si>
    <t>Recovirus</t>
  </si>
  <si>
    <t>Recovirus A</t>
  </si>
  <si>
    <t>Salovirus</t>
  </si>
  <si>
    <t>Nordland virus</t>
  </si>
  <si>
    <t>Valovirus</t>
  </si>
  <si>
    <t>Saint Valerien virus</t>
  </si>
  <si>
    <t>Alphachrysovirus</t>
  </si>
  <si>
    <t>Betachrysovirus</t>
  </si>
  <si>
    <t>Air potato ampelovirus 1</t>
  </si>
  <si>
    <t>Actinidia virus 1</t>
  </si>
  <si>
    <t>Kitaviridae</t>
  </si>
  <si>
    <t>Citrus vein enation virus</t>
  </si>
  <si>
    <t>Grapevine enamovirus 1</t>
  </si>
  <si>
    <t>Cherry associated luteovirus</t>
  </si>
  <si>
    <t>Nectarine stem pitting associated virus</t>
  </si>
  <si>
    <t>Pepper vein yellows virus 1</t>
  </si>
  <si>
    <t>Pepper vein yellows virus 2</t>
  </si>
  <si>
    <t>Pepper vein yellows virus 3</t>
  </si>
  <si>
    <t>Pepper vein yellows virus 4</t>
  </si>
  <si>
    <t>Pepper vein yellows virus 5</t>
  </si>
  <si>
    <t>Pepper vein yellows virus 6</t>
  </si>
  <si>
    <t>Matonaviridae</t>
  </si>
  <si>
    <t>African eggplant mosaic virus</t>
  </si>
  <si>
    <t>Cucurbit vein banding virus</t>
  </si>
  <si>
    <t>Mediterranean ruda virus</t>
  </si>
  <si>
    <t>Paris mosaic necrosis virus</t>
  </si>
  <si>
    <t>Saffron latent virus</t>
  </si>
  <si>
    <t>Sudan watermelon mosaic virus</t>
  </si>
  <si>
    <t>Wild melon banding virus</t>
  </si>
  <si>
    <t>Calvusvirinae</t>
  </si>
  <si>
    <t>Procedovirinae</t>
  </si>
  <si>
    <t>Potato necrosis virus</t>
  </si>
  <si>
    <t>Clematis chlorotic mottle virus</t>
  </si>
  <si>
    <t>Cucumber Bulgarian latent virus</t>
  </si>
  <si>
    <t>Regressovirinae</t>
  </si>
  <si>
    <t>Agtrevirus</t>
  </si>
  <si>
    <t>Kuttervirus</t>
  </si>
  <si>
    <t>Herelleviridae</t>
  </si>
  <si>
    <t>Bastillevirinae</t>
  </si>
  <si>
    <t>Caeruleovirus</t>
  </si>
  <si>
    <t>Brockvirinae</t>
  </si>
  <si>
    <t>Kochikohdavirus</t>
  </si>
  <si>
    <t>Jasinkavirinae</t>
  </si>
  <si>
    <t>Pecentumvirus</t>
  </si>
  <si>
    <t>Okubovirus</t>
  </si>
  <si>
    <t>Twortvirinae</t>
  </si>
  <si>
    <t>Firehammervirus</t>
  </si>
  <si>
    <t>Fletchervirus</t>
  </si>
  <si>
    <t>Felixounavirus</t>
  </si>
  <si>
    <t>Kolesnikvirus</t>
  </si>
  <si>
    <t>Hpunavirus</t>
  </si>
  <si>
    <t>Peduovirus</t>
  </si>
  <si>
    <t>Dhakavirus</t>
  </si>
  <si>
    <t>Gaprivervirus</t>
  </si>
  <si>
    <t>Gelderlandvirus</t>
  </si>
  <si>
    <t>Jiaodavirus</t>
  </si>
  <si>
    <t>Karamvirus</t>
  </si>
  <si>
    <t>Krischvirus</t>
  </si>
  <si>
    <t>Mosigvirus</t>
  </si>
  <si>
    <t>Schizotequatrovirus</t>
  </si>
  <si>
    <t>Slopekvirus</t>
  </si>
  <si>
    <t>Tequatrovirus</t>
  </si>
  <si>
    <t>Escherichia virus CF2</t>
  </si>
  <si>
    <t>Escherichia virus slur04</t>
  </si>
  <si>
    <t>Shigella virus SHBML501</t>
  </si>
  <si>
    <t>Avunavirus</t>
  </si>
  <si>
    <t>Certrevirus</t>
  </si>
  <si>
    <t>Seunavirus</t>
  </si>
  <si>
    <t>Vequintavirus</t>
  </si>
  <si>
    <t>Agricanvirus</t>
  </si>
  <si>
    <t>Alcyoneusvirus</t>
  </si>
  <si>
    <t>Aphroditevirus</t>
  </si>
  <si>
    <t>Asteriusvirus</t>
  </si>
  <si>
    <t>Bequatrovirus</t>
  </si>
  <si>
    <t>Bixzunavirus</t>
  </si>
  <si>
    <t>Brunovirus</t>
  </si>
  <si>
    <t>Busanvirus</t>
  </si>
  <si>
    <t>Chakrabartyvirus</t>
  </si>
  <si>
    <t>Chiangmaivirus</t>
  </si>
  <si>
    <t>Emdodecavirus</t>
  </si>
  <si>
    <t>Eneladusvirus</t>
  </si>
  <si>
    <t>Erskinevirus</t>
  </si>
  <si>
    <t>Ficleduovirus</t>
  </si>
  <si>
    <t>Flaumdravirus</t>
  </si>
  <si>
    <t>Gofduovirus</t>
  </si>
  <si>
    <t>Iapetusvirus</t>
  </si>
  <si>
    <t>Iodovirus</t>
  </si>
  <si>
    <t>Ionavirus</t>
  </si>
  <si>
    <t>Jedunavirus</t>
  </si>
  <si>
    <t>Jilinvirus</t>
  </si>
  <si>
    <t>Kleczkowskavirus</t>
  </si>
  <si>
    <t>Lubbockvirus</t>
  </si>
  <si>
    <t>Metrivirus</t>
  </si>
  <si>
    <t>Mieseafarmvirus</t>
  </si>
  <si>
    <t>Mimasvirus</t>
  </si>
  <si>
    <t>Nankokuvirus</t>
  </si>
  <si>
    <t>Nazgulvirus</t>
  </si>
  <si>
    <t>Burkholderia virus BcepNazgul</t>
  </si>
  <si>
    <t>Nitunavirus</t>
  </si>
  <si>
    <t>Noxifervirus</t>
  </si>
  <si>
    <t>Obolenskvirus</t>
  </si>
  <si>
    <t>Otagovirus</t>
  </si>
  <si>
    <t>Pseudomonas virus NH4</t>
  </si>
  <si>
    <t>Peatvirus</t>
  </si>
  <si>
    <t>Plaisancevirus</t>
  </si>
  <si>
    <t>Polybotosvirus</t>
  </si>
  <si>
    <t>Popoffvirus</t>
  </si>
  <si>
    <t>Punavirus</t>
  </si>
  <si>
    <t>Ripduovirus</t>
  </si>
  <si>
    <t>Risingsunvirus</t>
  </si>
  <si>
    <t>Seoulvirus</t>
  </si>
  <si>
    <t>Sepunavirus</t>
  </si>
  <si>
    <t>Shalavirus</t>
  </si>
  <si>
    <t>Siminovitchvirus</t>
  </si>
  <si>
    <t>Tegunavirus</t>
  </si>
  <si>
    <t>Thornevirus</t>
  </si>
  <si>
    <t>Tidunavirus</t>
  </si>
  <si>
    <t>Tijeunavirus</t>
  </si>
  <si>
    <t>Tulanevirus</t>
  </si>
  <si>
    <t>Winklervirus</t>
  </si>
  <si>
    <t>Yokohamavirus</t>
  </si>
  <si>
    <t>Drulisvirus</t>
  </si>
  <si>
    <t>Friunavirus</t>
  </si>
  <si>
    <t>Napahaivirus</t>
  </si>
  <si>
    <t>Phimunavirus</t>
  </si>
  <si>
    <t>Pollyceevirus</t>
  </si>
  <si>
    <t>Przondovirus</t>
  </si>
  <si>
    <t>Teseptimavirus</t>
  </si>
  <si>
    <t>Zindervirus</t>
  </si>
  <si>
    <t>Cepunavirus</t>
  </si>
  <si>
    <t>Negarvirus</t>
  </si>
  <si>
    <t>Rosenblumvirus</t>
  </si>
  <si>
    <t>Salasvirus</t>
  </si>
  <si>
    <t>Diegovirus</t>
  </si>
  <si>
    <t>Oslovirus</t>
  </si>
  <si>
    <t>Traversvirus</t>
  </si>
  <si>
    <t>Aqualcavirus</t>
  </si>
  <si>
    <t>Baltimorevirus</t>
  </si>
  <si>
    <t>Bifseptvirus</t>
  </si>
  <si>
    <t>Bjornvirus</t>
  </si>
  <si>
    <t>Bruynoghevirus</t>
  </si>
  <si>
    <t>Enhodamvirus</t>
  </si>
  <si>
    <t>Enquatrovirus</t>
  </si>
  <si>
    <t>Fipvunavirus</t>
  </si>
  <si>
    <t>Gamaleyavirus</t>
  </si>
  <si>
    <t>Hollowayvirus</t>
  </si>
  <si>
    <t>Ithacavirus</t>
  </si>
  <si>
    <t>Jasminevirus</t>
  </si>
  <si>
    <t>Johnsonvirus</t>
  </si>
  <si>
    <t>Kafunavirus</t>
  </si>
  <si>
    <t>Kochitakasuvirus</t>
  </si>
  <si>
    <t>Krylovvirus</t>
  </si>
  <si>
    <t>Kuravirus</t>
  </si>
  <si>
    <t>Lederbergvirus</t>
  </si>
  <si>
    <t>Lessievirus</t>
  </si>
  <si>
    <t>Lightbulbvirus</t>
  </si>
  <si>
    <t>Litunavirus</t>
  </si>
  <si>
    <t>Luzseptimavirus</t>
  </si>
  <si>
    <t>Myxoctovirus</t>
  </si>
  <si>
    <t>Perisivirus</t>
  </si>
  <si>
    <t>Rauchvirus</t>
  </si>
  <si>
    <t>Schmidvirus</t>
  </si>
  <si>
    <t>Tabernariusvirus</t>
  </si>
  <si>
    <t>Uetakevirus</t>
  </si>
  <si>
    <t>Vicosavirus</t>
  </si>
  <si>
    <t>Arequatrovirus</t>
  </si>
  <si>
    <t>Pegunavirus</t>
  </si>
  <si>
    <t>Cornellvirus</t>
  </si>
  <si>
    <t>Kagunavirus</t>
  </si>
  <si>
    <t>Limdunavirus</t>
  </si>
  <si>
    <t>Unaquatrovirus</t>
  </si>
  <si>
    <t>Eclunavirus</t>
  </si>
  <si>
    <t>Hanrivervirus</t>
  </si>
  <si>
    <t>Rogunavirus</t>
  </si>
  <si>
    <t>Sertoctavirus</t>
  </si>
  <si>
    <t>Tunavirus</t>
  </si>
  <si>
    <t>Webervirus</t>
  </si>
  <si>
    <t>Abidjanvirus</t>
  </si>
  <si>
    <t>Ahduovirus</t>
  </si>
  <si>
    <t>Burkholderia virus AH2</t>
  </si>
  <si>
    <t>Bantamvirus</t>
  </si>
  <si>
    <t>Beetrevirus</t>
  </si>
  <si>
    <t>Bendigovirus</t>
  </si>
  <si>
    <t>Bernalvirus</t>
  </si>
  <si>
    <t>Betterkatzvirus</t>
  </si>
  <si>
    <t>Bingvirus</t>
  </si>
  <si>
    <t>Bowservirus</t>
  </si>
  <si>
    <t>Britbratvirus</t>
  </si>
  <si>
    <t>Brussowvirus</t>
  </si>
  <si>
    <t>Casadabanvirus</t>
  </si>
  <si>
    <t>Ceduovirus</t>
  </si>
  <si>
    <t>Ceetrepovirus</t>
  </si>
  <si>
    <t>Corynebacterium virus C3PO</t>
  </si>
  <si>
    <t>Corynebacterium virus Darwin</t>
  </si>
  <si>
    <t>Corynebacterium virus Zion</t>
  </si>
  <si>
    <t>Cequinquevirus</t>
  </si>
  <si>
    <t>Cetovirus</t>
  </si>
  <si>
    <t>Chenonavirus</t>
  </si>
  <si>
    <t>Cheoctovirus</t>
  </si>
  <si>
    <t>Chunghsingvirus</t>
  </si>
  <si>
    <t>Corynebacterium virus P1201</t>
  </si>
  <si>
    <t>Cimpunavirus</t>
  </si>
  <si>
    <t>Cinunavirus</t>
  </si>
  <si>
    <t>Coetzeevirus</t>
  </si>
  <si>
    <t>Delepquintavirus</t>
  </si>
  <si>
    <t>Detrevirus</t>
  </si>
  <si>
    <t>Dhillonvirus</t>
  </si>
  <si>
    <t>Dismasvirus</t>
  </si>
  <si>
    <t>Efquatrovirus</t>
  </si>
  <si>
    <t>Eisenstarkvirus</t>
  </si>
  <si>
    <t>Elerivirus</t>
  </si>
  <si>
    <t>Emalynvirus</t>
  </si>
  <si>
    <t>Eyrevirus</t>
  </si>
  <si>
    <t>Farahnazvirus</t>
  </si>
  <si>
    <t>Fromanvirus</t>
  </si>
  <si>
    <t>Galaxyvirus</t>
  </si>
  <si>
    <t>Galunavirus</t>
  </si>
  <si>
    <t>Gamtrevirus</t>
  </si>
  <si>
    <t>Gesputvirus</t>
  </si>
  <si>
    <t>Getseptimavirus</t>
  </si>
  <si>
    <t>Ghobesvirus</t>
  </si>
  <si>
    <t>Gorganvirus</t>
  </si>
  <si>
    <t>Gorjumvirus</t>
  </si>
  <si>
    <t>Gustavvirus</t>
  </si>
  <si>
    <t>Hedwigvirus</t>
  </si>
  <si>
    <t>Helsingorvirus</t>
  </si>
  <si>
    <t>Holosalinivirus</t>
  </si>
  <si>
    <t>Homburgvirus</t>
  </si>
  <si>
    <t>Ikedavirus</t>
  </si>
  <si>
    <t>Ilzatvirus</t>
  </si>
  <si>
    <t>Incheonvrus</t>
  </si>
  <si>
    <t>Inhavirus</t>
  </si>
  <si>
    <t>Jesfedecavirus</t>
  </si>
  <si>
    <t>Kairosalinivirus</t>
  </si>
  <si>
    <t>Klementvirus</t>
  </si>
  <si>
    <t>Kojivirus</t>
  </si>
  <si>
    <t>Kostyavirus</t>
  </si>
  <si>
    <t>Kryptosalinivirus</t>
  </si>
  <si>
    <t>Lacusarxvirus</t>
  </si>
  <si>
    <t>Lilyvirus</t>
  </si>
  <si>
    <t>Lokivirus</t>
  </si>
  <si>
    <t>Lomovskayavirus</t>
  </si>
  <si>
    <t>Lwoffvirus</t>
  </si>
  <si>
    <t>Magadivirus</t>
  </si>
  <si>
    <t>Mapvirus</t>
  </si>
  <si>
    <t>Mardecavirus</t>
  </si>
  <si>
    <t>Minunavirus</t>
  </si>
  <si>
    <t>Moineauvirus</t>
  </si>
  <si>
    <t>Myunavirus</t>
  </si>
  <si>
    <t>Nanhaivirus</t>
  </si>
  <si>
    <t>Nickievirus</t>
  </si>
  <si>
    <t>Nipunavirus</t>
  </si>
  <si>
    <t>Novosibvirus</t>
  </si>
  <si>
    <t>Nyceiraevirus</t>
  </si>
  <si>
    <t>Orchidvirus</t>
  </si>
  <si>
    <t>Oshimavirus</t>
  </si>
  <si>
    <t>Pahexavirus</t>
  </si>
  <si>
    <t>Pamexvirus</t>
  </si>
  <si>
    <t>Papyrusvirus</t>
  </si>
  <si>
    <t>Pepyhexavirus</t>
  </si>
  <si>
    <t>Pikminvirus</t>
  </si>
  <si>
    <t>Poushouvirus</t>
  </si>
  <si>
    <t>Priunavirus</t>
  </si>
  <si>
    <t>Pulverervirus</t>
  </si>
  <si>
    <t>Ravinvirus</t>
  </si>
  <si>
    <t>Rerduovirus</t>
  </si>
  <si>
    <t>Rigallicvirus</t>
  </si>
  <si>
    <t>Rimavirus</t>
  </si>
  <si>
    <t>Roufvirus</t>
  </si>
  <si>
    <t>Samistivirus</t>
  </si>
  <si>
    <t>Samunavirus</t>
  </si>
  <si>
    <t>Sanovirus</t>
  </si>
  <si>
    <t>Xylella virus Sano</t>
  </si>
  <si>
    <t>Saphexavirus</t>
  </si>
  <si>
    <t>Sasvirus</t>
  </si>
  <si>
    <t>Saundersvirus</t>
  </si>
  <si>
    <t>Scapunavirus</t>
  </si>
  <si>
    <t>Septimatrevirus</t>
  </si>
  <si>
    <t>Skunavirus</t>
  </si>
  <si>
    <t>Sourvirus</t>
  </si>
  <si>
    <t>Stanholtvirus</t>
  </si>
  <si>
    <t>Steinhofvirus</t>
  </si>
  <si>
    <t>Sugarlandvirus</t>
  </si>
  <si>
    <t>Tequintavirus</t>
  </si>
  <si>
    <t>Timquatrovirus</t>
  </si>
  <si>
    <t>Mycobacterium virus Fionnbharth</t>
  </si>
  <si>
    <t>Tinduovirus</t>
  </si>
  <si>
    <t>Tortellinivirus</t>
  </si>
  <si>
    <t>Mycobacterium virus Tortellini</t>
  </si>
  <si>
    <t>Trinavirus</t>
  </si>
  <si>
    <t>Unahavirus</t>
  </si>
  <si>
    <t>Vhulanivirus</t>
  </si>
  <si>
    <t>Vidquintavirus</t>
  </si>
  <si>
    <t>Vieuvirus</t>
  </si>
  <si>
    <t>Vividuovirus</t>
  </si>
  <si>
    <t>Gordonia virus Lennon</t>
  </si>
  <si>
    <t>Weaselvirus</t>
  </si>
  <si>
    <t>Wilnyevirus</t>
  </si>
  <si>
    <t>Woodruffvirus</t>
  </si>
  <si>
    <t>Xiamenvirus</t>
  </si>
  <si>
    <t>Xipdecavirus</t>
  </si>
  <si>
    <t>Yvonnevirus</t>
  </si>
  <si>
    <t>Gordonia virus Yvonnetastic</t>
  </si>
  <si>
    <t>Spheniscid alphaherpesvirus 1</t>
  </si>
  <si>
    <t>Testudinid alphaherpesvirus 3</t>
  </si>
  <si>
    <t>Pteropodid alphaherpesvirus 1</t>
  </si>
  <si>
    <t>Monodontid alphaherpesvirus 1</t>
  </si>
  <si>
    <t>Macacine betaherpesvirus 8</t>
  </si>
  <si>
    <t>Mandrilline betaherpesvirus 1</t>
  </si>
  <si>
    <t>Papiine betaherpesvirus 4</t>
  </si>
  <si>
    <t>Elephantid betaherpesvirus 4</t>
  </si>
  <si>
    <t>Elephantid betaherpesvirus 5</t>
  </si>
  <si>
    <t>Macacine betaherpesvirus 9</t>
  </si>
  <si>
    <t>Murid betaherpesvirus 3</t>
  </si>
  <si>
    <t>Macacine gammaherpesvirus 10</t>
  </si>
  <si>
    <t>Felid gammaherpesvirus 1</t>
  </si>
  <si>
    <t>Phocid gammaherpesvirus 3</t>
  </si>
  <si>
    <t>Vespertilionid gammaherpesvirus 1</t>
  </si>
  <si>
    <t>Macacine gammaherpesvirus 8</t>
  </si>
  <si>
    <t>Macacine gammaherpesvirus 11</t>
  </si>
  <si>
    <t>Macacine gammaherpesvirus 12</t>
  </si>
  <si>
    <t>Birch leaf roll-associated virus</t>
  </si>
  <si>
    <t>Blackberry virus F</t>
  </si>
  <si>
    <t>Cacao bacilliform Sri Lanka virus</t>
  </si>
  <si>
    <t>Cacao swollen shoot CE virus</t>
  </si>
  <si>
    <t>Cacao swollen shoot Ghana M virus</t>
  </si>
  <si>
    <t>Cacao swollen shoot Ghana N virus</t>
  </si>
  <si>
    <t>Cacao swollen shoot Ghana Q virus</t>
  </si>
  <si>
    <t>Cacao swollen shoot Togo B virus</t>
  </si>
  <si>
    <t>Canna yellow mottle associated virus</t>
  </si>
  <si>
    <t>Dioscorea bacilliform AL virus 2</t>
  </si>
  <si>
    <t>Dioscorea bacilliform ES virus</t>
  </si>
  <si>
    <t>Jujube mosaic-associated virus</t>
  </si>
  <si>
    <t>Angelica bushy stunt virus</t>
  </si>
  <si>
    <t>Rudbeckia flower distortion virus</t>
  </si>
  <si>
    <t>Central chimpanzee simian foamy virus</t>
  </si>
  <si>
    <t>Cynomolgus macaque simian foamy virus</t>
  </si>
  <si>
    <t>Whitefly associated Guatemala alphasatellite 1</t>
  </si>
  <si>
    <t>2018.030P.A.v1.Alphasatellitidae_2spren.zip</t>
  </si>
  <si>
    <t>Sophora yellow stunt alphasatellite 1</t>
  </si>
  <si>
    <t>Mutorquevirus</t>
  </si>
  <si>
    <t>Nutorquevirus</t>
  </si>
  <si>
    <t>Hemileuca species nucleopolyhedrovirus</t>
  </si>
  <si>
    <t>Lonomia obliqua nucleopolyhedrovirus</t>
  </si>
  <si>
    <t>Operophtera brumata nucleopolyhedrovirus</t>
  </si>
  <si>
    <t>Oxyplax ochracea nucleopolyhedrovirus</t>
  </si>
  <si>
    <t>Peridroma saucia nucleopolyhedrovirus</t>
  </si>
  <si>
    <t>Perigonia lusca nucleopolyhedrovirus</t>
  </si>
  <si>
    <t>Mocis latipes granulovirus</t>
  </si>
  <si>
    <t>Bat associated circovirus 10</t>
  </si>
  <si>
    <t>Bat associated circovirus 11</t>
  </si>
  <si>
    <t>Rodent associated circovirus 1</t>
  </si>
  <si>
    <t>Rodent associated circovirus 2</t>
  </si>
  <si>
    <t>Rodent associated circovirus 3</t>
  </si>
  <si>
    <t>Rodent associated circovirus 4</t>
  </si>
  <si>
    <t>Rodent associated circovirus 5</t>
  </si>
  <si>
    <t>Rodent associated circovirus 6</t>
  </si>
  <si>
    <t>Tick associated circovirus 1</t>
  </si>
  <si>
    <t>Tick associated circovirus 2</t>
  </si>
  <si>
    <t>Duck associated cyclovirus 1</t>
  </si>
  <si>
    <t>Rodent associated cyclovirus 1</t>
  </si>
  <si>
    <t>Rodent associated cyclovirus 2</t>
  </si>
  <si>
    <t>Exomis microphylla latent virus</t>
  </si>
  <si>
    <t>African cassava mosaic Burkina Faso virus</t>
  </si>
  <si>
    <t>Bean leaf crumple virus</t>
  </si>
  <si>
    <t>Bhendi yellow vein mosaic Delhi virus</t>
  </si>
  <si>
    <t>Blechum yellow vein virus</t>
  </si>
  <si>
    <t>Chilli leaf curl Ahmedabad virus</t>
  </si>
  <si>
    <t>Chilli leaf curl Bhavanisagar virus</t>
  </si>
  <si>
    <t>Chilli leaf curl Gonda virus</t>
  </si>
  <si>
    <t>Chilli leaf curl Sri Lanka virus</t>
  </si>
  <si>
    <t>Datura leaf curl virus</t>
  </si>
  <si>
    <t>Eclipta yellow vein virus</t>
  </si>
  <si>
    <t>Emilia yellow vein Thailand virus</t>
  </si>
  <si>
    <t>Jacquemontia yellow vein virus</t>
  </si>
  <si>
    <t>2017.011P.A.v2.Gemini_sp_ren.zip</t>
  </si>
  <si>
    <t>Pepper leafroll virus</t>
  </si>
  <si>
    <t>Pepper yellow leaf curl Indonesia virus 2</t>
  </si>
  <si>
    <t>Pouzolzia yellow mosaic virus</t>
  </si>
  <si>
    <t>Sweet potato leaf curl Shandong virus</t>
  </si>
  <si>
    <t>Tomato leaf curl Japan virus</t>
  </si>
  <si>
    <t>Tomato leaf curl Karnataka virus 2</t>
  </si>
  <si>
    <t>Tomato leaf curl Karnataka virus 3</t>
  </si>
  <si>
    <t>Tomato leaf curl New Delhi virus 5</t>
  </si>
  <si>
    <t>Tomato leaf curl purple vein virus</t>
  </si>
  <si>
    <t>Tomato leaf curl Tanzania virus</t>
  </si>
  <si>
    <t>Tomato severe leaf curl Kalakada virus</t>
  </si>
  <si>
    <t>Tomato wrinkled mosaic virus</t>
  </si>
  <si>
    <t>Vernonia yellow vein Fujian virus</t>
  </si>
  <si>
    <t>West African Asystasia virus 3</t>
  </si>
  <si>
    <t>Prunus latent virus</t>
  </si>
  <si>
    <t>Wild Vitis latent virus</t>
  </si>
  <si>
    <t>Maize striate mosaic virus</t>
  </si>
  <si>
    <t>Rice latent virus 1</t>
  </si>
  <si>
    <t>Rice latent virus 2</t>
  </si>
  <si>
    <t>Capuchin monkey hepatitis B virus</t>
  </si>
  <si>
    <t>Lymphocystis disease virus 2</t>
  </si>
  <si>
    <t>Lymphocystis disease virus 3</t>
  </si>
  <si>
    <t>Scale drop disease virus</t>
  </si>
  <si>
    <t>Anopheles minimus iridovirus</t>
  </si>
  <si>
    <t>Invertebrate iridescent virus 9</t>
  </si>
  <si>
    <t>Invertebrate iridescent virus 22</t>
  </si>
  <si>
    <t>Invertebrate iridescent virus 25</t>
  </si>
  <si>
    <t>Decapodiridovirus</t>
  </si>
  <si>
    <t>Decapod iridescent virus 1</t>
  </si>
  <si>
    <t>Invertebrate iridescent virus 31</t>
  </si>
  <si>
    <t>Alphatrevirus</t>
  </si>
  <si>
    <t>Gequatrovirus</t>
  </si>
  <si>
    <t>Sinsheimervirus</t>
  </si>
  <si>
    <t>Ovaliviridae</t>
  </si>
  <si>
    <t>Alphaovalivirus</t>
  </si>
  <si>
    <t>Sulfolobus ellipsoid virus 1</t>
  </si>
  <si>
    <t>Squamate dependoparvovirus 2</t>
  </si>
  <si>
    <t>Gammatectivirus</t>
  </si>
  <si>
    <t>Sort</t>
  </si>
  <si>
    <t>Duplodnaviria</t>
  </si>
  <si>
    <t>Heunggongvirae</t>
  </si>
  <si>
    <t>Peploviricota</t>
  </si>
  <si>
    <t>Herviviricetes</t>
  </si>
  <si>
    <t>2019.004G.zip</t>
  </si>
  <si>
    <t>Uroviricota</t>
  </si>
  <si>
    <t>Caudoviricetes</t>
  </si>
  <si>
    <t>Taipeivirus</t>
  </si>
  <si>
    <t>Autographiviridae</t>
  </si>
  <si>
    <t>Beijerinckvirinae</t>
  </si>
  <si>
    <t>Daemvirus</t>
  </si>
  <si>
    <t>Pettyvirus</t>
  </si>
  <si>
    <t>Colwellvirinae</t>
  </si>
  <si>
    <t>Gutovirus</t>
  </si>
  <si>
    <t>Kaohsiungvirus</t>
  </si>
  <si>
    <t>Murciavirus</t>
  </si>
  <si>
    <t>Trungvirus</t>
  </si>
  <si>
    <t>Uliginvirus</t>
  </si>
  <si>
    <t>Corkvirinae</t>
  </si>
  <si>
    <t>Kantovirus</t>
  </si>
  <si>
    <t>Kotilavirus</t>
  </si>
  <si>
    <t>Stompvirus</t>
  </si>
  <si>
    <t>Krylovirinae</t>
  </si>
  <si>
    <t>Kirikabuvirus</t>
  </si>
  <si>
    <t>Stubburvirus</t>
  </si>
  <si>
    <t>Tunggulviirus</t>
  </si>
  <si>
    <t>Melnykvirinae</t>
  </si>
  <si>
    <t>Aerosvirus</t>
  </si>
  <si>
    <t>Aghbyvirus</t>
  </si>
  <si>
    <t>Ahphunavirus</t>
  </si>
  <si>
    <t>Cronosvirus</t>
  </si>
  <si>
    <t>Panjvirus</t>
  </si>
  <si>
    <t>Pienvirus</t>
  </si>
  <si>
    <t>Pokrovskaiavirus</t>
  </si>
  <si>
    <t>Wanjuvirus</t>
  </si>
  <si>
    <t>Molineuxvirinae</t>
  </si>
  <si>
    <t>Acadevirus</t>
  </si>
  <si>
    <t>Axomammavirus</t>
  </si>
  <si>
    <t>Eracentumvirus</t>
  </si>
  <si>
    <t>Tuodvirus</t>
  </si>
  <si>
    <t>Vectrevirus</t>
  </si>
  <si>
    <t>Okabevirinae</t>
  </si>
  <si>
    <t>Ampunavirus</t>
  </si>
  <si>
    <t>Higashivirus</t>
  </si>
  <si>
    <t>Mguuvirus</t>
  </si>
  <si>
    <t>Risjevirus</t>
  </si>
  <si>
    <t>Sukuvirus</t>
  </si>
  <si>
    <t>Slopekvirinae</t>
  </si>
  <si>
    <t>Bucovirus</t>
  </si>
  <si>
    <t>Koutsourovirus</t>
  </si>
  <si>
    <t>Novosibovirus</t>
  </si>
  <si>
    <t>Studiervirinae</t>
  </si>
  <si>
    <t>Aarhusvirus</t>
  </si>
  <si>
    <t>Apdecimavirus</t>
  </si>
  <si>
    <t>Berlinvirus</t>
  </si>
  <si>
    <t>Caroctavirus</t>
  </si>
  <si>
    <t>Chatterjeevirus</t>
  </si>
  <si>
    <t>Eapunavirus</t>
  </si>
  <si>
    <t>Elunavirus</t>
  </si>
  <si>
    <t>Foetvirus</t>
  </si>
  <si>
    <t>Ghunavirus</t>
  </si>
  <si>
    <t>Helsettvirus</t>
  </si>
  <si>
    <t>Jarilovirus</t>
  </si>
  <si>
    <t>Kayfunavirus</t>
  </si>
  <si>
    <t>Minipunavirus</t>
  </si>
  <si>
    <t>Ningirsuvirus</t>
  </si>
  <si>
    <t>Pektosvirus</t>
  </si>
  <si>
    <t>Phutvirus</t>
  </si>
  <si>
    <t>Pifdecavirus</t>
  </si>
  <si>
    <t>Pijolavirus</t>
  </si>
  <si>
    <t>Teetrevirus</t>
  </si>
  <si>
    <t>Troedvirus</t>
  </si>
  <si>
    <t>Unyawovirus</t>
  </si>
  <si>
    <t>Aegirvirus</t>
  </si>
  <si>
    <t>Ashivirus</t>
  </si>
  <si>
    <t>Ashivirus S45C4</t>
  </si>
  <si>
    <t>Atuphduovirus</t>
  </si>
  <si>
    <t>Ayakvirus</t>
  </si>
  <si>
    <t>Ayaqvirus</t>
  </si>
  <si>
    <t>Ayaqvirus S45C18</t>
  </si>
  <si>
    <t>Banchanvirus</t>
  </si>
  <si>
    <t>Bonnellvirus</t>
  </si>
  <si>
    <t>Cheungvirus</t>
  </si>
  <si>
    <t>Chosvirus</t>
  </si>
  <si>
    <t>Chosvirus KM23C739</t>
  </si>
  <si>
    <t>Cuernavacavirus</t>
  </si>
  <si>
    <t>Cyclitvirus</t>
  </si>
  <si>
    <t>Ermolevavirus</t>
  </si>
  <si>
    <t>Foturvirus</t>
  </si>
  <si>
    <t>Foussvirus</t>
  </si>
  <si>
    <t>Foussvirus S46C10</t>
  </si>
  <si>
    <t>Fussvirus</t>
  </si>
  <si>
    <t>Fussvirus S30C28</t>
  </si>
  <si>
    <t>Gajwadongvirus</t>
  </si>
  <si>
    <t>Gyeongsanvirus</t>
  </si>
  <si>
    <t>Igirivirus</t>
  </si>
  <si>
    <t>Jalkavirus</t>
  </si>
  <si>
    <t>Jalkavirus S08C159</t>
  </si>
  <si>
    <t>Jiaoyazivirus</t>
  </si>
  <si>
    <t>Kafavirus</t>
  </si>
  <si>
    <t>Kajamvirus</t>
  </si>
  <si>
    <t>Kakivirus</t>
  </si>
  <si>
    <t>Kalppathivirus</t>
  </si>
  <si>
    <t>Kelmasvirus</t>
  </si>
  <si>
    <t>Kembevirus</t>
  </si>
  <si>
    <t>Krakvirus</t>
  </si>
  <si>
    <t>Krakvirus S39C11</t>
  </si>
  <si>
    <t>Lauvirus</t>
  </si>
  <si>
    <t>Limelightvirus</t>
  </si>
  <si>
    <t>Lingvirus</t>
  </si>
  <si>
    <t>Lirvirus</t>
  </si>
  <si>
    <t>Lullwatervirus</t>
  </si>
  <si>
    <t>Maculvirus</t>
  </si>
  <si>
    <t>Nohivirus</t>
  </si>
  <si>
    <t>Nohivirus S31C1</t>
  </si>
  <si>
    <t>Oinezvirus</t>
  </si>
  <si>
    <t>Oinezvirus S37C6</t>
  </si>
  <si>
    <t>Paadamvirus</t>
  </si>
  <si>
    <t>Pagavirus</t>
  </si>
  <si>
    <t>Pagavirus S05C849</t>
  </si>
  <si>
    <t>Pairvirus</t>
  </si>
  <si>
    <t>Pedosvirus</t>
  </si>
  <si>
    <t>Pedosvirus S28C3</t>
  </si>
  <si>
    <t>Pekhitvirus</t>
  </si>
  <si>
    <t>Pekhitvirus S04C24</t>
  </si>
  <si>
    <t>Pelagivirus</t>
  </si>
  <si>
    <t>Pelagivirus S35C6</t>
  </si>
  <si>
    <t>Percyvirus</t>
  </si>
  <si>
    <t>Piedvirus</t>
  </si>
  <si>
    <t>Podivirus</t>
  </si>
  <si>
    <t>Podivirus S05C243</t>
  </si>
  <si>
    <t>Poseidonvirus</t>
  </si>
  <si>
    <t>Powvirus</t>
  </si>
  <si>
    <t>Powvirus S08C41</t>
  </si>
  <si>
    <t>Qadamvirus</t>
  </si>
  <si>
    <t>Scottvirus</t>
  </si>
  <si>
    <t>Sednavirus</t>
  </si>
  <si>
    <t>Serkorvirus</t>
  </si>
  <si>
    <t>Sieqvirus</t>
  </si>
  <si>
    <t>Sieqvirus S42C7</t>
  </si>
  <si>
    <t>Stompelvirus</t>
  </si>
  <si>
    <t>Stopalavirus</t>
  </si>
  <si>
    <t>Stopalavirus S38C3</t>
  </si>
  <si>
    <t>Stopavirus</t>
  </si>
  <si>
    <t>Stupnyavirus</t>
  </si>
  <si>
    <t>Stupnyavirus KM16C193</t>
  </si>
  <si>
    <t>Tangaroavirus</t>
  </si>
  <si>
    <t>Tawavirus</t>
  </si>
  <si>
    <t>Tiamatvirus</t>
  </si>
  <si>
    <t>Tiilvirus</t>
  </si>
  <si>
    <t>Tritonvirus</t>
  </si>
  <si>
    <t>Voetvirus</t>
  </si>
  <si>
    <t>Votkovvirus</t>
  </si>
  <si>
    <t>Votkovvirus S28C10</t>
  </si>
  <si>
    <t>Waewaevirus</t>
  </si>
  <si>
    <t>Wuhanvirus</t>
  </si>
  <si>
    <t>Chaseviridae</t>
  </si>
  <si>
    <t>Carltongylesvirus</t>
  </si>
  <si>
    <t>Faunusvirus</t>
  </si>
  <si>
    <t>Loessnervirus</t>
  </si>
  <si>
    <t>Pahsextavirus</t>
  </si>
  <si>
    <t>Suwonvirus</t>
  </si>
  <si>
    <t>Yushanvirus</t>
  </si>
  <si>
    <t>Demerecviridae</t>
  </si>
  <si>
    <t>Ermolyevavirinae</t>
  </si>
  <si>
    <t>Vipunavirus</t>
  </si>
  <si>
    <t>Markadamsvirinae</t>
  </si>
  <si>
    <t>Epseptimavirus</t>
  </si>
  <si>
    <t>Salmonella virus 329</t>
  </si>
  <si>
    <t>Haartmanvirus</t>
  </si>
  <si>
    <t>Mccorquodalevirinae</t>
  </si>
  <si>
    <t>Hongcheonvirus</t>
  </si>
  <si>
    <t>Pogseptimavirus</t>
  </si>
  <si>
    <t>Shenzhenvirus</t>
  </si>
  <si>
    <t>Drexlerviridae</t>
  </si>
  <si>
    <t>Braunvirinae</t>
  </si>
  <si>
    <t>Christensenvirus</t>
  </si>
  <si>
    <t>Guelphvirus</t>
  </si>
  <si>
    <t>Loudonvirus</t>
  </si>
  <si>
    <t>Rogunavirinae</t>
  </si>
  <si>
    <t>Eastlansingvirus</t>
  </si>
  <si>
    <t>Lindendrivevirus</t>
  </si>
  <si>
    <t>Wilsonroadvirus</t>
  </si>
  <si>
    <t>Tempevirinae</t>
  </si>
  <si>
    <t>Warwickvirus</t>
  </si>
  <si>
    <t>Badaguanvirus</t>
  </si>
  <si>
    <t>Nouzillyvirus</t>
  </si>
  <si>
    <t>Sauletekiovirus</t>
  </si>
  <si>
    <t>Vilniusvirus</t>
  </si>
  <si>
    <t>Schiekvirus</t>
  </si>
  <si>
    <t>Baoshanvirus</t>
  </si>
  <si>
    <t>Harbinvirus</t>
  </si>
  <si>
    <t>Sciuriunavirus</t>
  </si>
  <si>
    <t>Aresaunavirus</t>
  </si>
  <si>
    <t>Baylorvirus</t>
  </si>
  <si>
    <t>Bielevirus</t>
  </si>
  <si>
    <t>Canoevirus</t>
  </si>
  <si>
    <t>Catalunyavirus</t>
  </si>
  <si>
    <t>Citexvirus</t>
  </si>
  <si>
    <t>Eganvirus</t>
  </si>
  <si>
    <t>Entnonagintavirus</t>
  </si>
  <si>
    <t>Felsduovirus</t>
  </si>
  <si>
    <t>Irtavirus</t>
  </si>
  <si>
    <t>Kisquattuordecimvirus</t>
  </si>
  <si>
    <t>Kisquinquevirus</t>
  </si>
  <si>
    <t>Longwoodvirus</t>
  </si>
  <si>
    <t>Nampongvirus</t>
  </si>
  <si>
    <t>Phitrevirus</t>
  </si>
  <si>
    <t>Playavirus</t>
  </si>
  <si>
    <t>Reginaelenavirus</t>
  </si>
  <si>
    <t>Senquatrovirus</t>
  </si>
  <si>
    <t>Seongnamvirus</t>
  </si>
  <si>
    <t>Simpcentumvirus</t>
  </si>
  <si>
    <t>Stockinghallvirus</t>
  </si>
  <si>
    <t>Tigrvirus</t>
  </si>
  <si>
    <t>Vulnificusvirus</t>
  </si>
  <si>
    <t>Xuanwuvirus</t>
  </si>
  <si>
    <t>Acionnavirus</t>
  </si>
  <si>
    <t>Ahtivirus</t>
  </si>
  <si>
    <t>Alexandravirus</t>
  </si>
  <si>
    <t>Anamdongvirus</t>
  </si>
  <si>
    <t>Anaposvirus</t>
  </si>
  <si>
    <t>Aokuangvirus</t>
  </si>
  <si>
    <t>Atlauavirus</t>
  </si>
  <si>
    <t>Aurunvirus</t>
  </si>
  <si>
    <t>Baikalvirus</t>
  </si>
  <si>
    <t>Barbavirus</t>
  </si>
  <si>
    <t>Bellamyvirus</t>
  </si>
  <si>
    <t>Brigitvirus</t>
  </si>
  <si>
    <t>Brizovirus</t>
  </si>
  <si>
    <t>Carpasinavirus</t>
  </si>
  <si>
    <t>Charybdisvirus</t>
  </si>
  <si>
    <t>Cymopoleiavirus</t>
  </si>
  <si>
    <t>Derbicusvirus</t>
  </si>
  <si>
    <t>Eponavirus</t>
  </si>
  <si>
    <t>Eurybiavirus</t>
  </si>
  <si>
    <t>Goslarvirus</t>
  </si>
  <si>
    <t>Heilongjiangvirus</t>
  </si>
  <si>
    <t>Kanaloavirus</t>
  </si>
  <si>
    <t>Lagaffevirus</t>
  </si>
  <si>
    <t>Leucotheavirus</t>
  </si>
  <si>
    <t>Libanvirus</t>
  </si>
  <si>
    <t>Llyrvirus</t>
  </si>
  <si>
    <t>Loughboroughvirus</t>
  </si>
  <si>
    <t>Mazuvirus</t>
  </si>
  <si>
    <t>Mushuvirus</t>
  </si>
  <si>
    <t>Naesvirus</t>
  </si>
  <si>
    <t>Namakavirus</t>
  </si>
  <si>
    <t>Neptunevirus</t>
  </si>
  <si>
    <t>Nereusvirus</t>
  </si>
  <si>
    <t>Nerrivikvirus</t>
  </si>
  <si>
    <t>Nodensvirus</t>
  </si>
  <si>
    <t>Palaemonvirus</t>
  </si>
  <si>
    <t>Petsuvirus</t>
  </si>
  <si>
    <t>Phabquatrovirus</t>
  </si>
  <si>
    <t>Phapecoctavirus</t>
  </si>
  <si>
    <t>Escherichia phage ESCO13</t>
  </si>
  <si>
    <t>Escherichia virus ESCO5</t>
  </si>
  <si>
    <t>Escherichia virus phAPEC8</t>
  </si>
  <si>
    <t>Escherichia virus Schickermooser</t>
  </si>
  <si>
    <t>Klebsiella virus ZCKP1</t>
  </si>
  <si>
    <t>Pontusvirus</t>
  </si>
  <si>
    <t>Qingdaovirus</t>
  </si>
  <si>
    <t>Rosemountvirus</t>
  </si>
  <si>
    <t>Saclayvirus</t>
  </si>
  <si>
    <t>Salacisavirus</t>
  </si>
  <si>
    <t>Salmondvirus</t>
  </si>
  <si>
    <t>Sasquatchvirus</t>
  </si>
  <si>
    <t>Schmittlotzvirus</t>
  </si>
  <si>
    <t>Tamkungvirus</t>
  </si>
  <si>
    <t>Taranisvirus</t>
  </si>
  <si>
    <t>Tefnutvirus</t>
  </si>
  <si>
    <t>Thaumasvirus</t>
  </si>
  <si>
    <t>Thetisvirus</t>
  </si>
  <si>
    <t>Toutatisvirus</t>
  </si>
  <si>
    <t>Vellamovirus</t>
  </si>
  <si>
    <t>Wellingtonvirus</t>
  </si>
  <si>
    <t>Wifcevirus</t>
  </si>
  <si>
    <t>Yoloswagvirus</t>
  </si>
  <si>
    <t>Rakietenvirinae</t>
  </si>
  <si>
    <t>Andhravirus</t>
  </si>
  <si>
    <t>Fischettivirus</t>
  </si>
  <si>
    <t>Kelquatrovirus</t>
  </si>
  <si>
    <t>Mukerjeevirus</t>
  </si>
  <si>
    <t>Ryyoungvirus</t>
  </si>
  <si>
    <t>Shizishanvirus</t>
  </si>
  <si>
    <t>Skarprettervirus</t>
  </si>
  <si>
    <t>Sortsnevirus</t>
  </si>
  <si>
    <t>Xuquatrovirus</t>
  </si>
  <si>
    <t>Dolichocephalovirinae</t>
  </si>
  <si>
    <t>Bertelyvirus</t>
  </si>
  <si>
    <t>Colossusvirus</t>
  </si>
  <si>
    <t>Poindextervirus</t>
  </si>
  <si>
    <t>Shapirovirus</t>
  </si>
  <si>
    <t>Langleyhallvirinae</t>
  </si>
  <si>
    <t>Getalongvirus</t>
  </si>
  <si>
    <t>Horusvirus</t>
  </si>
  <si>
    <t>Phistoryvirus</t>
  </si>
  <si>
    <t>Tybeckvirinae</t>
  </si>
  <si>
    <t>Douglaswolinvirus</t>
  </si>
  <si>
    <t>Lenusvirus</t>
  </si>
  <si>
    <t>Lidleunavirus</t>
  </si>
  <si>
    <t>Maenadvirus</t>
  </si>
  <si>
    <t>Abbeymikolonvirus</t>
  </si>
  <si>
    <t>Andrewvirus</t>
  </si>
  <si>
    <t>Appavirus</t>
  </si>
  <si>
    <t>Apricotvirus</t>
  </si>
  <si>
    <t>Armstrongvirus</t>
  </si>
  <si>
    <t>Attoomivirus</t>
  </si>
  <si>
    <t>Austintatiousvirus</t>
  </si>
  <si>
    <t>Bridgettevirus</t>
  </si>
  <si>
    <t>Mycobacterium virus JoeDirt</t>
  </si>
  <si>
    <t>Mycobacterium virus DeadP</t>
  </si>
  <si>
    <t>Mycobacterium virus DotProduct</t>
  </si>
  <si>
    <t>Mycobacterium virus GUmbie</t>
  </si>
  <si>
    <t>Mycobacterium virus RockyHorror</t>
  </si>
  <si>
    <t>Coralvirus</t>
  </si>
  <si>
    <t>Daredevilvirus</t>
  </si>
  <si>
    <t>Edenvirus</t>
  </si>
  <si>
    <t>Fairfaxidumvirus</t>
  </si>
  <si>
    <t>Feofaniavirus</t>
  </si>
  <si>
    <t>Fibralongavirus</t>
  </si>
  <si>
    <t>Franklinbayvirus</t>
  </si>
  <si>
    <t>Gillianvirus</t>
  </si>
  <si>
    <t>Godonkavirus</t>
  </si>
  <si>
    <t>Goodmanvirus</t>
  </si>
  <si>
    <t>Hiyaavirus</t>
  </si>
  <si>
    <t>Jacevirus</t>
  </si>
  <si>
    <t>Juiceboxvirus</t>
  </si>
  <si>
    <t>Kilunavirus</t>
  </si>
  <si>
    <t>Krampusvirus</t>
  </si>
  <si>
    <t>Lanavirus</t>
  </si>
  <si>
    <t>Lentavirus</t>
  </si>
  <si>
    <t>Liebevirus</t>
  </si>
  <si>
    <t>Luckybarnesvirus</t>
  </si>
  <si>
    <t>Luckytenvirus</t>
  </si>
  <si>
    <t>Lughvirus</t>
  </si>
  <si>
    <t>Majavirus</t>
  </si>
  <si>
    <t>Manhattanvirus</t>
  </si>
  <si>
    <t>Maxrubnervirus</t>
  </si>
  <si>
    <t>Mementomorivirus</t>
  </si>
  <si>
    <t>Metamorphoovirus</t>
  </si>
  <si>
    <t>Montyvirus</t>
  </si>
  <si>
    <t>Murrayvirus</t>
  </si>
  <si>
    <t>Neferthenavirus</t>
  </si>
  <si>
    <t>Oengusvirus</t>
  </si>
  <si>
    <t>Oneupvirus</t>
  </si>
  <si>
    <t>Picardvirus</t>
  </si>
  <si>
    <t>Psimunavirus psiM2</t>
  </si>
  <si>
    <t>Quhwahvirus</t>
  </si>
  <si>
    <t>Raleighvirus</t>
  </si>
  <si>
    <t>Rogerhendrixvirus</t>
  </si>
  <si>
    <t>Ronaldovirus</t>
  </si>
  <si>
    <t>Rowavirus</t>
  </si>
  <si>
    <t>Ruthyvirus</t>
  </si>
  <si>
    <t>Samwavirus</t>
  </si>
  <si>
    <t>Sansavirus</t>
  </si>
  <si>
    <t>Caulobacter virus Sansa</t>
  </si>
  <si>
    <t>Sashavirus</t>
  </si>
  <si>
    <t>Schnabeltiervirus</t>
  </si>
  <si>
    <t>Schubertvirus</t>
  </si>
  <si>
    <t>Seussvirus</t>
  </si>
  <si>
    <t>Sonalivirus</t>
  </si>
  <si>
    <t>Squashvirus</t>
  </si>
  <si>
    <t>Terapinvirus</t>
  </si>
  <si>
    <t>Tigunavirus</t>
  </si>
  <si>
    <t>Trinevirus</t>
  </si>
  <si>
    <t>Vashvirus</t>
  </si>
  <si>
    <t>Vojvodinavirus</t>
  </si>
  <si>
    <t>Bordetella virus CN1</t>
  </si>
  <si>
    <t>Bordetella virus CN2</t>
  </si>
  <si>
    <t>Bordetella virus FP1</t>
  </si>
  <si>
    <t>Bordetella virus MW2</t>
  </si>
  <si>
    <t>Yangvirus</t>
  </si>
  <si>
    <t>Zetavirus</t>
  </si>
  <si>
    <t>Monodnaviria</t>
  </si>
  <si>
    <t>Loebvirae</t>
  </si>
  <si>
    <t>Hofneiviricota</t>
  </si>
  <si>
    <t>Faserviricetes</t>
  </si>
  <si>
    <t>Tubulavirales</t>
  </si>
  <si>
    <t>Affertcholeramvirus</t>
  </si>
  <si>
    <t>Bifilivirus</t>
  </si>
  <si>
    <t>Capistrivirus</t>
  </si>
  <si>
    <t>Coriovirus</t>
  </si>
  <si>
    <t>2019.005G.zip</t>
  </si>
  <si>
    <t>Infulavirus</t>
  </si>
  <si>
    <t>Parhipatevirus</t>
  </si>
  <si>
    <t>Primolicivirus</t>
  </si>
  <si>
    <t>Psecadovirus</t>
  </si>
  <si>
    <t>Restivirus</t>
  </si>
  <si>
    <t>Scuticavirus</t>
  </si>
  <si>
    <t>Staminivirus</t>
  </si>
  <si>
    <t>Subteminivirus</t>
  </si>
  <si>
    <t>Tertilicivirus</t>
  </si>
  <si>
    <t>Thomixvirus</t>
  </si>
  <si>
    <t>Versovirus</t>
  </si>
  <si>
    <t>Vicialiavirus</t>
  </si>
  <si>
    <t>Villovirus</t>
  </si>
  <si>
    <t>Xylivirus</t>
  </si>
  <si>
    <t>Plectroviridae</t>
  </si>
  <si>
    <t>Suturavirus</t>
  </si>
  <si>
    <t>Sangervirae</t>
  </si>
  <si>
    <t>Phixviricota</t>
  </si>
  <si>
    <t>Malgrandaviricetes</t>
  </si>
  <si>
    <t>Petitvirales</t>
  </si>
  <si>
    <t>Shotokuvirae</t>
  </si>
  <si>
    <t>Cossaviricota</t>
  </si>
  <si>
    <t>Mouviricetes</t>
  </si>
  <si>
    <t>Polivirales</t>
  </si>
  <si>
    <t>Papovaviricetes</t>
  </si>
  <si>
    <t>Sepolyvirales</t>
  </si>
  <si>
    <t>Zurhausenvirales</t>
  </si>
  <si>
    <t>Quintoviricetes</t>
  </si>
  <si>
    <t>Piccovirales</t>
  </si>
  <si>
    <t>Aquambidensovirus</t>
  </si>
  <si>
    <t>Asteroid aquambidensovirus 1</t>
  </si>
  <si>
    <t>2019.010D.zip</t>
  </si>
  <si>
    <t>Decapod aquambidensovirus 1</t>
  </si>
  <si>
    <t>Blattambidensovirus</t>
  </si>
  <si>
    <t>Blattodean blattambidensovirus 1</t>
  </si>
  <si>
    <t>Hemiambidensovirus</t>
  </si>
  <si>
    <t>Hemipteran hemiambidensovirus 1</t>
  </si>
  <si>
    <t>Hemipteran hemiambidensovirus 2</t>
  </si>
  <si>
    <t>Miniambidensovirus</t>
  </si>
  <si>
    <t>Orthopteran miniambidensovirus 1</t>
  </si>
  <si>
    <t>Pefuambidensovirus</t>
  </si>
  <si>
    <t>Blattodean pefuambidensovirus 1</t>
  </si>
  <si>
    <t>Penstylhamaparvovirus</t>
  </si>
  <si>
    <t>Decapod penstylhamaparvovirus 1</t>
  </si>
  <si>
    <t>Protoambidensovirus</t>
  </si>
  <si>
    <t>Dipteran protoambidensovirus 1</t>
  </si>
  <si>
    <t>Lepidopteran protoambidensovirus 1</t>
  </si>
  <si>
    <t>Scindoambidensovirus</t>
  </si>
  <si>
    <t>Hemipteran scindoambidensovirus 1</t>
  </si>
  <si>
    <t>Hymenopteran scindoambidensovirus 1</t>
  </si>
  <si>
    <t>Orthopteran scindoambidensovirus 1</t>
  </si>
  <si>
    <t>Hamaparvovirinae</t>
  </si>
  <si>
    <t>Brevihamaparvovirus</t>
  </si>
  <si>
    <t>Dipteran brevihamaparvovirus 1</t>
  </si>
  <si>
    <t>Dipteran brevihamaparvovirus 2</t>
  </si>
  <si>
    <t>Chaphamaparvovirus</t>
  </si>
  <si>
    <t>Carnivore chaphamaparvovirus 1</t>
  </si>
  <si>
    <t>Chiropteran chaphamaparvovirus 1</t>
  </si>
  <si>
    <t>Galliform chaphamaparvovirus 1</t>
  </si>
  <si>
    <t>Galliform chaphamaparvovirus 2</t>
  </si>
  <si>
    <t>Galliform chaphamaparvovirus 3</t>
  </si>
  <si>
    <t>Rodent chaphamaparvovirus 1</t>
  </si>
  <si>
    <t>Rodent chaphamaparvovirus 2</t>
  </si>
  <si>
    <t>Ungulate chaphamaparvovirus 1</t>
  </si>
  <si>
    <t>Hepanhamaparvovirus</t>
  </si>
  <si>
    <t>Decapod hepanhamaparvovirus 1</t>
  </si>
  <si>
    <t>Ichthamaparvovirus</t>
  </si>
  <si>
    <t>Syngnathid ichthamaparvovirus 1</t>
  </si>
  <si>
    <t>Carnivore amdoparvovirus 5</t>
  </si>
  <si>
    <t>Artiparvovirus</t>
  </si>
  <si>
    <t>Chiropteran artiparvovirus 1</t>
  </si>
  <si>
    <t>Gruiform aveparvovirus 1</t>
  </si>
  <si>
    <t>Rodent bocaparvovirus 1</t>
  </si>
  <si>
    <t>Rodent bocaparvovirus 2</t>
  </si>
  <si>
    <t>Ungulate bocaparvovirus 7</t>
  </si>
  <si>
    <t>Ungulate bocaparvovirus 8</t>
  </si>
  <si>
    <t>Pinniped copiparvovirus 1</t>
  </si>
  <si>
    <t>Ungulate copiparvovirus 3</t>
  </si>
  <si>
    <t>Ungulate copiparvovirus 4</t>
  </si>
  <si>
    <t>Ungulate copiparvovirus 5</t>
  </si>
  <si>
    <t>Ungulate copiparvovirus 6</t>
  </si>
  <si>
    <t>Rodent dependoparvovirus 1</t>
  </si>
  <si>
    <t>Rodent dependoparvovirus 2</t>
  </si>
  <si>
    <t>Pinniped erythroparvovirus 1</t>
  </si>
  <si>
    <t>Loriparvovirus</t>
  </si>
  <si>
    <t>Primate loriparvovirus 1</t>
  </si>
  <si>
    <t>Primate protoparvovirus 4</t>
  </si>
  <si>
    <t>Cressdnaviricota</t>
  </si>
  <si>
    <t>Arfiviricetes</t>
  </si>
  <si>
    <t>Baphyvirales</t>
  </si>
  <si>
    <t>2019.012D.zip</t>
  </si>
  <si>
    <t>Cirlivirales</t>
  </si>
  <si>
    <t>Bat associated circovirus 12</t>
  </si>
  <si>
    <t>2019.002D.zip</t>
  </si>
  <si>
    <t>Civet circovirus</t>
  </si>
  <si>
    <t>Mosquito associated circovirus 1</t>
  </si>
  <si>
    <t>Rodent associated circovirus 7</t>
  </si>
  <si>
    <t>Ant associated cyclovirus 1</t>
  </si>
  <si>
    <t>Chicken associated cyclovirus 2</t>
  </si>
  <si>
    <t>Spider associated cyclovirus 1</t>
  </si>
  <si>
    <t>Cremevirales</t>
  </si>
  <si>
    <t>Mulpavirales</t>
  </si>
  <si>
    <t>Recrevirales</t>
  </si>
  <si>
    <t>Redondoviridae</t>
  </si>
  <si>
    <t>Torbevirus</t>
  </si>
  <si>
    <t>Brisavirus</t>
  </si>
  <si>
    <t>2019.011D.zip</t>
  </si>
  <si>
    <t>Vientovirus</t>
  </si>
  <si>
    <t>Repensiviricetes</t>
  </si>
  <si>
    <t>Geplafuvirales</t>
  </si>
  <si>
    <t>Ageratum leaf curl Sichuan virus</t>
  </si>
  <si>
    <t>2019.022P.zip</t>
  </si>
  <si>
    <t>Bitter gourd yellow mosaic virus</t>
  </si>
  <si>
    <t>Cowpea bright yellow mosaic virus</t>
  </si>
  <si>
    <t>Croton golden mosaic virus</t>
  </si>
  <si>
    <t>Emilia yellow vein Fujian virus</t>
  </si>
  <si>
    <t>Hibiscus golden mosaic virus</t>
  </si>
  <si>
    <t>Hollyhock yellow vein virus</t>
  </si>
  <si>
    <t>Malvastrum yellow vein Lahore virus</t>
  </si>
  <si>
    <t>Melon yellow mosaic virus</t>
  </si>
  <si>
    <t>Passionfruit leaf curl virus</t>
  </si>
  <si>
    <t>Pepper yellow leaf curl Aceh virus</t>
  </si>
  <si>
    <t>Sweet potato leaf curl Hubei virus</t>
  </si>
  <si>
    <t>Tobacco leaf curl Dominican Republic virus</t>
  </si>
  <si>
    <t>Tomato chlorotic leaf curl virus</t>
  </si>
  <si>
    <t>Tomato leaf curl Mahe virus</t>
  </si>
  <si>
    <t>Tomato twisted leaf virus</t>
  </si>
  <si>
    <t>Maize streak dwarfing virus</t>
  </si>
  <si>
    <t>2019.002P.zip</t>
  </si>
  <si>
    <t>Sesame curly top virus</t>
  </si>
  <si>
    <t>2019.001P.zip</t>
  </si>
  <si>
    <t>Trapavirae</t>
  </si>
  <si>
    <t>Saleviricota</t>
  </si>
  <si>
    <t>Huolimaviricetes</t>
  </si>
  <si>
    <t>Haloruvirales</t>
  </si>
  <si>
    <t>Alphapleolipovirus HHPV1</t>
  </si>
  <si>
    <t>2019.104B.zip</t>
  </si>
  <si>
    <t>Alphapleolipovirus HHPV2</t>
  </si>
  <si>
    <t>Alphapleolipovirus HRPV1</t>
  </si>
  <si>
    <t>Alphapleolipovirus HRPV2</t>
  </si>
  <si>
    <t>Alphapleolipovirus HRPV6</t>
  </si>
  <si>
    <t>Betapleolipovirus HGPV1</t>
  </si>
  <si>
    <t>Betapleolipovirus HHPV3</t>
  </si>
  <si>
    <t>2019.105B.zip</t>
  </si>
  <si>
    <t>Betapleolipovirus HHPV4</t>
  </si>
  <si>
    <t>Betapleolipovirus HRPV3</t>
  </si>
  <si>
    <t>Betapleolipovirus HRPV9</t>
  </si>
  <si>
    <t>Betapleolipovirus HRPV10</t>
  </si>
  <si>
    <t>Betapleolipovirus HRPV11</t>
  </si>
  <si>
    <t>Betapleolipovirus HRPV12</t>
  </si>
  <si>
    <t>Betapleolipovirus SNJ2</t>
  </si>
  <si>
    <t>Gammapleolipovirus His2</t>
  </si>
  <si>
    <t>Orthornavirae</t>
  </si>
  <si>
    <t>Duplornaviricota</t>
  </si>
  <si>
    <t>Chrymotiviricetes</t>
  </si>
  <si>
    <t>Ghabrivirales</t>
  </si>
  <si>
    <t>2019.006G.zip</t>
  </si>
  <si>
    <t>Resentoviricetes</t>
  </si>
  <si>
    <t>Reovirales</t>
  </si>
  <si>
    <t>Rotavirus J</t>
  </si>
  <si>
    <t>Colorado tick fever coltivirus</t>
  </si>
  <si>
    <t>Eyach coltivirus</t>
  </si>
  <si>
    <t>Kundal coltivirus</t>
  </si>
  <si>
    <t>Tai Forest coltivirus</t>
  </si>
  <si>
    <t>Tarumizu coltivirus</t>
  </si>
  <si>
    <t>Broome orthoreovirus</t>
  </si>
  <si>
    <t>Neoavian orthoreovirus</t>
  </si>
  <si>
    <t>Testudine orthoreovirus</t>
  </si>
  <si>
    <t>Vidaverviricetes</t>
  </si>
  <si>
    <t>Mindivirales</t>
  </si>
  <si>
    <t>Kitrinoviricota</t>
  </si>
  <si>
    <t>Alsuviricetes</t>
  </si>
  <si>
    <t>Hepelivirales</t>
  </si>
  <si>
    <t>Martellivirales</t>
  </si>
  <si>
    <t>Pistachio ampelovirus A</t>
  </si>
  <si>
    <t>2019.007P.zip</t>
  </si>
  <si>
    <t>Arracacha virus 1</t>
  </si>
  <si>
    <t>Blackcurrant closterovirus 1</t>
  </si>
  <si>
    <t>Rehmannia virus 1</t>
  </si>
  <si>
    <t>Agaricus bisporus alphaendornavirus 1</t>
  </si>
  <si>
    <t>2019.023P.zip</t>
  </si>
  <si>
    <t>Cluster bean alphaendornavirus 1</t>
  </si>
  <si>
    <t>Helianthus annuus alphaendornavirus</t>
  </si>
  <si>
    <t>Phaseolus vulgaris alphaendornavirus 3</t>
  </si>
  <si>
    <t>Rhizoctonia solani alphaendornavirus 2</t>
  </si>
  <si>
    <t>Rosellinia necatrix betaendornavirus 1</t>
  </si>
  <si>
    <t>Sclerotinia minor betaendornavirus 1</t>
  </si>
  <si>
    <t>Tea plant necrotic ring blotch virus</t>
  </si>
  <si>
    <t>2019.005P.zip</t>
  </si>
  <si>
    <t>Mayoviridae</t>
  </si>
  <si>
    <t>Pteridovirus</t>
  </si>
  <si>
    <t>Ravavirus</t>
  </si>
  <si>
    <t>Ribes americanum virus A</t>
  </si>
  <si>
    <t>Flasuviricetes</t>
  </si>
  <si>
    <t>Amarillovirales</t>
  </si>
  <si>
    <t>Magsaviricetes</t>
  </si>
  <si>
    <t>Nodamuvirales</t>
  </si>
  <si>
    <t>Sinhaliviridae</t>
  </si>
  <si>
    <t>Tolucaviricetes</t>
  </si>
  <si>
    <t>Tolivirales</t>
  </si>
  <si>
    <t>Birdsfoot trefoil enamovirus 1</t>
  </si>
  <si>
    <t>Apple associated luteovirus</t>
  </si>
  <si>
    <t>Apple luteovirus 1</t>
  </si>
  <si>
    <t>Red clover associated luteovirus</t>
  </si>
  <si>
    <t>Faba bean polerovirus 1</t>
  </si>
  <si>
    <t>Pumpkin polerovirus</t>
  </si>
  <si>
    <t>Lenarviricota</t>
  </si>
  <si>
    <t>Amabiliviricetes</t>
  </si>
  <si>
    <t>Wolframvirales</t>
  </si>
  <si>
    <t>Howeltoviricetes</t>
  </si>
  <si>
    <t>Cryppavirales</t>
  </si>
  <si>
    <t>Mitoviridae</t>
  </si>
  <si>
    <t>Miaviricetes</t>
  </si>
  <si>
    <t>Ourlivirales</t>
  </si>
  <si>
    <t>Hexartovirus</t>
  </si>
  <si>
    <t>Dianlovirus</t>
  </si>
  <si>
    <t>Mengla dianlovirus</t>
  </si>
  <si>
    <t>Bombali ebolavirus</t>
  </si>
  <si>
    <t>2019.007M.zip</t>
  </si>
  <si>
    <t>Hubramonavirus</t>
  </si>
  <si>
    <t>Avian orthoavulavirus 21</t>
  </si>
  <si>
    <t>Synodus synodonvirus</t>
  </si>
  <si>
    <t>2019.016M.zip</t>
  </si>
  <si>
    <t>Oncorhynchus aquaparamyxovirus</t>
  </si>
  <si>
    <t>2019.025M.zip</t>
  </si>
  <si>
    <t>Salmo aquaparamyxovirus</t>
  </si>
  <si>
    <t>Miniopteran jeilongvirus</t>
  </si>
  <si>
    <t>Squirrel respirovirus</t>
  </si>
  <si>
    <t>2019.019M.zip</t>
  </si>
  <si>
    <t>Mammalian orthorubulavirus 6</t>
  </si>
  <si>
    <t>Hervey pararubulavirus</t>
  </si>
  <si>
    <t>Cynoglossusvirus</t>
  </si>
  <si>
    <t>Cynoglossus cynoglossusvirus</t>
  </si>
  <si>
    <t>Hoplichthysvirus</t>
  </si>
  <si>
    <t>Hoplichthys hoplichthysvirus</t>
  </si>
  <si>
    <t>Scoliodonvirus</t>
  </si>
  <si>
    <t>Scoliodon scoliodonvirus</t>
  </si>
  <si>
    <t>Alphanucleorhabdovirus</t>
  </si>
  <si>
    <t>Arurhavirus</t>
  </si>
  <si>
    <t>Betanucleorhabdovirus</t>
  </si>
  <si>
    <t>Gammanucleorhabdovirus</t>
  </si>
  <si>
    <t>Mousrhavirus</t>
  </si>
  <si>
    <t>Ohlsrhavirus</t>
  </si>
  <si>
    <t>Sunrhavirus</t>
  </si>
  <si>
    <t>Muikkunen hartmanivirus</t>
  </si>
  <si>
    <t>2019.008M.zip</t>
  </si>
  <si>
    <t>Schoolhouse hartmanivirus</t>
  </si>
  <si>
    <t>Zurich hartmanivirus</t>
  </si>
  <si>
    <t>Alxa mammarenavirus</t>
  </si>
  <si>
    <t>2019.020M.zip</t>
  </si>
  <si>
    <t>Chevrier mammarenavirus</t>
  </si>
  <si>
    <t>2019.009M.zip</t>
  </si>
  <si>
    <t>Planalto mammarenavirus</t>
  </si>
  <si>
    <t>2019.010M.zip</t>
  </si>
  <si>
    <t>Xapuri mammarenavirus</t>
  </si>
  <si>
    <t>2019.005M.zip</t>
  </si>
  <si>
    <t>Brno loanvirus</t>
  </si>
  <si>
    <t>2019.017M.zip</t>
  </si>
  <si>
    <t>Caimito pacuvirus</t>
  </si>
  <si>
    <t>2019.022M.zip</t>
  </si>
  <si>
    <t>Chilibre pacuvirus</t>
  </si>
  <si>
    <t>Anopheles orthophasmavirus</t>
  </si>
  <si>
    <t>2019.028M.zip</t>
  </si>
  <si>
    <t>Bandavirus</t>
  </si>
  <si>
    <t>Bhanja bandavirus</t>
  </si>
  <si>
    <t>2019.026M.zip</t>
  </si>
  <si>
    <t>Dabie bandavirus</t>
  </si>
  <si>
    <t>2019.015M.zip</t>
  </si>
  <si>
    <t>Guertu bandavirus</t>
  </si>
  <si>
    <t>Heartland bandavirus</t>
  </si>
  <si>
    <t>Hunter Island bandavirus</t>
  </si>
  <si>
    <t>Kismaayo bandavirus</t>
  </si>
  <si>
    <t>Coguvirus eburi</t>
  </si>
  <si>
    <t>2019.004P.zip</t>
  </si>
  <si>
    <t>Entovirus</t>
  </si>
  <si>
    <t>Entoleuca entovirus</t>
  </si>
  <si>
    <t>Ixovirus</t>
  </si>
  <si>
    <t>Blackleg ixovirus</t>
  </si>
  <si>
    <t>Norway ixovirus</t>
  </si>
  <si>
    <t>Scapularis ixovirus</t>
  </si>
  <si>
    <t>Lentinuvirus</t>
  </si>
  <si>
    <t>Lentinula lentinuvirus</t>
  </si>
  <si>
    <t>Dipteran phasivirus</t>
  </si>
  <si>
    <t>Fly phasivirus</t>
  </si>
  <si>
    <t>Adana phlebovirus</t>
  </si>
  <si>
    <t>Aguacate phlebovirus</t>
  </si>
  <si>
    <t>Alcube phlebovirus</t>
  </si>
  <si>
    <t>Alenquer phlebovirus</t>
  </si>
  <si>
    <t>Ambe phlebovirus</t>
  </si>
  <si>
    <t>Anhanga phlebovirus</t>
  </si>
  <si>
    <t>Arumowot phlebovirus</t>
  </si>
  <si>
    <t>Buenaventura phlebovirus</t>
  </si>
  <si>
    <t>Cacao phlebovirus</t>
  </si>
  <si>
    <t>Campana phlebovirus</t>
  </si>
  <si>
    <t>Chagres phlebovirus</t>
  </si>
  <si>
    <t>Cocle phlebovirus</t>
  </si>
  <si>
    <t>Dashli phlebovirus</t>
  </si>
  <si>
    <t>Durania phlebovirus</t>
  </si>
  <si>
    <t>Echarate phlebovirus</t>
  </si>
  <si>
    <t>Gabek phlebovirus</t>
  </si>
  <si>
    <t>Gordil phlebovirus</t>
  </si>
  <si>
    <t>Icoaraci phlebovirus</t>
  </si>
  <si>
    <t>Itaituba phlebovirus</t>
  </si>
  <si>
    <t>Itaporanga phlebovirus</t>
  </si>
  <si>
    <t>Ixcanal phlebovirus</t>
  </si>
  <si>
    <t>Karimabad phlebovirus</t>
  </si>
  <si>
    <t>La Gloria phlebovirus</t>
  </si>
  <si>
    <t>Lara phlebovirus</t>
  </si>
  <si>
    <t>Leticia phlebovirus</t>
  </si>
  <si>
    <t>Maldonado phlebovirus</t>
  </si>
  <si>
    <t>Massilia phlebovirus</t>
  </si>
  <si>
    <t>Medjerda phlebovirus</t>
  </si>
  <si>
    <t>Mona Grita phlebovirus</t>
  </si>
  <si>
    <t>Munguba phlebovirus</t>
  </si>
  <si>
    <t>Naples phlebovirus</t>
  </si>
  <si>
    <t>Nique phlebovirus</t>
  </si>
  <si>
    <t>Ntepes phlebovirus</t>
  </si>
  <si>
    <t>Odrenisrou phlebovirus</t>
  </si>
  <si>
    <t>Oriximina phlebovirus</t>
  </si>
  <si>
    <t>Pena Blanca phlebovirus</t>
  </si>
  <si>
    <t>Punique phlebovirus</t>
  </si>
  <si>
    <t>Rio Grande phlebovirus</t>
  </si>
  <si>
    <t>Saint Floris phlebovirus</t>
  </si>
  <si>
    <t>Salanga phlebovirus</t>
  </si>
  <si>
    <t>Sicilian phlebovirus</t>
  </si>
  <si>
    <t>Tapara phlebovirus</t>
  </si>
  <si>
    <t>Tehran phlebovirus</t>
  </si>
  <si>
    <t>Toros phlebovirus</t>
  </si>
  <si>
    <t>Toscana phlebovirus</t>
  </si>
  <si>
    <t>Tres Almendras phlebovirus</t>
  </si>
  <si>
    <t>Turuna phlebovirus</t>
  </si>
  <si>
    <t>Uriurana phlebovirus</t>
  </si>
  <si>
    <t>Urucuri phlebovirus</t>
  </si>
  <si>
    <t>Viola phlebovirus</t>
  </si>
  <si>
    <t>Zerdali phlebovirus</t>
  </si>
  <si>
    <t>Rubodvirus</t>
  </si>
  <si>
    <t>Apple rubodvirus 1</t>
  </si>
  <si>
    <t>Apple rubodvirus 2</t>
  </si>
  <si>
    <t>Melon tenuivirus</t>
  </si>
  <si>
    <t>Uukuvirus</t>
  </si>
  <si>
    <t>American dog uukuvirus</t>
  </si>
  <si>
    <t>Dabieshan uukuvirus</t>
  </si>
  <si>
    <t>Grand Arbaud uukuvirus</t>
  </si>
  <si>
    <t>Huangpi uukuvirus</t>
  </si>
  <si>
    <t>Kabuto mountain uukuvirus</t>
  </si>
  <si>
    <t>Kaisodi uukuvirus</t>
  </si>
  <si>
    <t>Lihan uukuvirus</t>
  </si>
  <si>
    <t>Murre uukuvirus</t>
  </si>
  <si>
    <t>Pacific coast uukuvirus</t>
  </si>
  <si>
    <t>Precarious Point uukuvirus</t>
  </si>
  <si>
    <t>Rukutama uukuvirus</t>
  </si>
  <si>
    <t>Schmidt uukuvirus</t>
  </si>
  <si>
    <t>Silverwater uukuvirus</t>
  </si>
  <si>
    <t>Tacheng uukuvirus</t>
  </si>
  <si>
    <t>Uukuniemi uukuvirus</t>
  </si>
  <si>
    <t>Yongjia uukuvirus</t>
  </si>
  <si>
    <t>Zaliv Terpeniya uukuvirus</t>
  </si>
  <si>
    <t>Alstroemeria necrotic streak orthotospovirus</t>
  </si>
  <si>
    <t>2019.006P.zip</t>
  </si>
  <si>
    <t>Alstroemeria yellow spot orthotospovirus</t>
  </si>
  <si>
    <t>Groundnut bud necrosis orthotospovirus</t>
  </si>
  <si>
    <t>Groundnut chlorotic fan spot orthotospovirus</t>
  </si>
  <si>
    <t>Groundnut ringspot orthotospovirus</t>
  </si>
  <si>
    <t>Groundnut yellow spot orthotospovirus</t>
  </si>
  <si>
    <t>Hippeastrum chlorotic ringspot orthotospovirus</t>
  </si>
  <si>
    <t>Impatiens necrotic spot orthotospovirus</t>
  </si>
  <si>
    <t>Iris yellow spot orthotospovirus</t>
  </si>
  <si>
    <t>Mulberry vein banding associated orthotospovirus</t>
  </si>
  <si>
    <t>Pepper chlorotic spot orthotospovirus</t>
  </si>
  <si>
    <t>Polygonum ringspot orthotospovirus</t>
  </si>
  <si>
    <t>Tomato chlorotic spot orthotospovirus</t>
  </si>
  <si>
    <t>Tomato spotted wilt orthotospovirus</t>
  </si>
  <si>
    <t>Tomato yellow ring orthotospovirus</t>
  </si>
  <si>
    <t>Tomato zonate spot orthotospovirus</t>
  </si>
  <si>
    <t>Watermelon bud necrosis orthotospovirus</t>
  </si>
  <si>
    <t>Watermelon silver mottle orthotospovirus</t>
  </si>
  <si>
    <t>Zucchini lethal chlorosis orthotospovirus</t>
  </si>
  <si>
    <t>Pisuviricota</t>
  </si>
  <si>
    <t>Duplopiviricetes</t>
  </si>
  <si>
    <t>Durnavirales</t>
  </si>
  <si>
    <t>Pisoniviricetes</t>
  </si>
  <si>
    <t>Iotaarterivirus pejah</t>
  </si>
  <si>
    <t>2019.020S-023S.zip</t>
  </si>
  <si>
    <t>Betaarterivirus sheoin</t>
  </si>
  <si>
    <t>Betaarterivirus timiclar</t>
  </si>
  <si>
    <t>Nuarterivirus</t>
  </si>
  <si>
    <t>Nuarterivirus guemel</t>
  </si>
  <si>
    <t>Cremegaviridae</t>
  </si>
  <si>
    <t>Rodepovirinae</t>
  </si>
  <si>
    <t>Pontunivirus</t>
  </si>
  <si>
    <t>Chinturpovirus 1</t>
  </si>
  <si>
    <t>Gresnaviridae</t>
  </si>
  <si>
    <t>Reternivirinae</t>
  </si>
  <si>
    <t>Cyclophivirus</t>
  </si>
  <si>
    <t>Ptyasnivirus 1</t>
  </si>
  <si>
    <t>Olifoviridae</t>
  </si>
  <si>
    <t>Gofosavirinae</t>
  </si>
  <si>
    <t>Kukrinivirus</t>
  </si>
  <si>
    <t>Oligodon snake nidovirus 1</t>
  </si>
  <si>
    <t>Pipistrellus kuhlii coronavirus 3398</t>
  </si>
  <si>
    <t>Soracovirus</t>
  </si>
  <si>
    <t>Sorex araneus coronavirus T14</t>
  </si>
  <si>
    <t>Sunacovirus</t>
  </si>
  <si>
    <t>Suncus murinus coronavirus X74</t>
  </si>
  <si>
    <t>Myodes coronavirus 2JL14</t>
  </si>
  <si>
    <t>Eidolon bat coronavirus C704</t>
  </si>
  <si>
    <t>Brangacovirus</t>
  </si>
  <si>
    <t>Goose coronavirus CB17</t>
  </si>
  <si>
    <t>Avian coronavirus 9203</t>
  </si>
  <si>
    <t>Duck coronavirus 2714</t>
  </si>
  <si>
    <t>Alphamesonivirus 10</t>
  </si>
  <si>
    <t>Nanidovirineae</t>
  </si>
  <si>
    <t>Nanghoshaviridae</t>
  </si>
  <si>
    <t>Chimanivirinae</t>
  </si>
  <si>
    <t>Chimshavirus</t>
  </si>
  <si>
    <t>Nangarvirus 1</t>
  </si>
  <si>
    <t>Nanhypoviridae</t>
  </si>
  <si>
    <t>Hyporhamsavirinae</t>
  </si>
  <si>
    <t>Sajorinivirus</t>
  </si>
  <si>
    <t>Halfbeak nidovirus 1</t>
  </si>
  <si>
    <t>Okavirus 1</t>
  </si>
  <si>
    <t>Hepoptovirus</t>
  </si>
  <si>
    <t>Hebius tobanivirus 1</t>
  </si>
  <si>
    <t>Lyctovirus</t>
  </si>
  <si>
    <t>Rebatovirus</t>
  </si>
  <si>
    <t>Lycodon tobanivirus 1</t>
  </si>
  <si>
    <t>Morelia tobanivirus 1</t>
  </si>
  <si>
    <t>Snaturtovirus</t>
  </si>
  <si>
    <t>Berisnavirus 1</t>
  </si>
  <si>
    <t>Anativirus B</t>
  </si>
  <si>
    <t>Boosepivirus</t>
  </si>
  <si>
    <t>Boosepivirus A</t>
  </si>
  <si>
    <t>Boosepivirus B</t>
  </si>
  <si>
    <t>Boosepivirus C</t>
  </si>
  <si>
    <t>Cardiovirus D</t>
  </si>
  <si>
    <t>Cardiovirus E</t>
  </si>
  <si>
    <t>Cardiovirus F</t>
  </si>
  <si>
    <t>Crahelivirus</t>
  </si>
  <si>
    <t>Crahelivirus A</t>
  </si>
  <si>
    <t>Diresapivirus</t>
  </si>
  <si>
    <t>Diresapivirus A</t>
  </si>
  <si>
    <t>Diresapivirus B</t>
  </si>
  <si>
    <t>Felipivirus</t>
  </si>
  <si>
    <t>Felipivirus A</t>
  </si>
  <si>
    <t>Fipivirus</t>
  </si>
  <si>
    <t>Fipivirus A</t>
  </si>
  <si>
    <t>Fipivirus B</t>
  </si>
  <si>
    <t>Fipivirus C</t>
  </si>
  <si>
    <t>Fipivirus D</t>
  </si>
  <si>
    <t>Fipivirus E</t>
  </si>
  <si>
    <t>Gruhelivirus</t>
  </si>
  <si>
    <t>Gruhelivirus A</t>
  </si>
  <si>
    <t>Grusopivirus</t>
  </si>
  <si>
    <t>Grusopivirus A</t>
  </si>
  <si>
    <t>Grusopivirus B</t>
  </si>
  <si>
    <t>Hemipivirus</t>
  </si>
  <si>
    <t>Hemipivirus A</t>
  </si>
  <si>
    <t>Ludopivirus</t>
  </si>
  <si>
    <t>Ludopivirus A</t>
  </si>
  <si>
    <t>Mosavirus B</t>
  </si>
  <si>
    <t>Mupivirus</t>
  </si>
  <si>
    <t>Mupivirus A</t>
  </si>
  <si>
    <t>Myrropivirus</t>
  </si>
  <si>
    <t>Myrropivirus A</t>
  </si>
  <si>
    <t>Parabovirus</t>
  </si>
  <si>
    <t>Parabovirus A</t>
  </si>
  <si>
    <t>Parabovirus B</t>
  </si>
  <si>
    <t>Parabovirus C</t>
  </si>
  <si>
    <t>Parechovirus E</t>
  </si>
  <si>
    <t>Parechovirus F</t>
  </si>
  <si>
    <t>Pemapivirus</t>
  </si>
  <si>
    <t>Pemapivirus A</t>
  </si>
  <si>
    <t>Potamipivirus B</t>
  </si>
  <si>
    <t>Rafivirus C</t>
  </si>
  <si>
    <t>Rohelivirus</t>
  </si>
  <si>
    <t>Rohelivirus A</t>
  </si>
  <si>
    <t>Symapivirus</t>
  </si>
  <si>
    <t>Symapivirus A</t>
  </si>
  <si>
    <t>Teschovirus B</t>
  </si>
  <si>
    <t>Tremovirus B</t>
  </si>
  <si>
    <t>Tropivirus</t>
  </si>
  <si>
    <t>Tropivirus A</t>
  </si>
  <si>
    <t>Cholivirus</t>
  </si>
  <si>
    <t>2019.008P.zip</t>
  </si>
  <si>
    <t>Satsumavirus</t>
  </si>
  <si>
    <t>Stramovirus</t>
  </si>
  <si>
    <t>Sobelivirales</t>
  </si>
  <si>
    <t>Stelpaviricetes</t>
  </si>
  <si>
    <t>Patatavirales</t>
  </si>
  <si>
    <t>Arepavirus</t>
  </si>
  <si>
    <t>Areca palm necrotic ringspot virus</t>
  </si>
  <si>
    <t>2019.019P.zip</t>
  </si>
  <si>
    <t>Areca palm necrotic spindle-spot virus</t>
  </si>
  <si>
    <t>Celavirus</t>
  </si>
  <si>
    <t>Celery latent virus</t>
  </si>
  <si>
    <t>Alpinia oxyphylla mosaic virus</t>
  </si>
  <si>
    <t>2019.017P.zip</t>
  </si>
  <si>
    <t>Yam chlorotic necrosis virus</t>
  </si>
  <si>
    <t>Dendrobium chlorotic mosaic virus</t>
  </si>
  <si>
    <t>2019.016P.zip</t>
  </si>
  <si>
    <t>Dioscorea mosaic virus</t>
  </si>
  <si>
    <t>East Asian Passiflora distortion virus</t>
  </si>
  <si>
    <t>Gomphocarpus mosaic virus</t>
  </si>
  <si>
    <t>Lily virus Y</t>
  </si>
  <si>
    <t>Mashua virus Y</t>
  </si>
  <si>
    <t>Platycodon mild mottle virus</t>
  </si>
  <si>
    <t>Potato yellow blotch virus</t>
  </si>
  <si>
    <t>Passiflora edulis symptomless virus</t>
  </si>
  <si>
    <t>2019.018P.zip</t>
  </si>
  <si>
    <t>Stellavirales</t>
  </si>
  <si>
    <t>Lates calcarifer birnavirus</t>
  </si>
  <si>
    <t>2018.018M.zip</t>
  </si>
  <si>
    <t>Dronavirus</t>
  </si>
  <si>
    <t>Drosophina B birnavirus</t>
  </si>
  <si>
    <t>Mosquito X virus</t>
  </si>
  <si>
    <t>Ronavirus</t>
  </si>
  <si>
    <t>Rotifer birnavirus</t>
  </si>
  <si>
    <t>Telnavirus</t>
  </si>
  <si>
    <t>Tellina virus 1</t>
  </si>
  <si>
    <t>Pararnavirae</t>
  </si>
  <si>
    <t>Artverviricota</t>
  </si>
  <si>
    <t>Revtraviricetes</t>
  </si>
  <si>
    <t>Blubervirales</t>
  </si>
  <si>
    <t>Herpetohepadnavirus</t>
  </si>
  <si>
    <t>Metahepadnavirus</t>
  </si>
  <si>
    <t>Chinese shrew hepatitis B virus</t>
  </si>
  <si>
    <t>2019.007D.zip</t>
  </si>
  <si>
    <t>Domestic cat hepatitis B virus</t>
  </si>
  <si>
    <t>Tai Forest hepatitis B virus</t>
  </si>
  <si>
    <t>Parahepadnavirus</t>
  </si>
  <si>
    <t>Codonopsis vein clearing virus</t>
  </si>
  <si>
    <t>2019.015P.zip</t>
  </si>
  <si>
    <t>Grapevine badnavirus 1</t>
  </si>
  <si>
    <t>Dioscovirus</t>
  </si>
  <si>
    <t>Dioscorea nummularia associated virus</t>
  </si>
  <si>
    <t>Vaccinivirus</t>
  </si>
  <si>
    <t>Blueberry fruit drop associated virus</t>
  </si>
  <si>
    <t>Polymycoviridae</t>
  </si>
  <si>
    <t>Polymycovirus</t>
  </si>
  <si>
    <t>Aspergillus fumigatus polymycovirus 1</t>
  </si>
  <si>
    <t>2019.002F.zip</t>
  </si>
  <si>
    <t>Aspergillus spelaeus polymycovirus 1</t>
  </si>
  <si>
    <t>Beauveria bassiana polymycovirus 1</t>
  </si>
  <si>
    <t>Botryoshaeria dothidea polymycovirus 1</t>
  </si>
  <si>
    <t>Cladosporium cladosporioides polymycovirus 1</t>
  </si>
  <si>
    <t>Colletotrichum camelliae polymycovirus 1</t>
  </si>
  <si>
    <t>Fusarium redolens polymycovirus 1</t>
  </si>
  <si>
    <t>Magnaporthe oryzae polymycovirus 1</t>
  </si>
  <si>
    <t>Penicillium digitatum polymycovirus 1</t>
  </si>
  <si>
    <t>Penicillum brevicompactum polymycovirus 1</t>
  </si>
  <si>
    <t>Varidnaviria</t>
  </si>
  <si>
    <t>Bamfordvirae</t>
  </si>
  <si>
    <t>Nucleocytoviricota</t>
  </si>
  <si>
    <t>Megaviricetes</t>
  </si>
  <si>
    <t>Algavirales</t>
  </si>
  <si>
    <t>2019.003G.zip</t>
  </si>
  <si>
    <t>Imitervirales</t>
  </si>
  <si>
    <t>Pimascovirales</t>
  </si>
  <si>
    <t>Pokkesviricetes</t>
  </si>
  <si>
    <t>Asfuvirales</t>
  </si>
  <si>
    <t>Chitovirales</t>
  </si>
  <si>
    <t>Flamingopox virus</t>
  </si>
  <si>
    <t>2019.005D.zip</t>
  </si>
  <si>
    <t>Penguinpox virus</t>
  </si>
  <si>
    <t>Murmansk microtuspox virus</t>
  </si>
  <si>
    <t>Macropopoxvirus</t>
  </si>
  <si>
    <t>Eastern kangaroopox virus</t>
  </si>
  <si>
    <t>Western kangaroopox virus</t>
  </si>
  <si>
    <t>Mustelpoxvirus</t>
  </si>
  <si>
    <t>Sea otterpox virus</t>
  </si>
  <si>
    <t>Abatino macacapox virus</t>
  </si>
  <si>
    <t>Akhmeta virus</t>
  </si>
  <si>
    <t>Oryzopoxvirus</t>
  </si>
  <si>
    <t>Cotia virus</t>
  </si>
  <si>
    <t>Grey sealpox virus</t>
  </si>
  <si>
    <t>Red deerpox virus</t>
  </si>
  <si>
    <t>Pteropopoxvirus</t>
  </si>
  <si>
    <t>Salmonpoxvirus</t>
  </si>
  <si>
    <t>Salmon gillpox virus</t>
  </si>
  <si>
    <t>Sciuripoxvirus</t>
  </si>
  <si>
    <t>Vespertilionpoxvirus</t>
  </si>
  <si>
    <t>Eptesipox virus</t>
  </si>
  <si>
    <t>Deltaentomopoxvirus</t>
  </si>
  <si>
    <t>Preplasmiviricota</t>
  </si>
  <si>
    <t>Maveriviricetes</t>
  </si>
  <si>
    <t>Priklausovirales</t>
  </si>
  <si>
    <t>Tectiliviricetes</t>
  </si>
  <si>
    <t>Belfryvirales</t>
  </si>
  <si>
    <t>Kalamavirales</t>
  </si>
  <si>
    <t>Rowavirales</t>
  </si>
  <si>
    <t>Psittacine aviadenovirus C</t>
  </si>
  <si>
    <t>2019.006D.zip</t>
  </si>
  <si>
    <t>Bat mastadenovirus H</t>
  </si>
  <si>
    <t>Bat mastadenovirus I</t>
  </si>
  <si>
    <t>Bat mastadenovirus J</t>
  </si>
  <si>
    <t>Ovine mastadenovirus C</t>
  </si>
  <si>
    <t>Polar bear mastadenovirus A</t>
  </si>
  <si>
    <t>Vinavirales</t>
  </si>
  <si>
    <t>Helvetiavirae</t>
  </si>
  <si>
    <t>Dividoviricota</t>
  </si>
  <si>
    <t>Laserviricetes</t>
  </si>
  <si>
    <t>Halopanivirales</t>
  </si>
  <si>
    <t>Alphalipothrixvirus</t>
  </si>
  <si>
    <t>Alphalipothrixvirus SBFV2</t>
  </si>
  <si>
    <t>Alphalipothrixvirus SFV1</t>
  </si>
  <si>
    <t>Deltalipothrixvirus SBFV3</t>
  </si>
  <si>
    <t>Ash gourd yellow vein mosaic alphasatellite</t>
  </si>
  <si>
    <t>2019.009P.zip</t>
  </si>
  <si>
    <t>Capsicum India alphasatellite</t>
  </si>
  <si>
    <t>Tomato leaf curl New Delhi alphasatellite</t>
  </si>
  <si>
    <t>Tomato leaf curl Virudhunagar alphasatellite</t>
  </si>
  <si>
    <t>Tomato leaf curl Pakistan alphasatellite</t>
  </si>
  <si>
    <t>Eclipta yellow vein alphasatellite</t>
  </si>
  <si>
    <t>Cow vetch latent alphasatellite</t>
  </si>
  <si>
    <t>Faba bean necrotic yellows alphasatellite 3</t>
  </si>
  <si>
    <t>2019.009G.zip</t>
  </si>
  <si>
    <t>Apple hammerhead viroid</t>
  </si>
  <si>
    <t>2019.026P.zip</t>
  </si>
  <si>
    <t>Condylorrhiza vestigialis nucleopolyhedrovirus</t>
  </si>
  <si>
    <t>Cryptophlebia peltastica nucleopolyhedrovirus</t>
  </si>
  <si>
    <t>Cyclophragma undans nucleopolyhedrovirus</t>
  </si>
  <si>
    <t>Hyposidra talaca nucleopolyhedrovirus</t>
  </si>
  <si>
    <t>Mythimna unipuncta nucleopolyhedrovirus A</t>
  </si>
  <si>
    <t>Mythimna unipuncta nucleopolyhedrovirus B</t>
  </si>
  <si>
    <t>Spodoptera eridania nucleopolyhedrovirus</t>
  </si>
  <si>
    <t>Spodoptera exempta nucleopolyhedrovirus</t>
  </si>
  <si>
    <t>Urbanus proteus nucleopolyhedrovirus</t>
  </si>
  <si>
    <t>Finnlakeviridae</t>
  </si>
  <si>
    <t>Finnlakevirus</t>
  </si>
  <si>
    <t>Halspiviridae</t>
  </si>
  <si>
    <t>Salterprovirus His1</t>
  </si>
  <si>
    <t>Glossina hytrosavirus</t>
  </si>
  <si>
    <t>Musca hytrosavirus</t>
  </si>
  <si>
    <t>Alphaportoglobovirus SPV2</t>
  </si>
  <si>
    <t>2019.107B.zip</t>
  </si>
  <si>
    <t>Thaspiviridae</t>
  </si>
  <si>
    <t>Nitmarvirus</t>
  </si>
  <si>
    <t>Nitmarvirus NSV1</t>
  </si>
  <si>
    <t>Barhavirus</t>
  </si>
  <si>
    <t>Lostrhavirus</t>
  </si>
  <si>
    <t>Sawgrhavirus</t>
  </si>
  <si>
    <t>Zarhavirus</t>
  </si>
  <si>
    <t>Adnaviria</t>
  </si>
  <si>
    <t>Zilligvirae</t>
  </si>
  <si>
    <t>Taleaviricota</t>
  </si>
  <si>
    <t>Tokiviricetes</t>
  </si>
  <si>
    <t>2020.186B.R.Adnaviria.zip</t>
  </si>
  <si>
    <t>Azorudivirus</t>
  </si>
  <si>
    <t>Azorudivirus SRV</t>
  </si>
  <si>
    <t>2020.141B.R.Rudiviridae.zip</t>
  </si>
  <si>
    <t>Hoswirudivirus</t>
  </si>
  <si>
    <t>Hoswirudivirus ARV2</t>
  </si>
  <si>
    <t>Hoswirudivirus ARV3</t>
  </si>
  <si>
    <t>Hoswirudivirus MRV1</t>
  </si>
  <si>
    <t>Hoswirudivirus SSRV1</t>
  </si>
  <si>
    <t>Icerudivirus</t>
  </si>
  <si>
    <t>Icerudivirus SIRV1</t>
  </si>
  <si>
    <t>Icerudivirus SIRV2</t>
  </si>
  <si>
    <t>Icerudivirus SIRV3</t>
  </si>
  <si>
    <t>Itarudivirus</t>
  </si>
  <si>
    <t>Itarudivirus ARV1</t>
  </si>
  <si>
    <t>Japarudivirus</t>
  </si>
  <si>
    <t>Japarudivirus SBRV1</t>
  </si>
  <si>
    <t>Mexirudivirus</t>
  </si>
  <si>
    <t>Mexirudivirus SMRV1</t>
  </si>
  <si>
    <t>Usarudivirus</t>
  </si>
  <si>
    <t>Usarudivirus SIRV4</t>
  </si>
  <si>
    <t>Usarudivirus SIRV5</t>
  </si>
  <si>
    <t>Usarudivirus SIRV8</t>
  </si>
  <si>
    <t>Usarudivirus SIRV9</t>
  </si>
  <si>
    <t>Usarudivirus SIRV10</t>
  </si>
  <si>
    <t>Usarudivirus SIRV11</t>
  </si>
  <si>
    <t>Primavirales</t>
  </si>
  <si>
    <t>Alphatristromavirus PFV1</t>
  </si>
  <si>
    <t>2020.168B.R.Tristromaviridae.zip</t>
  </si>
  <si>
    <t>Alphatristromavirus PFV2</t>
  </si>
  <si>
    <t>Betatristromavirus</t>
  </si>
  <si>
    <t>Betatristromavirus TTV1</t>
  </si>
  <si>
    <t>Macacine alphaherpesvirus 2</t>
  </si>
  <si>
    <t>2020.002D.R.Herpesviridae_2nsp.zip</t>
  </si>
  <si>
    <t>Macacine alphaherpesvirus 3</t>
  </si>
  <si>
    <t>Cervid alphaherpesvirus 3</t>
  </si>
  <si>
    <t>2020.007D.R.Herpesviridae_4ngen_6nsp.zip</t>
  </si>
  <si>
    <t>Quwivirus</t>
  </si>
  <si>
    <t>Miniopterid betaherpesvirus 1</t>
  </si>
  <si>
    <t>Bossavirus</t>
  </si>
  <si>
    <t>Delphinid gammaherpesvirus 1</t>
  </si>
  <si>
    <t>Manticavirus</t>
  </si>
  <si>
    <t>Phascolarctid gammaherpesvirus 1</t>
  </si>
  <si>
    <t>Vombatid gammaherpesvirus 1</t>
  </si>
  <si>
    <t>Patagivirus</t>
  </si>
  <si>
    <t>Vespertilionid gammaherpesvirus 3</t>
  </si>
  <si>
    <t>Campanilevirus</t>
  </si>
  <si>
    <t>Kujavirus</t>
  </si>
  <si>
    <t>Miltonvirus</t>
  </si>
  <si>
    <t>Nezavisimistyvirus</t>
  </si>
  <si>
    <t>Tedavirus</t>
  </si>
  <si>
    <t>Vapseptimavirus</t>
  </si>
  <si>
    <t>Warsawvirus</t>
  </si>
  <si>
    <t>Anchaingvirus</t>
  </si>
  <si>
    <t>Cleopatravirinae</t>
  </si>
  <si>
    <t>Myducvirus</t>
  </si>
  <si>
    <t>Sabourvirus</t>
  </si>
  <si>
    <t>Nefertitivirinae</t>
  </si>
  <si>
    <t>Veterinaerplatzvirus</t>
  </si>
  <si>
    <t>Changchunvirus</t>
  </si>
  <si>
    <t>Henuseptimavirus</t>
  </si>
  <si>
    <t>Hicfunavirus</t>
  </si>
  <si>
    <t>Jhansiroadvirus</t>
  </si>
  <si>
    <t>Kyungwonvirus</t>
  </si>
  <si>
    <t>Guelinviridae</t>
  </si>
  <si>
    <t>Denniswatsonvirinae</t>
  </si>
  <si>
    <t>Capvunavirus</t>
  </si>
  <si>
    <t>Gregsiragusavirus</t>
  </si>
  <si>
    <t>Brucesealvirus</t>
  </si>
  <si>
    <t>Susfortunavirus</t>
  </si>
  <si>
    <t>Eldridgevirus</t>
  </si>
  <si>
    <t>Goettingenvirus</t>
  </si>
  <si>
    <t>Grisebachstrassevirus</t>
  </si>
  <si>
    <t>Jeonjuvirus</t>
  </si>
  <si>
    <t>Matervirus</t>
  </si>
  <si>
    <t>Moonbeamvirus</t>
  </si>
  <si>
    <t>Siophivirus</t>
  </si>
  <si>
    <t>Elpedvirus</t>
  </si>
  <si>
    <t>Hopescreekvirus</t>
  </si>
  <si>
    <t>Mooreparkvirus</t>
  </si>
  <si>
    <t>Salchichonvirus</t>
  </si>
  <si>
    <t>Tybeckvirus</t>
  </si>
  <si>
    <t>Watanabevirus</t>
  </si>
  <si>
    <t>Emmerichvirinae</t>
  </si>
  <si>
    <t>Ceceduovirus</t>
  </si>
  <si>
    <t>Ishigurovirus</t>
  </si>
  <si>
    <t>Gorgonvirinae</t>
  </si>
  <si>
    <t>Irrigatiovirus</t>
  </si>
  <si>
    <t>Novemvirus</t>
  </si>
  <si>
    <t>Reipivirus</t>
  </si>
  <si>
    <t>Vimunumvirus</t>
  </si>
  <si>
    <t>Yongunavirus</t>
  </si>
  <si>
    <t>Pseudotevenvirus</t>
  </si>
  <si>
    <t>Shigella virus SHBML-50-1</t>
  </si>
  <si>
    <t>Twarogvirinae</t>
  </si>
  <si>
    <t>Acajnonavirus</t>
  </si>
  <si>
    <t>Hadassahvirus</t>
  </si>
  <si>
    <t>Lasallevirus</t>
  </si>
  <si>
    <t>Acinetobacter virus Acj61</t>
  </si>
  <si>
    <t>Lazarusvirus</t>
  </si>
  <si>
    <t>Zedzedvirus</t>
  </si>
  <si>
    <t>Henunavirus</t>
  </si>
  <si>
    <t>Mydovirus</t>
  </si>
  <si>
    <t>Ayohtrevirus</t>
  </si>
  <si>
    <t>Bakolyvirus</t>
  </si>
  <si>
    <t>Bcepfunavirus</t>
  </si>
  <si>
    <t>Becedseptimavirus</t>
  </si>
  <si>
    <t>Borockvirus</t>
  </si>
  <si>
    <t>Colneyvirus</t>
  </si>
  <si>
    <t>Dibbivirus</t>
  </si>
  <si>
    <t>Donellivirus</t>
  </si>
  <si>
    <t>Elmenteitavirus</t>
  </si>
  <si>
    <t>Fukuivirus</t>
  </si>
  <si>
    <t>Haloferacalesvirus</t>
  </si>
  <si>
    <t>Kanagawavirus</t>
  </si>
  <si>
    <t>Klausavirus</t>
  </si>
  <si>
    <t>Kungbxnavirus</t>
  </si>
  <si>
    <t>Kylevirus</t>
  </si>
  <si>
    <t>Lietduovirus</t>
  </si>
  <si>
    <t>Marfavirus</t>
  </si>
  <si>
    <t>Merged,</t>
  </si>
  <si>
    <t>Menderavirus</t>
  </si>
  <si>
    <t>Moabitevirus</t>
  </si>
  <si>
    <t>Moturavirus</t>
  </si>
  <si>
    <t>Muldoonvirus</t>
  </si>
  <si>
    <t>Myoalterovirus</t>
  </si>
  <si>
    <t>Myosmarvirus</t>
  </si>
  <si>
    <t>Nylescharonvirus</t>
  </si>
  <si>
    <t>Pemunavirus</t>
  </si>
  <si>
    <t>Pippivirus</t>
  </si>
  <si>
    <t>Plateaulakevirus</t>
  </si>
  <si>
    <t>Rahariannevirus</t>
  </si>
  <si>
    <t>Ronodorvirus</t>
  </si>
  <si>
    <t>Saintgironsvirus</t>
  </si>
  <si>
    <t>Sarumanvirus</t>
  </si>
  <si>
    <t>Shandongvirus</t>
  </si>
  <si>
    <t>Sherbrookevirus</t>
  </si>
  <si>
    <t>Shirahamavirus</t>
  </si>
  <si>
    <t>Takahashivirus</t>
  </si>
  <si>
    <t>Vibakivirus</t>
  </si>
  <si>
    <t>Yongloolinvirus</t>
  </si>
  <si>
    <t>Beephvirinae</t>
  </si>
  <si>
    <t>Flowerpowervirus</t>
  </si>
  <si>
    <t>Immanueltrevirus</t>
  </si>
  <si>
    <t>Manuelvirus</t>
  </si>
  <si>
    <t>Eekayvirinae</t>
  </si>
  <si>
    <t>Akonivirus</t>
  </si>
  <si>
    <t>Tinytimothyvirus</t>
  </si>
  <si>
    <t>Anjalivirus</t>
  </si>
  <si>
    <t>Astrithrvirus</t>
  </si>
  <si>
    <t>Badaztecvirus</t>
  </si>
  <si>
    <t>Burrovirus</t>
  </si>
  <si>
    <t>Chopinvirus</t>
  </si>
  <si>
    <t>Cimandefvirus</t>
  </si>
  <si>
    <t>Delislevirus</t>
  </si>
  <si>
    <t>Dybvigvirus</t>
  </si>
  <si>
    <t>Firingavirus</t>
  </si>
  <si>
    <t>Gervaisevirus</t>
  </si>
  <si>
    <t>Kozyakovvirus</t>
  </si>
  <si>
    <t>Lahexavirus</t>
  </si>
  <si>
    <t>Lastavirus</t>
  </si>
  <si>
    <t>Parlovirus</t>
  </si>
  <si>
    <t>Privateervirus</t>
  </si>
  <si>
    <t>Sendosyvirus</t>
  </si>
  <si>
    <t>Wumpquatrovirus</t>
  </si>
  <si>
    <t>Wumptrevirus</t>
  </si>
  <si>
    <t>Rountreeviridae</t>
  </si>
  <si>
    <t>Sarlesvirinae</t>
  </si>
  <si>
    <t>Copernicusvirus</t>
  </si>
  <si>
    <t>Minhovirus</t>
  </si>
  <si>
    <t>Salasmaviridae</t>
  </si>
  <si>
    <t>Northropvirinae</t>
  </si>
  <si>
    <t>Claudivirus</t>
  </si>
  <si>
    <t>Hemphillvirus</t>
  </si>
  <si>
    <t>Klosterneuburgvirus</t>
  </si>
  <si>
    <t>Beecentumtrevirus</t>
  </si>
  <si>
    <t>Tatarstanvirinae</t>
  </si>
  <si>
    <t>Gaunavirus</t>
  </si>
  <si>
    <t>Karezivirus</t>
  </si>
  <si>
    <t>Bundooravirus</t>
  </si>
  <si>
    <t>Harambevirus</t>
  </si>
  <si>
    <t>Mingyongvirus</t>
  </si>
  <si>
    <t>Schitoviridae</t>
  </si>
  <si>
    <t>Enquatrovirinae</t>
  </si>
  <si>
    <t>Kaypoctavirus</t>
  </si>
  <si>
    <t>Erskinevirinae</t>
  </si>
  <si>
    <t>Yonginvirus</t>
  </si>
  <si>
    <t>Fuhrmanvirinae</t>
  </si>
  <si>
    <t>Matsuvirus</t>
  </si>
  <si>
    <t>Stoningtonvirus</t>
  </si>
  <si>
    <t>Humphriesvirinae</t>
  </si>
  <si>
    <t>Pollockvirus</t>
  </si>
  <si>
    <t>Pylasvirus</t>
  </si>
  <si>
    <t>Migulavirinae</t>
  </si>
  <si>
    <t>Pontosvirinae</t>
  </si>
  <si>
    <t>Dorisvirus</t>
  </si>
  <si>
    <t>Galateavirus</t>
  </si>
  <si>
    <t>Nahantvirus</t>
  </si>
  <si>
    <t>Rhodovirinae</t>
  </si>
  <si>
    <t>Aoqinvirus</t>
  </si>
  <si>
    <t>Aorunvirus</t>
  </si>
  <si>
    <t>Plymouthvirus</t>
  </si>
  <si>
    <t>Pomeroyivirus</t>
  </si>
  <si>
    <t>Raunefjordenvirus</t>
  </si>
  <si>
    <t>Sanyabayvirus</t>
  </si>
  <si>
    <t>Rothmandenesvirinae</t>
  </si>
  <si>
    <t>Dongdastvirus</t>
  </si>
  <si>
    <t>Inbricusvirus</t>
  </si>
  <si>
    <t>Pourcelvirus</t>
  </si>
  <si>
    <t>Cbunavirus</t>
  </si>
  <si>
    <t>Dendoorenvirus</t>
  </si>
  <si>
    <t>Eceepunavirus</t>
  </si>
  <si>
    <t>Huelvavirus</t>
  </si>
  <si>
    <t>Littlefixvirus</t>
  </si>
  <si>
    <t>Pacinivirus</t>
  </si>
  <si>
    <t>Pokkenvirus</t>
  </si>
  <si>
    <t>Presleyvirus</t>
  </si>
  <si>
    <t>Riverridervirus</t>
  </si>
  <si>
    <t>Waedenswilvirus</t>
  </si>
  <si>
    <t>Zicotriavirus</t>
  </si>
  <si>
    <t>Zurivirus</t>
  </si>
  <si>
    <t>Azeredovirinae</t>
  </si>
  <si>
    <t>Dubowvirus</t>
  </si>
  <si>
    <t>Bronfenbrennervirinae</t>
  </si>
  <si>
    <t>Peeveelvirus</t>
  </si>
  <si>
    <t>Deejayvirinae</t>
  </si>
  <si>
    <t>Kenoshavirus</t>
  </si>
  <si>
    <t>Secretariatvirus</t>
  </si>
  <si>
    <t>Tanisvirus</t>
  </si>
  <si>
    <t>Gochnauervirinae</t>
  </si>
  <si>
    <t>Dragolirvirus</t>
  </si>
  <si>
    <t>Wanderervirus</t>
  </si>
  <si>
    <t>Gutmannvirinae</t>
  </si>
  <si>
    <t>Carmenvirus</t>
  </si>
  <si>
    <t>Pebcunavirus</t>
  </si>
  <si>
    <t>Hendrixvirinae</t>
  </si>
  <si>
    <t>Byrnievirus</t>
  </si>
  <si>
    <t>Cuauhtlivirus</t>
  </si>
  <si>
    <t>Kwaitsingvirus</t>
  </si>
  <si>
    <t>Nochtlivirus</t>
  </si>
  <si>
    <t>Saikungvirus</t>
  </si>
  <si>
    <t>Shamshuipovirus</t>
  </si>
  <si>
    <t>Wanchaivirus</t>
  </si>
  <si>
    <t>Wongtaivirus</t>
  </si>
  <si>
    <t>Yautsimvirus</t>
  </si>
  <si>
    <t>Queuovirinae</t>
  </si>
  <si>
    <t>Amoyvirus</t>
  </si>
  <si>
    <t>Skryabinvirinae</t>
  </si>
  <si>
    <t>Bembunaquatrovirus</t>
  </si>
  <si>
    <t>Pushchinovirus</t>
  </si>
  <si>
    <t>Trabyvirinae</t>
  </si>
  <si>
    <t>Jelitavirus</t>
  </si>
  <si>
    <t>Slepowronvirus</t>
  </si>
  <si>
    <t>Agmunavirus</t>
  </si>
  <si>
    <t>Aguilavirus</t>
  </si>
  <si>
    <t>Alachuavirus</t>
  </si>
  <si>
    <t>Alegriavirus</t>
  </si>
  <si>
    <t>Annadreamyvirus</t>
  </si>
  <si>
    <t>Arawnvirus</t>
  </si>
  <si>
    <t>Ashduovirus</t>
  </si>
  <si>
    <t>Audreyjarvisvirus</t>
  </si>
  <si>
    <t>Avanivirus</t>
  </si>
  <si>
    <t>Beceayunavirus</t>
  </si>
  <si>
    <t>Behunavirus</t>
  </si>
  <si>
    <t>Bievrevirus</t>
  </si>
  <si>
    <t>Camtrevirus</t>
  </si>
  <si>
    <t>Chertseyvirus</t>
  </si>
  <si>
    <t>Salmonella virus BP12C</t>
  </si>
  <si>
    <t>Colunavirus</t>
  </si>
  <si>
    <t>Cornievirus</t>
  </si>
  <si>
    <t>Mycobacterium virus Cornie</t>
  </si>
  <si>
    <t>Coventryvirus</t>
  </si>
  <si>
    <t>Cukevirus</t>
  </si>
  <si>
    <t>Deurplevirus</t>
  </si>
  <si>
    <t>Dinavirus</t>
  </si>
  <si>
    <t>Fattrevirus</t>
  </si>
  <si>
    <t>Fernvirus</t>
  </si>
  <si>
    <t>Fowlmouthvirus</t>
  </si>
  <si>
    <t>Fremauxvirus</t>
  </si>
  <si>
    <t>Gilsonvirus</t>
  </si>
  <si>
    <t>Glaedevirus</t>
  </si>
  <si>
    <t>Halcyonevirus</t>
  </si>
  <si>
    <t>Hattifnattvirus</t>
  </si>
  <si>
    <t>Hnatkovirus</t>
  </si>
  <si>
    <t>Hubeivirus</t>
  </si>
  <si>
    <t>Iaduovirus</t>
  </si>
  <si>
    <t>Indlulamithivirus</t>
  </si>
  <si>
    <t>Jarrellvirus</t>
  </si>
  <si>
    <t>Jouyvirus</t>
  </si>
  <si>
    <t>Junavirus</t>
  </si>
  <si>
    <t>Kamchatkavirus</t>
  </si>
  <si>
    <t>Karimacvirus</t>
  </si>
  <si>
    <t>Streptomyces virus Karimac</t>
  </si>
  <si>
    <t>Streptomyces virus LukeCage</t>
  </si>
  <si>
    <t>Streptomyces virus StarPlatinum</t>
  </si>
  <si>
    <t>Streptomyces virus Wollford</t>
  </si>
  <si>
    <t>Streptomyces virus Yaboi</t>
  </si>
  <si>
    <t>Knuthellervirus</t>
  </si>
  <si>
    <t>Konstantinevirus</t>
  </si>
  <si>
    <t>Kuleanavirus</t>
  </si>
  <si>
    <t>Labanvirus</t>
  </si>
  <si>
    <t>Lacnuvirus</t>
  </si>
  <si>
    <t>Lafunavirus</t>
  </si>
  <si>
    <t>Lambovirus</t>
  </si>
  <si>
    <t>Larmunavirus</t>
  </si>
  <si>
    <t>Latrobevirus</t>
  </si>
  <si>
    <t>Leicestervirus</t>
  </si>
  <si>
    <t>Arthrobacter virus Liebe</t>
  </si>
  <si>
    <t>Lillamyvirus</t>
  </si>
  <si>
    <t>Marienburgvirus</t>
  </si>
  <si>
    <t>Mufasoctovirus</t>
  </si>
  <si>
    <t>Muminvirus</t>
  </si>
  <si>
    <t>Nesevirus</t>
  </si>
  <si>
    <t>Nevevirus</t>
  </si>
  <si>
    <t>Pankowvirus</t>
  </si>
  <si>
    <t>Pleeduovirus</t>
  </si>
  <si>
    <t>Pleetrevirus</t>
  </si>
  <si>
    <t>Predatorvirus</t>
  </si>
  <si>
    <t>Questintvirus</t>
  </si>
  <si>
    <t>Radostvirus</t>
  </si>
  <si>
    <t>Ravarandavirus</t>
  </si>
  <si>
    <t>Rhodococcus virus Hiro</t>
  </si>
  <si>
    <t>Rhodococcus virus Takoda</t>
  </si>
  <si>
    <t>Rockefellervirus</t>
  </si>
  <si>
    <t>Rockvillevirus</t>
  </si>
  <si>
    <t>Sandinevirus</t>
  </si>
  <si>
    <t>Sawaravirus</t>
  </si>
  <si>
    <t>Seongbukvirus</t>
  </si>
  <si>
    <t>Sleepyheadvirus</t>
  </si>
  <si>
    <t>Sozzivirus</t>
  </si>
  <si>
    <t>Sparkyvirus</t>
  </si>
  <si>
    <t>Spizizenvirus</t>
  </si>
  <si>
    <t>Squirtyvirus</t>
  </si>
  <si>
    <t>Mycobacterium virus Squirty</t>
  </si>
  <si>
    <t>Sukhumvitvirus</t>
  </si>
  <si>
    <t>Tandoganvirus</t>
  </si>
  <si>
    <t>Tantvirus</t>
  </si>
  <si>
    <t>Teubervirus</t>
  </si>
  <si>
    <t>Thetabobvirus</t>
  </si>
  <si>
    <t>Mycobacterium virus Renaud18</t>
  </si>
  <si>
    <t>Mycobacterium virus TChen</t>
  </si>
  <si>
    <t>Mycobacterium virus ThetaBob</t>
  </si>
  <si>
    <t>Triplejayvirus</t>
  </si>
  <si>
    <t>Uwajimavirus</t>
  </si>
  <si>
    <t>Vedamuthuvirus</t>
  </si>
  <si>
    <t>Waukeshavirus</t>
  </si>
  <si>
    <t>Whackvirus</t>
  </si>
  <si>
    <t>Whiteheadvirus</t>
  </si>
  <si>
    <t>Yonseivirus</t>
  </si>
  <si>
    <t>Zobellviridae</t>
  </si>
  <si>
    <t>Cobavirinae</t>
  </si>
  <si>
    <t>Siovirus</t>
  </si>
  <si>
    <t>Veravirus</t>
  </si>
  <si>
    <t>Citrovirus</t>
  </si>
  <si>
    <t>Icepovirus</t>
  </si>
  <si>
    <t>Melvirus</t>
  </si>
  <si>
    <t>Paundecimvirus</t>
  </si>
  <si>
    <t>Salinovirus</t>
  </si>
  <si>
    <t>Vipivirus</t>
  </si>
  <si>
    <t>Paulinoviridae</t>
  </si>
  <si>
    <t>Enterogokushovirus</t>
  </si>
  <si>
    <t>Enterogokushovirus EC6098</t>
  </si>
  <si>
    <t>2020.055B.R.Enterogokushovirus.zip</t>
  </si>
  <si>
    <t>Epsilonpolyomavirus</t>
  </si>
  <si>
    <t>Zetapolyomavirus</t>
  </si>
  <si>
    <t>Ostreid aquambidensovirus 1</t>
  </si>
  <si>
    <t>2020.011D.R.Parvoviridae_3ngen_20nsp.zip</t>
  </si>
  <si>
    <t>Diciambidensovirus</t>
  </si>
  <si>
    <t>Hemipteran diciambidensovirus 1</t>
  </si>
  <si>
    <t>Muscodensovirus</t>
  </si>
  <si>
    <t>Dipteran muscodensovirus 1</t>
  </si>
  <si>
    <t>Tetuambidensovirus</t>
  </si>
  <si>
    <t>Trombiditiform tetuambidensovirus 1</t>
  </si>
  <si>
    <t>Carnivore chaphamaparvovirus 2</t>
  </si>
  <si>
    <t>Dasyurid chaphamaparvovirus 1</t>
  </si>
  <si>
    <t>Dasyurid chaphamaparvovirus 2</t>
  </si>
  <si>
    <t>Dasyurid chaphamaparvovirus 3</t>
  </si>
  <si>
    <t>Galliform chaphamaparvovirus 4</t>
  </si>
  <si>
    <t>Galliform chaphamaparvovirus 5</t>
  </si>
  <si>
    <t>Primate chaphamaparvovirus 1</t>
  </si>
  <si>
    <t>Psittacine chaphamaparvovirus 1</t>
  </si>
  <si>
    <t>Columbid aveparvovirus 1</t>
  </si>
  <si>
    <t>Chiropteran bocaparvovirus 5</t>
  </si>
  <si>
    <t>Primate bocaparvovirus 3</t>
  </si>
  <si>
    <t>Ungulate bocaparvovirus 9</t>
  </si>
  <si>
    <t>Carnivore dependoparvovirus 1</t>
  </si>
  <si>
    <t>Carnivore protoparvovirus 2</t>
  </si>
  <si>
    <t>Carnivore protoparvovirus 3</t>
  </si>
  <si>
    <t>Carnivore protoparvovirus 4</t>
  </si>
  <si>
    <t>Bat associated circovirus 13</t>
  </si>
  <si>
    <t>2020.010D.R.Circoviridae_7nsp.zip</t>
  </si>
  <si>
    <t>Bear circovirus</t>
  </si>
  <si>
    <t>Elk circovirus</t>
  </si>
  <si>
    <t>2020.009D.R.Circovirus_1nsp.zip</t>
  </si>
  <si>
    <t>Penguin circovirus</t>
  </si>
  <si>
    <t>Porcine circovirus 4</t>
  </si>
  <si>
    <t>Whale circovirus</t>
  </si>
  <si>
    <t>Capybara associated cyclovirus</t>
  </si>
  <si>
    <t>Babosmacovirus</t>
  </si>
  <si>
    <t>Babosmacovirus babas1</t>
  </si>
  <si>
    <t>2020.016D.R.Smacoviridae_6ngen_42nsp.zip</t>
  </si>
  <si>
    <t>Bonzesmacovirus</t>
  </si>
  <si>
    <t>Bonzesmacovirus bovas1</t>
  </si>
  <si>
    <t>Bostasmacovirus</t>
  </si>
  <si>
    <t>Bostasmacovirus bovas1</t>
  </si>
  <si>
    <t>Bovismacovirus bovas1</t>
  </si>
  <si>
    <t>Bovismacovirus bovas2</t>
  </si>
  <si>
    <t>Bovismacovirus draga1</t>
  </si>
  <si>
    <t>Cosmacovirus bovas1</t>
  </si>
  <si>
    <t>Dragsmacovirus draga1</t>
  </si>
  <si>
    <t>Drosmacovirus bovas1</t>
  </si>
  <si>
    <t>Drosmacovirus camas1</t>
  </si>
  <si>
    <t>Drosmacovirus camas2</t>
  </si>
  <si>
    <t>Felismacovirus</t>
  </si>
  <si>
    <t>Felismacovirus lynas1</t>
  </si>
  <si>
    <t>Huchismacovirus chicas1</t>
  </si>
  <si>
    <t>Huchismacovirus chicas2</t>
  </si>
  <si>
    <t>Huchismacovirus humas1</t>
  </si>
  <si>
    <t>Huchismacovirus humas2</t>
  </si>
  <si>
    <t>Huchismacovirus humas3</t>
  </si>
  <si>
    <t>Inpeasmacovirus</t>
  </si>
  <si>
    <t>Inpeasmacovirus humas1</t>
  </si>
  <si>
    <t>Inpeasmacovirus peafo1</t>
  </si>
  <si>
    <t>Porprismacovirus alecas1</t>
  </si>
  <si>
    <t>Porprismacovirus avias1</t>
  </si>
  <si>
    <t>Porprismacovirus babas1</t>
  </si>
  <si>
    <t>Porprismacovirus bovas1</t>
  </si>
  <si>
    <t>Porprismacovirus bovas2</t>
  </si>
  <si>
    <t>Porprismacovirus camas1</t>
  </si>
  <si>
    <t>Porprismacovirus camas2</t>
  </si>
  <si>
    <t>Porprismacovirus camas3</t>
  </si>
  <si>
    <t>Porprismacovirus camas4</t>
  </si>
  <si>
    <t>Porprismacovirus capas1</t>
  </si>
  <si>
    <t>Porprismacovirus chicas1</t>
  </si>
  <si>
    <t>Porprismacovirus chicas2</t>
  </si>
  <si>
    <t>Porprismacovirus chicas3</t>
  </si>
  <si>
    <t>Porprismacovirus chicas4</t>
  </si>
  <si>
    <t>Porprismacovirus chicas5</t>
  </si>
  <si>
    <t>Porprismacovirus chicas6</t>
  </si>
  <si>
    <t>Porprismacovirus chicas7</t>
  </si>
  <si>
    <t>Porprismacovirus chimas1</t>
  </si>
  <si>
    <t>Porprismacovirus chimas2</t>
  </si>
  <si>
    <t>Porprismacovirus flas1</t>
  </si>
  <si>
    <t>Porprismacovirus goas1</t>
  </si>
  <si>
    <t>Porprismacovirus goras1</t>
  </si>
  <si>
    <t>Porprismacovirus howas1</t>
  </si>
  <si>
    <t>Porprismacovirus humas1</t>
  </si>
  <si>
    <t>Porprismacovirus humas2</t>
  </si>
  <si>
    <t>Porprismacovirus humas3</t>
  </si>
  <si>
    <t>Porprismacovirus humas4</t>
  </si>
  <si>
    <t>Porprismacovirus lemas1</t>
  </si>
  <si>
    <t>Porprismacovirus leo1</t>
  </si>
  <si>
    <t>Porprismacovirus lynas2</t>
  </si>
  <si>
    <t>Porprismacovirus macas1</t>
  </si>
  <si>
    <t>Porprismacovirus macas2</t>
  </si>
  <si>
    <t>Porprismacovirus macas3</t>
  </si>
  <si>
    <t>Porprismacovirus macas4</t>
  </si>
  <si>
    <t>Porprismacovirus macas5</t>
  </si>
  <si>
    <t>Porprismacovirus macas6</t>
  </si>
  <si>
    <t>Porprismacovirus malbas1</t>
  </si>
  <si>
    <t>Porprismacovirus peafo1</t>
  </si>
  <si>
    <t>Porprismacovirus porci1</t>
  </si>
  <si>
    <t>Porprismacovirus porci2</t>
  </si>
  <si>
    <t>Porprismacovirus porci3</t>
  </si>
  <si>
    <t>Porprismacovirus porci4</t>
  </si>
  <si>
    <t>Porprismacovirus porci5</t>
  </si>
  <si>
    <t>Porprismacovirus porci6</t>
  </si>
  <si>
    <t>Porprismacovirus porci7</t>
  </si>
  <si>
    <t>Porprismacovirus porci8</t>
  </si>
  <si>
    <t>Porprismacovirus porci9</t>
  </si>
  <si>
    <t>Porprismacovirus porci10</t>
  </si>
  <si>
    <t>Porprismacovirus porci11</t>
  </si>
  <si>
    <t>Porprismacovirus porci12</t>
  </si>
  <si>
    <t>Porprismacovirus porci13</t>
  </si>
  <si>
    <t>Porprismacovirus porci14</t>
  </si>
  <si>
    <t>Porprismacovirus porci15</t>
  </si>
  <si>
    <t>Porprismacovirus porci16</t>
  </si>
  <si>
    <t>Porprismacovirus porci17</t>
  </si>
  <si>
    <t>Porprismacovirus porci18</t>
  </si>
  <si>
    <t>Porprismacovirus porci19</t>
  </si>
  <si>
    <t>Porprismacovirus porci20</t>
  </si>
  <si>
    <t>Porprismacovirus ratas1</t>
  </si>
  <si>
    <t>Porprismacovirus sheas1</t>
  </si>
  <si>
    <t>Porprismacovirus sheas2</t>
  </si>
  <si>
    <t>Porprismacovirus sheas3</t>
  </si>
  <si>
    <t>Porprismacovirus turas1</t>
  </si>
  <si>
    <t>Simismacovirus</t>
  </si>
  <si>
    <t>Simismacovirus malbas1</t>
  </si>
  <si>
    <t>Simismacovirus malbas2</t>
  </si>
  <si>
    <t>Metaxyviridae</t>
  </si>
  <si>
    <t>Cofodevirus</t>
  </si>
  <si>
    <t>2020.022P.R.Metaxyviridae_nf.zip</t>
  </si>
  <si>
    <t>Cow vetch latent virus</t>
  </si>
  <si>
    <t>2020.023P.R.Nanoviridae_4nsp.zip</t>
  </si>
  <si>
    <t>Parsley severe stunt associated virus</t>
  </si>
  <si>
    <t>Sophora yellow stunt virus</t>
  </si>
  <si>
    <t>Bean bushy stunt virus</t>
  </si>
  <si>
    <t>2020.006P.R.Begomovirus_22nsp.zip</t>
  </si>
  <si>
    <t>Bean latent virus</t>
  </si>
  <si>
    <t>Corchorus yellow vein Cuba virus</t>
  </si>
  <si>
    <t>Cucumber chlorotic leaf virus</t>
  </si>
  <si>
    <t>Hibiscus yellow vein leaf curl virus</t>
  </si>
  <si>
    <t>Hybanthus yellow mosaic virus</t>
  </si>
  <si>
    <t>Ocimum golden mosaic virus</t>
  </si>
  <si>
    <t>Ocimum mosaic virus</t>
  </si>
  <si>
    <t>Ocimum yellow vein virus</t>
  </si>
  <si>
    <t>Papaya severe leaf curl virus 1</t>
  </si>
  <si>
    <t>Papaya severe leaf curl virus 2</t>
  </si>
  <si>
    <t>Papaya yellow leaf curl virus</t>
  </si>
  <si>
    <t>Pepper blistering leaf virus</t>
  </si>
  <si>
    <t>Polygala garcinii virus</t>
  </si>
  <si>
    <t>Sida chlorotic leaf virus</t>
  </si>
  <si>
    <t>Sida interveinal bright yellow virus</t>
  </si>
  <si>
    <t>Sida yellow golden mosaic virus</t>
  </si>
  <si>
    <t>Tomato leaf curl Kunene virus</t>
  </si>
  <si>
    <t>Tomato mosaic severe dwarf virus</t>
  </si>
  <si>
    <t>Tomato vein clearing leaf deformation virus</t>
  </si>
  <si>
    <t>Tomato yellow leaf deformation dwarf virus</t>
  </si>
  <si>
    <t>Verbena mottle virus</t>
  </si>
  <si>
    <t>Citlodavirus</t>
  </si>
  <si>
    <t>Camellia chlorotic dwarf-associated virus</t>
  </si>
  <si>
    <t>2020.008P.R.Geminiviridae_5ng_11nsp.zip</t>
  </si>
  <si>
    <t>Paper mulberry leaf curl virus 2</t>
  </si>
  <si>
    <t>2020.027P.R.Geminiviridae_2nsp.zip</t>
  </si>
  <si>
    <t>Passion fruit chlorotic mottle virus</t>
  </si>
  <si>
    <t>Maldovirus</t>
  </si>
  <si>
    <t>Apple geminivirus 1</t>
  </si>
  <si>
    <t>Grapevine geminivirus A</t>
  </si>
  <si>
    <t>Juncus maritimus geminivirus 1</t>
  </si>
  <si>
    <t>Chickpea redleaf virus 2</t>
  </si>
  <si>
    <t>2020.005P.R.Mastrevirus_4nsp.zip</t>
  </si>
  <si>
    <t>Eleusine indica associated virus</t>
  </si>
  <si>
    <t>Melenis repens associated virus</t>
  </si>
  <si>
    <t>Sorghum arundinaceum associated virus</t>
  </si>
  <si>
    <t>Mulcrilevirus</t>
  </si>
  <si>
    <t>Mulberry crinkle leaf virus</t>
  </si>
  <si>
    <t>Paper mulberry leaf curl virus 1</t>
  </si>
  <si>
    <t>Opunvirus</t>
  </si>
  <si>
    <t>Opuntia virus 1</t>
  </si>
  <si>
    <t>Topilevirus</t>
  </si>
  <si>
    <t>Tomato apical leaf curl virus</t>
  </si>
  <si>
    <t>Tomato geminivirus 1</t>
  </si>
  <si>
    <t>Gemycircularvirus abati1</t>
  </si>
  <si>
    <t>2020.005F.R.Genomoviridae.zip</t>
  </si>
  <si>
    <t>Gemycircularvirus alces1</t>
  </si>
  <si>
    <t>Gemycircularvirus alces2</t>
  </si>
  <si>
    <t>Gemycircularvirus ansal1</t>
  </si>
  <si>
    <t>Gemycircularvirus aspar1</t>
  </si>
  <si>
    <t>Gemycircularvirus austro1</t>
  </si>
  <si>
    <t>Gemycircularvirus austro2</t>
  </si>
  <si>
    <t>Gemycircularvirus austro3</t>
  </si>
  <si>
    <t>Gemycircularvirus austro4</t>
  </si>
  <si>
    <t>Gemycircularvirus austro5</t>
  </si>
  <si>
    <t>Gemycircularvirus austro6</t>
  </si>
  <si>
    <t>Gemycircularvirus bemta1</t>
  </si>
  <si>
    <t>Gemycircularvirus blabi1</t>
  </si>
  <si>
    <t>Gemycircularvirus bovas1</t>
  </si>
  <si>
    <t>Gemycircularvirus bromas1</t>
  </si>
  <si>
    <t>Gemycircularvirus canlup1</t>
  </si>
  <si>
    <t>Gemycircularvirus cassa1</t>
  </si>
  <si>
    <t>Gemycircularvirus chicas1</t>
  </si>
  <si>
    <t>Gemycircularvirus chicas2</t>
  </si>
  <si>
    <t>Gemycircularvirus chickad1</t>
  </si>
  <si>
    <t>Gemycircularvirus citas1</t>
  </si>
  <si>
    <t>Gemycircularvirus cybusi1</t>
  </si>
  <si>
    <t>Gemycircularvirus denbre1</t>
  </si>
  <si>
    <t>Gemycircularvirus denbre2</t>
  </si>
  <si>
    <t>Gemycircularvirus denbre3</t>
  </si>
  <si>
    <t>Gemycircularvirus denbre4</t>
  </si>
  <si>
    <t>Gemycircularvirus denpo1</t>
  </si>
  <si>
    <t>Gemycircularvirus derva1</t>
  </si>
  <si>
    <t>Gemycircularvirus dichism1</t>
  </si>
  <si>
    <t>Gemycircularvirus draga1</t>
  </si>
  <si>
    <t>Gemycircularvirus echiam1</t>
  </si>
  <si>
    <t>Gemycircularvirus equas1</t>
  </si>
  <si>
    <t>Gemycircularvirus erati1</t>
  </si>
  <si>
    <t>Gemycircularvirus euhet1</t>
  </si>
  <si>
    <t>Gemycircularvirus furse1</t>
  </si>
  <si>
    <t>Gemycircularvirus geras1</t>
  </si>
  <si>
    <t>Gemycircularvirus geras2</t>
  </si>
  <si>
    <t>Gemycircularvirus geras3</t>
  </si>
  <si>
    <t>Gemycircularvirus giapa1</t>
  </si>
  <si>
    <t>Gemycircularvirus giapa2</t>
  </si>
  <si>
    <t>Gemycircularvirus giapa3</t>
  </si>
  <si>
    <t>Gemycircularvirus giapa4</t>
  </si>
  <si>
    <t>Gemycircularvirus giapa5</t>
  </si>
  <si>
    <t>Gemycircularvirus giapa6</t>
  </si>
  <si>
    <t>Gemycircularvirus giapa7</t>
  </si>
  <si>
    <t>Gemycircularvirus giapa8</t>
  </si>
  <si>
    <t>Gemycircularvirus gopha1</t>
  </si>
  <si>
    <t>Gemycircularvirus gopha2</t>
  </si>
  <si>
    <t>Gemycircularvirus gopha3</t>
  </si>
  <si>
    <t>Gemycircularvirus hadtis1</t>
  </si>
  <si>
    <t>Gemycircularvirus haeme1</t>
  </si>
  <si>
    <t>Gemycircularvirus haeme2</t>
  </si>
  <si>
    <t>Gemycircularvirus hydro1</t>
  </si>
  <si>
    <t>Gemycircularvirus hypas1</t>
  </si>
  <si>
    <t>Gemycircularvirus ixode1</t>
  </si>
  <si>
    <t>Gemycircularvirus lamas1</t>
  </si>
  <si>
    <t>Gemycircularvirus lebec1</t>
  </si>
  <si>
    <t>Gemycircularvirus legle1</t>
  </si>
  <si>
    <t>Gemycircularvirus lepa2</t>
  </si>
  <si>
    <t>Gemycircularvirus lepam1</t>
  </si>
  <si>
    <t>Gemycircularvirus lepam2</t>
  </si>
  <si>
    <t>Gemycircularvirus lepam3</t>
  </si>
  <si>
    <t>Gemycircularvirus lynca1</t>
  </si>
  <si>
    <t>Gemycircularvirus lynca2</t>
  </si>
  <si>
    <t>Gemycircularvirus lynca3</t>
  </si>
  <si>
    <t>Gemycircularvirus lynca4</t>
  </si>
  <si>
    <t>Gemycircularvirus malas1</t>
  </si>
  <si>
    <t>Gemycircularvirus minio1</t>
  </si>
  <si>
    <t>Gemycircularvirus miniti1</t>
  </si>
  <si>
    <t>Gemycircularvirus miniti2</t>
  </si>
  <si>
    <t>Gemycircularvirus miniti3</t>
  </si>
  <si>
    <t>Gemycircularvirus miniti4</t>
  </si>
  <si>
    <t>Gemycircularvirus minti6</t>
  </si>
  <si>
    <t>Gemycircularvirus mocha1</t>
  </si>
  <si>
    <t>Gemycircularvirus monas1</t>
  </si>
  <si>
    <t>Gemycircularvirus mosqi1</t>
  </si>
  <si>
    <t>Gemycircularvirus mouti1</t>
  </si>
  <si>
    <t>Gemycircularvirus mouti2</t>
  </si>
  <si>
    <t>Gemycircularvirus mouti3</t>
  </si>
  <si>
    <t>Gemycircularvirus mouti4</t>
  </si>
  <si>
    <t>Gemycircularvirus mouti5</t>
  </si>
  <si>
    <t>Gemycircularvirus mouti6</t>
  </si>
  <si>
    <t>Gemycircularvirus mouti7</t>
  </si>
  <si>
    <t>Gemycircularvirus mouti8</t>
  </si>
  <si>
    <t>Gemycircularvirus mouti9</t>
  </si>
  <si>
    <t>Gemycircularvirus mouti10</t>
  </si>
  <si>
    <t>Gemycircularvirus mouti11</t>
  </si>
  <si>
    <t>Gemycircularvirus mouti12</t>
  </si>
  <si>
    <t>Gemycircularvirus odona1</t>
  </si>
  <si>
    <t>Gemycircularvirus odona2</t>
  </si>
  <si>
    <t>Gemycircularvirus oltre1</t>
  </si>
  <si>
    <t>Gemycircularvirus opunt1</t>
  </si>
  <si>
    <t>Gemycircularvirus oxcor1</t>
  </si>
  <si>
    <t>Gemycircularvirus pleca1</t>
  </si>
  <si>
    <t>Gemycircularvirus poass1</t>
  </si>
  <si>
    <t>Gemycircularvirus porci1</t>
  </si>
  <si>
    <t>Gemycircularvirus porci2</t>
  </si>
  <si>
    <t>Gemycircularvirus ptero1</t>
  </si>
  <si>
    <t>Gemycircularvirus ptero2</t>
  </si>
  <si>
    <t>Gemycircularvirus ptero3</t>
  </si>
  <si>
    <t>Gemycircularvirus ptero4</t>
  </si>
  <si>
    <t>Gemycircularvirus ptero5</t>
  </si>
  <si>
    <t>Gemycircularvirus ptero6</t>
  </si>
  <si>
    <t>Gemycircularvirus ptero7</t>
  </si>
  <si>
    <t>Gemycircularvirus ptero8</t>
  </si>
  <si>
    <t>Gemycircularvirus ptero9</t>
  </si>
  <si>
    <t>Gemycircularvirus ptero10</t>
  </si>
  <si>
    <t>Gemycircularvirus raski1</t>
  </si>
  <si>
    <t>Gemycircularvirus ratas1</t>
  </si>
  <si>
    <t>Gemycircularvirus rebac1</t>
  </si>
  <si>
    <t>Gemycircularvirus recro1</t>
  </si>
  <si>
    <t>Gemycircularvirus sarpe1</t>
  </si>
  <si>
    <t>Gemycircularvirus sclero1</t>
  </si>
  <si>
    <t>Gemycircularvirus sewopo1</t>
  </si>
  <si>
    <t>Gemycircularvirus sewopo2</t>
  </si>
  <si>
    <t>Gemycircularvirus sewopo3</t>
  </si>
  <si>
    <t>Gemycircularvirus sewopo4</t>
  </si>
  <si>
    <t>Gemycircularvirus sewopo5</t>
  </si>
  <si>
    <t>Gemycircularvirus sheas1</t>
  </si>
  <si>
    <t>Gemycircularvirus siedo1</t>
  </si>
  <si>
    <t>Gemycircularvirus solas1</t>
  </si>
  <si>
    <t>Gemycircularvirus soybe1</t>
  </si>
  <si>
    <t>Gemycircularvirus termi1</t>
  </si>
  <si>
    <t>Gemycircularvirus trilo1</t>
  </si>
  <si>
    <t>Gemycircularvirus turti1</t>
  </si>
  <si>
    <t>Gemycircularvirus willde1</t>
  </si>
  <si>
    <t>Gemyduguivirus arteca1</t>
  </si>
  <si>
    <t>Gemyduguivirus austo1</t>
  </si>
  <si>
    <t>Gemyduguivirus bemta1</t>
  </si>
  <si>
    <t>Gemyduguivirus draga1</t>
  </si>
  <si>
    <t>Gemyduguivirus hydro1</t>
  </si>
  <si>
    <t>Gemyduguivirus hydro2</t>
  </si>
  <si>
    <t>Gemyduguivirus hydro3</t>
  </si>
  <si>
    <t>Gemyduguivirus macra1</t>
  </si>
  <si>
    <t>Gemyduguivirus merre1</t>
  </si>
  <si>
    <t>Gemyduguivirus minti1</t>
  </si>
  <si>
    <t>Gemyduguivirus minti2</t>
  </si>
  <si>
    <t>Gemyduguivirus recro1</t>
  </si>
  <si>
    <t>Gemygorvirus cania1</t>
  </si>
  <si>
    <t>Gemygorvirus hydro1</t>
  </si>
  <si>
    <t>Gemygorvirus malas1</t>
  </si>
  <si>
    <t>Gemygorvirus opunt1</t>
  </si>
  <si>
    <t>Gemygorvirus poaspe1</t>
  </si>
  <si>
    <t>Gemygorvirus ptero1</t>
  </si>
  <si>
    <t>Gemygorvirus sewopo1</t>
  </si>
  <si>
    <t>Gemygorvirus stara1</t>
  </si>
  <si>
    <t>Gemykibivirus abati1</t>
  </si>
  <si>
    <t>Gemykibivirus abati2</t>
  </si>
  <si>
    <t>Gemykibivirus anima1</t>
  </si>
  <si>
    <t>Gemykibivirus badas1</t>
  </si>
  <si>
    <t>Gemykibivirus bemta1</t>
  </si>
  <si>
    <t>Gemykibivirus blabi1</t>
  </si>
  <si>
    <t>Gemykibivirus blaro1</t>
  </si>
  <si>
    <t>Gemykibivirus bovas1</t>
  </si>
  <si>
    <t>Gemykibivirus canfam1</t>
  </si>
  <si>
    <t>Gemykibivirus cowchi1</t>
  </si>
  <si>
    <t>Gemykibivirus cybusi1</t>
  </si>
  <si>
    <t>Gemykibivirus cynas1</t>
  </si>
  <si>
    <t>Gemykibivirus draga1</t>
  </si>
  <si>
    <t>Gemykibivirus echi1</t>
  </si>
  <si>
    <t>Gemykibivirus galga1</t>
  </si>
  <si>
    <t>Gemykibivirus galga2</t>
  </si>
  <si>
    <t>Gemykibivirus galga3</t>
  </si>
  <si>
    <t>Gemykibivirus giapa1</t>
  </si>
  <si>
    <t>Gemykibivirus hadtis1</t>
  </si>
  <si>
    <t>Gemykibivirus haeme1</t>
  </si>
  <si>
    <t>Gemykibivirus haeme2</t>
  </si>
  <si>
    <t>Gemykibivirus haeme3</t>
  </si>
  <si>
    <t>Gemykibivirus haeme4</t>
  </si>
  <si>
    <t>Gemykibivirus haeme5</t>
  </si>
  <si>
    <t>Gemykibivirus hipla1</t>
  </si>
  <si>
    <t>Gemykibivirus humas1</t>
  </si>
  <si>
    <t>Gemykibivirus humas2</t>
  </si>
  <si>
    <t>Gemykibivirus humas3</t>
  </si>
  <si>
    <t>Gemykibivirus humas4</t>
  </si>
  <si>
    <t>Gemykibivirus humas5</t>
  </si>
  <si>
    <t>Gemykibivirus hydro1</t>
  </si>
  <si>
    <t>Gemykibivirus hydro2</t>
  </si>
  <si>
    <t>Gemykibivirus hydro3</t>
  </si>
  <si>
    <t>Gemykibivirus minti1</t>
  </si>
  <si>
    <t>Gemykibivirus monas1</t>
  </si>
  <si>
    <t>Gemykibivirus mouti1</t>
  </si>
  <si>
    <t>Gemykibivirus mouti2</t>
  </si>
  <si>
    <t>Gemykibivirus pitis1</t>
  </si>
  <si>
    <t>Gemykibivirus pitis2</t>
  </si>
  <si>
    <t>Gemykibivirus planta1</t>
  </si>
  <si>
    <t>Gemykibivirus planta2</t>
  </si>
  <si>
    <t>Gemykibivirus ptero1</t>
  </si>
  <si>
    <t>Gemykibivirus raski1</t>
  </si>
  <si>
    <t>Gemykibivirus rhina1</t>
  </si>
  <si>
    <t>Gemykibivirus rhina2</t>
  </si>
  <si>
    <t>Gemykibivirus sewopo1</t>
  </si>
  <si>
    <t>Gemykibivirus sewopo2</t>
  </si>
  <si>
    <t>Gemykibivirus turti1</t>
  </si>
  <si>
    <t>Gemykibivirus waste1</t>
  </si>
  <si>
    <t>Gemykibivirus womot1</t>
  </si>
  <si>
    <t>Gemykolovirus abati1</t>
  </si>
  <si>
    <t>Gemykolovirus citas1</t>
  </si>
  <si>
    <t>Gemykolovirus derva1</t>
  </si>
  <si>
    <t>Gemykolovirus easlu1</t>
  </si>
  <si>
    <t>Gemykolovirus echia1</t>
  </si>
  <si>
    <t>Gemykolovirus gopha1</t>
  </si>
  <si>
    <t>Gemykolovirus gopha2</t>
  </si>
  <si>
    <t>Gemykolovirus hadtis1</t>
  </si>
  <si>
    <t>Gemykolovirus heris1</t>
  </si>
  <si>
    <t>Gemykolovirus lepam1</t>
  </si>
  <si>
    <t>Gemykolovirus poaspe1</t>
  </si>
  <si>
    <t>Gemykolovirus prupe1</t>
  </si>
  <si>
    <t>Gemykolovirus ptero1</t>
  </si>
  <si>
    <t>Gemykolovirus ptero2</t>
  </si>
  <si>
    <t>Gemykolovirus segpa1</t>
  </si>
  <si>
    <t>Gemykolovirus troti1</t>
  </si>
  <si>
    <t>Gemykrogvirus abati1</t>
  </si>
  <si>
    <t>Gemykrogvirus apime1</t>
  </si>
  <si>
    <t>Gemykrogvirus bovas1</t>
  </si>
  <si>
    <t>Gemykrogvirus carib1</t>
  </si>
  <si>
    <t>Gemykrogvirus galga1</t>
  </si>
  <si>
    <t>Gemykrogvirus galga2</t>
  </si>
  <si>
    <t>Gemykrogvirus galga3</t>
  </si>
  <si>
    <t>Gemykrogvirus galga4</t>
  </si>
  <si>
    <t>Gemykrogvirus galga5</t>
  </si>
  <si>
    <t>Gemykrogvirus giapa1</t>
  </si>
  <si>
    <t>Gemykrogvirus hadtis1</t>
  </si>
  <si>
    <t>Gemykrogvirus humas1</t>
  </si>
  <si>
    <t>Gemykrogvirus sewopo1</t>
  </si>
  <si>
    <t>Gemykroznavirus anima1</t>
  </si>
  <si>
    <t>Gemykroznavirus haeme1</t>
  </si>
  <si>
    <t>Gemykroznavirus hydro1</t>
  </si>
  <si>
    <t>Gemykroznavirus poaspe1</t>
  </si>
  <si>
    <t>Gemykroznavirus rabas1</t>
  </si>
  <si>
    <t>Gemykroznavirus solas1</t>
  </si>
  <si>
    <t>Gemykroznavirus zizan1</t>
  </si>
  <si>
    <t>Gemytondvirus ostri1</t>
  </si>
  <si>
    <t>Gemytripvirus</t>
  </si>
  <si>
    <t>Gemytripvirus fugra1</t>
  </si>
  <si>
    <t>Gemyvongvirus humas1</t>
  </si>
  <si>
    <t>Gemyvongvirus minit1</t>
  </si>
  <si>
    <t>Gemyvongvirus minit2</t>
  </si>
  <si>
    <t>Rubivirus rubellae</t>
  </si>
  <si>
    <t>2020.011S.R.Rubivirus_nspp.zip</t>
  </si>
  <si>
    <t>Rubivirus ruteetense</t>
  </si>
  <si>
    <t>Rubivirus strelense</t>
  </si>
  <si>
    <t>Yam asymptomatic virus 1</t>
  </si>
  <si>
    <t>2020.004P.R.Closteroviridae_3nsp.zip</t>
  </si>
  <si>
    <t>Carrot closterorivus 1</t>
  </si>
  <si>
    <t>Malus domestica virus A</t>
  </si>
  <si>
    <t>Tomato fruit blotch virus</t>
  </si>
  <si>
    <t>2020.010P.R.Kitaviridae_1nsp.zip</t>
  </si>
  <si>
    <t>Passion fruit green spot virus</t>
  </si>
  <si>
    <t>2020.011P.R.Kitaviridae_1nsp.zip</t>
  </si>
  <si>
    <t>Caaingua virus</t>
  </si>
  <si>
    <t>2020.010S.R.Caaingua_virus_1nsp.zip</t>
  </si>
  <si>
    <t>Acarallexivirus</t>
  </si>
  <si>
    <t>2020.031P.R.Alphaflexiviridae_ab1gen_2nsg.zip</t>
  </si>
  <si>
    <t>Senna severe yellow mosaic virus</t>
  </si>
  <si>
    <t>2020.029P.R.Alphaflexiviridae_9nsp.zip</t>
  </si>
  <si>
    <t>Citrus yellow mottle-associated virus</t>
  </si>
  <si>
    <t>2020.032P.R.Mandarivirus_1nsp.zip</t>
  </si>
  <si>
    <t>Ambrosia asymptomatic virus 1</t>
  </si>
  <si>
    <t>Babaco mosaic virus</t>
  </si>
  <si>
    <t>Cassava Colombian symptomless virus</t>
  </si>
  <si>
    <t>Cnidium virus X</t>
  </si>
  <si>
    <t>Euonymus yellow mottle associated virus</t>
  </si>
  <si>
    <t>Euonymus yellow vein virus</t>
  </si>
  <si>
    <t>2020.030P.R.Alphaflexiviridae_ab1sp.zip</t>
  </si>
  <si>
    <t>Senna mosaic virus</t>
  </si>
  <si>
    <t>Turtle grass virus X</t>
  </si>
  <si>
    <t>Alfalfa virus F</t>
  </si>
  <si>
    <t>2020.028P.R.Tymoviridae_1nsp.zip</t>
  </si>
  <si>
    <t>Ixeridium yellow mottle virus 2</t>
  </si>
  <si>
    <t>2020.034P.R.Umbravirus_2nsp.zip</t>
  </si>
  <si>
    <t>Patrinia mild mottle virus</t>
  </si>
  <si>
    <t>2020.026P.R.Abolish_Luteoviridae.zip</t>
  </si>
  <si>
    <t>Adonis mosaic virus</t>
  </si>
  <si>
    <t>2020.035P.R.Alphacarmovirus_1nsp.zip</t>
  </si>
  <si>
    <t>Elderberry aureusvirus 1</t>
  </si>
  <si>
    <t>2020.036P.R.Aureusvirus_1nsp.zip</t>
  </si>
  <si>
    <t>Jasmine mosaic-associated virus</t>
  </si>
  <si>
    <t>2020.033P.R.Pelarspovirus_2nsp.zip</t>
  </si>
  <si>
    <t>Jasmine virus H</t>
  </si>
  <si>
    <t>Leviviricetes</t>
  </si>
  <si>
    <t>Norzivirales</t>
  </si>
  <si>
    <t>Atkinsviridae</t>
  </si>
  <si>
    <t>Andhevirus</t>
  </si>
  <si>
    <t>Andhevirus chorohabitans</t>
  </si>
  <si>
    <t>Apihcavirus</t>
  </si>
  <si>
    <t>Apihcavirus arvenecus</t>
  </si>
  <si>
    <t>Apihcavirus borborovicinum</t>
  </si>
  <si>
    <t>Arihsbuvirus</t>
  </si>
  <si>
    <t>Arihsbuvirus caenadaptatum</t>
  </si>
  <si>
    <t>Bahdevuvirus</t>
  </si>
  <si>
    <t>Bahdevuvirus caenivivens</t>
  </si>
  <si>
    <t>Bahdevuvirus limadaptatum</t>
  </si>
  <si>
    <t>Bilifuvirus</t>
  </si>
  <si>
    <t>Bilifuvirus defluviicola</t>
  </si>
  <si>
    <t>Blinduvirus</t>
  </si>
  <si>
    <t>Blinduvirus asiadaptatum</t>
  </si>
  <si>
    <t>Blinduvirus terrihabitans</t>
  </si>
  <si>
    <t>Cahtebovirus</t>
  </si>
  <si>
    <t>Cahtebovirus humivicinum</t>
  </si>
  <si>
    <t>Chinihovirus</t>
  </si>
  <si>
    <t>Chinihovirus lutihabitans</t>
  </si>
  <si>
    <t>Chounavirus</t>
  </si>
  <si>
    <t>Chounavirus chorenecus</t>
  </si>
  <si>
    <t>Cihsnivirus</t>
  </si>
  <si>
    <t>Cihsnivirus pelenecus</t>
  </si>
  <si>
    <t>Diydovirus</t>
  </si>
  <si>
    <t>Diydovirus borborovicinum</t>
  </si>
  <si>
    <t>Dugnivirus</t>
  </si>
  <si>
    <t>Dugnivirus chthonadaptatum</t>
  </si>
  <si>
    <t>Dugnivirus solivicinum</t>
  </si>
  <si>
    <t>Dugnivirus solivivens</t>
  </si>
  <si>
    <t>Firunevirus</t>
  </si>
  <si>
    <t>Firunevirus limicola</t>
  </si>
  <si>
    <t>Gohshovirus</t>
  </si>
  <si>
    <t>Gohshovirus asiadaptatum</t>
  </si>
  <si>
    <t>Hehspivirus</t>
  </si>
  <si>
    <t>Hehspivirus edaphadaptatum</t>
  </si>
  <si>
    <t>Helacdivirus</t>
  </si>
  <si>
    <t>Helacdivirus borborovicinum</t>
  </si>
  <si>
    <t>Hirvovirus</t>
  </si>
  <si>
    <t>Hirvovirus caenivicinum</t>
  </si>
  <si>
    <t>Huhmpluvirus</t>
  </si>
  <si>
    <t>Huhmpluvirus limenecus</t>
  </si>
  <si>
    <t>Huleruivirus</t>
  </si>
  <si>
    <t>Huleruivirus geocola</t>
  </si>
  <si>
    <t>Hysdruvirus</t>
  </si>
  <si>
    <t>Hysdruvirus geovivens</t>
  </si>
  <si>
    <t>Hysdruvirus telluradaptatum</t>
  </si>
  <si>
    <t>Hysdruvirus tellurenecus</t>
  </si>
  <si>
    <t>Hysdruvirus telluricola</t>
  </si>
  <si>
    <t>Hysdruvirus tellurihabitans</t>
  </si>
  <si>
    <t>Hysdruvirus tellurivicinum</t>
  </si>
  <si>
    <t>Ichonovirus</t>
  </si>
  <si>
    <t>Ichonovirus limivicinum</t>
  </si>
  <si>
    <t>Ipivevirus</t>
  </si>
  <si>
    <t>Ipivevirus pelenecus</t>
  </si>
  <si>
    <t>Isoihlovirus</t>
  </si>
  <si>
    <t>Isoihlovirus terrihabitans</t>
  </si>
  <si>
    <t>Kempsvovirus</t>
  </si>
  <si>
    <t>Kempsvovirus caenivivens</t>
  </si>
  <si>
    <t>Kihrivirus</t>
  </si>
  <si>
    <t>Kihrivirus limicola</t>
  </si>
  <si>
    <t>Kimihcavirus</t>
  </si>
  <si>
    <t>Kimihcavirus limivivens</t>
  </si>
  <si>
    <t>Kudohovirus</t>
  </si>
  <si>
    <t>Kudohovirus pelocola</t>
  </si>
  <si>
    <t>Kuhfotivirus</t>
  </si>
  <si>
    <t>Kuhfotivirus pelohabitans</t>
  </si>
  <si>
    <t>Lahcomavirus</t>
  </si>
  <si>
    <t>Lahcomavirus asienecus</t>
  </si>
  <si>
    <t>Lehptevirus</t>
  </si>
  <si>
    <t>Lehptevirus asiohabitans</t>
  </si>
  <si>
    <t>Lehptevirus asiovicinum</t>
  </si>
  <si>
    <t>Lehptevirus asiovivens</t>
  </si>
  <si>
    <t>Lehptevirus borboradaptatum</t>
  </si>
  <si>
    <t>Lehptevirus chorohabitans</t>
  </si>
  <si>
    <t>Lobdovirus</t>
  </si>
  <si>
    <t>Lobdovirus arvadaptatum</t>
  </si>
  <si>
    <t>Lobdovirus arvenecus</t>
  </si>
  <si>
    <t>Lobdovirus arvicola</t>
  </si>
  <si>
    <t>Lobdovirus chorovicinum</t>
  </si>
  <si>
    <t>Lobdovirus chorovivens</t>
  </si>
  <si>
    <t>Madisduvirus</t>
  </si>
  <si>
    <t>Madisduvirus caenivivens</t>
  </si>
  <si>
    <t>Mitdiwavirus</t>
  </si>
  <si>
    <t>Mitdiwavirus asiocola</t>
  </si>
  <si>
    <t>Moloevirus</t>
  </si>
  <si>
    <t>Moloevirus chthonenecus</t>
  </si>
  <si>
    <t>Monekavirus</t>
  </si>
  <si>
    <t>Monekavirus asiovivens</t>
  </si>
  <si>
    <t>Nehujevirus</t>
  </si>
  <si>
    <t>Nehujevirus caenicola</t>
  </si>
  <si>
    <t>Neratovirus</t>
  </si>
  <si>
    <t>Neratovirus caenihabitans</t>
  </si>
  <si>
    <t>Niginuvirus</t>
  </si>
  <si>
    <t>Niginuvirus limadaptatum</t>
  </si>
  <si>
    <t>Pagohnivirus</t>
  </si>
  <si>
    <t>Pagohnivirus humenecus</t>
  </si>
  <si>
    <t>Pihngevirus</t>
  </si>
  <si>
    <t>Pihngevirus agrivivens</t>
  </si>
  <si>
    <t>Pihngevirus choradaptatum</t>
  </si>
  <si>
    <t>Pihngevirus chorocola</t>
  </si>
  <si>
    <t>Pohlydovirus</t>
  </si>
  <si>
    <t>Pohlydovirus arvivicinum</t>
  </si>
  <si>
    <t>Pohlydovirus arvivivens</t>
  </si>
  <si>
    <t>Psoetuvirus</t>
  </si>
  <si>
    <t>Psoetuvirus pedenecus</t>
  </si>
  <si>
    <t>Qeihnovirus</t>
  </si>
  <si>
    <t>Qeihnovirus defluviicola</t>
  </si>
  <si>
    <t>Qeihnovirus luticola</t>
  </si>
  <si>
    <t>Qeihnovirus lutihabitans</t>
  </si>
  <si>
    <t>Qeihnovirus lutivicinum</t>
  </si>
  <si>
    <t>Qeihnovirus lutivivens</t>
  </si>
  <si>
    <t>Qeihnovirus peladaptatum</t>
  </si>
  <si>
    <t>Rainacovirus</t>
  </si>
  <si>
    <t>Rainacovirus pelenecus</t>
  </si>
  <si>
    <t>Rainacovirus pelocola</t>
  </si>
  <si>
    <t>Rainacovirus pelohabitans</t>
  </si>
  <si>
    <t>Rainacovirus pelovicinum</t>
  </si>
  <si>
    <t>Rainacovirus tellurivicinum</t>
  </si>
  <si>
    <t>Rainacovirus tellurivivens</t>
  </si>
  <si>
    <t>Rainacovirus terradaptatum</t>
  </si>
  <si>
    <t>Rainacovirus terricola</t>
  </si>
  <si>
    <t>Scloravirus</t>
  </si>
  <si>
    <t>Scloravirus humicola</t>
  </si>
  <si>
    <t>Sdonativirus</t>
  </si>
  <si>
    <t>Sdonativirus humihabitans</t>
  </si>
  <si>
    <t>Sdribtuvirus</t>
  </si>
  <si>
    <t>Sdribtuvirus humivicinum</t>
  </si>
  <si>
    <t>Shopitevirus</t>
  </si>
  <si>
    <t>Shopitevirus limenecus</t>
  </si>
  <si>
    <t>Stupavirus</t>
  </si>
  <si>
    <t>Stupavirus arvadaptatum</t>
  </si>
  <si>
    <t>Stupavirus chorovivens</t>
  </si>
  <si>
    <t>Tsecebavirus</t>
  </si>
  <si>
    <t>Tsecebavirus borborovicinum</t>
  </si>
  <si>
    <t>Wahbolevirus</t>
  </si>
  <si>
    <t>Wahbolevirus lutadaptatum</t>
  </si>
  <si>
    <t>Wecineivirus</t>
  </si>
  <si>
    <t>Wecineivirus lutihabitans</t>
  </si>
  <si>
    <t>Whodehavirus</t>
  </si>
  <si>
    <t>Whodehavirus pelovicinum</t>
  </si>
  <si>
    <t>Wulosvivirus</t>
  </si>
  <si>
    <t>Wulosvivirus asiocola</t>
  </si>
  <si>
    <t>Yekorevirus</t>
  </si>
  <si>
    <t>Yekorevirus terrivivens</t>
  </si>
  <si>
    <t>Yeshinuvirus</t>
  </si>
  <si>
    <t>Yeshinuvirus humadaptatum</t>
  </si>
  <si>
    <t>Yeshinuvirus humicola</t>
  </si>
  <si>
    <t>Duinviridae</t>
  </si>
  <si>
    <t>Apeevirus</t>
  </si>
  <si>
    <t>Apeevirus quebecense</t>
  </si>
  <si>
    <t>Beshanovirus</t>
  </si>
  <si>
    <t>Beshanovirus aquicola</t>
  </si>
  <si>
    <t>Kahshuvirus</t>
  </si>
  <si>
    <t>Kahshuvirus borborenecus</t>
  </si>
  <si>
    <t>Kohmavirus</t>
  </si>
  <si>
    <t>Kohmavirus luticola</t>
  </si>
  <si>
    <t>Samuneavirus</t>
  </si>
  <si>
    <t>Samuneavirus asiocola</t>
  </si>
  <si>
    <t>Tehuhdavirus</t>
  </si>
  <si>
    <t>Tehuhdavirus pelovivens</t>
  </si>
  <si>
    <t>Fiersviridae</t>
  </si>
  <si>
    <t>Adahivirus</t>
  </si>
  <si>
    <t>Adahivirus asienecus</t>
  </si>
  <si>
    <t>Aldhiuvirus</t>
  </si>
  <si>
    <t>Aldhiuvirus defluviicola</t>
  </si>
  <si>
    <t>Amubhivirus</t>
  </si>
  <si>
    <t>Amubhivirus agrivicinum</t>
  </si>
  <si>
    <t>Andhasavirus</t>
  </si>
  <si>
    <t>Andhasavirus agrivivens</t>
  </si>
  <si>
    <t>Andhasavirus borborocola</t>
  </si>
  <si>
    <t>Andhaxevirus</t>
  </si>
  <si>
    <t>Andhaxevirus choradaptatum</t>
  </si>
  <si>
    <t>Andhaxevirus chorenecus</t>
  </si>
  <si>
    <t>Andhaxevirus chorocola</t>
  </si>
  <si>
    <t>Anedhivirus</t>
  </si>
  <si>
    <t>Anedhivirus chorovicinum</t>
  </si>
  <si>
    <t>Apukhovirus</t>
  </si>
  <si>
    <t>Apukhovirus arvihabitans</t>
  </si>
  <si>
    <t>Ashucavirus</t>
  </si>
  <si>
    <t>Ashucavirus caenicola</t>
  </si>
  <si>
    <t>Ashucavirus caenihabitans</t>
  </si>
  <si>
    <t>Ashucavirus caenivicinum</t>
  </si>
  <si>
    <t>Bahscuvirus</t>
  </si>
  <si>
    <t>Bahscuvirus limivicinum</t>
  </si>
  <si>
    <t>Bathrivirus</t>
  </si>
  <si>
    <t>Bathrivirus terrenecus</t>
  </si>
  <si>
    <t>Behevivirus</t>
  </si>
  <si>
    <t>Behevivirus limivivens</t>
  </si>
  <si>
    <t>Behlfluvirus</t>
  </si>
  <si>
    <t>Behlfluvirus lutadaptatum</t>
  </si>
  <si>
    <t>Bertavirus</t>
  </si>
  <si>
    <t>Bertavirus lutihabitans</t>
  </si>
  <si>
    <t>Bihdovirus</t>
  </si>
  <si>
    <t>Bihdovirus pelohabitans</t>
  </si>
  <si>
    <t>Bisdanovirus</t>
  </si>
  <si>
    <t>Bisdanovirus hydrocola</t>
  </si>
  <si>
    <t>Blafavirus</t>
  </si>
  <si>
    <t>Blafavirus pelovivens</t>
  </si>
  <si>
    <t>Bohnovirus</t>
  </si>
  <si>
    <t>Bohnovirus asienecus</t>
  </si>
  <si>
    <t>Bohwovirus</t>
  </si>
  <si>
    <t>Bohwovirus asiocola</t>
  </si>
  <si>
    <t>Boloprevirus</t>
  </si>
  <si>
    <t>Boloprevirus asiohabitans</t>
  </si>
  <si>
    <t>Boloprevirus asiovicinum</t>
  </si>
  <si>
    <t>Boloprevirus asiovivens</t>
  </si>
  <si>
    <t>Boloprevirus borboradaptatum</t>
  </si>
  <si>
    <t>Boschuvirus</t>
  </si>
  <si>
    <t>Boschuvirus borborocola</t>
  </si>
  <si>
    <t>Breudwovirus</t>
  </si>
  <si>
    <t>Breudwovirus borborohabitans</t>
  </si>
  <si>
    <t>Brudgevirus</t>
  </si>
  <si>
    <t>Brudgevirus borborovicinum</t>
  </si>
  <si>
    <t>Brudgevirus borborovivens</t>
  </si>
  <si>
    <t>Brudgevirus caenadaptatum</t>
  </si>
  <si>
    <t>Brudgevirus caenenecus</t>
  </si>
  <si>
    <t>Brudgevirus caenicola</t>
  </si>
  <si>
    <t>Brudgevirus defluviicola</t>
  </si>
  <si>
    <t>Brudgevirus humadaptatum</t>
  </si>
  <si>
    <t>Brudgevirus terrivivens</t>
  </si>
  <si>
    <t>Buhdavirus</t>
  </si>
  <si>
    <t>Buhdavirus caenihabitans</t>
  </si>
  <si>
    <t>Cahdavirus</t>
  </si>
  <si>
    <t>Cahdavirus humicola</t>
  </si>
  <si>
    <t>Cahrpivirus</t>
  </si>
  <si>
    <t>Cahrpivirus caenivivens</t>
  </si>
  <si>
    <t>Cahrpivirus humenecus</t>
  </si>
  <si>
    <t>Caloevirus</t>
  </si>
  <si>
    <t>Caloevirus agradaptatum</t>
  </si>
  <si>
    <t>Caloevirus humivivens</t>
  </si>
  <si>
    <t>Cauhldivirus</t>
  </si>
  <si>
    <t>Cauhldivirus limadaptatum</t>
  </si>
  <si>
    <t>Cauhldivirus limenecus</t>
  </si>
  <si>
    <t>Cauhldivirus limicola</t>
  </si>
  <si>
    <t>Cehakivirus</t>
  </si>
  <si>
    <t>Cehakivirus limihabitans</t>
  </si>
  <si>
    <t>Chaedoavirus</t>
  </si>
  <si>
    <t>Chaedoavirus insecticola</t>
  </si>
  <si>
    <t>Chahsmivirus</t>
  </si>
  <si>
    <t>Chahsmivirus agrivicinum</t>
  </si>
  <si>
    <t>Chahsmivirus agrivivens</t>
  </si>
  <si>
    <t>Chahsmivirus choradaptatum</t>
  </si>
  <si>
    <t>Chahsmivirus limivicinum</t>
  </si>
  <si>
    <t>Chahsmivirus limivivens</t>
  </si>
  <si>
    <t>Chahsmivirus lutadaptatum</t>
  </si>
  <si>
    <t>Chihyovirus</t>
  </si>
  <si>
    <t>Chihyovirus lutenecus</t>
  </si>
  <si>
    <t>Chobevirus</t>
  </si>
  <si>
    <t>Chobevirus lutivicinum</t>
  </si>
  <si>
    <t>Choctavirus</t>
  </si>
  <si>
    <t>Choctavirus fulminicola</t>
  </si>
  <si>
    <t>Cintrevirus</t>
  </si>
  <si>
    <t>Cintrevirus pelocola</t>
  </si>
  <si>
    <t>Condavirus</t>
  </si>
  <si>
    <t>Condavirus arvenecus</t>
  </si>
  <si>
    <t>Condavirus arvicola</t>
  </si>
  <si>
    <t>Condavirus arvihabitans</t>
  </si>
  <si>
    <t>Condavirus arvivicinum</t>
  </si>
  <si>
    <t>Condavirus arvivivens</t>
  </si>
  <si>
    <t>Condavirus edaphadaptatum</t>
  </si>
  <si>
    <t>Condavirus edaphenecus</t>
  </si>
  <si>
    <t>Condavirus edaphocola</t>
  </si>
  <si>
    <t>Condavirus edaphohabitans</t>
  </si>
  <si>
    <t>Condavirus edaphovicinum</t>
  </si>
  <si>
    <t>Creshivirus</t>
  </si>
  <si>
    <t>Creshivirus fonticola</t>
  </si>
  <si>
    <t>Creshivirus pelohabitans</t>
  </si>
  <si>
    <t>Cunavirus</t>
  </si>
  <si>
    <t>Cunavirus pretoriense</t>
  </si>
  <si>
    <t>Dahmuvirus</t>
  </si>
  <si>
    <t>Dahmuvirus insecticola</t>
  </si>
  <si>
    <t>Darnbovirus</t>
  </si>
  <si>
    <t>Darnbovirus asiadaptatum</t>
  </si>
  <si>
    <t>Decadevirus</t>
  </si>
  <si>
    <t>Decadevirus asienecus</t>
  </si>
  <si>
    <t>Decadevirus asiocola</t>
  </si>
  <si>
    <t>Dehcevirus</t>
  </si>
  <si>
    <t>Dehcevirus asiohabitans</t>
  </si>
  <si>
    <t>Dehcevirus asiovicinum</t>
  </si>
  <si>
    <t>Dehcevirus soladaptatum</t>
  </si>
  <si>
    <t>Denfovirus</t>
  </si>
  <si>
    <t>Denfovirus borborenecus</t>
  </si>
  <si>
    <t>Depandovirus</t>
  </si>
  <si>
    <t>Depandovirus solicola</t>
  </si>
  <si>
    <t>Dihsdivirus</t>
  </si>
  <si>
    <t>Dihsdivirus solenecus</t>
  </si>
  <si>
    <t>Dohlivirus</t>
  </si>
  <si>
    <t>Dohlivirus borborovivens</t>
  </si>
  <si>
    <t>Dosmizivirus</t>
  </si>
  <si>
    <t>Dosmizivirus solihabitans</t>
  </si>
  <si>
    <t>Duhcivirus</t>
  </si>
  <si>
    <t>Duhcivirus defluviicola</t>
  </si>
  <si>
    <t>Emesvirus</t>
  </si>
  <si>
    <t>Emesvirus japonicum</t>
  </si>
  <si>
    <t>Emesvirus piscicola</t>
  </si>
  <si>
    <t>Emesvirus zinderi</t>
  </si>
  <si>
    <t>Empivirus</t>
  </si>
  <si>
    <t>Empivirus allolyticum</t>
  </si>
  <si>
    <t>Fagihyuvirus</t>
  </si>
  <si>
    <t>Fagihyuvirus caenivicinum</t>
  </si>
  <si>
    <t>Febihevirus</t>
  </si>
  <si>
    <t>Febihevirus ruminicola</t>
  </si>
  <si>
    <t>Fiyodovirus</t>
  </si>
  <si>
    <t>Fiyodovirus limihabitans</t>
  </si>
  <si>
    <t>Gahlinevirus</t>
  </si>
  <si>
    <t>Gahlinevirus luticola</t>
  </si>
  <si>
    <t>Gahlovirus</t>
  </si>
  <si>
    <t>Gahlovirus lutihabitans</t>
  </si>
  <si>
    <t>Garovuvirus</t>
  </si>
  <si>
    <t>Garovuvirus peladaptatum</t>
  </si>
  <si>
    <t>Gehnevirus</t>
  </si>
  <si>
    <t>Gehnevirus pelenecus</t>
  </si>
  <si>
    <t>Glincaevirus</t>
  </si>
  <si>
    <t>Glincaevirus pelovicinum</t>
  </si>
  <si>
    <t>Glyciruvirus</t>
  </si>
  <si>
    <t>Glyciruvirus geovicinum</t>
  </si>
  <si>
    <t>Glyciruvirus geovivens</t>
  </si>
  <si>
    <t>Gmuhndevirus</t>
  </si>
  <si>
    <t>Gmuhndevirus pelovivens</t>
  </si>
  <si>
    <t>Gorodievirus</t>
  </si>
  <si>
    <t>Gorodievirus telluradaptatum</t>
  </si>
  <si>
    <t>Grendvuvirus</t>
  </si>
  <si>
    <t>Grendvuvirus asiocola</t>
  </si>
  <si>
    <t>Gunawavirus</t>
  </si>
  <si>
    <t>Gunawavirus borboradaptatum</t>
  </si>
  <si>
    <t>Hagavirus</t>
  </si>
  <si>
    <t>Hagavirus psychrophilum</t>
  </si>
  <si>
    <t>Hahdsevirus</t>
  </si>
  <si>
    <t>Hahdsevirus borborenecus</t>
  </si>
  <si>
    <t>Halcalevirus</t>
  </si>
  <si>
    <t>Halcalevirus arvivivens</t>
  </si>
  <si>
    <t>Hihdivirus</t>
  </si>
  <si>
    <t>Hihdivirus caenenecus</t>
  </si>
  <si>
    <t>Hihdivirus caenicola</t>
  </si>
  <si>
    <t>Hukohnovirus</t>
  </si>
  <si>
    <t>Hukohnovirus limicola</t>
  </si>
  <si>
    <t>Icumivirus</t>
  </si>
  <si>
    <t>Icumivirus limivivens</t>
  </si>
  <si>
    <t>Ideskevirus</t>
  </si>
  <si>
    <t>Ideskevirus lutadaptatum</t>
  </si>
  <si>
    <t>Imeberivirus</t>
  </si>
  <si>
    <t>Imeberivirus lutenecus</t>
  </si>
  <si>
    <t>Imeberivirus luticola</t>
  </si>
  <si>
    <t>Ineyimevirus</t>
  </si>
  <si>
    <t>Ineyimevirus lutihabitans</t>
  </si>
  <si>
    <t>Ineyimevirus lutivicinum</t>
  </si>
  <si>
    <t>Iruqauvirus</t>
  </si>
  <si>
    <t>Iruqauvirus pelocola</t>
  </si>
  <si>
    <t>Ishugivirus</t>
  </si>
  <si>
    <t>Ishugivirus pelohabitans</t>
  </si>
  <si>
    <t>Jiesduavirus</t>
  </si>
  <si>
    <t>Jiesduavirus defluviicola</t>
  </si>
  <si>
    <t>Johnovirus</t>
  </si>
  <si>
    <t>Johnovirus asienecus</t>
  </si>
  <si>
    <t>Jupbevirus</t>
  </si>
  <si>
    <t>Jupbevirus asiocola</t>
  </si>
  <si>
    <t>Jupbevirus asiohabitans</t>
  </si>
  <si>
    <t>Kahfsdivirus</t>
  </si>
  <si>
    <t>Kahfsdivirus asiovicinum</t>
  </si>
  <si>
    <t>Keghovirus</t>
  </si>
  <si>
    <t>Keghovirus borborovivens</t>
  </si>
  <si>
    <t>Keghovirus caenadaptatum</t>
  </si>
  <si>
    <t>Kehmevirus</t>
  </si>
  <si>
    <t>Kehmevirus caenenecus</t>
  </si>
  <si>
    <t>Kemicevirus</t>
  </si>
  <si>
    <t>Kemicevirus caenicola</t>
  </si>
  <si>
    <t>Kemicevirus caenihabitans</t>
  </si>
  <si>
    <t>Kenamavirus</t>
  </si>
  <si>
    <t>Kenamavirus limadaptatum</t>
  </si>
  <si>
    <t>Kihryuvirus</t>
  </si>
  <si>
    <t>Kihryuvirus limihabitans</t>
  </si>
  <si>
    <t>Kirnavirus</t>
  </si>
  <si>
    <t>Kirnavirus lutenecus</t>
  </si>
  <si>
    <t>Kiwsmaevirus</t>
  </si>
  <si>
    <t>Kiwsmaevirus defluviicola</t>
  </si>
  <si>
    <t>Konkivirus</t>
  </si>
  <si>
    <t>Konkivirus lutihabitans</t>
  </si>
  <si>
    <t>Kowinovirus</t>
  </si>
  <si>
    <t>Kowinovirus pelenecus</t>
  </si>
  <si>
    <t>Kuhshuvirus</t>
  </si>
  <si>
    <t>Kuhshuvirus pelovicinum</t>
  </si>
  <si>
    <t>Lohmavirus</t>
  </si>
  <si>
    <t>Lohmavirus borborovivens</t>
  </si>
  <si>
    <t>Loslovirus</t>
  </si>
  <si>
    <t>Loslovirus caenicola</t>
  </si>
  <si>
    <t>Lulohlevirus</t>
  </si>
  <si>
    <t>Lulohlevirus edaphohabitans</t>
  </si>
  <si>
    <t>Luthavirus</t>
  </si>
  <si>
    <t>Luthavirus edaphovicinum</t>
  </si>
  <si>
    <t>Luthavirus edaphovivens</t>
  </si>
  <si>
    <t>Luthavirus pedadaptatum</t>
  </si>
  <si>
    <t>Mahqeavirus</t>
  </si>
  <si>
    <t>Mahqeavirus limicola</t>
  </si>
  <si>
    <t>Mahqeavirus limihabitans</t>
  </si>
  <si>
    <t>Mahraivirus</t>
  </si>
  <si>
    <t>Mahraivirus limivicinum</t>
  </si>
  <si>
    <t>Manohtivirus</t>
  </si>
  <si>
    <t>Manohtivirus pedenecus</t>
  </si>
  <si>
    <t>Manrohovirus</t>
  </si>
  <si>
    <t>Manrohovirus lutadaptatum</t>
  </si>
  <si>
    <t>Martavirus</t>
  </si>
  <si>
    <t>Martavirus lutenecus</t>
  </si>
  <si>
    <t>Meblowovirus</t>
  </si>
  <si>
    <t>Meblowovirus defluviicola</t>
  </si>
  <si>
    <t>Mehraxmevirus</t>
  </si>
  <si>
    <t>Mehraxmevirus pedohabitans</t>
  </si>
  <si>
    <t>Mekintivirus</t>
  </si>
  <si>
    <t>Mekintivirus lutihabitans</t>
  </si>
  <si>
    <t>Methovirus</t>
  </si>
  <si>
    <t>Methovirus lutivicinum</t>
  </si>
  <si>
    <t>Mihkrovirus</t>
  </si>
  <si>
    <t>Mihkrovirus pedovicinum</t>
  </si>
  <si>
    <t>Mihkrovirus pedovivens</t>
  </si>
  <si>
    <t>Mihkrovirus peladaptatum</t>
  </si>
  <si>
    <t>Mihkrovirus pelenecus</t>
  </si>
  <si>
    <t>Mihkrovirus pelocola</t>
  </si>
  <si>
    <t>Mihkrovirus soladaptatum</t>
  </si>
  <si>
    <t>Mihkrovirus solenecus</t>
  </si>
  <si>
    <t>Mihkrovirus solicola</t>
  </si>
  <si>
    <t>Mintuvirus</t>
  </si>
  <si>
    <t>Mintuvirus asiadaptatum</t>
  </si>
  <si>
    <t>Mintuvirus asienecus</t>
  </si>
  <si>
    <t>Mintuvirus pelovivens</t>
  </si>
  <si>
    <t>Monamovirus</t>
  </si>
  <si>
    <t>Monamovirus asiohabitans</t>
  </si>
  <si>
    <t>Monamovirus asiovicinum</t>
  </si>
  <si>
    <t>Mucrahivirus</t>
  </si>
  <si>
    <t>Mucrahivirus borboradaptatum</t>
  </si>
  <si>
    <t>Mucrahivirus geocola</t>
  </si>
  <si>
    <t>Mucrahivirus geoenecus</t>
  </si>
  <si>
    <t>Mucrahivirus geohabitans</t>
  </si>
  <si>
    <t>Mucrahivirus geovicinum</t>
  </si>
  <si>
    <t>Mucrahivirus geovivens</t>
  </si>
  <si>
    <t>Muyegivirus</t>
  </si>
  <si>
    <t>Muyegivirus borborenecus</t>
  </si>
  <si>
    <t>Nadsecevirus</t>
  </si>
  <si>
    <t>Nadsecevirus borborocola</t>
  </si>
  <si>
    <t>Nahjiuvirus</t>
  </si>
  <si>
    <t>Nahjiuvirus borborohabitans</t>
  </si>
  <si>
    <t>Nahjiuvirus borborovicinum</t>
  </si>
  <si>
    <t>Nahrudavirus</t>
  </si>
  <si>
    <t>Nahrudavirus borborovivens</t>
  </si>
  <si>
    <t>Nahsuvirus</t>
  </si>
  <si>
    <t>Nahsuvirus caenadaptatum</t>
  </si>
  <si>
    <t>Nahsuvirus telluradaptatum</t>
  </si>
  <si>
    <t>Nahsuvirus telluricola</t>
  </si>
  <si>
    <t>Niankuvirus</t>
  </si>
  <si>
    <t>Niankuvirus caenivicinum</t>
  </si>
  <si>
    <t>Nihucivirus</t>
  </si>
  <si>
    <t>Nihucivirus limihabitans</t>
  </si>
  <si>
    <t>Niuhvovirus</t>
  </si>
  <si>
    <t>Niuhvovirus limivicinum</t>
  </si>
  <si>
    <t>Niuhvovirus limivivens</t>
  </si>
  <si>
    <t>Noehsivirus</t>
  </si>
  <si>
    <t>Noehsivirus tellurivicinum</t>
  </si>
  <si>
    <t>Noehsivirus tellurivivens</t>
  </si>
  <si>
    <t>Nuihimevirus</t>
  </si>
  <si>
    <t>Nuihimevirus lutadaptatum</t>
  </si>
  <si>
    <t>Oceshuvirus</t>
  </si>
  <si>
    <t>Oceshuvirus lutenecus</t>
  </si>
  <si>
    <t>Olmsdivirus</t>
  </si>
  <si>
    <t>Olmsdivirus lutivivens</t>
  </si>
  <si>
    <t>Omohevirus</t>
  </si>
  <si>
    <t>Omohevirus peladaptatum</t>
  </si>
  <si>
    <t>Onohmuvirus</t>
  </si>
  <si>
    <t>Onohmuvirus pelenecus</t>
  </si>
  <si>
    <t>Opdykovirus</t>
  </si>
  <si>
    <t>Opdykovirus pelocola</t>
  </si>
  <si>
    <t>Osigowavirus</t>
  </si>
  <si>
    <t>Osigowavirus insecticola</t>
  </si>
  <si>
    <t>Owenocuvirus</t>
  </si>
  <si>
    <t>Owenocuvirus pelohabitans</t>
  </si>
  <si>
    <t>Oxychlovirus</t>
  </si>
  <si>
    <t>Oxychlovirus humadaptatum</t>
  </si>
  <si>
    <t>Oxychlovirus terrenecus</t>
  </si>
  <si>
    <t>Oxychlovirus terricola</t>
  </si>
  <si>
    <t>Oxychlovirus terrihabitans</t>
  </si>
  <si>
    <t>Oxychlovirus terrivicinum</t>
  </si>
  <si>
    <t>Oxychlovirus terrivivens</t>
  </si>
  <si>
    <t>Palsdevirus</t>
  </si>
  <si>
    <t>Palsdevirus asienecus</t>
  </si>
  <si>
    <t>Paysduvirus</t>
  </si>
  <si>
    <t>Paysduvirus asiocola</t>
  </si>
  <si>
    <t>Pehohrivirus</t>
  </si>
  <si>
    <t>Pehohrivirus asiohabitans</t>
  </si>
  <si>
    <t>Pehohrivirus asiovicinum</t>
  </si>
  <si>
    <t>Pehsaduvirus</t>
  </si>
  <si>
    <t>Pehsaduvirus asiovivens</t>
  </si>
  <si>
    <t>Pepevirus</t>
  </si>
  <si>
    <t>Pepevirus rubrum</t>
  </si>
  <si>
    <t>Pepevirus spumicola</t>
  </si>
  <si>
    <t>Perrunavirus</t>
  </si>
  <si>
    <t>Perrunavirus olsenii</t>
  </si>
  <si>
    <t>Philtcovirus</t>
  </si>
  <si>
    <t>Philtcovirus borboradaptatum</t>
  </si>
  <si>
    <t>Phobpsivirus</t>
  </si>
  <si>
    <t>Phobpsivirus agradaptatum</t>
  </si>
  <si>
    <t>Phobpsivirus agricola</t>
  </si>
  <si>
    <t>Phulivirus</t>
  </si>
  <si>
    <t>Phulivirus agrihabitans</t>
  </si>
  <si>
    <t>Phulivirus agrivicinum</t>
  </si>
  <si>
    <t>Phulivirus tegeticola</t>
  </si>
  <si>
    <t>Piponevirus</t>
  </si>
  <si>
    <t>Piponevirus borborenecus</t>
  </si>
  <si>
    <t>Piponevirus borborocola</t>
  </si>
  <si>
    <t>Pipunevirus</t>
  </si>
  <si>
    <t>Pipunevirus borborohabitans</t>
  </si>
  <si>
    <t>Pipunevirus borborovicinum</t>
  </si>
  <si>
    <t>Pipunevirus borborovivens</t>
  </si>
  <si>
    <t>Pipunevirus caenadaptatum</t>
  </si>
  <si>
    <t>Pohlevirus</t>
  </si>
  <si>
    <t>Pohlevirus arvadaptatum</t>
  </si>
  <si>
    <t>Pohlevirus arvenecus</t>
  </si>
  <si>
    <t>Pohlevirus arvicola</t>
  </si>
  <si>
    <t>Pohlevirus caenicola</t>
  </si>
  <si>
    <t>Pohlevirus chorovivens</t>
  </si>
  <si>
    <t>Pohtamavirus</t>
  </si>
  <si>
    <t>Pohtamavirus caenihabitans</t>
  </si>
  <si>
    <t>Poncivirus</t>
  </si>
  <si>
    <t>Poncivirus insecticola</t>
  </si>
  <si>
    <t>Psehatovirus</t>
  </si>
  <si>
    <t>Psehatovirus edaphadaptatum</t>
  </si>
  <si>
    <t>Psehatovirus edaphenecus</t>
  </si>
  <si>
    <t>Psehatovirus edaphocola</t>
  </si>
  <si>
    <t>Psehatovirus edaphohabitans</t>
  </si>
  <si>
    <t>Psehatovirus edaphovicinum</t>
  </si>
  <si>
    <t>Psehatovirus edaphovivens</t>
  </si>
  <si>
    <t>Psimevirus</t>
  </si>
  <si>
    <t>Psimevirus caenivicinum</t>
  </si>
  <si>
    <t>Psimevirus pedocola</t>
  </si>
  <si>
    <t>Pudlivirus</t>
  </si>
  <si>
    <t>Pudlivirus limivicinum</t>
  </si>
  <si>
    <t>Qubevirus</t>
  </si>
  <si>
    <t>Qubevirus durum</t>
  </si>
  <si>
    <t>Qubevirus faecium</t>
  </si>
  <si>
    <t>Radbaivirus</t>
  </si>
  <si>
    <t>Radbaivirus tellurenecus</t>
  </si>
  <si>
    <t>Radbaivirus telluricola</t>
  </si>
  <si>
    <t>Radbaivirus tellurihabitans</t>
  </si>
  <si>
    <t>Rehihmevirus</t>
  </si>
  <si>
    <t>Rehihmevirus terrenecus</t>
  </si>
  <si>
    <t>Rehudzovirus</t>
  </si>
  <si>
    <t>Rehudzovirus terrihabitans</t>
  </si>
  <si>
    <t>Rusvolovirus</t>
  </si>
  <si>
    <t>Rusvolovirus asiadaptatum</t>
  </si>
  <si>
    <t>Rusvolovirus asienecus</t>
  </si>
  <si>
    <t>Scuadavirus</t>
  </si>
  <si>
    <t>Scuadavirus asiohabitans</t>
  </si>
  <si>
    <t>Sehcovirus</t>
  </si>
  <si>
    <t>Sehcovirus asiovivens</t>
  </si>
  <si>
    <t>Sehcovirus humivivens</t>
  </si>
  <si>
    <t>Sehpovirus</t>
  </si>
  <si>
    <t>Sehpovirus borboradaptatum</t>
  </si>
  <si>
    <t>Seybrovirus</t>
  </si>
  <si>
    <t>Seybrovirus borborohabitans</t>
  </si>
  <si>
    <t>Shebanavirus</t>
  </si>
  <si>
    <t>Shebanavirus borborovicinum</t>
  </si>
  <si>
    <t>Shihovirus</t>
  </si>
  <si>
    <t>Shihovirus caenadaptatum</t>
  </si>
  <si>
    <t>Sholavirus</t>
  </si>
  <si>
    <t>Sholavirus caenicola</t>
  </si>
  <si>
    <t>Sholavirus caenihabitans</t>
  </si>
  <si>
    <t>Sholavirus caenivicinum</t>
  </si>
  <si>
    <t>Sholavirus caenivivens</t>
  </si>
  <si>
    <t>Shomudavirus</t>
  </si>
  <si>
    <t>Shomudavirus limadaptatum</t>
  </si>
  <si>
    <t>Shuravirus</t>
  </si>
  <si>
    <t>Shuravirus limicola</t>
  </si>
  <si>
    <t>Shuravirus limihabitans</t>
  </si>
  <si>
    <t>Sincthavirus</t>
  </si>
  <si>
    <t>Sincthavirus limivicinum</t>
  </si>
  <si>
    <t>Skhembuvirus</t>
  </si>
  <si>
    <t>Skhembuvirus limivivens</t>
  </si>
  <si>
    <t>Smudhfivirus</t>
  </si>
  <si>
    <t>Smudhfivirus lutadaptatum</t>
  </si>
  <si>
    <t>Soetuvirus</t>
  </si>
  <si>
    <t>Soetuvirus lutenecus</t>
  </si>
  <si>
    <t>Sphonivirus</t>
  </si>
  <si>
    <t>Sphonivirus agrivivens</t>
  </si>
  <si>
    <t>Sphonivirus choradaptatum</t>
  </si>
  <si>
    <t>Sphonivirus chorocola</t>
  </si>
  <si>
    <t>Stehlmavirus</t>
  </si>
  <si>
    <t>Stehlmavirus lutihabitans</t>
  </si>
  <si>
    <t>Swihdzovirus</t>
  </si>
  <si>
    <t>Swihdzovirus paludicola</t>
  </si>
  <si>
    <t>Tahluvirus</t>
  </si>
  <si>
    <t>Tahluvirus peladaptatum</t>
  </si>
  <si>
    <t>Tapikevirus</t>
  </si>
  <si>
    <t>Tapikevirus pelocola</t>
  </si>
  <si>
    <t>Teciucevirus</t>
  </si>
  <si>
    <t>Teciucevirus pelohabitans</t>
  </si>
  <si>
    <t>Tehdravirus</t>
  </si>
  <si>
    <t>Tehdravirus arvivicinum</t>
  </si>
  <si>
    <t>Tehnexuvirus</t>
  </si>
  <si>
    <t>Tehnexuvirus edaphadaptatum</t>
  </si>
  <si>
    <t>Thidevirus</t>
  </si>
  <si>
    <t>Thidevirus edaphovivens</t>
  </si>
  <si>
    <t>Thiwvovirus</t>
  </si>
  <si>
    <t>Thiwvovirus asienecus</t>
  </si>
  <si>
    <t>Thiyevirus</t>
  </si>
  <si>
    <t>Thiyevirus asiocola</t>
  </si>
  <si>
    <t>Thobivirus</t>
  </si>
  <si>
    <t>Thobivirus asiohabitans</t>
  </si>
  <si>
    <t>Ticahravirus</t>
  </si>
  <si>
    <t>Ticahravirus asiovicinum</t>
  </si>
  <si>
    <t>Tohvovirus</t>
  </si>
  <si>
    <t>Tohvovirus borborohabitans</t>
  </si>
  <si>
    <t>Trucevirus</t>
  </si>
  <si>
    <t>Trucevirus pedenecus</t>
  </si>
  <si>
    <t>Ureyisuvirus</t>
  </si>
  <si>
    <t>Ureyisuvirus caenihabitans</t>
  </si>
  <si>
    <t>Ushumevirus</t>
  </si>
  <si>
    <t>Ushumevirus caenivicinum</t>
  </si>
  <si>
    <t>Vinehtivirus</t>
  </si>
  <si>
    <t>Vinehtivirus limenecus</t>
  </si>
  <si>
    <t>Vinehtivirus limicola</t>
  </si>
  <si>
    <t>Vohsuavirus</t>
  </si>
  <si>
    <t>Vohsuavirus limihabitans</t>
  </si>
  <si>
    <t>Vohsuavirus limivicinum</t>
  </si>
  <si>
    <t>Vohsuavirus pedovivens</t>
  </si>
  <si>
    <t>Vohsuavirus soladaptatum</t>
  </si>
  <si>
    <t>Vohsuavirus solenecus</t>
  </si>
  <si>
    <t>Vohsuavirus solicola</t>
  </si>
  <si>
    <t>Wahtavirus</t>
  </si>
  <si>
    <t>Wahtavirus luticola</t>
  </si>
  <si>
    <t>Whietlevirus</t>
  </si>
  <si>
    <t>Whietlevirus defluviicola</t>
  </si>
  <si>
    <t>Whilavirus</t>
  </si>
  <si>
    <t>Whilavirus pelohabitans</t>
  </si>
  <si>
    <t>Wohudhevirus</t>
  </si>
  <si>
    <t>Wohudhevirus asienecus</t>
  </si>
  <si>
    <t>Wyahnevirus</t>
  </si>
  <si>
    <t>Wyahnevirus asiohabitans</t>
  </si>
  <si>
    <t>Yahnavirus</t>
  </si>
  <si>
    <t>Yahnavirus asiovicinum</t>
  </si>
  <si>
    <t>Yemegivirus</t>
  </si>
  <si>
    <t>Yemegivirus asiovivens</t>
  </si>
  <si>
    <t>Yohcadevirus</t>
  </si>
  <si>
    <t>Yohcadevirus borborocola</t>
  </si>
  <si>
    <t>Yuhrihovirus</t>
  </si>
  <si>
    <t>Yuhrihovirus borborohabitans</t>
  </si>
  <si>
    <t>Yuhrihovirus borborovicinum</t>
  </si>
  <si>
    <t>Yuhrihovirus borborovivens</t>
  </si>
  <si>
    <t>Yuhrihovirus humenecus</t>
  </si>
  <si>
    <t>Solspiviridae</t>
  </si>
  <si>
    <t>Alohrdovirus</t>
  </si>
  <si>
    <t>Alohrdovirus borborenecus</t>
  </si>
  <si>
    <t>Andihavirus</t>
  </si>
  <si>
    <t>Andihavirus borborohabitans</t>
  </si>
  <si>
    <t>Dibaevirus</t>
  </si>
  <si>
    <t>Dibaevirus borborocola</t>
  </si>
  <si>
    <t>Dilzevirus</t>
  </si>
  <si>
    <t>Dilzevirus borborohabitans</t>
  </si>
  <si>
    <t>Eosonovirus</t>
  </si>
  <si>
    <t>Eosonovirus caenenecus</t>
  </si>
  <si>
    <t>Etdyvivirus</t>
  </si>
  <si>
    <t>Etdyvivirus caenicola</t>
  </si>
  <si>
    <t>Fahrmivirus</t>
  </si>
  <si>
    <t>Fahrmivirus caenivivens</t>
  </si>
  <si>
    <t>Fahrmivirus limadaptatum</t>
  </si>
  <si>
    <t>Hinehbovirus</t>
  </si>
  <si>
    <t>Hinehbovirus caenihabitans</t>
  </si>
  <si>
    <t>Insbruvirus</t>
  </si>
  <si>
    <t>Insbruvirus lutivivens</t>
  </si>
  <si>
    <t>Intasivirus</t>
  </si>
  <si>
    <t>Intasivirus peladaptatum</t>
  </si>
  <si>
    <t>Intasivirus tellurivivens</t>
  </si>
  <si>
    <t>Intasivirus terradaptatum</t>
  </si>
  <si>
    <t>Intasivirus terrenecus</t>
  </si>
  <si>
    <t>Intasivirus terricola</t>
  </si>
  <si>
    <t>Jargovirus</t>
  </si>
  <si>
    <t>Jargovirus pelovivens</t>
  </si>
  <si>
    <t>Mahshuvirus</t>
  </si>
  <si>
    <t>Mahshuvirus limivivens</t>
  </si>
  <si>
    <t>Mintinovirus</t>
  </si>
  <si>
    <t>Mintinovirus pelohabitans</t>
  </si>
  <si>
    <t>Mintinovirus pelovicinum</t>
  </si>
  <si>
    <t>Odiravirus</t>
  </si>
  <si>
    <t>Odiravirus lutihabitans</t>
  </si>
  <si>
    <t>Oekfovirus</t>
  </si>
  <si>
    <t>Oekfovirus lutivicinum</t>
  </si>
  <si>
    <t>Puhrivirus</t>
  </si>
  <si>
    <t>Puhrivirus limivivens</t>
  </si>
  <si>
    <t>Puirovirus</t>
  </si>
  <si>
    <t>Puirovirus lutadaptatum</t>
  </si>
  <si>
    <t>Puirovirus lutenecus</t>
  </si>
  <si>
    <t>Sexopuavirus</t>
  </si>
  <si>
    <t>Sexopuavirus agricola</t>
  </si>
  <si>
    <t>Thiuhmevirus</t>
  </si>
  <si>
    <t>Thiuhmevirus pedadaptatum</t>
  </si>
  <si>
    <t>Tohkunevirus</t>
  </si>
  <si>
    <t>Tohkunevirus borborocola</t>
  </si>
  <si>
    <t>Tyrahlevirus</t>
  </si>
  <si>
    <t>Tyrahlevirus caenicola</t>
  </si>
  <si>
    <t>Vendavirus</t>
  </si>
  <si>
    <t>Vendavirus caenivivens</t>
  </si>
  <si>
    <t>Voulevirus</t>
  </si>
  <si>
    <t>Voulevirus limivivens</t>
  </si>
  <si>
    <t>Wishivirus</t>
  </si>
  <si>
    <t>Wishivirus defluviicola</t>
  </si>
  <si>
    <t>Timlovirales</t>
  </si>
  <si>
    <t>Blumeviridae</t>
  </si>
  <si>
    <t>Alehndavirus</t>
  </si>
  <si>
    <t>Alehndavirus ruminicola</t>
  </si>
  <si>
    <t>Bonghivirus</t>
  </si>
  <si>
    <t>Bonghivirus borborenecus</t>
  </si>
  <si>
    <t>Cehntrovirus</t>
  </si>
  <si>
    <t>Cehntrovirus agrihabitans</t>
  </si>
  <si>
    <t>Dahmuivirus</t>
  </si>
  <si>
    <t>Dahmuivirus pelovivens</t>
  </si>
  <si>
    <t>Dehgumevirus</t>
  </si>
  <si>
    <t>Dehgumevirus asiovivens</t>
  </si>
  <si>
    <t>Dehkhevirus</t>
  </si>
  <si>
    <t>Dehkhevirus borboradaptatum</t>
  </si>
  <si>
    <t>Espurtavirus</t>
  </si>
  <si>
    <t>Espurtavirus simiicola</t>
  </si>
  <si>
    <t>Gifriavirus</t>
  </si>
  <si>
    <t>Gifriavirus ruminicola</t>
  </si>
  <si>
    <t>Hehrovirus</t>
  </si>
  <si>
    <t>Hehrovirus borborohabitans</t>
  </si>
  <si>
    <t>Ivolevirus</t>
  </si>
  <si>
    <t>Ivolevirus faecicola</t>
  </si>
  <si>
    <t>Kahnayevirus</t>
  </si>
  <si>
    <t>Kahnayevirus asiovivens</t>
  </si>
  <si>
    <t>Kahraivirus</t>
  </si>
  <si>
    <t>Kahraivirus borboradaptatum</t>
  </si>
  <si>
    <t>Kemiovirus</t>
  </si>
  <si>
    <t>Kemiovirus caenivicinum</t>
  </si>
  <si>
    <t>Kerishovirus</t>
  </si>
  <si>
    <t>Kerishovirus limenecus</t>
  </si>
  <si>
    <t>Konmavirus</t>
  </si>
  <si>
    <t>Konmavirus lutivicinum</t>
  </si>
  <si>
    <t>Konmavirus lutivivens</t>
  </si>
  <si>
    <t>Konmavirus peladaptatum</t>
  </si>
  <si>
    <t>Lirnavirus</t>
  </si>
  <si>
    <t>Lirnavirus borborovicinum</t>
  </si>
  <si>
    <t>Lonzbavirus</t>
  </si>
  <si>
    <t>Lonzbavirus caenadaptatum</t>
  </si>
  <si>
    <t>Marskhivirus</t>
  </si>
  <si>
    <t>Marskhivirus piscicola</t>
  </si>
  <si>
    <t>Nehohpavirus</t>
  </si>
  <si>
    <t>Nehohpavirus tellurenecus</t>
  </si>
  <si>
    <t>Nehpavirus</t>
  </si>
  <si>
    <t>Nehpavirus caenenecus</t>
  </si>
  <si>
    <t>Obhoarovirus</t>
  </si>
  <si>
    <t>Obhoarovirus terradaptatum</t>
  </si>
  <si>
    <t>Pacehavirus</t>
  </si>
  <si>
    <t>Pacehavirus humicola</t>
  </si>
  <si>
    <t>Pacehavirus pelovicinum</t>
  </si>
  <si>
    <t>Pacehavirus pelovivens</t>
  </si>
  <si>
    <t>Pahdacivirus</t>
  </si>
  <si>
    <t>Pahdacivirus asiadaptatum</t>
  </si>
  <si>
    <t>Rhohmbavirus</t>
  </si>
  <si>
    <t>Rhohmbavirus terrivicinum</t>
  </si>
  <si>
    <t>Semodevirus</t>
  </si>
  <si>
    <t>Semodevirus borborenecus</t>
  </si>
  <si>
    <t>Shihmovirus</t>
  </si>
  <si>
    <t>Shihmovirus borborovivens</t>
  </si>
  <si>
    <t>Shihwivirus</t>
  </si>
  <si>
    <t>Shihwivirus caenenecus</t>
  </si>
  <si>
    <t>Tibirnivirus</t>
  </si>
  <si>
    <t>Tibirnivirus paludicola</t>
  </si>
  <si>
    <t>Tinebovirus</t>
  </si>
  <si>
    <t>Tinebovirus borborenecus</t>
  </si>
  <si>
    <t>Wahdswovirus</t>
  </si>
  <si>
    <t>Wahdswovirus lutenecus</t>
  </si>
  <si>
    <t>Yenihzavirus</t>
  </si>
  <si>
    <t>Yenihzavirus borboradaptatum</t>
  </si>
  <si>
    <t>Steitzviridae</t>
  </si>
  <si>
    <t>Abakapovirus</t>
  </si>
  <si>
    <t>Abakapovirus asiadaptatum</t>
  </si>
  <si>
    <t>Abakapovirus humadaptatum</t>
  </si>
  <si>
    <t>Abakapovirus humenecus</t>
  </si>
  <si>
    <t>Abakapovirus humicola</t>
  </si>
  <si>
    <t>Achlievirus</t>
  </si>
  <si>
    <t>Achlievirus humihabitans</t>
  </si>
  <si>
    <t>Adahmuvirus</t>
  </si>
  <si>
    <t>Adahmuvirus asiocola</t>
  </si>
  <si>
    <t>Alehxovirus</t>
  </si>
  <si>
    <t>Alehxovirus agradaptatum</t>
  </si>
  <si>
    <t>Alehxovirus agrenecus</t>
  </si>
  <si>
    <t>Alehxovirus agricola</t>
  </si>
  <si>
    <t>Alehxovirus agrihabitans</t>
  </si>
  <si>
    <t>Alehxovirus asiohabitans</t>
  </si>
  <si>
    <t>Alehxovirus asiovicinum</t>
  </si>
  <si>
    <t>Alehxovirus asiovivens</t>
  </si>
  <si>
    <t>Alehxovirus borboradaptatum</t>
  </si>
  <si>
    <t>Alehxovirus humivicinum</t>
  </si>
  <si>
    <t>Alehxovirus humivivens</t>
  </si>
  <si>
    <t>Aphenovirus</t>
  </si>
  <si>
    <t>Aphenovirus arvadaptatum</t>
  </si>
  <si>
    <t>Aphenovirus arvicola</t>
  </si>
  <si>
    <t>Aphenovirus chorovivens</t>
  </si>
  <si>
    <t>Arawsmovirus</t>
  </si>
  <si>
    <t>Arawsmovirus borborovivens</t>
  </si>
  <si>
    <t>Arctuvirus</t>
  </si>
  <si>
    <t>Arctuvirus arvivicinum</t>
  </si>
  <si>
    <t>Arctuvirus arvivivens</t>
  </si>
  <si>
    <t>Arctuvirus edaphadaptatum</t>
  </si>
  <si>
    <t>Arctuvirus edaphenecus</t>
  </si>
  <si>
    <t>Arctuvirus edaphocola</t>
  </si>
  <si>
    <t>Arctuvirus edaphohabitans</t>
  </si>
  <si>
    <t>Arctuvirus edaphovicinum</t>
  </si>
  <si>
    <t>Arctuvirus edaphovivens</t>
  </si>
  <si>
    <t>Arctuvirus pedadaptatum</t>
  </si>
  <si>
    <t>Arctuvirus pedocola</t>
  </si>
  <si>
    <t>Arpirivirus</t>
  </si>
  <si>
    <t>Arpirivirus pedenecus</t>
  </si>
  <si>
    <t>Arpirivirus pedohabitans</t>
  </si>
  <si>
    <t>Ashcevirus</t>
  </si>
  <si>
    <t>Ashcevirus caenenecus</t>
  </si>
  <si>
    <t>Bahnicevirus</t>
  </si>
  <si>
    <t>Bahnicevirus chthonadaptatum</t>
  </si>
  <si>
    <t>Bahnicevirus chthonenecus</t>
  </si>
  <si>
    <t>Bahnicevirus chthonocola</t>
  </si>
  <si>
    <t>Bahnicevirus chthonohabitans</t>
  </si>
  <si>
    <t>Bahnicevirus chthonovicinum</t>
  </si>
  <si>
    <t>Bahnicevirus chthonovivens</t>
  </si>
  <si>
    <t>Bahnicevirus defluviicola</t>
  </si>
  <si>
    <t>Bahnicevirus geoadaptatum</t>
  </si>
  <si>
    <t>Bahnicevirus geocola</t>
  </si>
  <si>
    <t>Bahnicevirus geoenecus</t>
  </si>
  <si>
    <t>Bahnicevirus geohabitans</t>
  </si>
  <si>
    <t>Bahnicevirus geovicinum</t>
  </si>
  <si>
    <t>Bahnicevirus geovivens</t>
  </si>
  <si>
    <t>Bahnicevirus limenecus</t>
  </si>
  <si>
    <t>Bahnicevirus limicola</t>
  </si>
  <si>
    <t>Bahnicevirus limihabitans</t>
  </si>
  <si>
    <t>Bahnicevirus pedovicinum</t>
  </si>
  <si>
    <t>Bahnicevirus pedovivens</t>
  </si>
  <si>
    <t>Bahnicevirus soladaptatum</t>
  </si>
  <si>
    <t>Bahnicevirus solenecus</t>
  </si>
  <si>
    <t>Bahnicevirus solicola</t>
  </si>
  <si>
    <t>Bahnicevirus solihabitans</t>
  </si>
  <si>
    <t>Bahnicevirus solivicinum</t>
  </si>
  <si>
    <t>Bahnicevirus solivivens</t>
  </si>
  <si>
    <t>Bahnicevirus telluradaptatum</t>
  </si>
  <si>
    <t>Bahnicevirus tellurenecus</t>
  </si>
  <si>
    <t>Bahnicevirus telluricola</t>
  </si>
  <si>
    <t>Bahnicevirus tellurihabitans</t>
  </si>
  <si>
    <t>Bahnicevirus tellurivicinum</t>
  </si>
  <si>
    <t>Bahnicevirus tellurivivens</t>
  </si>
  <si>
    <t>Bahnicevirus terradaptatum</t>
  </si>
  <si>
    <t>Bahnicevirus terricola</t>
  </si>
  <si>
    <t>Belbovirus</t>
  </si>
  <si>
    <t>Belbovirus lutenecus</t>
  </si>
  <si>
    <t>Berdovirus</t>
  </si>
  <si>
    <t>Berdovirus luticola</t>
  </si>
  <si>
    <t>Bicehmovirus</t>
  </si>
  <si>
    <t>Bicehmovirus lutivivens</t>
  </si>
  <si>
    <t>Bicehmovirus peladaptatum</t>
  </si>
  <si>
    <t>Bicehmovirus pelenecus</t>
  </si>
  <si>
    <t>Bidhavirus</t>
  </si>
  <si>
    <t>Bidhavirus pelocola</t>
  </si>
  <si>
    <t>Brikhyavirus</t>
  </si>
  <si>
    <t>Brikhyavirus terrivicinum</t>
  </si>
  <si>
    <t>Cahrlavirus</t>
  </si>
  <si>
    <t>Cahrlavirus caenivicinum</t>
  </si>
  <si>
    <t>Cahtavirus</t>
  </si>
  <si>
    <t>Cahtavirus humihabitans</t>
  </si>
  <si>
    <t>Catindovirus</t>
  </si>
  <si>
    <t>Catindovirus agricola</t>
  </si>
  <si>
    <t>Cebevirus</t>
  </si>
  <si>
    <t>Cebevirus agrenecus</t>
  </si>
  <si>
    <t>Cebevirus halophobicum</t>
  </si>
  <si>
    <t>Chlurivirus</t>
  </si>
  <si>
    <t>Chlurivirus chorocola</t>
  </si>
  <si>
    <t>Chorovirus</t>
  </si>
  <si>
    <t>Chorovirus peladaptatum</t>
  </si>
  <si>
    <t>Clitovirus</t>
  </si>
  <si>
    <t>Clitovirus chorohabitans</t>
  </si>
  <si>
    <t>Cohrdavirus</t>
  </si>
  <si>
    <t>Cohrdavirus arvadaptatum</t>
  </si>
  <si>
    <t>Cohrdavirus chorovicinum</t>
  </si>
  <si>
    <t>Cohrdavirus chorovivens</t>
  </si>
  <si>
    <t>Controvirus</t>
  </si>
  <si>
    <t>Controvirus defluviicola</t>
  </si>
  <si>
    <t>Cunarovirus</t>
  </si>
  <si>
    <t>Cunarovirus edaphovivens</t>
  </si>
  <si>
    <t>Cunarovirus pedadaptatum</t>
  </si>
  <si>
    <t>Cunarovirus pedenecus</t>
  </si>
  <si>
    <t>Cunarovirus pedocola</t>
  </si>
  <si>
    <t>Cunarovirus pedovicinum</t>
  </si>
  <si>
    <t>Cunarovirus pedovivens</t>
  </si>
  <si>
    <t>Cunarovirus pelovicinum</t>
  </si>
  <si>
    <t>Cunavirus pedohabitans</t>
  </si>
  <si>
    <t>Dohnjavirus</t>
  </si>
  <si>
    <t>Dohnjavirus caenadaptatum</t>
  </si>
  <si>
    <t>Endehruvirus</t>
  </si>
  <si>
    <t>Endehruvirus chthonenecus</t>
  </si>
  <si>
    <t>Endehruvirus chthonocola</t>
  </si>
  <si>
    <t>Eregrovirus</t>
  </si>
  <si>
    <t>Eregrovirus chthonohabitans</t>
  </si>
  <si>
    <t>Erimutivirus</t>
  </si>
  <si>
    <t>Erimutivirus chthonovicinum</t>
  </si>
  <si>
    <t>Fagihovirus</t>
  </si>
  <si>
    <t>Fagihovirus caenihabitans</t>
  </si>
  <si>
    <t>Fagihovirus chthonovivens</t>
  </si>
  <si>
    <t>Fejonovirus</t>
  </si>
  <si>
    <t>Fejonovirus limenecus</t>
  </si>
  <si>
    <t>Ferahgovirus</t>
  </si>
  <si>
    <t>Ferahgovirus geoadaptatum</t>
  </si>
  <si>
    <t>Fluruvirus</t>
  </si>
  <si>
    <t>Fluruvirus limivicinum</t>
  </si>
  <si>
    <t>Frobavirus</t>
  </si>
  <si>
    <t>Frobavirus limivivens</t>
  </si>
  <si>
    <t>Fudhoevirus</t>
  </si>
  <si>
    <t>Fudhoevirus lutadaptatum</t>
  </si>
  <si>
    <t>Fudhoevirus lutenecus</t>
  </si>
  <si>
    <t>Gahmegovirus</t>
  </si>
  <si>
    <t>Gahmegovirus lutivicinum</t>
  </si>
  <si>
    <t>Garnievirus</t>
  </si>
  <si>
    <t>Garnievirus lutivivens</t>
  </si>
  <si>
    <t>Gehrmavirus</t>
  </si>
  <si>
    <t>Gehrmavirus geocola</t>
  </si>
  <si>
    <t>Gehrmavirus pelocola</t>
  </si>
  <si>
    <t>Gernuduvirus</t>
  </si>
  <si>
    <t>Gernuduvirus geoenecus</t>
  </si>
  <si>
    <t>Gihfavirus</t>
  </si>
  <si>
    <t>Gihfavirus geohabitans</t>
  </si>
  <si>
    <t>Gihfavirus pelohabitans</t>
  </si>
  <si>
    <t>Gredihovirus</t>
  </si>
  <si>
    <t>Gredihovirus agradaptatum</t>
  </si>
  <si>
    <t>Gredihovirus agrenecus</t>
  </si>
  <si>
    <t>Gredihovirus agricola</t>
  </si>
  <si>
    <t>Gredihovirus agrihabitans</t>
  </si>
  <si>
    <t>Gredihovirus agrivicinum</t>
  </si>
  <si>
    <t>Gredihovirus agrivivens</t>
  </si>
  <si>
    <t>Gredihovirus arvadaptatum</t>
  </si>
  <si>
    <t>Gredihovirus arvenecus</t>
  </si>
  <si>
    <t>Gredihovirus arvicola</t>
  </si>
  <si>
    <t>Gredihovirus arvihabitans</t>
  </si>
  <si>
    <t>Gredihovirus arvivicinum</t>
  </si>
  <si>
    <t>Gredihovirus arvivivens</t>
  </si>
  <si>
    <t>Gredihovirus asienecus</t>
  </si>
  <si>
    <t>Gredihovirus choradaptatum</t>
  </si>
  <si>
    <t>Gredihovirus chorenecus</t>
  </si>
  <si>
    <t>Gredihovirus chorocola</t>
  </si>
  <si>
    <t>Gredihovirus chorohabitans</t>
  </si>
  <si>
    <t>Gredihovirus chorovicinum</t>
  </si>
  <si>
    <t>Gredihovirus chorovivens</t>
  </si>
  <si>
    <t>Gredihovirus chthonadaptatum</t>
  </si>
  <si>
    <t>Gredihovirus chthonenecus</t>
  </si>
  <si>
    <t>Gredihovirus chthonocola</t>
  </si>
  <si>
    <t>Gredihovirus chthonohabitans</t>
  </si>
  <si>
    <t>Gredihovirus chthonovicinum</t>
  </si>
  <si>
    <t>Gredihovirus chthonovivens</t>
  </si>
  <si>
    <t>Gredihovirus edaphadaptatum</t>
  </si>
  <si>
    <t>Gredihovirus edaphenecus</t>
  </si>
  <si>
    <t>Gredihovirus edaphocola</t>
  </si>
  <si>
    <t>Gredihovirus edaphohabitans</t>
  </si>
  <si>
    <t>Gredihovirus edaphovicinum</t>
  </si>
  <si>
    <t>Gredihovirus edaphovivens</t>
  </si>
  <si>
    <t>Gredihovirus geoadaptatum</t>
  </si>
  <si>
    <t>Gredihovirus geocola</t>
  </si>
  <si>
    <t>Gredihovirus geoenecus</t>
  </si>
  <si>
    <t>Gredihovirus geohabitans</t>
  </si>
  <si>
    <t>Gredihovirus geovicinum</t>
  </si>
  <si>
    <t>Gredihovirus geovivens</t>
  </si>
  <si>
    <t>Gredihovirus humadaptatum</t>
  </si>
  <si>
    <t>Gredihovirus humenecus</t>
  </si>
  <si>
    <t>Gredihovirus humicola</t>
  </si>
  <si>
    <t>Gredihovirus humihabitans</t>
  </si>
  <si>
    <t>Gredihovirus humivicinum</t>
  </si>
  <si>
    <t>Gredihovirus humivivens</t>
  </si>
  <si>
    <t>Gredihovirus neoagrenecus</t>
  </si>
  <si>
    <t>Gredihovirus neoagricola</t>
  </si>
  <si>
    <t>Gredihovirus neoagrihabitans</t>
  </si>
  <si>
    <t>Gredihovirus neoagrivicinum</t>
  </si>
  <si>
    <t>Gredihovirus neoagrivivens</t>
  </si>
  <si>
    <t>Gredihovirus neochoradaptatum</t>
  </si>
  <si>
    <t>Gredihovirus neochorenecus</t>
  </si>
  <si>
    <t>Gredihovirus neochorocola</t>
  </si>
  <si>
    <t>Gredihovirus neochorohabitans</t>
  </si>
  <si>
    <t>Gredihovirus neochorovicinum</t>
  </si>
  <si>
    <t>Gredihovirus neochorovivens</t>
  </si>
  <si>
    <t>Gredihovirus neohumadaptatum</t>
  </si>
  <si>
    <t>Gredihovirus neohumenecus</t>
  </si>
  <si>
    <t>Gredihovirus neohumicola</t>
  </si>
  <si>
    <t>Gredihovirus neohumihabitans</t>
  </si>
  <si>
    <t>Gredihovirus neohumivicinum</t>
  </si>
  <si>
    <t>Gredihovirus neohumivivens</t>
  </si>
  <si>
    <t>Gredihovirus neotellurenecus</t>
  </si>
  <si>
    <t>Gredihovirus neotelluricola</t>
  </si>
  <si>
    <t>Gredihovirus neotellurihabitans</t>
  </si>
  <si>
    <t>Gredihovirus neotellurivicinum</t>
  </si>
  <si>
    <t>Gredihovirus neotellurivivens</t>
  </si>
  <si>
    <t>Gredihovirus neoterradaptatum</t>
  </si>
  <si>
    <t>Gredihovirus neoterrenecus</t>
  </si>
  <si>
    <t>Gredihovirus neoterricola</t>
  </si>
  <si>
    <t>Gredihovirus neoterrihabitans</t>
  </si>
  <si>
    <t>Gredihovirus neoterrivicinum</t>
  </si>
  <si>
    <t>Gredihovirus neoterrivivens</t>
  </si>
  <si>
    <t>Gredihovirus pedadaptatum</t>
  </si>
  <si>
    <t>Gredihovirus pedenecus</t>
  </si>
  <si>
    <t>Gredihovirus pedocola</t>
  </si>
  <si>
    <t>Gredihovirus pedohabitans</t>
  </si>
  <si>
    <t>Gredihovirus pedovicinum</t>
  </si>
  <si>
    <t>Gredihovirus pedovivens</t>
  </si>
  <si>
    <t>Gredihovirus soladaptatum</t>
  </si>
  <si>
    <t>Gredihovirus solenecus</t>
  </si>
  <si>
    <t>Gredihovirus solicola</t>
  </si>
  <si>
    <t>Gredihovirus solihabitans</t>
  </si>
  <si>
    <t>Gredihovirus solivicinum</t>
  </si>
  <si>
    <t>Gredihovirus solivivens</t>
  </si>
  <si>
    <t>Gredihovirus telluradaptatum</t>
  </si>
  <si>
    <t>Gredihovirus tellurenecus</t>
  </si>
  <si>
    <t>Gredihovirus telluricola</t>
  </si>
  <si>
    <t>Gredihovirus tellurihabitans</t>
  </si>
  <si>
    <t>Gredihovirus tellurivicinum</t>
  </si>
  <si>
    <t>Gredihovirus tellurivivens</t>
  </si>
  <si>
    <t>Gredihovirus terradaptatum</t>
  </si>
  <si>
    <t>Gredihovirus terrenecus</t>
  </si>
  <si>
    <t>Gredihovirus terricola</t>
  </si>
  <si>
    <t>Gredihovirus terrihabitans</t>
  </si>
  <si>
    <t>Gredihovirus terrivicinum</t>
  </si>
  <si>
    <t>Gredihovirus terrivivens</t>
  </si>
  <si>
    <t>Gulmivirus</t>
  </si>
  <si>
    <t>Gulmivirus arvadaptatum</t>
  </si>
  <si>
    <t>Gulmivirus arvenecus</t>
  </si>
  <si>
    <t>Gulmivirus arvicola</t>
  </si>
  <si>
    <t>Gulmivirus arvihabitans</t>
  </si>
  <si>
    <t>Gulmivirus arvivicinum</t>
  </si>
  <si>
    <t>Gulmivirus asiohabitans</t>
  </si>
  <si>
    <t>Gulmivirus asiovicinum</t>
  </si>
  <si>
    <t>Gulmivirus asiovivens</t>
  </si>
  <si>
    <t>Hahkesevirus</t>
  </si>
  <si>
    <t>Hahkesevirus borborocola</t>
  </si>
  <si>
    <t>Henifovirus</t>
  </si>
  <si>
    <t>Henifovirus borborovivens</t>
  </si>
  <si>
    <t>Henifovirus caenadaptatum</t>
  </si>
  <si>
    <t>Hohltdevirus</t>
  </si>
  <si>
    <t>Hohltdevirus edaphenecus</t>
  </si>
  <si>
    <t>Hohltdevirus edaphocola</t>
  </si>
  <si>
    <t>Hohrdovirus</t>
  </si>
  <si>
    <t>Hohrdovirus caenivivens</t>
  </si>
  <si>
    <t>Hohrdovirus edaphohabitans</t>
  </si>
  <si>
    <t>Hohrdovirus edaphovicinum</t>
  </si>
  <si>
    <t>Hohrdovirus edaphovivens</t>
  </si>
  <si>
    <t>Hohrdovirus limadaptatum</t>
  </si>
  <si>
    <t>Hohrdovirus pedadaptatum</t>
  </si>
  <si>
    <t>Hohrdovirus pedenecus</t>
  </si>
  <si>
    <t>Hohrdovirus pedocola</t>
  </si>
  <si>
    <t>Hohrdovirus pedohabitans</t>
  </si>
  <si>
    <t>Hohrdovirus pedovicinum</t>
  </si>
  <si>
    <t>Hohrdovirus pedovivens</t>
  </si>
  <si>
    <t>Hohrdovirus soladaptatum</t>
  </si>
  <si>
    <t>Hohrdovirus solenecus</t>
  </si>
  <si>
    <t>Hohrdovirus solicola</t>
  </si>
  <si>
    <t>Hohrdovirus solihabitans</t>
  </si>
  <si>
    <t>Huhbevirus</t>
  </si>
  <si>
    <t>Huhbevirus chthonadaptatum</t>
  </si>
  <si>
    <t>Huhbevirus chthonenecus</t>
  </si>
  <si>
    <t>Huhbevirus chthonocola</t>
  </si>
  <si>
    <t>Huhbevirus chthonohabitans</t>
  </si>
  <si>
    <t>Huhbevirus chthonovicinum</t>
  </si>
  <si>
    <t>Huhbevirus chthonovivens</t>
  </si>
  <si>
    <t>Huhbevirus geoadaptatum</t>
  </si>
  <si>
    <t>Huhbevirus solivicinum</t>
  </si>
  <si>
    <t>Huhbevirus solivivens</t>
  </si>
  <si>
    <t>Huohcivirus</t>
  </si>
  <si>
    <t>Huohcivirus geoenecus</t>
  </si>
  <si>
    <t>Huylevirus</t>
  </si>
  <si>
    <t>Huylevirus limihabitans</t>
  </si>
  <si>
    <t>Hyjrovirus</t>
  </si>
  <si>
    <t>Hyjrovirus geohabitans</t>
  </si>
  <si>
    <t>Hylipavirus</t>
  </si>
  <si>
    <t>Hylipavirus geovicinum</t>
  </si>
  <si>
    <t>Iwahcevirus</t>
  </si>
  <si>
    <t>Iwahcevirus pelovicinum</t>
  </si>
  <si>
    <t>Jiforsuvirus</t>
  </si>
  <si>
    <t>Jiforsuvirus asiadaptatum</t>
  </si>
  <si>
    <t>Kecijavirus</t>
  </si>
  <si>
    <t>Kecijavirus borborocola</t>
  </si>
  <si>
    <t>Kecuhnavirus</t>
  </si>
  <si>
    <t>Kecuhnavirus borborohabitans</t>
  </si>
  <si>
    <t>Kecuhnavirus borborovicinum</t>
  </si>
  <si>
    <t>Kecuhnavirus terrivicinum</t>
  </si>
  <si>
    <t>Kehruavirus</t>
  </si>
  <si>
    <t>Kehruavirus agradaptatum</t>
  </si>
  <si>
    <t>Kehruavirus agricola</t>
  </si>
  <si>
    <t>Kehruavirus humadaptatum</t>
  </si>
  <si>
    <t>Kehruavirus humenecus</t>
  </si>
  <si>
    <t>Kehruavirus humicola</t>
  </si>
  <si>
    <t>Kehruavirus humihabitans</t>
  </si>
  <si>
    <t>Kehruavirus humivicinum</t>
  </si>
  <si>
    <t>Kehruavirus humivivens</t>
  </si>
  <si>
    <t>Kehruavirus terrivivens</t>
  </si>
  <si>
    <t>Kihsiravirus</t>
  </si>
  <si>
    <t>Kihsiravirus limivicinum</t>
  </si>
  <si>
    <t>Kinglevirus</t>
  </si>
  <si>
    <t>Kinglevirus lutadaptatum</t>
  </si>
  <si>
    <t>Kyanivirus</t>
  </si>
  <si>
    <t>Kyanivirus asiadaptatum</t>
  </si>
  <si>
    <t>Kyanivirus pelovivens</t>
  </si>
  <si>
    <t>Laimuvirus</t>
  </si>
  <si>
    <t>Laimuvirus asiocola</t>
  </si>
  <si>
    <t>Lazuovirus</t>
  </si>
  <si>
    <t>Lazuovirus agrenecus</t>
  </si>
  <si>
    <t>Lehptavirus</t>
  </si>
  <si>
    <t>Lehptavirus agrihabitans</t>
  </si>
  <si>
    <t>Lehptavirus agrivicinum</t>
  </si>
  <si>
    <t>Lehptavirus agrivivens</t>
  </si>
  <si>
    <t>Lehptavirus choradaptatum</t>
  </si>
  <si>
    <t>Lehptavirus chorenecus</t>
  </si>
  <si>
    <t>Lehptavirus chorocola</t>
  </si>
  <si>
    <t>Lihvevirus</t>
  </si>
  <si>
    <t>Lihvevirus borborenecus</t>
  </si>
  <si>
    <t>Limaivirus</t>
  </si>
  <si>
    <t>Limaivirus borborocola</t>
  </si>
  <si>
    <t>Limaivirus borborohabitans</t>
  </si>
  <si>
    <t>Lomnativirus</t>
  </si>
  <si>
    <t>Lomnativirus arvihabitans</t>
  </si>
  <si>
    <t>Loptevirus</t>
  </si>
  <si>
    <t>Loptevirus arvivicinum</t>
  </si>
  <si>
    <t>Loptevirus arvivivens</t>
  </si>
  <si>
    <t>Loptevirus caenenecus</t>
  </si>
  <si>
    <t>Luloavirus</t>
  </si>
  <si>
    <t>Luloavirus caenihabitans</t>
  </si>
  <si>
    <t>Luloavirus edaphadaptatum</t>
  </si>
  <si>
    <t>Luloavirus edaphenecus</t>
  </si>
  <si>
    <t>Luloavirus edaphocola</t>
  </si>
  <si>
    <t>Lygehevirus</t>
  </si>
  <si>
    <t>Lygehevirus pedocola</t>
  </si>
  <si>
    <t>Lyndovirus</t>
  </si>
  <si>
    <t>Lyndovirus caenivicinum</t>
  </si>
  <si>
    <t>Mahdsavirus</t>
  </si>
  <si>
    <t>Mahdsavirus limadaptatum</t>
  </si>
  <si>
    <t>Mahjnavirus</t>
  </si>
  <si>
    <t>Mahjnavirus limenecus</t>
  </si>
  <si>
    <t>Metsavirus</t>
  </si>
  <si>
    <t>Metsavirus lutivivens</t>
  </si>
  <si>
    <t>Milihnovirus</t>
  </si>
  <si>
    <t>Milihnovirus solihabitans</t>
  </si>
  <si>
    <t>Minusuvirus</t>
  </si>
  <si>
    <t>Minusuvirus solivicinum</t>
  </si>
  <si>
    <t>Mocruvirus</t>
  </si>
  <si>
    <t>Mocruvirus chthonadaptatum</t>
  </si>
  <si>
    <t>Mocruvirus chthonocola</t>
  </si>
  <si>
    <t>Mocruvirus solivivens</t>
  </si>
  <si>
    <t>Molucevirus</t>
  </si>
  <si>
    <t>Molucevirus chthonohabitans</t>
  </si>
  <si>
    <t>Molucevirus chthonovicinum</t>
  </si>
  <si>
    <t>Molucevirus chthonovivens</t>
  </si>
  <si>
    <t>Molucevirus geoadaptatum</t>
  </si>
  <si>
    <t>Nehumivirus</t>
  </si>
  <si>
    <t>Nehumivirus tellurihabitans</t>
  </si>
  <si>
    <t>Nihlwovirus</t>
  </si>
  <si>
    <t>Nihlwovirus limenecus</t>
  </si>
  <si>
    <t>Nihlwovirus limicola</t>
  </si>
  <si>
    <t>Ociwvivirus</t>
  </si>
  <si>
    <t>Ociwvivirus luticola</t>
  </si>
  <si>
    <t>Pahspavirus</t>
  </si>
  <si>
    <t>Pahspavirus humihabitans</t>
  </si>
  <si>
    <t>Patimovirus</t>
  </si>
  <si>
    <t>Patimovirus humivicinum</t>
  </si>
  <si>
    <t>Pepusduvirus</t>
  </si>
  <si>
    <t>Pepusduvirus humivivens</t>
  </si>
  <si>
    <t>Phulihavirus</t>
  </si>
  <si>
    <t>Phulihavirus agrenecus</t>
  </si>
  <si>
    <t>Pirifovirus</t>
  </si>
  <si>
    <t>Pirifovirus chorenecus</t>
  </si>
  <si>
    <t>Pirifovirus chorohabitans</t>
  </si>
  <si>
    <t>Pirifovirus chorovicinum</t>
  </si>
  <si>
    <t>Podtsbuvirus</t>
  </si>
  <si>
    <t>Podtsbuvirus caenenecus</t>
  </si>
  <si>
    <t>Pohlodivirus</t>
  </si>
  <si>
    <t>Pohlodivirus arvihabitans</t>
  </si>
  <si>
    <t>Psiaduvirus</t>
  </si>
  <si>
    <t>Psiaduvirus pedadaptatum</t>
  </si>
  <si>
    <t>Psouhdivirus</t>
  </si>
  <si>
    <t>Psouhdivirus caenivivens</t>
  </si>
  <si>
    <t>Psouhdivirus limadaptatum</t>
  </si>
  <si>
    <t>Psouhdivirus limenecus</t>
  </si>
  <si>
    <t>Psouhdivirus limicola</t>
  </si>
  <si>
    <t>Psouhdivirus limihabitans</t>
  </si>
  <si>
    <t>Psouhdivirus pedohabitans</t>
  </si>
  <si>
    <t>Psouhdivirus pedovicinum</t>
  </si>
  <si>
    <t>Puduphavirus</t>
  </si>
  <si>
    <t>Puduphavirus pedovivens</t>
  </si>
  <si>
    <t>Pujohnavirus</t>
  </si>
  <si>
    <t>Pujohnavirus chthonadaptatum</t>
  </si>
  <si>
    <t>Pujohnavirus chthonenecus</t>
  </si>
  <si>
    <t>Pujohnavirus chthonocola</t>
  </si>
  <si>
    <t>Pujohnavirus chthonohabitans</t>
  </si>
  <si>
    <t>Pujohnavirus chthonovicinum</t>
  </si>
  <si>
    <t>Pujohnavirus chthonovivens</t>
  </si>
  <si>
    <t>Pujohnavirus geoadaptatum</t>
  </si>
  <si>
    <t>Pujohnavirus geocola</t>
  </si>
  <si>
    <t>Pujohnavirus geoenecus</t>
  </si>
  <si>
    <t>Pujohnavirus geohabitans</t>
  </si>
  <si>
    <t>Pujohnavirus geovicinum</t>
  </si>
  <si>
    <t>Pujohnavirus geovivens</t>
  </si>
  <si>
    <t>Pujohnavirus soladaptatum</t>
  </si>
  <si>
    <t>Pujohnavirus solenecus</t>
  </si>
  <si>
    <t>Pujohnavirus solicola</t>
  </si>
  <si>
    <t>Pujohnavirus solihabitans</t>
  </si>
  <si>
    <t>Pujohnavirus solivicinum</t>
  </si>
  <si>
    <t>Pujohnavirus solivivens</t>
  </si>
  <si>
    <t>Pujohnavirus telluradaptatum</t>
  </si>
  <si>
    <t>Rodtovirus</t>
  </si>
  <si>
    <t>Rodtovirus pelovivens</t>
  </si>
  <si>
    <t>Rohsdrivirus</t>
  </si>
  <si>
    <t>Rohsdrivirus humadaptatum</t>
  </si>
  <si>
    <t>Rohsdrivirus terrivivens</t>
  </si>
  <si>
    <t>Sdenfavirus</t>
  </si>
  <si>
    <t>Sdenfavirus asiovicinum</t>
  </si>
  <si>
    <t>Setohruvirus</t>
  </si>
  <si>
    <t>Setohruvirus agradaptatum</t>
  </si>
  <si>
    <t>Setohruvirus borborocola</t>
  </si>
  <si>
    <t>Sidiruavirus</t>
  </si>
  <si>
    <t>Sidiruavirus agrenecus</t>
  </si>
  <si>
    <t>Snuwdevirus</t>
  </si>
  <si>
    <t>Snuwdevirus agrivicinum</t>
  </si>
  <si>
    <t>Sperdavirus</t>
  </si>
  <si>
    <t>Sperdavirus luticola</t>
  </si>
  <si>
    <t>Stehnavirus</t>
  </si>
  <si>
    <t>Stehnavirus chorenecus</t>
  </si>
  <si>
    <t>Stehnavirus chorohabitans</t>
  </si>
  <si>
    <t>Stehnavirus chorovicinum</t>
  </si>
  <si>
    <t>Stehnavirus lutivicinum</t>
  </si>
  <si>
    <t>Suhnsivirus</t>
  </si>
  <si>
    <t>Suhnsivirus arvicola</t>
  </si>
  <si>
    <t>Suhnsivirus lutivivens</t>
  </si>
  <si>
    <t>Surghavirus</t>
  </si>
  <si>
    <t>Surghavirus arvenecus</t>
  </si>
  <si>
    <t>Surghavirus arvihabitans</t>
  </si>
  <si>
    <t>Tamanovirus</t>
  </si>
  <si>
    <t>Tamanovirus pelenecus</t>
  </si>
  <si>
    <t>Tehmuvirus</t>
  </si>
  <si>
    <t>Tehmuvirus arvivivens</t>
  </si>
  <si>
    <t>Tehnicivirus</t>
  </si>
  <si>
    <t>Tehnicivirus edaphenecus</t>
  </si>
  <si>
    <t>Tehnicivirus edaphocola</t>
  </si>
  <si>
    <t>Tehnicivirus edaphohabitans</t>
  </si>
  <si>
    <t>Tehnicivirus pelovicinum</t>
  </si>
  <si>
    <t>Thehlovirus</t>
  </si>
  <si>
    <t>Thehlovirus edaphovicinum</t>
  </si>
  <si>
    <t>Thyrsuvirus</t>
  </si>
  <si>
    <t>Thyrsuvirus pedocola</t>
  </si>
  <si>
    <t>Tikiyavirus</t>
  </si>
  <si>
    <t>Tikiyavirus asiovivens</t>
  </si>
  <si>
    <t>Timirovirus</t>
  </si>
  <si>
    <t>Timirovirus borboradaptatum</t>
  </si>
  <si>
    <t>Tsuhreavirus</t>
  </si>
  <si>
    <t>Tsuhreavirus borborovivens</t>
  </si>
  <si>
    <t>Tuskovirus</t>
  </si>
  <si>
    <t>Tuskovirus caenadaptatum</t>
  </si>
  <si>
    <t>Tuwendivirus</t>
  </si>
  <si>
    <t>Tuwendivirus caenenecus</t>
  </si>
  <si>
    <t>Vernevirus</t>
  </si>
  <si>
    <t>Vernevirus limadaptatum</t>
  </si>
  <si>
    <t>Vesehyavirus</t>
  </si>
  <si>
    <t>Vesehyavirus pedohabitans</t>
  </si>
  <si>
    <t>Vindevirus</t>
  </si>
  <si>
    <t>Vindevirus pedovicinum</t>
  </si>
  <si>
    <t>Weheuvirus</t>
  </si>
  <si>
    <t>Weheuvirus chthonadaptatum</t>
  </si>
  <si>
    <t>Weheuvirus chthonenecus</t>
  </si>
  <si>
    <t>Weheuvirus chthonocola</t>
  </si>
  <si>
    <t>Weheuvirus chthonohabitans</t>
  </si>
  <si>
    <t>Weheuvirus chthonovicinum</t>
  </si>
  <si>
    <t>Weheuvirus chthonovivens</t>
  </si>
  <si>
    <t>Weheuvirus geoadaptatum</t>
  </si>
  <si>
    <t>Weheuvirus geocola</t>
  </si>
  <si>
    <t>Weheuvirus geoenecus</t>
  </si>
  <si>
    <t>Weheuvirus geohabitans</t>
  </si>
  <si>
    <t>Weheuvirus geovicinum</t>
  </si>
  <si>
    <t>Weheuvirus geovivens</t>
  </si>
  <si>
    <t>Weheuvirus lutivicinum</t>
  </si>
  <si>
    <t>Weheuvirus lutivivens</t>
  </si>
  <si>
    <t>Weheuvirus paludicola</t>
  </si>
  <si>
    <t>Weheuvirus peladaptatum</t>
  </si>
  <si>
    <t>Weheuvirus pelenecus</t>
  </si>
  <si>
    <t>Weheuvirus pelocola</t>
  </si>
  <si>
    <t>Weheuvirus solihabitans</t>
  </si>
  <si>
    <t>Weheuvirus solivicinum</t>
  </si>
  <si>
    <t>Weheuvirus solivivens</t>
  </si>
  <si>
    <t>Weheuvirus telluradaptatum</t>
  </si>
  <si>
    <t>Weheuvirus tellurenecus</t>
  </si>
  <si>
    <t>Weheuvirus telluricola</t>
  </si>
  <si>
    <t>Weheuvirus tellurihabitans</t>
  </si>
  <si>
    <t>Weheuvirus tellurivicinum</t>
  </si>
  <si>
    <t>Weheuvirus tellurivivens</t>
  </si>
  <si>
    <t>Weheuvirus terradaptatum</t>
  </si>
  <si>
    <t>Weheuvirus terrenecus</t>
  </si>
  <si>
    <t>Weheuvirus terricola</t>
  </si>
  <si>
    <t>Weheuvirus terrihabitans</t>
  </si>
  <si>
    <t>Weheuvirus terrivicinum</t>
  </si>
  <si>
    <t>Widsokivirus</t>
  </si>
  <si>
    <t>Widsokivirus pelovivens</t>
  </si>
  <si>
    <t>Yeziwivirus</t>
  </si>
  <si>
    <t>Yeziwivirus borborenecus</t>
  </si>
  <si>
    <t>Zuysuivirus</t>
  </si>
  <si>
    <t>Zuysuivirus humihabitans</t>
  </si>
  <si>
    <t>Zuysuivirus humivicinum</t>
  </si>
  <si>
    <t>Zuysuivirus humivivens</t>
  </si>
  <si>
    <t>Chimpavirus</t>
  </si>
  <si>
    <t>Chimpavirus luticola</t>
  </si>
  <si>
    <t>Hohglivirus</t>
  </si>
  <si>
    <t>Hohglivirus simiicola</t>
  </si>
  <si>
    <t>Mahrahovirus</t>
  </si>
  <si>
    <t>Mahrahovirus simiicola</t>
  </si>
  <si>
    <t>Meihzavirus</t>
  </si>
  <si>
    <t>Meihzavirus luticola</t>
  </si>
  <si>
    <t>Nicedsevirus</t>
  </si>
  <si>
    <t>Nicedsevirus caenivivens</t>
  </si>
  <si>
    <t>Sculuvirus</t>
  </si>
  <si>
    <t>Sculuvirus humenecus</t>
  </si>
  <si>
    <t>Skrubnovirus</t>
  </si>
  <si>
    <t>Skrubnovirus agrihabitans</t>
  </si>
  <si>
    <t>Tetipavirus</t>
  </si>
  <si>
    <t>Tetipavirus asiadaptatum</t>
  </si>
  <si>
    <t>Winunavirus</t>
  </si>
  <si>
    <t>Winunavirus asiadaptatum</t>
  </si>
  <si>
    <t>2020.001F.R.Botourmiaviridae.zip</t>
  </si>
  <si>
    <t>Epicoccum botoulivirus</t>
  </si>
  <si>
    <t>Sclerotinia botoulivirus 3</t>
  </si>
  <si>
    <t>Acremonium magoulivirus</t>
  </si>
  <si>
    <t>Cladosporium magoulivirus 1</t>
  </si>
  <si>
    <t>Cladosporium magoulivirus 2</t>
  </si>
  <si>
    <t>Colletotrichum magoulivirus</t>
  </si>
  <si>
    <t>Penicillium magoulivirus</t>
  </si>
  <si>
    <t>Phaeoacremonium magoulivirus</t>
  </si>
  <si>
    <t>Penoulivirus</t>
  </si>
  <si>
    <t>Aspergillus penoulivirus</t>
  </si>
  <si>
    <t>Cladosporium penoulivirus</t>
  </si>
  <si>
    <t>Epicoccum penoulivirus</t>
  </si>
  <si>
    <t>Magnaporthe penoulivirus</t>
  </si>
  <si>
    <t>Neofusicoccum penoulivirus</t>
  </si>
  <si>
    <t>Penicillium penoulivirus</t>
  </si>
  <si>
    <t>Phaeoacremonium penoulivirus</t>
  </si>
  <si>
    <t>Phoma penoulivirus</t>
  </si>
  <si>
    <t>Phomosis penoulivirus</t>
  </si>
  <si>
    <t>Pyricularia penoulivirus</t>
  </si>
  <si>
    <t>Sclerotinia penoulivirus</t>
  </si>
  <si>
    <t>Rhizoulivirus</t>
  </si>
  <si>
    <t>Rhizoctonia rhizoulivirus</t>
  </si>
  <si>
    <t>Cladosporium scleroulivirus</t>
  </si>
  <si>
    <t>Pyricularia scleroulivirus 3</t>
  </si>
  <si>
    <t>Aliusviridae</t>
  </si>
  <si>
    <t>Obscuruvirus</t>
  </si>
  <si>
    <t>Obscuruvirus quintum</t>
  </si>
  <si>
    <t>2020.026M.R.Jingchuvirales.zip</t>
  </si>
  <si>
    <t>Ollusvirus</t>
  </si>
  <si>
    <t>Ollusvirus coleopteri</t>
  </si>
  <si>
    <t>Ollusvirus culvertonense</t>
  </si>
  <si>
    <t>Ollusvirus hanchengense</t>
  </si>
  <si>
    <t>Ollusvirus hymenopteri</t>
  </si>
  <si>
    <t>Ollusvirus insectii</t>
  </si>
  <si>
    <t>Ollusvirus scaldisense</t>
  </si>
  <si>
    <t>Ollusvirus taiyuanense</t>
  </si>
  <si>
    <t>Boscovirus</t>
  </si>
  <si>
    <t>Boscovirus hippoboscidae</t>
  </si>
  <si>
    <t>Boscovirus hypoboscidae</t>
  </si>
  <si>
    <t>Chuvivirus</t>
  </si>
  <si>
    <t>Chuvivirus brunnichi</t>
  </si>
  <si>
    <t>Chuvivirus canceris</t>
  </si>
  <si>
    <t>Culicidavirus</t>
  </si>
  <si>
    <t>Culicidavirus culicidae</t>
  </si>
  <si>
    <t>Culicidavirus culicis</t>
  </si>
  <si>
    <t>Culicidavirus imjinense</t>
  </si>
  <si>
    <t>Culicidavirus quitotaense</t>
  </si>
  <si>
    <t>Demapteravirus</t>
  </si>
  <si>
    <t>Demapteravirus dermapteri</t>
  </si>
  <si>
    <t>Doliuvirus</t>
  </si>
  <si>
    <t>Doliuvirus culisetae</t>
  </si>
  <si>
    <t>Mivirus amblyommae</t>
  </si>
  <si>
    <t>Mivirus boleense</t>
  </si>
  <si>
    <t>Mivirus changpingense</t>
  </si>
  <si>
    <t>Mivirus dermacentoris</t>
  </si>
  <si>
    <t>Mivirus genovaense</t>
  </si>
  <si>
    <t>Mivirus karukeraense</t>
  </si>
  <si>
    <t>Mivirus rhipicephali</t>
  </si>
  <si>
    <t>Mivirus suffolkense</t>
  </si>
  <si>
    <t>Mivirus wuhanense</t>
  </si>
  <si>
    <t>Morsusvirus</t>
  </si>
  <si>
    <t>Morsusvirus argatis</t>
  </si>
  <si>
    <t>Nigecruvirus</t>
  </si>
  <si>
    <t>Nigecruvirus ixodes</t>
  </si>
  <si>
    <t>Odonatavirus</t>
  </si>
  <si>
    <t>Odonatavirus draconis</t>
  </si>
  <si>
    <t>Odonatavirus fabricii</t>
  </si>
  <si>
    <t>Odonatavirus odontis</t>
  </si>
  <si>
    <t>Pediavirus</t>
  </si>
  <si>
    <t>Pediavirus cirripedis</t>
  </si>
  <si>
    <t>Piscichuvirus</t>
  </si>
  <si>
    <t>Piscichuvirus franki</t>
  </si>
  <si>
    <t>Piscichuvirus lycodontis</t>
  </si>
  <si>
    <t>Piscichuvirus sanxiaense</t>
  </si>
  <si>
    <t>Piscichuvirus wenlingense</t>
  </si>
  <si>
    <t>Pterovirus</t>
  </si>
  <si>
    <t>Pterovirus chulinense</t>
  </si>
  <si>
    <t>Scarabeuvirus</t>
  </si>
  <si>
    <t>Scarabeuvirus blattae</t>
  </si>
  <si>
    <t>Scarabeuvirus dentati</t>
  </si>
  <si>
    <t>Scarabeuvirus hubeiense</t>
  </si>
  <si>
    <t>Scarabeuvirus lampyris</t>
  </si>
  <si>
    <t>Scarabeuvirus lishiense</t>
  </si>
  <si>
    <t>Taceavirus</t>
  </si>
  <si>
    <t>Taceavirus wenlingense</t>
  </si>
  <si>
    <t>Crepuscuviridae</t>
  </si>
  <si>
    <t>Aqualaruvirus</t>
  </si>
  <si>
    <t>Aqualaruvirus sialis</t>
  </si>
  <si>
    <t>Myriaviridae</t>
  </si>
  <si>
    <t>Myriavirus</t>
  </si>
  <si>
    <t>Myriavirus myriapedis</t>
  </si>
  <si>
    <t>Natareviridae</t>
  </si>
  <si>
    <t>Charybdivirus</t>
  </si>
  <si>
    <t>Charybdivirus charybdis</t>
  </si>
  <si>
    <t>Auricularimonavirus</t>
  </si>
  <si>
    <t>Auricularimonavirus auriculariae</t>
  </si>
  <si>
    <t>2020.004F.R.Mymona.zip</t>
  </si>
  <si>
    <t>Botrytimonavirus</t>
  </si>
  <si>
    <t>Botrytimonavirus botrytidis</t>
  </si>
  <si>
    <t>Botrytimonavirus glycinis</t>
  </si>
  <si>
    <t>Botrytimonavirus sclerotiniae</t>
  </si>
  <si>
    <t>Hubramonavirus hubeiense</t>
  </si>
  <si>
    <t>Hubramonavirus terrae</t>
  </si>
  <si>
    <t>Lentimonavirus</t>
  </si>
  <si>
    <t>Lentimonavirus lentinulae</t>
  </si>
  <si>
    <t>Penicillimonavirus</t>
  </si>
  <si>
    <t>Penicillimonavirus alphapenicillii</t>
  </si>
  <si>
    <t>Penicillimonavirus alphaplasmoparae</t>
  </si>
  <si>
    <t>Penicillimonavirus betapenicillii</t>
  </si>
  <si>
    <t>Penicillimonavirus betaplasmoparae</t>
  </si>
  <si>
    <t>Penicillimonavirus deltaplasmoparae</t>
  </si>
  <si>
    <t>Penicillimonavirus epsilonplasmoparae</t>
  </si>
  <si>
    <t>Penicillimonavirus etaplasmoparae</t>
  </si>
  <si>
    <t>Penicillimonavirus gammaplasmopara</t>
  </si>
  <si>
    <t>Penicillimonavirus kilnbarnense</t>
  </si>
  <si>
    <t>Penicillimonavirus zetaplasmoparae</t>
  </si>
  <si>
    <t>Phyllomonavirus</t>
  </si>
  <si>
    <t>Phyllomonavirus gysingense</t>
  </si>
  <si>
    <t>Phyllomonavirus phyllospherae</t>
  </si>
  <si>
    <t>Plasmopamonavirus</t>
  </si>
  <si>
    <t>Plasmopamonavirus plasmoparae</t>
  </si>
  <si>
    <t>Rhizomonavirus</t>
  </si>
  <si>
    <t>Rhizomonavirus mali</t>
  </si>
  <si>
    <t>Sclerotimonavirus alphaclarireediae</t>
  </si>
  <si>
    <t>Sclerotimonavirus alphaplasmoparae</t>
  </si>
  <si>
    <t>Sclerotimonavirus alternariae</t>
  </si>
  <si>
    <t>Sclerotimonavirus betaclarireediae</t>
  </si>
  <si>
    <t>Sclerotimonavirus betaplasmoparae</t>
  </si>
  <si>
    <t>Sclerotimonavirus botrytidis</t>
  </si>
  <si>
    <t>Sclerotimonavirus fusarii</t>
  </si>
  <si>
    <t>Sclerotimonavirus illinoisense</t>
  </si>
  <si>
    <t>Sclerotimonavirus penicillii</t>
  </si>
  <si>
    <t>Sclerotimonavirus sclerotiniae</t>
  </si>
  <si>
    <t>Sclerotimonavirus terrae</t>
  </si>
  <si>
    <t>Formivirus</t>
  </si>
  <si>
    <t>Avian metaavulavirus 22</t>
  </si>
  <si>
    <t>2020.011M.R.Metaavulavirus_1nsp.zip</t>
  </si>
  <si>
    <t>Alpharhabdovirinae</t>
  </si>
  <si>
    <t>Alphapaprhavirus</t>
  </si>
  <si>
    <t>Alpharicinrhavirus</t>
  </si>
  <si>
    <t>2020.006M.R.Corrections.zip</t>
  </si>
  <si>
    <t>Merhavirus</t>
  </si>
  <si>
    <t>Betarhabdovirinae</t>
  </si>
  <si>
    <t>Gammarhabdovirinae</t>
  </si>
  <si>
    <t>Alphacrustrhavirus</t>
  </si>
  <si>
    <t>Alphadrosrhavirus</t>
  </si>
  <si>
    <t>Alphahymrhavirus</t>
  </si>
  <si>
    <t>Betahymrhavirus</t>
  </si>
  <si>
    <t>Betanemrhavirus</t>
  </si>
  <si>
    <t>Betapaprhavirus</t>
  </si>
  <si>
    <t>Betaricinrhavirus</t>
  </si>
  <si>
    <t>Salmon antennavirus</t>
  </si>
  <si>
    <t>2020.018M.R.Antennavirus.zip</t>
  </si>
  <si>
    <t>Heimat hartmanivirus</t>
  </si>
  <si>
    <t>2020.019M.R.Hartmanivirus.zip</t>
  </si>
  <si>
    <t>Setpatvet hartmanivirus</t>
  </si>
  <si>
    <t>Kitale mammarenavirus</t>
  </si>
  <si>
    <t>2020.017M.R.Mammarenavirus.zip</t>
  </si>
  <si>
    <t>Lincruvirus europense</t>
  </si>
  <si>
    <t>2020.002M.R.Lincruvirus_2nsp.zip</t>
  </si>
  <si>
    <t>Lincruvirus sinense</t>
  </si>
  <si>
    <t>Lincruvirus wenlingense</t>
  </si>
  <si>
    <t>Perch actinovirus</t>
  </si>
  <si>
    <t>2020.025M.R.Hantaviridae_5nsp.zip</t>
  </si>
  <si>
    <t>Lena mobatvirus</t>
  </si>
  <si>
    <t>Xuan Son mobatvirus</t>
  </si>
  <si>
    <t>Robina orthohantavirus</t>
  </si>
  <si>
    <t>Tatenale orthohantavirus</t>
  </si>
  <si>
    <t>Norwavirus</t>
  </si>
  <si>
    <t>Grotenhout norwavirus</t>
  </si>
  <si>
    <t>2020.027M.R.Nairoviridae_4ngen_30nsp.zip</t>
  </si>
  <si>
    <t>Ocetevirus</t>
  </si>
  <si>
    <t>Blattodean ocetevirus</t>
  </si>
  <si>
    <t>Abu Hammad orthonairovirus</t>
  </si>
  <si>
    <t>Abu Mina orthonairovirus</t>
  </si>
  <si>
    <t>Avalon orthonairovirus</t>
  </si>
  <si>
    <t>Bandia orthonairovirus</t>
  </si>
  <si>
    <t>Burana orthonairovirus</t>
  </si>
  <si>
    <t>Congoid orthonairovirus</t>
  </si>
  <si>
    <t>Erve orthonairovirus</t>
  </si>
  <si>
    <t>Gossas orthonairovirus</t>
  </si>
  <si>
    <t>Huangpi orthonairovirus</t>
  </si>
  <si>
    <t>Issyk-kul orthonairovirus</t>
  </si>
  <si>
    <t>Kupe orthonairovirus</t>
  </si>
  <si>
    <t>Leopards Hill orthonairovirus</t>
  </si>
  <si>
    <t>Meram orthonairovirus</t>
  </si>
  <si>
    <t>Pacific Coast orthonairovirus</t>
  </si>
  <si>
    <t>Punta orthonairovirus</t>
  </si>
  <si>
    <t>Sapphire orthonairovirus</t>
  </si>
  <si>
    <t>Scot orthonairovirus</t>
  </si>
  <si>
    <t>Soldado orthonairovirus</t>
  </si>
  <si>
    <t>Tacheng orthonairovirus</t>
  </si>
  <si>
    <t>Taggert orthonairovirus</t>
  </si>
  <si>
    <t>Tofla orthonairovirus</t>
  </si>
  <si>
    <t>Tunis orthonairovirus</t>
  </si>
  <si>
    <t>Vinegar Hill orthonairovirus</t>
  </si>
  <si>
    <t>Wenzhou orthonairovirus</t>
  </si>
  <si>
    <t>Yogue orthonairovirus</t>
  </si>
  <si>
    <t>Zirqa orthonairovirus</t>
  </si>
  <si>
    <t>Sabavirus</t>
  </si>
  <si>
    <t>South Bay sabavirus</t>
  </si>
  <si>
    <t>Xinspivirus</t>
  </si>
  <si>
    <t>Xinzhou xinspivirus</t>
  </si>
  <si>
    <t>Abras orthobunyavirus</t>
  </si>
  <si>
    <t>2020.012M.R.Orthobunyavirus_16new_sp_abolish_1sp.zip</t>
  </si>
  <si>
    <t>Ananindeua orthobunyavirus</t>
  </si>
  <si>
    <t>Apeu orthobunyavirus</t>
  </si>
  <si>
    <t>Brazoran orthobunyavirus</t>
  </si>
  <si>
    <t>Bruconha orthobunyavirus</t>
  </si>
  <si>
    <t>Buffalo Creek orthobunyavirus</t>
  </si>
  <si>
    <t>Gan Gan orthobunyavirus</t>
  </si>
  <si>
    <t>Mahogany Hammock orthobunyavirus</t>
  </si>
  <si>
    <t>Mapputta orthobunyavirus</t>
  </si>
  <si>
    <t>Maprik orthobunyavirus</t>
  </si>
  <si>
    <t>Matruh orthobunyavirus</t>
  </si>
  <si>
    <t>Moju orthobunyavirus</t>
  </si>
  <si>
    <t>Oyo orthobunyavirus</t>
  </si>
  <si>
    <t>Sedlec orthobunyavirus</t>
  </si>
  <si>
    <t>Shark River orthobunyavirus</t>
  </si>
  <si>
    <t>Triniti orthobunyavirus</t>
  </si>
  <si>
    <t>Hemipteran feravirus</t>
  </si>
  <si>
    <t>2020.020M.R.Phasmaviridae.zip</t>
  </si>
  <si>
    <t>Neuropteran feravirus</t>
  </si>
  <si>
    <t>Hymovirus</t>
  </si>
  <si>
    <t>Hymenopteran hymovirus 1</t>
  </si>
  <si>
    <t>Hymenopteran hymovirus 2</t>
  </si>
  <si>
    <t>Coleopteran orthophasmavirus</t>
  </si>
  <si>
    <t>Hymenopteran orthophasmavirus 1</t>
  </si>
  <si>
    <t>Hymenopteran orthophasmavirus 2</t>
  </si>
  <si>
    <t>Niukluk phantom orthophasmavirus</t>
  </si>
  <si>
    <t>Lone star bandavirus</t>
  </si>
  <si>
    <t>Razdan bandavirus</t>
  </si>
  <si>
    <t>2020.029M.R.Phenuiviridae_1gen16sp.zip</t>
  </si>
  <si>
    <t>Grapevine coguvirus</t>
  </si>
  <si>
    <t>Kimberley horwuvirus</t>
  </si>
  <si>
    <t>Grapevine laulavirus 2</t>
  </si>
  <si>
    <t>Grapevine laulavirus 3</t>
  </si>
  <si>
    <t>Grapevine laulavirus 4</t>
  </si>
  <si>
    <t>Narangue mobuvirus</t>
  </si>
  <si>
    <t>Guadeloupe phasivirus</t>
  </si>
  <si>
    <t>Kimberley phasivirus</t>
  </si>
  <si>
    <t>Bogoria phlebovirus</t>
  </si>
  <si>
    <t>2020.022M.R.Phlebovirus_4sp.zip</t>
  </si>
  <si>
    <t>Corfou phlebovirus</t>
  </si>
  <si>
    <t>Embossos phlebovirus</t>
  </si>
  <si>
    <t>Kiborgoch phlebovirus</t>
  </si>
  <si>
    <t>Penshurt phlebovirus</t>
  </si>
  <si>
    <t>Perkerra phlebovirus</t>
  </si>
  <si>
    <t>Salobo phlebovirus</t>
  </si>
  <si>
    <t>Tico phlebovirus</t>
  </si>
  <si>
    <t>Coleopteran pidchovirus</t>
  </si>
  <si>
    <t>Grapevine rubodvirus 1</t>
  </si>
  <si>
    <t>Grapevine rubodvirus 2</t>
  </si>
  <si>
    <t>Tanzavirus</t>
  </si>
  <si>
    <t>Human tanzavirus</t>
  </si>
  <si>
    <t>European wheat striate mosaic tenuivirus</t>
  </si>
  <si>
    <t>Curvulaviridae</t>
  </si>
  <si>
    <t>Orthocurvulavirus</t>
  </si>
  <si>
    <t>Curvularia orthocurvulavirus 1</t>
  </si>
  <si>
    <t>2020.002F.R.Curvulaviridae.zip</t>
  </si>
  <si>
    <t>Fusarium graminearum orthocurvulavirus</t>
  </si>
  <si>
    <t>Heterobasidion orthocurvulavirus</t>
  </si>
  <si>
    <t>Lactarius rufus orthocurvulavirus 1</t>
  </si>
  <si>
    <t>Lactarius tabidus orthocurvulavirus 1</t>
  </si>
  <si>
    <t>Rhizoctonia solani orthocurvulavirus 1</t>
  </si>
  <si>
    <t>Sclerotium hydrophilum orthocurvulavirus 1</t>
  </si>
  <si>
    <t>Trichoderma harzianum orthocurvulavirus 1</t>
  </si>
  <si>
    <t>Peiartevirus</t>
  </si>
  <si>
    <t>2020.014S.R.Arteriviridae_corr.zip</t>
  </si>
  <si>
    <t>Mibartevirus</t>
  </si>
  <si>
    <t>Caecilivirus</t>
  </si>
  <si>
    <t>Caecilivirus A</t>
  </si>
  <si>
    <t>Danipivirus</t>
  </si>
  <si>
    <t>Danipivirus A</t>
  </si>
  <si>
    <t>Fipivirus F</t>
  </si>
  <si>
    <t>Grusopivirus C</t>
  </si>
  <si>
    <t>Limnipivirus D</t>
  </si>
  <si>
    <t>Marsupivirus</t>
  </si>
  <si>
    <t>Marsupivirus A</t>
  </si>
  <si>
    <t>Mischivirus E</t>
  </si>
  <si>
    <t>Pemapivirus B</t>
  </si>
  <si>
    <t>Pygoscepivirus</t>
  </si>
  <si>
    <t>Pygoscepivirus A</t>
  </si>
  <si>
    <t>Rajidapivirus</t>
  </si>
  <si>
    <t>Rajidapivirus A</t>
  </si>
  <si>
    <t>Tropivirus B</t>
  </si>
  <si>
    <t>Physalis rugose mosaic virus</t>
  </si>
  <si>
    <t>2020.025P.R.Solemoviridae_1nsp.zip</t>
  </si>
  <si>
    <t>Begonia flower breaking virus</t>
  </si>
  <si>
    <t>2020.024P.R.Potyviridae_7nsp.zip</t>
  </si>
  <si>
    <t>Costus stripe mosaic virus</t>
  </si>
  <si>
    <t>Noni mosaic virus</t>
  </si>
  <si>
    <t>Paris virus 1</t>
  </si>
  <si>
    <t>Passiflora mottle virus</t>
  </si>
  <si>
    <t>Pleione flower breaking virus</t>
  </si>
  <si>
    <t>Ugandan passiflora virus</t>
  </si>
  <si>
    <t>Bluegill hepatitis B virus</t>
  </si>
  <si>
    <t>Camellia lemon glow virus</t>
  </si>
  <si>
    <t>2020.003P.R.Caulimoviridae_1ng_9nsp.zip</t>
  </si>
  <si>
    <t>Cycad leaf necrosis virus</t>
  </si>
  <si>
    <t>Dioscorea bacilliform RT virus 3</t>
  </si>
  <si>
    <t>Dracaena mottle virus</t>
  </si>
  <si>
    <t>Epiphyllum mottle-associated virus</t>
  </si>
  <si>
    <t>Green Sichuan pepper vein clearing-associated virus</t>
  </si>
  <si>
    <t>Ivy ringspot-associated virus</t>
  </si>
  <si>
    <t>Polyscias mosaic virus</t>
  </si>
  <si>
    <t>Epiphyllum virus 4</t>
  </si>
  <si>
    <t>Ruflodivirus</t>
  </si>
  <si>
    <t>Ribozyviria</t>
  </si>
  <si>
    <t>Kolmioviridae</t>
  </si>
  <si>
    <t>Daazvirus</t>
  </si>
  <si>
    <t>Daazvirus cynopis</t>
  </si>
  <si>
    <t>2020.012D.R.Ribozyviria.zip</t>
  </si>
  <si>
    <t>Dagazvirus</t>
  </si>
  <si>
    <t>Dagazvirus schedorhinotermitis</t>
  </si>
  <si>
    <t>Daletvirus</t>
  </si>
  <si>
    <t>Daletvirus boae</t>
  </si>
  <si>
    <t>Dalvirus</t>
  </si>
  <si>
    <t>Dalvirus anatis</t>
  </si>
  <si>
    <t>Deevirus</t>
  </si>
  <si>
    <t>Deevirus actinopterygii</t>
  </si>
  <si>
    <t>Deltavirus cameroonense</t>
  </si>
  <si>
    <t>Deltavirus carense</t>
  </si>
  <si>
    <t>Deltavirus italiense</t>
  </si>
  <si>
    <t>Deltavirus japanense</t>
  </si>
  <si>
    <t>Deltavirus peruense</t>
  </si>
  <si>
    <t>Deltavirus senegalense</t>
  </si>
  <si>
    <t>Deltavirus taiwanense</t>
  </si>
  <si>
    <t>Deltavirus togense</t>
  </si>
  <si>
    <t>Dobrovirus</t>
  </si>
  <si>
    <t>Dobrovirus bufonis</t>
  </si>
  <si>
    <t>Thurisazvirus</t>
  </si>
  <si>
    <t>Thurisazvirus myis</t>
  </si>
  <si>
    <t>Lymphocystis disease virus 4</t>
  </si>
  <si>
    <t>2020.004D.R.Iridoviridae_1nsp.zip</t>
  </si>
  <si>
    <t>European North Atlantic ranavirus</t>
  </si>
  <si>
    <t>2020.017D.R.Ranavirus_1nsp.zip</t>
  </si>
  <si>
    <t>Daphniairidovirus</t>
  </si>
  <si>
    <t>Daphniairidovirus tvaerminne</t>
  </si>
  <si>
    <t>2020.018D.R.Betairidovirinae_1ngen_1nsp.zip</t>
  </si>
  <si>
    <t>Polintoviricetes</t>
  </si>
  <si>
    <t>Orthopolintovirales</t>
  </si>
  <si>
    <t>Adintoviridae</t>
  </si>
  <si>
    <t>Alphadintovirus</t>
  </si>
  <si>
    <t>Alphadintovirus mayetiola</t>
  </si>
  <si>
    <t>2020.003D.R.Adintoviridae.zip</t>
  </si>
  <si>
    <t>Betadintovirus</t>
  </si>
  <si>
    <t>Betadintovirus terrapene</t>
  </si>
  <si>
    <t>Deltatectivirus</t>
  </si>
  <si>
    <t>Epsilontectivirus</t>
  </si>
  <si>
    <t>Bovine atadenovirus E</t>
  </si>
  <si>
    <t>2020.008D.R.Adenoviridae_1ngen_6nsp.zip</t>
  </si>
  <si>
    <t>Lizard atadenovirus B</t>
  </si>
  <si>
    <t>Guinea pig mastadenovirus A</t>
  </si>
  <si>
    <t>Psittacine siadenovirus D</t>
  </si>
  <si>
    <t>Psittacine siadenovirus E</t>
  </si>
  <si>
    <t>Testadenovirus</t>
  </si>
  <si>
    <t>Pond slider testadenovirus A</t>
  </si>
  <si>
    <t>Autolykiviridae</t>
  </si>
  <si>
    <t>Livvievirus</t>
  </si>
  <si>
    <t>Livvievirus viph1249a</t>
  </si>
  <si>
    <t>2020.016B.R.Autolykiviridae.zip</t>
  </si>
  <si>
    <t>Paulavirus viph1044o</t>
  </si>
  <si>
    <t>Paulavirus</t>
  </si>
  <si>
    <t>Paulavirus viph1008o</t>
  </si>
  <si>
    <t>Paulavirus viph1020o</t>
  </si>
  <si>
    <t>Paulavirus viph1080o</t>
  </si>
  <si>
    <t>Matshushitaviridae</t>
  </si>
  <si>
    <t>Hukuchivirus</t>
  </si>
  <si>
    <t>Hukuchivirus IN93</t>
  </si>
  <si>
    <t>2020.100B.R.Matsushitaviridae.zip</t>
  </si>
  <si>
    <t>Simuloviridae</t>
  </si>
  <si>
    <t>Yingchengvirus</t>
  </si>
  <si>
    <t>Yingchengvirus HJIV1</t>
  </si>
  <si>
    <t>2020.151B.R.Simuloviridae.zip</t>
  </si>
  <si>
    <t>Yingchengvirus NVIV1</t>
  </si>
  <si>
    <t>Yingchengvirus SNJ1</t>
  </si>
  <si>
    <t>Naldaviricetes</t>
  </si>
  <si>
    <t>Lefavirales</t>
  </si>
  <si>
    <t>2020.006D.R.Naldaviricetes.zip</t>
  </si>
  <si>
    <t>Spodoptera exigua multiple nucleopolyhedrovirus A</t>
  </si>
  <si>
    <t>2020.001D.R.Alphabaculovirus_1nsp.zip</t>
  </si>
  <si>
    <t>Spodoptera exigua multiple nucleopolyhedrovirus B</t>
  </si>
  <si>
    <t>Drosophila innubila nudivirus</t>
  </si>
  <si>
    <t>2020.005D.R.Nudiviridae_2ngen_8nsp.zip</t>
  </si>
  <si>
    <t>Drosophila melanogaster nudivirus A</t>
  </si>
  <si>
    <t>Drosophila melanogaster nudivirus B</t>
  </si>
  <si>
    <t>Drosophila melanogaster nudivirus C</t>
  </si>
  <si>
    <t>Drosophila melanogaster nudivirus D</t>
  </si>
  <si>
    <t>Deltanudivirus</t>
  </si>
  <si>
    <t>Tipula oleracea nudivirus</t>
  </si>
  <si>
    <t>Gammanudivirus</t>
  </si>
  <si>
    <t>Homarus gammarus nudivirus</t>
  </si>
  <si>
    <t>Penaeus monodon nudivirus</t>
  </si>
  <si>
    <t>Chiapas weed alphasatellite</t>
  </si>
  <si>
    <t>2020.002P.R.Alphasatellitidae_3ng_9nsp.zip</t>
  </si>
  <si>
    <t>Tomato leaf curl Anand alphasatellite</t>
  </si>
  <si>
    <t>Tomato yellow spot alphasatellite 2</t>
  </si>
  <si>
    <t>Sida leaf curl alphasatellite 2</t>
  </si>
  <si>
    <t>Draflysatellite</t>
  </si>
  <si>
    <t>Cotton leaf curl Cameroon alphasatellite</t>
  </si>
  <si>
    <t>Somasatellite</t>
  </si>
  <si>
    <t>Sorghum mastrevirus associated alphasatellite</t>
  </si>
  <si>
    <t>Whiflysatellite</t>
  </si>
  <si>
    <t>Milk vetch dwarf China alphasatellite</t>
  </si>
  <si>
    <t>Parsley severe stunt alphasatellite 3</t>
  </si>
  <si>
    <t>Parsley severe stunt alphasatellite 4</t>
  </si>
  <si>
    <t>Petromoalphasatellitinae</t>
  </si>
  <si>
    <t>2020.001P.R.Petromoalphasatellitinae_nsf.zip</t>
  </si>
  <si>
    <t>Cocosatellite</t>
  </si>
  <si>
    <t>Coconut foliar decay alphasatellite 1</t>
  </si>
  <si>
    <t>Coconut foliar decay alphasatellite 2</t>
  </si>
  <si>
    <t>Coconut foliar decay alphasatellite 4</t>
  </si>
  <si>
    <t>Coconut foliar decay alphasatellite 5</t>
  </si>
  <si>
    <t>Coprasatellite</t>
  </si>
  <si>
    <t>Coconut foliar decay alphasatellite 7</t>
  </si>
  <si>
    <t>Kobbarisatellite</t>
  </si>
  <si>
    <t>Coconut foliar decay alphasatellite 3</t>
  </si>
  <si>
    <t>Muscarsatellite</t>
  </si>
  <si>
    <t>Bottigliavirus</t>
  </si>
  <si>
    <t>Bottigliavirus ABV</t>
  </si>
  <si>
    <t>2020.009B.R.Ampullaviridae.zip</t>
  </si>
  <si>
    <t>Bottigliavirus ABV2</t>
  </si>
  <si>
    <t>Bottigliavirus ABV3</t>
  </si>
  <si>
    <t>Aleptorquevirus</t>
  </si>
  <si>
    <t>Torque teno arthrovec virus 1</t>
  </si>
  <si>
    <t>2020.015D.R.Anelloviridae_17ngen_80nsp.zip</t>
  </si>
  <si>
    <t>Torque teno leprid virus 1</t>
  </si>
  <si>
    <t>Torque teno chlorocebus virus 1</t>
  </si>
  <si>
    <t>Torque teno chlorocebus virus 2</t>
  </si>
  <si>
    <t>Torque teno chlorocebus virus 3</t>
  </si>
  <si>
    <t>Torque teno chlorocebus virus 5</t>
  </si>
  <si>
    <t>Torque teno virus 31</t>
  </si>
  <si>
    <t>Torque teno mini virus 13</t>
  </si>
  <si>
    <t>Torque teno mini virus 14</t>
  </si>
  <si>
    <t>Torque teno mini virus 15</t>
  </si>
  <si>
    <t>Torque teno mini virus 16</t>
  </si>
  <si>
    <t>Torque teno mini virus 17</t>
  </si>
  <si>
    <t>Torque teno mini virus 18</t>
  </si>
  <si>
    <t>Torque teno mini virus 19</t>
  </si>
  <si>
    <t>Torque teno mini virus 20</t>
  </si>
  <si>
    <t>Torque teno mini virus 21</t>
  </si>
  <si>
    <t>Torque teno mini virus 22</t>
  </si>
  <si>
    <t>Torque teno mini virus 23</t>
  </si>
  <si>
    <t>Torque teno mini virus 24</t>
  </si>
  <si>
    <t>Torque teno mini virus 25</t>
  </si>
  <si>
    <t>Torque teno mini virus 26</t>
  </si>
  <si>
    <t>Torque teno mini virus 27</t>
  </si>
  <si>
    <t>Torque teno mini virus 28</t>
  </si>
  <si>
    <t>Torque teno mini virus 29</t>
  </si>
  <si>
    <t>Torque teno mini virus 30</t>
  </si>
  <si>
    <t>Torque teno mini virus 31</t>
  </si>
  <si>
    <t>Torque teno mini virus 32</t>
  </si>
  <si>
    <t>Torque teno mini virus 33</t>
  </si>
  <si>
    <t>Torque teno mini virus 34</t>
  </si>
  <si>
    <t>Torque teno mini virus 35</t>
  </si>
  <si>
    <t>Torque teno mini virus 36</t>
  </si>
  <si>
    <t>Torque teno mini virus 37</t>
  </si>
  <si>
    <t>Torque teno mini virus 38</t>
  </si>
  <si>
    <t>Chitorquevirus</t>
  </si>
  <si>
    <t>Torque teno indriid virus 1</t>
  </si>
  <si>
    <t>Dalettorquevirus</t>
  </si>
  <si>
    <t>Torque teno ursid virus 6</t>
  </si>
  <si>
    <t>Torque teno felid virus 1</t>
  </si>
  <si>
    <t>Torque teno felid virus 2</t>
  </si>
  <si>
    <t>Torque teno felid virus 3</t>
  </si>
  <si>
    <t>Torque teno felid virus 4</t>
  </si>
  <si>
    <t>Torque teno viverrid virus 3</t>
  </si>
  <si>
    <t>Gimeltorquevirus</t>
  </si>
  <si>
    <t>Torque teno virus 30</t>
  </si>
  <si>
    <t>Gyrovirus fulgla1</t>
  </si>
  <si>
    <t>2020.014D.R.Gyrovirus_9nsp.zip</t>
  </si>
  <si>
    <t>Gyrovirus galga1</t>
  </si>
  <si>
    <t>Gyrovirus galga2</t>
  </si>
  <si>
    <t>Gyrovirus homsa1</t>
  </si>
  <si>
    <t>Gyrovirus homsa2</t>
  </si>
  <si>
    <t>Gyrovirus homsa3</t>
  </si>
  <si>
    <t>Gyrovirus homsa4</t>
  </si>
  <si>
    <t>Gyrovirus hydho1</t>
  </si>
  <si>
    <t>Gyrovirus myferr1</t>
  </si>
  <si>
    <t>Hetorquevirus</t>
  </si>
  <si>
    <t>Torque teno hominid virus 2</t>
  </si>
  <si>
    <t>Torque teno pinniped virus 1</t>
  </si>
  <si>
    <t>Torque teno pinniped virus 2</t>
  </si>
  <si>
    <t>Torque teno pinniped virus 3</t>
  </si>
  <si>
    <t>Torque teno pinniped virus 5</t>
  </si>
  <si>
    <t>Torque teno pinniped virus 8</t>
  </si>
  <si>
    <t>Torque teno pinniped virus 9</t>
  </si>
  <si>
    <t>Torque teno equid virus 1</t>
  </si>
  <si>
    <t>Torque teno pinniped virus 4</t>
  </si>
  <si>
    <t>Omegatorquevirus</t>
  </si>
  <si>
    <t>Torque teno hominid virus 1</t>
  </si>
  <si>
    <t>Omicrontorquevirus</t>
  </si>
  <si>
    <t>Torque teno ursid virus 5</t>
  </si>
  <si>
    <t>Pitorquevirus</t>
  </si>
  <si>
    <t>Torque teno ursid virus 7</t>
  </si>
  <si>
    <t>Torque teno ursid virus 8</t>
  </si>
  <si>
    <t>Torque teno ursid virus 9</t>
  </si>
  <si>
    <t>Torque teno ursid virus 10</t>
  </si>
  <si>
    <t>Torque teno ursid virus 11</t>
  </si>
  <si>
    <t>Torque teno ursid virus 12</t>
  </si>
  <si>
    <t>Psitorquevirus</t>
  </si>
  <si>
    <t>Torque teno procyo virus 4</t>
  </si>
  <si>
    <t>Rhotorquevirus</t>
  </si>
  <si>
    <t>Torque teno rodent virus 1</t>
  </si>
  <si>
    <t>Sigmatorquevirus</t>
  </si>
  <si>
    <t>Torque teno pinniped virus 6</t>
  </si>
  <si>
    <t>Torque teno pinniped virus 7</t>
  </si>
  <si>
    <t>Torque teno felid virus 5</t>
  </si>
  <si>
    <t>Tettorquevirus</t>
  </si>
  <si>
    <t>Torque teno felid virus 6</t>
  </si>
  <si>
    <t>Torque teno arthrovec virus 3</t>
  </si>
  <si>
    <t>Torque teno canid virus 1</t>
  </si>
  <si>
    <t>Torque teno mustilid virus 1</t>
  </si>
  <si>
    <t>Torque teno procyo virus 5</t>
  </si>
  <si>
    <t>Torque teno procyo virus 6</t>
  </si>
  <si>
    <t>Torque teno ursid virus 1</t>
  </si>
  <si>
    <t>Torque teno ursid virus 2</t>
  </si>
  <si>
    <t>Torque teno ursid virus 3</t>
  </si>
  <si>
    <t>Torque teno ursid virus 4</t>
  </si>
  <si>
    <t>Torque teno viverrid virus 4</t>
  </si>
  <si>
    <t>Upsilontorquevirus</t>
  </si>
  <si>
    <t>Torque teno procyo virus 1</t>
  </si>
  <si>
    <t>Torque teno procyo virus 2</t>
  </si>
  <si>
    <t>Torque teno procyo virus 3</t>
  </si>
  <si>
    <t>Torque teno procyo virus 7</t>
  </si>
  <si>
    <t>Torque teno procyo virus 8</t>
  </si>
  <si>
    <t>Torque teno procyo virus 9</t>
  </si>
  <si>
    <t>Torque teno viverrid virus 2</t>
  </si>
  <si>
    <t>Wawtorquevirus</t>
  </si>
  <si>
    <t>Torque teno arthrovec virus 2</t>
  </si>
  <si>
    <t>Torque teno rodent virus 2</t>
  </si>
  <si>
    <t>Torque teno rodent virus 3</t>
  </si>
  <si>
    <t>Torque teno rodent virus 4</t>
  </si>
  <si>
    <t>Torque teno rodent virus 5</t>
  </si>
  <si>
    <t>Torque teno rodent virus 6</t>
  </si>
  <si>
    <t>Xitorquevirus</t>
  </si>
  <si>
    <t>Torque teno chiroptera virus 1</t>
  </si>
  <si>
    <t>Torque teno didelphi virus 1</t>
  </si>
  <si>
    <t>Zayintorquevirus</t>
  </si>
  <si>
    <t>Torque teno viverrid virus 1</t>
  </si>
  <si>
    <t>Torque teno viverrid virus 5</t>
  </si>
  <si>
    <t>Alphaglobulovirus</t>
  </si>
  <si>
    <t>Alphaglobulovirus PSV</t>
  </si>
  <si>
    <t>2020.063B.R.Globuloviridae.zip</t>
  </si>
  <si>
    <t>Alphaglobulovirus PSV2</t>
  </si>
  <si>
    <t>Alphaglobulovirus TSPV1</t>
  </si>
  <si>
    <t>Alphaglobulovirus TTSV1</t>
  </si>
  <si>
    <t>Ageratum yellow vein China betasatellite</t>
  </si>
  <si>
    <t>2020.009P.R.Betasatellite_61nsp.zip</t>
  </si>
  <si>
    <t>Codiaeum leaf curl betasatellite</t>
  </si>
  <si>
    <t>Cotton leaf curl Bahraich betasatellite</t>
  </si>
  <si>
    <t>Cotton leaf curl Bangalore betasatellite 1</t>
  </si>
  <si>
    <t>Cotton leaf curl Bangalore betasatellite 2</t>
  </si>
  <si>
    <t>Cotton leaf curl Bangalore betasatellite 3</t>
  </si>
  <si>
    <t>Cotton leaf curl Bangalore betasatellite 4</t>
  </si>
  <si>
    <t>Cotton leaf curl Burkina Faso betasatellite</t>
  </si>
  <si>
    <t>Cotton leaf curl Kashmir betasatellite</t>
  </si>
  <si>
    <t>Cotton leaf curl Tandojam betasatellite</t>
  </si>
  <si>
    <t>Emilia yellow vein betasatellite</t>
  </si>
  <si>
    <t>Emilia yellow vein Fujian betasatellite</t>
  </si>
  <si>
    <t>Erectites yellow mosaic betasatellite</t>
  </si>
  <si>
    <t>Hibiscus vein enation betasatellite</t>
  </si>
  <si>
    <t>Honeysuckle yellow vein mosaic Ibaraki betasatellite</t>
  </si>
  <si>
    <t>Honeysuckle yellow vein mosaic Nara betasatellite</t>
  </si>
  <si>
    <t>Kenaf leaf curl betasatellite</t>
  </si>
  <si>
    <t>Leucas zeylanica yellow vein betasatellite</t>
  </si>
  <si>
    <t>Lindernia anagallis yellow vein betasatellite</t>
  </si>
  <si>
    <t>Ludwigia leaf distortion betasatellite 1</t>
  </si>
  <si>
    <t>Ludwigia leaf distortion betasatellite 2</t>
  </si>
  <si>
    <t>Ludwigia leaf distortion betasatellite 3</t>
  </si>
  <si>
    <t>Ludwigia yellow vein betasatellite</t>
  </si>
  <si>
    <t>Malvastrum yellow vein betasatellite</t>
  </si>
  <si>
    <t>Malvastrum yellow vein Cambodia betasatellite</t>
  </si>
  <si>
    <t>Malvastrum yellow vein Yunnan betasatellite 1</t>
  </si>
  <si>
    <t>Malvastrum yellow vein Yunnan betasatellite 2</t>
  </si>
  <si>
    <t>Okra leaf curl betasatellite</t>
  </si>
  <si>
    <t>Papaya leaf curl Gandhinagar betasatellite</t>
  </si>
  <si>
    <t>Papaya leaf curl India betasatellite 2</t>
  </si>
  <si>
    <t>Pea leaf distortion betasatellite</t>
  </si>
  <si>
    <t>Radish leaf curl betasatellite</t>
  </si>
  <si>
    <t>Sida leaf curl betasatellite</t>
  </si>
  <si>
    <t>Sida yellow mosaic betasatellite</t>
  </si>
  <si>
    <t>Sida yellow vein Barrackpore betasatellite</t>
  </si>
  <si>
    <t>Sida yellow vein Madurai betasatellite</t>
  </si>
  <si>
    <t>Sida yellow vein Vietnam betasatellite 1</t>
  </si>
  <si>
    <t>Sida yellow vein Vietnam betasatellite 2</t>
  </si>
  <si>
    <t>Siegesbeckia yellow vein betasatellite 2</t>
  </si>
  <si>
    <t>Siegesbeckia yellow vein Guangxi betasatellite</t>
  </si>
  <si>
    <t>Tobacco leaf chlorosis betasatellite</t>
  </si>
  <si>
    <t>Tobacco leaf curl Sheikhupura betasatellite</t>
  </si>
  <si>
    <t>Tobacco leaf curl Yunnan betasatellite</t>
  </si>
  <si>
    <t>Tomato leaf curl Bangalore betasatellite 2</t>
  </si>
  <si>
    <t>Tomato leaf curl betasatellite 2</t>
  </si>
  <si>
    <t>Tomato leaf curl Bundi betasatellite</t>
  </si>
  <si>
    <t>Tomato leaf curl Ghana betasatellite 1</t>
  </si>
  <si>
    <t>Tomato leaf curl Ghana betasatellite 2</t>
  </si>
  <si>
    <t>Tomato leaf curl Hajipur betasatellite</t>
  </si>
  <si>
    <t>Tomato leaf curl India betasatellite</t>
  </si>
  <si>
    <t>Tomato leaf curl Joydebpur betasatellite 2</t>
  </si>
  <si>
    <t>Tomato leaf curl Karnataka betasatellite</t>
  </si>
  <si>
    <t>Tomato leaf curl Lucknow betasatellite</t>
  </si>
  <si>
    <t>Tomato leaf curl Pakistan betasatellite</t>
  </si>
  <si>
    <t>Tomato leaf curl Panipat betasatellite</t>
  </si>
  <si>
    <t>Tomato leaf curl Pune betasatellite</t>
  </si>
  <si>
    <t>Tomato leaf curl Ranchi betasatellite</t>
  </si>
  <si>
    <t>Tomato leaf curl Togo betasatellite</t>
  </si>
  <si>
    <t>Tomato yellow dwarf betasatellite</t>
  </si>
  <si>
    <t>Vernonia crinkle betasatellite</t>
  </si>
  <si>
    <t>Zinnia leaf curl betasatellite</t>
  </si>
  <si>
    <t>Desmodium leaf distortion deltasatellite</t>
  </si>
  <si>
    <t>2020.007P.R.Deltasatellite_1nsp.zip</t>
  </si>
  <si>
    <t>Moved,Removed as Type Species,</t>
  </si>
  <si>
    <t>2020.001G.R.Abolish_type_species.pdf</t>
  </si>
  <si>
    <t>Renamed,Moved,Removed as Type Species,</t>
  </si>
  <si>
    <t>2020.141B.R.Rudiviridae.zip;2020.001G.R.Abolish_type_species.pdf</t>
  </si>
  <si>
    <t>2020.168B.R.Tristromaviridae.zip;2020.001G.R.Abolish_type_species.pdf</t>
  </si>
  <si>
    <t>Removed as Type Species,</t>
  </si>
  <si>
    <t>Renamed,Removed as Type Species,</t>
  </si>
  <si>
    <t>2020.016D.R.Smacoviridae_6ngen_42nsp.zip;2020.001G.R.Abolish_type_species.pdf</t>
  </si>
  <si>
    <t>2020.005F.R.Genomoviridae.zip;2020.001G.R.Abolish_type_species.pdf</t>
  </si>
  <si>
    <t>dsDNA; ssDNA</t>
  </si>
  <si>
    <t>2020.011S.R.Rubivirus_nspp.zip;2020.001G.R.Abolish_type_species.pdf</t>
  </si>
  <si>
    <t>2020.031P.R.Alphaflexiviridae_ab1gen_2nsg.zip;2020.001G.R.Abolish_type_species.pdf</t>
  </si>
  <si>
    <t>2020.026M.R.Jingchuvirales.zip;2020.001G.R.Abolish_type_species.pdf</t>
  </si>
  <si>
    <t>2020.004F.R.Mymona.zip;2020.001G.R.Abolish_type_species.pdf</t>
  </si>
  <si>
    <t>2020.002M.R.Lincruvirus_2nsp.zip;2020.001G.R.Abolish_type_species.pdf</t>
  </si>
  <si>
    <t>2020.013D.R.Metahepadnavirus_1sp.zip;2020.001G.R.Abolish_type_species.pdf</t>
  </si>
  <si>
    <t>2020.012D.R.Ribozyviria.zip;2020.001G.R.Abolish_type_species.pdf</t>
  </si>
  <si>
    <t>2020.151B.R.Simuloviridae.zip;2020.001G.R.Abolish_type_species.pdf</t>
  </si>
  <si>
    <t>2020.009B.R.Ampullaviridae.zip;2020.001G.R.Abolish_type_species.pdf</t>
  </si>
  <si>
    <t>2020.015D.R.Anelloviridae_17ngen_80nsp.zip;2020.001G.R.Abolish_type_species.pdf</t>
  </si>
  <si>
    <t>2020.063B.R.Globuloviridae.zip;2020.001G.R.Abolish_type_species.pdf</t>
  </si>
  <si>
    <t>ICTV 2021 Master Species List (MSL37)</t>
  </si>
  <si>
    <t>New MSL including all taxa updates since the 2020 release</t>
  </si>
  <si>
    <t>Ungulaviridae</t>
  </si>
  <si>
    <t>Captovirus</t>
  </si>
  <si>
    <t>Captovirus AFV1</t>
  </si>
  <si>
    <t>Crassvirales</t>
  </si>
  <si>
    <t>Crevaviridae</t>
  </si>
  <si>
    <t>Coarsevirinae</t>
  </si>
  <si>
    <t>Junduvirus</t>
  </si>
  <si>
    <t>Junduvirus communis</t>
  </si>
  <si>
    <t>Junduvirus copri</t>
  </si>
  <si>
    <t>Doltivirinae</t>
  </si>
  <si>
    <t>Kahucivirus</t>
  </si>
  <si>
    <t>Kahucivirus intestinalis</t>
  </si>
  <si>
    <t>Kingevirus</t>
  </si>
  <si>
    <t>Kingevirus communis</t>
  </si>
  <si>
    <t>Intestiviridae</t>
  </si>
  <si>
    <t>Churivirinae</t>
  </si>
  <si>
    <t>Jahgtovirus</t>
  </si>
  <si>
    <t>Jahgtovirus gastrointestinalis</t>
  </si>
  <si>
    <t>Jahgtovirus intestinalis</t>
  </si>
  <si>
    <t>Jahgtovirus intestinihominis</t>
  </si>
  <si>
    <t>Jahgtovirus secundus</t>
  </si>
  <si>
    <t>Crudevirinae</t>
  </si>
  <si>
    <t>Carjivirus</t>
  </si>
  <si>
    <t>Carjivirus communis</t>
  </si>
  <si>
    <t>Carjivirus hominis</t>
  </si>
  <si>
    <t>Dabirmavirus</t>
  </si>
  <si>
    <t>Dabirmavirus hominis</t>
  </si>
  <si>
    <t>Delmidovirus</t>
  </si>
  <si>
    <t>Delmidovirus copri</t>
  </si>
  <si>
    <t>Delmidovirus intestinihominis</t>
  </si>
  <si>
    <t>Delmidovirus splanchnicus</t>
  </si>
  <si>
    <t>Diorhovirus</t>
  </si>
  <si>
    <t>Diorhovirus copri</t>
  </si>
  <si>
    <t>Diorhovirus intestinalis</t>
  </si>
  <si>
    <t>Drivevirus</t>
  </si>
  <si>
    <t>Drivevirus gastrointestinalis</t>
  </si>
  <si>
    <t>Endlipuvirus</t>
  </si>
  <si>
    <t>Endlipuvirus intestinihominis</t>
  </si>
  <si>
    <t>Whopevirus</t>
  </si>
  <si>
    <t>Whopevirus animalis</t>
  </si>
  <si>
    <t>Obtuvirinae</t>
  </si>
  <si>
    <t>Fohxhuevirus</t>
  </si>
  <si>
    <t>Fohxhuevirus gastrointestinalis</t>
  </si>
  <si>
    <t>Hacihdavirus</t>
  </si>
  <si>
    <t>Hacihdavirus animalis</t>
  </si>
  <si>
    <t>Wotdevirus</t>
  </si>
  <si>
    <t>Wotdevirus murinus</t>
  </si>
  <si>
    <t>Steigviridae</t>
  </si>
  <si>
    <t>Asinivirinae</t>
  </si>
  <si>
    <t>Akihdevirus</t>
  </si>
  <si>
    <t>Akihdevirus balticus</t>
  </si>
  <si>
    <t>Kahnovirus</t>
  </si>
  <si>
    <t>Kahnovirus copri</t>
  </si>
  <si>
    <t>Kahnovirus oralis</t>
  </si>
  <si>
    <t>Kehishuvirus</t>
  </si>
  <si>
    <t>Kehishuvirus primarius</t>
  </si>
  <si>
    <t>Kehishuvirus splanchnicus</t>
  </si>
  <si>
    <t>Kolpuevirus</t>
  </si>
  <si>
    <t>Kolpuevirus coli</t>
  </si>
  <si>
    <t>Kolpuevirus hominis</t>
  </si>
  <si>
    <t>Lahndsivirus</t>
  </si>
  <si>
    <t>Lahndsivirus rarus</t>
  </si>
  <si>
    <t>Lebriduvirus</t>
  </si>
  <si>
    <t>Lebriduvirus gastrointestinalis</t>
  </si>
  <si>
    <t>Mahlunavirus</t>
  </si>
  <si>
    <t>Mahlunavirus rarus</t>
  </si>
  <si>
    <t>Mahstovirus</t>
  </si>
  <si>
    <t>Mahstovirus faecalis</t>
  </si>
  <si>
    <t>Pamirivirus</t>
  </si>
  <si>
    <t>Pamirivirus faecium</t>
  </si>
  <si>
    <t>Paundivirus</t>
  </si>
  <si>
    <t>Paundivirus hollandii</t>
  </si>
  <si>
    <t>Pipoluvirus</t>
  </si>
  <si>
    <t>Pipoluvirus rarus</t>
  </si>
  <si>
    <t>Wulfhauvirus</t>
  </si>
  <si>
    <t>Wulfhauvirus bangladeshii</t>
  </si>
  <si>
    <t>Suoliviridae</t>
  </si>
  <si>
    <t>Bearivirinae</t>
  </si>
  <si>
    <t>Afonbuvirus</t>
  </si>
  <si>
    <t>Afonbuvirus coli</t>
  </si>
  <si>
    <t>Afonbuvirus faecalis</t>
  </si>
  <si>
    <t>Afonbuvirus intestinihominis</t>
  </si>
  <si>
    <t>Boorivirinae</t>
  </si>
  <si>
    <t>Canhaevirus</t>
  </si>
  <si>
    <t>Canhaevirus faecalis</t>
  </si>
  <si>
    <t>Canhaevirus hiberniae</t>
  </si>
  <si>
    <t>Cohcovirus</t>
  </si>
  <si>
    <t>Cohcovirus hiberniae</t>
  </si>
  <si>
    <t>Cohcovirus splanchnicus</t>
  </si>
  <si>
    <t>Culoivirus</t>
  </si>
  <si>
    <t>Culoivirus americanus</t>
  </si>
  <si>
    <t>Culoivirus faecalis</t>
  </si>
  <si>
    <t>Culoivirus intestinalis</t>
  </si>
  <si>
    <t>Loutivirinae</t>
  </si>
  <si>
    <t>Blohavirus</t>
  </si>
  <si>
    <t>Blohavirus americanus</t>
  </si>
  <si>
    <t>Blohavirus faecalis</t>
  </si>
  <si>
    <t>Buchavirus</t>
  </si>
  <si>
    <t>Buchavirus coli</t>
  </si>
  <si>
    <t>Buchavirus copri</t>
  </si>
  <si>
    <t>Buchavirus faecalis</t>
  </si>
  <si>
    <t>Buchavirus hiberniae</t>
  </si>
  <si>
    <t>Buchavirus hominis</t>
  </si>
  <si>
    <t>Buchavirus intestinalis</t>
  </si>
  <si>
    <t>Buchavirus oralis</t>
  </si>
  <si>
    <t>Buchavirus splanchnicus</t>
  </si>
  <si>
    <t>Buorbuivirus</t>
  </si>
  <si>
    <t>Buorbuivirus hominis</t>
  </si>
  <si>
    <t>Oafivirinae</t>
  </si>
  <si>
    <t>Bohxovirus</t>
  </si>
  <si>
    <t>Bohxovirus oralis</t>
  </si>
  <si>
    <t>Buhlduvirus</t>
  </si>
  <si>
    <t>Buhlduvirus animalis</t>
  </si>
  <si>
    <t>Buhlduvirus porcinus</t>
  </si>
  <si>
    <t>Burzaovirus</t>
  </si>
  <si>
    <t>Burzaovirus coli</t>
  </si>
  <si>
    <t>Burzaovirus faecalis</t>
  </si>
  <si>
    <t>Burzaovirus intestinihominis</t>
  </si>
  <si>
    <t>Cacepaovirus</t>
  </si>
  <si>
    <t>Cacepaovirus simiae</t>
  </si>
  <si>
    <t>Chuhaivirus</t>
  </si>
  <si>
    <t>Chuhaivirus simiae</t>
  </si>
  <si>
    <t>Uncouvirinae</t>
  </si>
  <si>
    <t>Aurodevirus</t>
  </si>
  <si>
    <t>Aurodevirus hiberniae</t>
  </si>
  <si>
    <t>Aurodevirus hominis</t>
  </si>
  <si>
    <t>Aurodevirus intestinalis</t>
  </si>
  <si>
    <t>Besingivirus</t>
  </si>
  <si>
    <t>Besingivirus coli</t>
  </si>
  <si>
    <t>Birpovirus</t>
  </si>
  <si>
    <t>Birpovirus hiberniae</t>
  </si>
  <si>
    <t>Birpovirus hominis</t>
  </si>
  <si>
    <t>Dechshavirus</t>
  </si>
  <si>
    <t>Dechshavirus japanensis</t>
  </si>
  <si>
    <t>Kirjokansivirales</t>
  </si>
  <si>
    <t>Beejeyvirus</t>
  </si>
  <si>
    <t>Beejeyvirus BJ1</t>
  </si>
  <si>
    <t>Seejivirus</t>
  </si>
  <si>
    <t>Seejivirus CGphi46</t>
  </si>
  <si>
    <t>Haloferuviridae</t>
  </si>
  <si>
    <t>Dpdavirus</t>
  </si>
  <si>
    <t>Dpdavirus HRTV29</t>
  </si>
  <si>
    <t>Retbasiphovirus</t>
  </si>
  <si>
    <t>Retbasiphovirus HFTV1</t>
  </si>
  <si>
    <t>Saldibavirus</t>
  </si>
  <si>
    <t>Saldibavirus HRTV4</t>
  </si>
  <si>
    <t>Pyrstoviridae</t>
  </si>
  <si>
    <t>Hatrivirus</t>
  </si>
  <si>
    <t>Hatrivirus HATV3</t>
  </si>
  <si>
    <t>Shortaselviridae</t>
  </si>
  <si>
    <t>Lonfivirus</t>
  </si>
  <si>
    <t>Lonfivirus HSTV1</t>
  </si>
  <si>
    <t>Methanobavirales</t>
  </si>
  <si>
    <t>Anaerodiviridae</t>
  </si>
  <si>
    <t>Metforvirus</t>
  </si>
  <si>
    <t>Metforvirus Drs3</t>
  </si>
  <si>
    <t>Leisingerviridae</t>
  </si>
  <si>
    <t>Thumleimavirales</t>
  </si>
  <si>
    <t>Hafunaviridae</t>
  </si>
  <si>
    <t>Haloferacalesvirus HF1</t>
  </si>
  <si>
    <t>Haloferacalesvirus HJTV2</t>
  </si>
  <si>
    <t>Haloferacalesvirus HRTV5</t>
  </si>
  <si>
    <t>Haloferacalesvirus HRTV8</t>
  </si>
  <si>
    <t>Haloferacalesvirus HRTV10</t>
  </si>
  <si>
    <t>Haloferacalesvirus HSTV4</t>
  </si>
  <si>
    <t>Haloferacalesvirus Serpecor1</t>
  </si>
  <si>
    <t>Laminvirus</t>
  </si>
  <si>
    <t>Laminvirus HRTV25</t>
  </si>
  <si>
    <t>Mincapvirus</t>
  </si>
  <si>
    <t>Mincapvirus HSTV2</t>
  </si>
  <si>
    <t>Minorvirus</t>
  </si>
  <si>
    <t>Minorvirus HRTV27</t>
  </si>
  <si>
    <t>Halomagnusviridae</t>
  </si>
  <si>
    <t>Hagravirus</t>
  </si>
  <si>
    <t>Hagravirus HGTV1</t>
  </si>
  <si>
    <t>Hacavirus</t>
  </si>
  <si>
    <t>Hacavirus HCTV1</t>
  </si>
  <si>
    <t>Tredecimvirus</t>
  </si>
  <si>
    <t>Tredecimvirus HVTV1</t>
  </si>
  <si>
    <t>Soleiviridae</t>
  </si>
  <si>
    <t>Eilatmyovirus</t>
  </si>
  <si>
    <t>Eilatmyovirus HATV2</t>
  </si>
  <si>
    <t>Agtrevirus AG3</t>
  </si>
  <si>
    <t>Agtrevirus EM4</t>
  </si>
  <si>
    <t>Agtrevirus MK13</t>
  </si>
  <si>
    <t>Agtrevirus P46FS4</t>
  </si>
  <si>
    <t>Agtrevirus SKML39</t>
  </si>
  <si>
    <t>Limestonevirus limestone</t>
  </si>
  <si>
    <t>Limestonevirus RC2014</t>
  </si>
  <si>
    <t>Kuttervirus aagejoakim</t>
  </si>
  <si>
    <t>Kuttervirus allotria</t>
  </si>
  <si>
    <t>Kuttervirus barely</t>
  </si>
  <si>
    <t>Kuttervirus bering</t>
  </si>
  <si>
    <t>Kuttervirus BSP101</t>
  </si>
  <si>
    <t>Kuttervirus CBA120</t>
  </si>
  <si>
    <t>Kuttervirus Det7</t>
  </si>
  <si>
    <t>Kuttervirus dinky</t>
  </si>
  <si>
    <t>Kuttervirus ECML4</t>
  </si>
  <si>
    <t>Kuttervirus EP75</t>
  </si>
  <si>
    <t>Kuttervirus FEC14</t>
  </si>
  <si>
    <t>Kuttervirus GG32</t>
  </si>
  <si>
    <t>Kuttervirus heyday</t>
  </si>
  <si>
    <t>Kuttervirus kv38</t>
  </si>
  <si>
    <t>Kuttervirus maane</t>
  </si>
  <si>
    <t>Kuttervirus marshall</t>
  </si>
  <si>
    <t>Kuttervirus maynard</t>
  </si>
  <si>
    <t>Kuttervirus moki</t>
  </si>
  <si>
    <t>Kuttervirus mutine</t>
  </si>
  <si>
    <t>Kuttervirus pertopsoe</t>
  </si>
  <si>
    <t>Kuttervirus PhaxI</t>
  </si>
  <si>
    <t>Kuttervirus PM10</t>
  </si>
  <si>
    <t>Kuttervirus rabagast</t>
  </si>
  <si>
    <t>Kuttervirus S118</t>
  </si>
  <si>
    <t>Kuttervirus SE14</t>
  </si>
  <si>
    <t>Kuttervirus SeB</t>
  </si>
  <si>
    <t>Kuttervirus SeG</t>
  </si>
  <si>
    <t>Kuttervirus SeJ</t>
  </si>
  <si>
    <t>Kuttervirus SenALZ1</t>
  </si>
  <si>
    <t>Kuttervirus SenASZ3</t>
  </si>
  <si>
    <t>Kuttervirus SeSz1</t>
  </si>
  <si>
    <t>Kuttervirus SFP10</t>
  </si>
  <si>
    <t>Kuttervirus SH19</t>
  </si>
  <si>
    <t>Kuttervirus SJ2</t>
  </si>
  <si>
    <t>Kuttervirus SJ3</t>
  </si>
  <si>
    <t>Kuttervirus SP1</t>
  </si>
  <si>
    <t>Kuttervirus SS9</t>
  </si>
  <si>
    <t>Kuttervirus STML131</t>
  </si>
  <si>
    <t>Kuttervirus STW77</t>
  </si>
  <si>
    <t>Kuttervirus ViI</t>
  </si>
  <si>
    <t>Campanilevirus YC</t>
  </si>
  <si>
    <t>Kujavirus kuja</t>
  </si>
  <si>
    <t>Miltonvirus 3M</t>
  </si>
  <si>
    <t>Miltonvirus MAM1</t>
  </si>
  <si>
    <t>Nezavisimistyvirus bue1</t>
  </si>
  <si>
    <t>Nezavisimistyvirus Ea2809</t>
  </si>
  <si>
    <t>Taipeivirus 0507KN21</t>
  </si>
  <si>
    <t>Taipeivirus IME250</t>
  </si>
  <si>
    <t>Taipeivirus KpS110</t>
  </si>
  <si>
    <t>Taipeivirus KWBSE436</t>
  </si>
  <si>
    <t>Taipeivirus magnus</t>
  </si>
  <si>
    <t>Taipeivirus may</t>
  </si>
  <si>
    <t>Taipeivirus menlow</t>
  </si>
  <si>
    <t>Taipeivirus UPM2146</t>
  </si>
  <si>
    <t>Tedavirus A829</t>
  </si>
  <si>
    <t>Vapseptimavirus VAP7</t>
  </si>
  <si>
    <t>Aggregaviridae</t>
  </si>
  <si>
    <t>Harrekavirus</t>
  </si>
  <si>
    <t>Harrekavirus harreka</t>
  </si>
  <si>
    <t>Assiduviridae</t>
  </si>
  <si>
    <t>Cebadecemvirus</t>
  </si>
  <si>
    <t>Cebadecemvirus phi10una</t>
  </si>
  <si>
    <t>Cellubavirus</t>
  </si>
  <si>
    <t>Cellubavirus phi19una</t>
  </si>
  <si>
    <t>Nekkelsvirus</t>
  </si>
  <si>
    <t>Nekkelsvirus Nekkels</t>
  </si>
  <si>
    <t>Daemvirus acibel007</t>
  </si>
  <si>
    <t>Friunavirus AB1</t>
  </si>
  <si>
    <t>Friunavirus AB3</t>
  </si>
  <si>
    <t>Friunavirus AB6</t>
  </si>
  <si>
    <t>Friunavirus AbKT21III</t>
  </si>
  <si>
    <t>Friunavirus Abp1</t>
  </si>
  <si>
    <t>Friunavirus Aci07</t>
  </si>
  <si>
    <t>Friunavirus Aci08</t>
  </si>
  <si>
    <t>Friunavirus AS11</t>
  </si>
  <si>
    <t>Friunavirus AS12</t>
  </si>
  <si>
    <t>Friunavirus B1</t>
  </si>
  <si>
    <t>Friunavirus B3</t>
  </si>
  <si>
    <t>Friunavirus B5</t>
  </si>
  <si>
    <t>Friunavirus D2</t>
  </si>
  <si>
    <t>Friunavirus Fri1</t>
  </si>
  <si>
    <t>Friunavirus fv15519</t>
  </si>
  <si>
    <t>Friunavirus IME200</t>
  </si>
  <si>
    <t>Friunavirus P1</t>
  </si>
  <si>
    <t>Friunavirus P2</t>
  </si>
  <si>
    <t>Friunavirus PD6A3</t>
  </si>
  <si>
    <t>Friunavirus PDAB9</t>
  </si>
  <si>
    <t>Friunavirus SWHAb1</t>
  </si>
  <si>
    <t>Friunavirus SWHAb3</t>
  </si>
  <si>
    <t>Friunavirus WCHABP5</t>
  </si>
  <si>
    <t>Pettyvirus petty</t>
  </si>
  <si>
    <t>Gutovirus Vc1</t>
  </si>
  <si>
    <t>Kaohsiungvirus A318</t>
  </si>
  <si>
    <t>Kaohsiungvirus AS51</t>
  </si>
  <si>
    <t>Kaohsiungvirus Vp670</t>
  </si>
  <si>
    <t>Murciavirus CB5A</t>
  </si>
  <si>
    <t>Murciavirus CPP1m</t>
  </si>
  <si>
    <t>Trungvirus VEN</t>
  </si>
  <si>
    <t>Uliginvirus achelous</t>
  </si>
  <si>
    <t>Uliginvirus alpheus</t>
  </si>
  <si>
    <t>Uliginvirus nerthus</t>
  </si>
  <si>
    <t>Uliginvirus njord</t>
  </si>
  <si>
    <t>Uliginvirus uligo</t>
  </si>
  <si>
    <t>Kantovirus C171</t>
  </si>
  <si>
    <t>Kotilavirus PP16</t>
  </si>
  <si>
    <t>Kotilavirus PPWS1</t>
  </si>
  <si>
    <t>Kotilavirus PPWS2</t>
  </si>
  <si>
    <t>Phimunavirus CB5</t>
  </si>
  <si>
    <t>Phimunavirus Clickz</t>
  </si>
  <si>
    <t>Phimunavirus fM1</t>
  </si>
  <si>
    <t>Phimunavirus gaspode</t>
  </si>
  <si>
    <t>Phimunavirus khlen</t>
  </si>
  <si>
    <t>Phimunavirus koot</t>
  </si>
  <si>
    <t>Phimunavirus lelidair</t>
  </si>
  <si>
    <t>Phimunavirus nobby</t>
  </si>
  <si>
    <t>Phimunavirus peat1</t>
  </si>
  <si>
    <t>Phimunavirus phoria</t>
  </si>
  <si>
    <t>Phimunavirus PP90</t>
  </si>
  <si>
    <t>Phimunavirus zenivior</t>
  </si>
  <si>
    <t>Stompvirus BF2512</t>
  </si>
  <si>
    <t>Kirikabuvirus NV3</t>
  </si>
  <si>
    <t>Phikmvvirus 15pyo</t>
  </si>
  <si>
    <t>Phikmvvirus Ab05</t>
  </si>
  <si>
    <t>Phikmvvirus ABTNL</t>
  </si>
  <si>
    <t>Phikmvvirus DL62</t>
  </si>
  <si>
    <t>Phikmvvirus kF77</t>
  </si>
  <si>
    <t>Phikmvvirus LKD16</t>
  </si>
  <si>
    <t>Phikmvvirus LUZ19</t>
  </si>
  <si>
    <t>Phikmvvirus MPK6</t>
  </si>
  <si>
    <t>Phikmvvirus MPK7</t>
  </si>
  <si>
    <t>Phikmvvirus NFS</t>
  </si>
  <si>
    <t>Phikmvvirus PAXYB1</t>
  </si>
  <si>
    <t>Phikmvvirus phiKMV</t>
  </si>
  <si>
    <t>Phikmvvirus PT2</t>
  </si>
  <si>
    <t>Phikmvvirus PT5</t>
  </si>
  <si>
    <t>Phikmvvirus pv130113</t>
  </si>
  <si>
    <t>Phikmvvirus RLP</t>
  </si>
  <si>
    <t>Stubburvirus LKA1</t>
  </si>
  <si>
    <t>Tunggulviirus f2</t>
  </si>
  <si>
    <t>Aerosvirus AS7</t>
  </si>
  <si>
    <t>Aerosvirus av25AhydR2PP</t>
  </si>
  <si>
    <t>Aerosvirus ZPAH7</t>
  </si>
  <si>
    <t>Aghbyvirus ISAO8</t>
  </si>
  <si>
    <t>Ahphunavirus Ahp1</t>
  </si>
  <si>
    <t>Ahphunavirus CF7</t>
  </si>
  <si>
    <t>Cronosvirus DevCD23823</t>
  </si>
  <si>
    <t>Cronosvirus GAP227</t>
  </si>
  <si>
    <t>Panjvirus Spp16</t>
  </si>
  <si>
    <t>Pienvirus R801</t>
  </si>
  <si>
    <t>Pokrovskaiavirus fHeYen301</t>
  </si>
  <si>
    <t>Pokrovskaiavirus pv8018</t>
  </si>
  <si>
    <t>Wanjuvirus arno160</t>
  </si>
  <si>
    <t>Wanjuvirus PP2</t>
  </si>
  <si>
    <t>Acadevirus PM85</t>
  </si>
  <si>
    <t>Acadevirus PM93</t>
  </si>
  <si>
    <t>Acadevirus PM116</t>
  </si>
  <si>
    <t>Acadevirus Pm5460</t>
  </si>
  <si>
    <t>Axomammavirus PP1</t>
  </si>
  <si>
    <t>Eracentumvirus era103</t>
  </si>
  <si>
    <t>Eracentumvirus S2</t>
  </si>
  <si>
    <t>Tuodvirus phD2B</t>
  </si>
  <si>
    <t>Vectrevirus AAPEc6</t>
  </si>
  <si>
    <t>Vectrevirus ACGC91</t>
  </si>
  <si>
    <t>Vectrevirus bee</t>
  </si>
  <si>
    <t>Vectrevirus cee</t>
  </si>
  <si>
    <t>Vectrevirus CrRp3</t>
  </si>
  <si>
    <t>Vectrevirus K15</t>
  </si>
  <si>
    <t>Vectrevirus K1E</t>
  </si>
  <si>
    <t>Vectrevirus kay</t>
  </si>
  <si>
    <t>Vectrevirus LL11</t>
  </si>
  <si>
    <t>Vectrevirus mutPK1A2</t>
  </si>
  <si>
    <t>Vectrevirus VEc3</t>
  </si>
  <si>
    <t>Zindervirus BP12B</t>
  </si>
  <si>
    <t>Zindervirus SP6</t>
  </si>
  <si>
    <t>Zindervirus UAB78</t>
  </si>
  <si>
    <t>Ampunavirus BpAMP1</t>
  </si>
  <si>
    <t>Ampunavirus RSPI1</t>
  </si>
  <si>
    <t>Higashivirus RSB1</t>
  </si>
  <si>
    <t>Higashivirus RsoP1IDN</t>
  </si>
  <si>
    <t>Mguuvirus JG068</t>
  </si>
  <si>
    <t>Risjevirus RSJ2</t>
  </si>
  <si>
    <t>Risjevirus RSJ5</t>
  </si>
  <si>
    <t>Sukuvirus RSPII1</t>
  </si>
  <si>
    <t>Bucovirus buco</t>
  </si>
  <si>
    <t>Drulisvirus altogao</t>
  </si>
  <si>
    <t>Drulisvirus BO1E</t>
  </si>
  <si>
    <t>Drulisvirus F19</t>
  </si>
  <si>
    <t>Drulisvirus K244</t>
  </si>
  <si>
    <t>Drulisvirus Kp2</t>
  </si>
  <si>
    <t>Drulisvirus KP34</t>
  </si>
  <si>
    <t>Drulisvirus KPRio2015</t>
  </si>
  <si>
    <t>Drulisvirus KpS2</t>
  </si>
  <si>
    <t>Drulisvirus KpV41</t>
  </si>
  <si>
    <t>Drulisvirus KpV48</t>
  </si>
  <si>
    <t>Drulisvirus KpV71</t>
  </si>
  <si>
    <t>Drulisvirus KpV74</t>
  </si>
  <si>
    <t>Drulisvirus KpV475</t>
  </si>
  <si>
    <t>Drulisvirus KPV811</t>
  </si>
  <si>
    <t>Drulisvirus minorna</t>
  </si>
  <si>
    <t>Drulisvirus myPSH1235</t>
  </si>
  <si>
    <t>Drulisvirus SFN6B</t>
  </si>
  <si>
    <t>Drulisvirus SU503</t>
  </si>
  <si>
    <t>Drulisvirus SU552A</t>
  </si>
  <si>
    <t>Koutsourovirus KDA1</t>
  </si>
  <si>
    <t>Novosibovirus PM16</t>
  </si>
  <si>
    <t>Novosibovirus PM75</t>
  </si>
  <si>
    <t>Aarhusvirus dagda</t>
  </si>
  <si>
    <t>Aarhusvirus katbat</t>
  </si>
  <si>
    <t>Aarhusvirus luksen</t>
  </si>
  <si>
    <t>Aarhusvirus mysterion</t>
  </si>
  <si>
    <t>Apdecimavirus AP10</t>
  </si>
  <si>
    <t>Berlinvirus 285P</t>
  </si>
  <si>
    <t>Berlinvirus A7</t>
  </si>
  <si>
    <t>Berlinvirus BA14</t>
  </si>
  <si>
    <t>Berlinvirus berlin</t>
  </si>
  <si>
    <t>Berlinvirus BP12A</t>
  </si>
  <si>
    <t>Berlinvirus BSP161</t>
  </si>
  <si>
    <t>Berlinvirus FE44</t>
  </si>
  <si>
    <t>Berlinvirus Kvp1</t>
  </si>
  <si>
    <t>Berlinvirus P483</t>
  </si>
  <si>
    <t>Berlinvirus P694</t>
  </si>
  <si>
    <t>Berlinvirus PP74</t>
  </si>
  <si>
    <t>Berlinvirus PYPS50</t>
  </si>
  <si>
    <t>Berlinvirus S523</t>
  </si>
  <si>
    <t>Berlinvirus Yepe2</t>
  </si>
  <si>
    <t>Berlinvirus Yepf</t>
  </si>
  <si>
    <t>Caroctavirus CR8</t>
  </si>
  <si>
    <t>Chatterjeevirus ICP3</t>
  </si>
  <si>
    <t>Chatterjeevirus N4</t>
  </si>
  <si>
    <t>Chatterjeevirus VP4</t>
  </si>
  <si>
    <t>Eapunavirus Eap1</t>
  </si>
  <si>
    <t>Elunavirus L1</t>
  </si>
  <si>
    <t>Foetvirus SRT7</t>
  </si>
  <si>
    <t>Ghunavirus 17A</t>
  </si>
  <si>
    <t>Ghunavirus gh1</t>
  </si>
  <si>
    <t>Ghunavirus henninger</t>
  </si>
  <si>
    <t>Ghunavirus KNP</t>
  </si>
  <si>
    <t>Ghunavirus Pf1ERZ2017</t>
  </si>
  <si>
    <t>Ghunavirus PPPL1</t>
  </si>
  <si>
    <t>Ghunavirus PSA2</t>
  </si>
  <si>
    <t>Ghunavirus Psa17</t>
  </si>
  <si>
    <t>Ghunavirus shl2</t>
  </si>
  <si>
    <t>Ghunavirus WRT</t>
  </si>
  <si>
    <t>Helsettvirus fPS9</t>
  </si>
  <si>
    <t>Helsettvirus fPS53</t>
  </si>
  <si>
    <t>Helsettvirus fPS59</t>
  </si>
  <si>
    <t>Helsettvirus fPS54ocr</t>
  </si>
  <si>
    <t>Jarilovirus jarilo</t>
  </si>
  <si>
    <t>Kayfunavirus CR44b</t>
  </si>
  <si>
    <t>Kayfunavirus Dev2</t>
  </si>
  <si>
    <t>Kayfunavirus EcoDS1</t>
  </si>
  <si>
    <t>Kayfunavirus EcpYZU01</t>
  </si>
  <si>
    <t>Kayfunavirus F</t>
  </si>
  <si>
    <t>Kayfunavirus GA2A</t>
  </si>
  <si>
    <t>Kayfunavirus GW1</t>
  </si>
  <si>
    <t>Kayfunavirus IMM002</t>
  </si>
  <si>
    <t>Kayfunavirus K1F</t>
  </si>
  <si>
    <t>Kayfunavirus LM33P1</t>
  </si>
  <si>
    <t>Kayfunavirus PE31</t>
  </si>
  <si>
    <t>Kayfunavirus Ro45lw</t>
  </si>
  <si>
    <t>Kayfunavirus SFPH2</t>
  </si>
  <si>
    <t>Kayfunavirus SH3</t>
  </si>
  <si>
    <t>Kayfunavirus SH4</t>
  </si>
  <si>
    <t>Kayfunavirus ST31</t>
  </si>
  <si>
    <t>Kayfunavirus Vec13</t>
  </si>
  <si>
    <t>Kayfunavirus YZ1</t>
  </si>
  <si>
    <t>Kayfunavirus ZG49</t>
  </si>
  <si>
    <t>Minipunavirus MmP1</t>
  </si>
  <si>
    <t>Minipunavirus MP2</t>
  </si>
  <si>
    <t>Ningirsuvirus JA10</t>
  </si>
  <si>
    <t>Ningirsuvirus ninurta</t>
  </si>
  <si>
    <t>Pektosvirus PP47</t>
  </si>
  <si>
    <t>Pektosvirus PP81</t>
  </si>
  <si>
    <t>Pektosvirus PPWS4</t>
  </si>
  <si>
    <t>Phutvirus PPpW4</t>
  </si>
  <si>
    <t>Pifdecavirus IBBPF7A</t>
  </si>
  <si>
    <t>Pifdecavirus Pf10</t>
  </si>
  <si>
    <t>Pifdecavirus PFP1</t>
  </si>
  <si>
    <t>Pifdecavirus PhiS1</t>
  </si>
  <si>
    <t>Pifdecavirus pv22PfluR64PP</t>
  </si>
  <si>
    <t>Pifdecavirus UNOSLW1</t>
  </si>
  <si>
    <t>Pijolavirus PspYZU08</t>
  </si>
  <si>
    <t>Przondovirus 2044307w</t>
  </si>
  <si>
    <t>Przondovirus BIS33</t>
  </si>
  <si>
    <t>Przondovirus henu1</t>
  </si>
  <si>
    <t>Przondovirus IL33</t>
  </si>
  <si>
    <t>Przondovirus IME205</t>
  </si>
  <si>
    <t>Przondovirus IME321</t>
  </si>
  <si>
    <t>Przondovirus K5</t>
  </si>
  <si>
    <t>Przondovirus K11</t>
  </si>
  <si>
    <t>Przondovirus K30</t>
  </si>
  <si>
    <t>Przondovirus K52</t>
  </si>
  <si>
    <t>Przondovirus K54</t>
  </si>
  <si>
    <t>Przondovirus KN11</t>
  </si>
  <si>
    <t>Przondovirus KN31</t>
  </si>
  <si>
    <t>Przondovirus KN41</t>
  </si>
  <si>
    <t>Przondovirus Kp1</t>
  </si>
  <si>
    <t>Przondovirus KP32</t>
  </si>
  <si>
    <t>Przondovirus KP32i192</t>
  </si>
  <si>
    <t>Przondovirus KP32i194</t>
  </si>
  <si>
    <t>Przondovirus KP32i195</t>
  </si>
  <si>
    <t>Przondovirus KP32i196</t>
  </si>
  <si>
    <t>Przondovirus kpssk3</t>
  </si>
  <si>
    <t>Przondovirus KpV289</t>
  </si>
  <si>
    <t>Przondovirus KpV763</t>
  </si>
  <si>
    <t>Przondovirus KpV766</t>
  </si>
  <si>
    <t>Przondovirus KpV767</t>
  </si>
  <si>
    <t>Przondovirus pharr</t>
  </si>
  <si>
    <t>Przondovirus PRA33</t>
  </si>
  <si>
    <t>Przondovirus SHKp152234</t>
  </si>
  <si>
    <t>Przondovirus SHKp152410</t>
  </si>
  <si>
    <t>Teetrevirus 2050H2</t>
  </si>
  <si>
    <t>Teetrevirus AP5</t>
  </si>
  <si>
    <t>Teetrevirus CFP1</t>
  </si>
  <si>
    <t>Teetrevirus E2</t>
  </si>
  <si>
    <t>Teetrevirus E3</t>
  </si>
  <si>
    <t>Teetrevirus ECA2</t>
  </si>
  <si>
    <t>Teetrevirus KPN3</t>
  </si>
  <si>
    <t>Teetrevirus LL2</t>
  </si>
  <si>
    <t>Teetrevirus SGJL2</t>
  </si>
  <si>
    <t>Teetrevirus SH1</t>
  </si>
  <si>
    <t>Teetrevirus SH2</t>
  </si>
  <si>
    <t>Teetrevirus SM93Y</t>
  </si>
  <si>
    <t>Teetrevirus T3</t>
  </si>
  <si>
    <t>Teetrevirus T3Luria</t>
  </si>
  <si>
    <t>Teetrevirus T7M</t>
  </si>
  <si>
    <t>Teetrevirus tv10164302</t>
  </si>
  <si>
    <t>Teetrevirus YeF10</t>
  </si>
  <si>
    <t>Teetrevirus YeO312</t>
  </si>
  <si>
    <t>Teseptimavirus 13a</t>
  </si>
  <si>
    <t>Teseptimavirus C5</t>
  </si>
  <si>
    <t>Teseptimavirus CICC80001</t>
  </si>
  <si>
    <t>Teseptimavirus ebrios</t>
  </si>
  <si>
    <t>Teseptimavirus EG1</t>
  </si>
  <si>
    <t>Teseptimavirus HZ2R8</t>
  </si>
  <si>
    <t>Teseptimavirus HZP2</t>
  </si>
  <si>
    <t>Teseptimavirus IME15</t>
  </si>
  <si>
    <t>Teseptimavirus IME390</t>
  </si>
  <si>
    <t>Teseptimavirus N30</t>
  </si>
  <si>
    <t>Teseptimavirus NCA</t>
  </si>
  <si>
    <t>Teseptimavirus T7</t>
  </si>
  <si>
    <t>Teseptimavirus tv3A8767</t>
  </si>
  <si>
    <t>Teseptimavirus tv64795ec1</t>
  </si>
  <si>
    <t>Teseptimavirus Vi06</t>
  </si>
  <si>
    <t>Teseptimavirus YpPY</t>
  </si>
  <si>
    <t>Teseptimavirus YpsPG</t>
  </si>
  <si>
    <t>Troedvirus Phi15</t>
  </si>
  <si>
    <t>Unyawovirus DUPPII</t>
  </si>
  <si>
    <t>Warsawvirus 3MF5</t>
  </si>
  <si>
    <t>Aegirvirus SCBP42</t>
  </si>
  <si>
    <t>Anchaingvirus anchaing</t>
  </si>
  <si>
    <t>Aqualcavirus P14</t>
  </si>
  <si>
    <t>Atuphduovirus atuph02</t>
  </si>
  <si>
    <t>Atuphduovirus atuph03</t>
  </si>
  <si>
    <t>Ayakvirus Ap1</t>
  </si>
  <si>
    <t>Banchanvirus SS1201</t>
  </si>
  <si>
    <t>Bifseptvirus andromeda</t>
  </si>
  <si>
    <t>Bifseptvirus Bf7</t>
  </si>
  <si>
    <t>Bonnellvirus J865</t>
  </si>
  <si>
    <t>Bonnellvirus lidtsur</t>
  </si>
  <si>
    <t>Cheungvirus NATL1A7</t>
  </si>
  <si>
    <t>Cuernavacavirus RHEph02</t>
  </si>
  <si>
    <t>Cuernavacavirus RHEph08</t>
  </si>
  <si>
    <t>Cuernavacavirus RHEph09</t>
  </si>
  <si>
    <t>Cyclitvirus cyclit</t>
  </si>
  <si>
    <t>Ermolevavirus PGT2</t>
  </si>
  <si>
    <t>Ermolevavirus PhiKT</t>
  </si>
  <si>
    <t>Foturvirus H44</t>
  </si>
  <si>
    <t>Gajwadongvirus ECBP5</t>
  </si>
  <si>
    <t>Gajwadongvirus PP99</t>
  </si>
  <si>
    <t>Gyeongsanvirus DURPI</t>
  </si>
  <si>
    <t>Gyeongsanvirus RsoP1EGY</t>
  </si>
  <si>
    <t>Igirivirus STIP37</t>
  </si>
  <si>
    <t>Jiaoyazivirus RSB3</t>
  </si>
  <si>
    <t>Kafavirus SWcelC56</t>
  </si>
  <si>
    <t>Kajamvirus SRIP1</t>
  </si>
  <si>
    <t>Kakivirus PS3</t>
  </si>
  <si>
    <t>Kalppathivirus P26059B</t>
  </si>
  <si>
    <t>Kelmasvirus RSB2</t>
  </si>
  <si>
    <t>Kembevirus SCBP2</t>
  </si>
  <si>
    <t>Lauvirus lau218</t>
  </si>
  <si>
    <t>Limelightvirus limelight</t>
  </si>
  <si>
    <t>Lingvirus PGSP1</t>
  </si>
  <si>
    <t>Lirvirus SCBP3</t>
  </si>
  <si>
    <t>Lullwatervirus lullwater</t>
  </si>
  <si>
    <t>Maculvirus KF1</t>
  </si>
  <si>
    <t>Maculvirus KF2</t>
  </si>
  <si>
    <t>Maculvirus OWB</t>
  </si>
  <si>
    <t>Maculvirus VP93</t>
  </si>
  <si>
    <t>Napahaivirus VSW3</t>
  </si>
  <si>
    <t>Paadamvirus RHEph01</t>
  </si>
  <si>
    <t>Pairvirus Lo5R7ANS</t>
  </si>
  <si>
    <t>Pelagivirus HTVC019P</t>
  </si>
  <si>
    <t>Percyvirus percy</t>
  </si>
  <si>
    <t>Piedvirus IMEDE1</t>
  </si>
  <si>
    <t>Pollyceevirus pollyC</t>
  </si>
  <si>
    <t>Poseidonvirus SCBP4</t>
  </si>
  <si>
    <t>Pradovirus f20</t>
  </si>
  <si>
    <t>Pradovirus f30</t>
  </si>
  <si>
    <t>Pradovirus prado</t>
  </si>
  <si>
    <t>Pradovirus XAJ24</t>
  </si>
  <si>
    <t>Pradovirus Xc10</t>
  </si>
  <si>
    <t>Qadamvirus SB28</t>
  </si>
  <si>
    <t>Scottvirus scott</t>
  </si>
  <si>
    <t>Sednavirus SRIP2</t>
  </si>
  <si>
    <t>Serkorvirus ITL1</t>
  </si>
  <si>
    <t>Stompelvirus RPSC1</t>
  </si>
  <si>
    <t>Stopavirus HTVC011P</t>
  </si>
  <si>
    <t>Tangaroavirus NATL2A133</t>
  </si>
  <si>
    <t>Tangaroavirus PSSP10</t>
  </si>
  <si>
    <t>Tangaroavirus tv951510a</t>
  </si>
  <si>
    <t>Tawavirus JSF7</t>
  </si>
  <si>
    <t>Tiamatvirus PSSP7</t>
  </si>
  <si>
    <t>Tiilvirus P60</t>
  </si>
  <si>
    <t>Tritonvirus PSSP2</t>
  </si>
  <si>
    <t>Tritonvirus PSSP3</t>
  </si>
  <si>
    <t>Voetvirus syn5</t>
  </si>
  <si>
    <t>Waewaevirus limezero</t>
  </si>
  <si>
    <t>Wuhanvirus PHB01</t>
  </si>
  <si>
    <t>Wuhanvirus PHB02</t>
  </si>
  <si>
    <t>Casjensviridae</t>
  </si>
  <si>
    <t>Broinstvirus</t>
  </si>
  <si>
    <t>Broinstvirus pCB2051A</t>
  </si>
  <si>
    <t>Cenphatecvirus</t>
  </si>
  <si>
    <t>Cenphatecvirus saba</t>
  </si>
  <si>
    <t>Chivirus BSPM4</t>
  </si>
  <si>
    <t>Chivirus chi</t>
  </si>
  <si>
    <t>Chivirus cv35</t>
  </si>
  <si>
    <t>Chivirus cv37</t>
  </si>
  <si>
    <t>Chivirus cv118970sal1</t>
  </si>
  <si>
    <t>Chivirus ER24</t>
  </si>
  <si>
    <t>Chivirus FSLSP030</t>
  </si>
  <si>
    <t>Chivirus FSLSP088</t>
  </si>
  <si>
    <t>Chivirus iEPS5</t>
  </si>
  <si>
    <t>Chivirus KFSSE1</t>
  </si>
  <si>
    <t>Chivirus KpYy141</t>
  </si>
  <si>
    <t>Chivirus SeWh1</t>
  </si>
  <si>
    <t>Chivirus siskin</t>
  </si>
  <si>
    <t>Chivirus SPN19</t>
  </si>
  <si>
    <t>Chivirus ST101</t>
  </si>
  <si>
    <t>Chivirus YSD1</t>
  </si>
  <si>
    <t>Dunedinvirus</t>
  </si>
  <si>
    <t>Dunedinvirus JS26</t>
  </si>
  <si>
    <t>Enchivirus</t>
  </si>
  <si>
    <t>Enchivirus Enc34</t>
  </si>
  <si>
    <t>Fengtaivirus</t>
  </si>
  <si>
    <t>Fengtaivirus Axp2</t>
  </si>
  <si>
    <t>Gediminasvirus</t>
  </si>
  <si>
    <t>Gediminasvirus AchV4</t>
  </si>
  <si>
    <t>Gwanakrovirus</t>
  </si>
  <si>
    <t>Gwanakrovirus SNUABM08</t>
  </si>
  <si>
    <t>Jacunavirus</t>
  </si>
  <si>
    <t>Jacunavirus JC01</t>
  </si>
  <si>
    <t>Kokobelvirus</t>
  </si>
  <si>
    <t>Kokobelvirus kokobel1</t>
  </si>
  <si>
    <t>Lavrentievavirus</t>
  </si>
  <si>
    <t>Lavrentieva E21</t>
  </si>
  <si>
    <t>Lavrentieva PM87</t>
  </si>
  <si>
    <t>Lavrentieva pPM01</t>
  </si>
  <si>
    <t>Maxdohrnvirus</t>
  </si>
  <si>
    <t>Maxdohrnvirus SS2019XI</t>
  </si>
  <si>
    <t>Newforgelanevirus</t>
  </si>
  <si>
    <t>Newforgelanevirus MA12</t>
  </si>
  <si>
    <t>Phobosvirus</t>
  </si>
  <si>
    <t>Phobosvirus phobos</t>
  </si>
  <si>
    <t>Phobosvirus PspYZU01</t>
  </si>
  <si>
    <t>Redjacvirus</t>
  </si>
  <si>
    <t>Redjacvirus piberecoleta</t>
  </si>
  <si>
    <t>Redjacvirus redjac</t>
  </si>
  <si>
    <t>Redjacvirus stilesk</t>
  </si>
  <si>
    <t>Salvovirus</t>
  </si>
  <si>
    <t>Salvovirus bacata</t>
  </si>
  <si>
    <t>Salvovirus salvo</t>
  </si>
  <si>
    <t>Seodaemunguvirus</t>
  </si>
  <si>
    <t>Seodaemunguvirus YMC16-01N133</t>
  </si>
  <si>
    <t>Sessunavirus</t>
  </si>
  <si>
    <t>Sessunavirus SESS1</t>
  </si>
  <si>
    <t>Sharonstreetvirus</t>
  </si>
  <si>
    <t>Sharonstreetvirus A18P4</t>
  </si>
  <si>
    <t>Sharonstreetvirus BUCT551</t>
  </si>
  <si>
    <t>Sharonstreetvirus LAh7</t>
  </si>
  <si>
    <t>Yonseivirus N137</t>
  </si>
  <si>
    <t>Yonseivirus seifer</t>
  </si>
  <si>
    <t>Yonseivirus soft</t>
  </si>
  <si>
    <t>Zhonglingvirus</t>
  </si>
  <si>
    <t>Zhonglingvirus SAP012</t>
  </si>
  <si>
    <t>Carltongylesvirus flopper</t>
  </si>
  <si>
    <t>Carltongylesvirus GJ1</t>
  </si>
  <si>
    <t>Carltongylesvirus mangalitsa</t>
  </si>
  <si>
    <t>Carltongylesvirus ST32</t>
  </si>
  <si>
    <t>Faunusvirus faunus</t>
  </si>
  <si>
    <t>Loessnervirus SSEM1</t>
  </si>
  <si>
    <t>Loessnervirus Y2</t>
  </si>
  <si>
    <t>Myducvirus myduc</t>
  </si>
  <si>
    <t>Sabourvirus sv4HA13</t>
  </si>
  <si>
    <t>Suwonvirus PM1</t>
  </si>
  <si>
    <t>Suwonvirus PP101</t>
  </si>
  <si>
    <t>Pahsextavirus pAh6C</t>
  </si>
  <si>
    <t>Yushanvirus Spp001</t>
  </si>
  <si>
    <t>Yushanvirus SppYZU05</t>
  </si>
  <si>
    <t>Cetovirus ceto</t>
  </si>
  <si>
    <t>Jesfedecavirus JSF10</t>
  </si>
  <si>
    <t>Jesfedecavirus JSF12</t>
  </si>
  <si>
    <t>Jesfedecavirus phi3</t>
  </si>
  <si>
    <t>Thalassavirus</t>
  </si>
  <si>
    <t>Thalassavirus achelous</t>
  </si>
  <si>
    <t>Thalassavirus AG74</t>
  </si>
  <si>
    <t>Thalassavirus athena</t>
  </si>
  <si>
    <t>Thalassavirus bennett</t>
  </si>
  <si>
    <t>Thalassavirus brizo</t>
  </si>
  <si>
    <t>Thalassavirus chester</t>
  </si>
  <si>
    <t>Thalassavirus cody</t>
  </si>
  <si>
    <t>Thalassavirus gary</t>
  </si>
  <si>
    <t>Thalassavirus pontus</t>
  </si>
  <si>
    <t>Thalassavirus quinn</t>
  </si>
  <si>
    <t>Thalassavirus river4</t>
  </si>
  <si>
    <t>Thalassavirus thalassa</t>
  </si>
  <si>
    <t>Vipunavirus pVp1</t>
  </si>
  <si>
    <t>Epseptimavirus 100268sal2</t>
  </si>
  <si>
    <t>Epseptimavirus 118970sal2</t>
  </si>
  <si>
    <t>Epseptimavirus atrejo</t>
  </si>
  <si>
    <t>Epseptimavirus bastian</t>
  </si>
  <si>
    <t>Epseptimavirus bombadil</t>
  </si>
  <si>
    <t>Epseptimavirus EPS7</t>
  </si>
  <si>
    <t>Epseptimavirus ev23</t>
  </si>
  <si>
    <t>Epseptimavirus ev119</t>
  </si>
  <si>
    <t>Epseptimavirus ev123</t>
  </si>
  <si>
    <t>Epseptimavirus ev129</t>
  </si>
  <si>
    <t>Epseptimavirus ev329</t>
  </si>
  <si>
    <t>Epseptimavirus faergetype</t>
  </si>
  <si>
    <t>Epseptimavirus fuchur</t>
  </si>
  <si>
    <t>Epseptimavirus LVR16A</t>
  </si>
  <si>
    <t>Epseptimavirus mar003J3</t>
  </si>
  <si>
    <t>Epseptimavirus oselot</t>
  </si>
  <si>
    <t>Epseptimavirus OSYSTA</t>
  </si>
  <si>
    <t>Epseptimavirus rokbiter</t>
  </si>
  <si>
    <t>Epseptimavirus S113</t>
  </si>
  <si>
    <t>Epseptimavirus S114</t>
  </si>
  <si>
    <t>Epseptimavirus S116</t>
  </si>
  <si>
    <t>Epseptimavirus S124</t>
  </si>
  <si>
    <t>Epseptimavirus S126</t>
  </si>
  <si>
    <t>Epseptimavirus S132</t>
  </si>
  <si>
    <t>Epseptimavirus S133</t>
  </si>
  <si>
    <t>Epseptimavirus S147</t>
  </si>
  <si>
    <t>Epseptimavirus saus132</t>
  </si>
  <si>
    <t>Epseptimavirus SB13</t>
  </si>
  <si>
    <t>Epseptimavirus SE24</t>
  </si>
  <si>
    <t>Epseptimavirus seafire</t>
  </si>
  <si>
    <t>Epseptimavirus sepoy</t>
  </si>
  <si>
    <t>Epseptimavirus SH9</t>
  </si>
  <si>
    <t>Epseptimavirus STG2</t>
  </si>
  <si>
    <t>Epseptimavirus stitch</t>
  </si>
  <si>
    <t>Epseptimavirus Sw2</t>
  </si>
  <si>
    <t>Haartmanvirus R201</t>
  </si>
  <si>
    <t>Tequintavirus AKFV33</t>
  </si>
  <si>
    <t>Tequintavirus APCEc03</t>
  </si>
  <si>
    <t>Tequintavirus BF23</t>
  </si>
  <si>
    <t>Tequintavirus chee24</t>
  </si>
  <si>
    <t>Tequintavirus DT5712</t>
  </si>
  <si>
    <t>Tequintavirus DT57C</t>
  </si>
  <si>
    <t>Tequintavirus FFH1</t>
  </si>
  <si>
    <t>Tequintavirus fp01</t>
  </si>
  <si>
    <t>Tequintavirus gostya9</t>
  </si>
  <si>
    <t>Tequintavirus H8</t>
  </si>
  <si>
    <t>Tequintavirus HdH2</t>
  </si>
  <si>
    <t>Tequintavirus L6jm</t>
  </si>
  <si>
    <t>Tequintavirus LLS</t>
  </si>
  <si>
    <t>Tequintavirus mar004NP2</t>
  </si>
  <si>
    <t>Tequintavirus NBEco001</t>
  </si>
  <si>
    <t>Tequintavirus NBEco002</t>
  </si>
  <si>
    <t>Tequintavirus NBSal003</t>
  </si>
  <si>
    <t>Tequintavirus NBSal005</t>
  </si>
  <si>
    <t>Tequintavirus NR01</t>
  </si>
  <si>
    <t>Tequintavirus oldekolle</t>
  </si>
  <si>
    <t>Tequintavirus OSYSP</t>
  </si>
  <si>
    <t>Tequintavirus S131</t>
  </si>
  <si>
    <t>Tequintavirus SE11</t>
  </si>
  <si>
    <t>Tequintavirus shivani</t>
  </si>
  <si>
    <t>Tequintavirus SHSML45</t>
  </si>
  <si>
    <t>Tequintavirus slur09</t>
  </si>
  <si>
    <t>Tequintavirus SP01</t>
  </si>
  <si>
    <t>Tequintavirus SP3</t>
  </si>
  <si>
    <t>Tequintavirus SP15</t>
  </si>
  <si>
    <t>Tequintavirus SPC35</t>
  </si>
  <si>
    <t>Tequintavirus SSP1</t>
  </si>
  <si>
    <t>Tequintavirus T5</t>
  </si>
  <si>
    <t>Tequintavirus Th1</t>
  </si>
  <si>
    <t>Tequintavirus VEc33</t>
  </si>
  <si>
    <t>Tequintavirus VSe12</t>
  </si>
  <si>
    <t>Hongcheonvirus DUPPV</t>
  </si>
  <si>
    <t>Myunavirus My1</t>
  </si>
  <si>
    <t>Novosibvirus PM135</t>
  </si>
  <si>
    <t>Novosibvirus stubb</t>
  </si>
  <si>
    <t>Pogseptimavirus PG07</t>
  </si>
  <si>
    <t>Pogseptimavirus VspSw1</t>
  </si>
  <si>
    <t>Priunavirus PR1</t>
  </si>
  <si>
    <t>Priunavirus PSTCR5</t>
  </si>
  <si>
    <t>Shenzhenvirus AhSzq1</t>
  </si>
  <si>
    <t>Shenzhenvirus AhSzw1</t>
  </si>
  <si>
    <t>Sugarlandvirus IME260</t>
  </si>
  <si>
    <t>Sugarlandvirus sugarland</t>
  </si>
  <si>
    <t>Christensenvirus IME542</t>
  </si>
  <si>
    <t>Guelphvirus ACGM12</t>
  </si>
  <si>
    <t>Guelphvirus EC3a</t>
  </si>
  <si>
    <t>Loudonvirus DTL</t>
  </si>
  <si>
    <t>Rtpvirus IME253</t>
  </si>
  <si>
    <t>Rtpvirus Rtp</t>
  </si>
  <si>
    <t>Veterinaerplatzvirus vv12210I</t>
  </si>
  <si>
    <t>Eastlansingvirus Sf12</t>
  </si>
  <si>
    <t>Lindendrivevirus EB49</t>
  </si>
  <si>
    <t>Rogunavirus AHP42</t>
  </si>
  <si>
    <t>Rogunavirus AHS24</t>
  </si>
  <si>
    <t>Rogunavirus AKS96</t>
  </si>
  <si>
    <t>Rogunavirus C119</t>
  </si>
  <si>
    <t>Rogunavirus E41c</t>
  </si>
  <si>
    <t>Rogunavirus Jk06</t>
  </si>
  <si>
    <t>Rogunavirus JLA23</t>
  </si>
  <si>
    <t>Rogunavirus KP26</t>
  </si>
  <si>
    <t>Rogunavirus rogue1</t>
  </si>
  <si>
    <t>Wilsonroadvirus Sd1</t>
  </si>
  <si>
    <t>Changchunvirus PHB17</t>
  </si>
  <si>
    <t>Changchunvirus W011D</t>
  </si>
  <si>
    <t>Hanrivervirus aalborv</t>
  </si>
  <si>
    <t>Hanrivervirus aaroes</t>
  </si>
  <si>
    <t>Hanrivervirus damhaus</t>
  </si>
  <si>
    <t>Hanrivervirus egaa</t>
  </si>
  <si>
    <t>Hanrivervirus G292</t>
  </si>
  <si>
    <t>Hanrivervirus grams</t>
  </si>
  <si>
    <t>Hanrivervirus haarsle</t>
  </si>
  <si>
    <t>Hanrivervirus henu8</t>
  </si>
  <si>
    <t>Hanrivervirus herni</t>
  </si>
  <si>
    <t>Hanrivervirus hv2019SD1</t>
  </si>
  <si>
    <t>Hanrivervirus PGN590</t>
  </si>
  <si>
    <t>Hanrivervirus pSf1</t>
  </si>
  <si>
    <t>Hanrivervirus slyngel</t>
  </si>
  <si>
    <t>Hanrivervirus vojen</t>
  </si>
  <si>
    <t>Henuseptimavirus henu7</t>
  </si>
  <si>
    <t>Tlsvirus DK2017</t>
  </si>
  <si>
    <t>Tlsvirus LL5</t>
  </si>
  <si>
    <t>Tlsvirus PHB07</t>
  </si>
  <si>
    <t>Tlsvirus phSE2</t>
  </si>
  <si>
    <t>Tlsvirus sazh</t>
  </si>
  <si>
    <t>Tlsvirus SP126</t>
  </si>
  <si>
    <t>Tlsvirus stevie</t>
  </si>
  <si>
    <t>Tlsvirus TLS</t>
  </si>
  <si>
    <t>Tlsvirus tv36</t>
  </si>
  <si>
    <t>Tlsvirus YSP2</t>
  </si>
  <si>
    <t>Warwickvirus atuna</t>
  </si>
  <si>
    <t>Warwickvirus JK16</t>
  </si>
  <si>
    <t>Warwickvirus mar001J1</t>
  </si>
  <si>
    <t>Warwickvirus SECphi27</t>
  </si>
  <si>
    <t>Warwickvirus SLUR29</t>
  </si>
  <si>
    <t>Warwickvirus swan01</t>
  </si>
  <si>
    <t>Warwickvirus tiwna</t>
  </si>
  <si>
    <t>Warwickvirus tonijn</t>
  </si>
  <si>
    <t>Warwickvirus tonn</t>
  </si>
  <si>
    <t>Warwickvirus tonnikala</t>
  </si>
  <si>
    <t>Warwickvirus tunus</t>
  </si>
  <si>
    <t>Warwickvirus wv95</t>
  </si>
  <si>
    <t>Badaguanvirus IME347</t>
  </si>
  <si>
    <t>Sertoctavirus SRT8</t>
  </si>
  <si>
    <t>Tunavirus ADB2</t>
  </si>
  <si>
    <t>Tunavirus BIFF</t>
  </si>
  <si>
    <t>Tunavirus DELF2</t>
  </si>
  <si>
    <t>Tunavirus IME18</t>
  </si>
  <si>
    <t>Tunavirus ISF001</t>
  </si>
  <si>
    <t>Tunavirus ISF002</t>
  </si>
  <si>
    <t>Tunavirus JMPW1</t>
  </si>
  <si>
    <t>Tunavirus JMPW2</t>
  </si>
  <si>
    <t>Tunavirus PSf2</t>
  </si>
  <si>
    <t>Tunavirus Sfin1</t>
  </si>
  <si>
    <t>Tunavirus Sfin3</t>
  </si>
  <si>
    <t>Tunavirus SH2</t>
  </si>
  <si>
    <t>Tunavirus SH6</t>
  </si>
  <si>
    <t>Tunavirus Shfl1</t>
  </si>
  <si>
    <t>Tunavirus T1</t>
  </si>
  <si>
    <t>Tunavirus tv008</t>
  </si>
  <si>
    <t>Eclunavirus EcL1</t>
  </si>
  <si>
    <t>Hicfunavirus HCF1</t>
  </si>
  <si>
    <t>Jhansiroadvirus gwaliVC1</t>
  </si>
  <si>
    <t>Kyungwonvirus CS01</t>
  </si>
  <si>
    <t>Kyungwonvirus Esp29491</t>
  </si>
  <si>
    <t>Nouzillyvirus ESCO41</t>
  </si>
  <si>
    <t>Sauletekiovirus AAS23</t>
  </si>
  <si>
    <t>Vilniusvirus NBD2</t>
  </si>
  <si>
    <t>Webervirus alina</t>
  </si>
  <si>
    <t>Webervirus call</t>
  </si>
  <si>
    <t>Webervirus domnhall</t>
  </si>
  <si>
    <t>Webervirus F20</t>
  </si>
  <si>
    <t>Webervirus FZ10</t>
  </si>
  <si>
    <t>Webervirus GHK3</t>
  </si>
  <si>
    <t>Webervirus IMGroot</t>
  </si>
  <si>
    <t>Webervirus JY917</t>
  </si>
  <si>
    <t>Webervirus KL</t>
  </si>
  <si>
    <t>Webervirus KLPN1</t>
  </si>
  <si>
    <t>Webervirus KLPPOU149</t>
  </si>
  <si>
    <t>Webervirus KOX1</t>
  </si>
  <si>
    <t>Webervirus KP36</t>
  </si>
  <si>
    <t>Webervirus KP1801</t>
  </si>
  <si>
    <t>Webervirus KpCol1</t>
  </si>
  <si>
    <t>Webervirus KpKT21phi1</t>
  </si>
  <si>
    <t>Webervirus KpNIH2</t>
  </si>
  <si>
    <t>Webervirus KpV522</t>
  </si>
  <si>
    <t>Webervirus mezzogao</t>
  </si>
  <si>
    <t>Webervirus N141</t>
  </si>
  <si>
    <t>Webervirus NJS1</t>
  </si>
  <si>
    <t>Webervirus PKP126</t>
  </si>
  <si>
    <t>Webervirus segescirculi</t>
  </si>
  <si>
    <t>Webervirus shelby</t>
  </si>
  <si>
    <t>Webervirus sin4</t>
  </si>
  <si>
    <t>Webervirus skenny</t>
  </si>
  <si>
    <t>Webervirus sushi</t>
  </si>
  <si>
    <t>Webervirus sweeny</t>
  </si>
  <si>
    <t>Webervirus TAH8</t>
  </si>
  <si>
    <t>Webervirus TSK1</t>
  </si>
  <si>
    <t>Webervirus wv13</t>
  </si>
  <si>
    <t>Webervirus wv1513</t>
  </si>
  <si>
    <t>Duneviridae</t>
  </si>
  <si>
    <t>Ingelinevirus</t>
  </si>
  <si>
    <t>Ingelinevirus ingeline</t>
  </si>
  <si>
    <t>Labanvirus laban</t>
  </si>
  <si>
    <t>Unahavirus uv1H</t>
  </si>
  <si>
    <t>Unahavirus uv23T</t>
  </si>
  <si>
    <t>Unahavirus uv2A</t>
  </si>
  <si>
    <t>Unahavirus uv6H</t>
  </si>
  <si>
    <t>Forsetiviridae</t>
  </si>
  <si>
    <t>Freyavirus</t>
  </si>
  <si>
    <t>Freyavirus danklef</t>
  </si>
  <si>
    <t>Freyavirus freya</t>
  </si>
  <si>
    <t>Capvunavirus CpV1</t>
  </si>
  <si>
    <t>Gregsiragusavirus CPD2</t>
  </si>
  <si>
    <t>Gregsiragusavirus CPS1</t>
  </si>
  <si>
    <t>Gregsiragusavirus phi24R</t>
  </si>
  <si>
    <t>Brucesealvirus CP7R</t>
  </si>
  <si>
    <t>Brucesealvirus CPS2</t>
  </si>
  <si>
    <t>Brucesealvirus CPV4</t>
  </si>
  <si>
    <t>Brucesealvirus ZP2</t>
  </si>
  <si>
    <t>Susfortunavirus susfortuna</t>
  </si>
  <si>
    <t>Helgolandviridae</t>
  </si>
  <si>
    <t>Leefvirus</t>
  </si>
  <si>
    <t>Leefvirus Leef</t>
  </si>
  <si>
    <t>Agatevirus agate</t>
  </si>
  <si>
    <t>Agatevirus bobb</t>
  </si>
  <si>
    <t>Agatevirus Bp8pC</t>
  </si>
  <si>
    <t>Bastillevirus bastille</t>
  </si>
  <si>
    <t>Bastillevirus CAM003</t>
  </si>
  <si>
    <t>Bastillevirus evoli</t>
  </si>
  <si>
    <t>Bastillevirus hoodyT</t>
  </si>
  <si>
    <t>Bequatrovirus avesobmore</t>
  </si>
  <si>
    <t>Bequatrovirus B4</t>
  </si>
  <si>
    <t>Bequatrovirus bigbertha</t>
  </si>
  <si>
    <t>Bequatrovirus riley</t>
  </si>
  <si>
    <t>Bequatrovirus spock</t>
  </si>
  <si>
    <t>Bequatrovirus troll</t>
  </si>
  <si>
    <t>Caeruleovirus Bc431</t>
  </si>
  <si>
    <t>Caeruleovirus Bcp1</t>
  </si>
  <si>
    <t>Caeruleovirus BCP82</t>
  </si>
  <si>
    <t>Caeruleovirus BM15</t>
  </si>
  <si>
    <t>Caeruleovirus deepblue</t>
  </si>
  <si>
    <t>Caeruleovirus JBP901</t>
  </si>
  <si>
    <t>Eldridgevirus eldridge</t>
  </si>
  <si>
    <t>Goettingenvirus goe8</t>
  </si>
  <si>
    <t>Grisebachstrassevirus goe3</t>
  </si>
  <si>
    <t>Jeonjuvirus BSP38</t>
  </si>
  <si>
    <t>Matervirus mater</t>
  </si>
  <si>
    <t>Moonbeamvirus moonbeam</t>
  </si>
  <si>
    <t>Nitunavirus grass</t>
  </si>
  <si>
    <t>Nitunavirus NIT1</t>
  </si>
  <si>
    <t>Nitunavirus SPG24</t>
  </si>
  <si>
    <t>Shalavirus Shbh1</t>
  </si>
  <si>
    <t>Siophivirus SIOphi</t>
  </si>
  <si>
    <t>Tsarbombavirus BCP78</t>
  </si>
  <si>
    <t>Tsarbombavirus tsarbomba</t>
  </si>
  <si>
    <t>Wphvirus BPS13</t>
  </si>
  <si>
    <t>Wphvirus BPS10C</t>
  </si>
  <si>
    <t>Wphvirus hakuna</t>
  </si>
  <si>
    <t>Wphvirus megatron</t>
  </si>
  <si>
    <t>Wphvirus WPh</t>
  </si>
  <si>
    <t>Kochikohdavirus ECP3</t>
  </si>
  <si>
    <t>Kochikohdavirus EF24C</t>
  </si>
  <si>
    <t>Kochikohdavirus EFLK1</t>
  </si>
  <si>
    <t>Schiekvirus EFDG1</t>
  </si>
  <si>
    <t>Schiekvirus EFP01</t>
  </si>
  <si>
    <t>Schiekvirus EfV12</t>
  </si>
  <si>
    <t>Pecentumvirus A511</t>
  </si>
  <si>
    <t>Pecentumvirus AG20</t>
  </si>
  <si>
    <t>Pecentumvirus list36</t>
  </si>
  <si>
    <t>Pecentumvirus LMSP25</t>
  </si>
  <si>
    <t>Pecentumvirus LMTA34</t>
  </si>
  <si>
    <t>Pecentumvirus LMTA148</t>
  </si>
  <si>
    <t>Pecentumvirus LP048</t>
  </si>
  <si>
    <t>Pecentumvirus LP064</t>
  </si>
  <si>
    <t>Pecentumvirus LP0832</t>
  </si>
  <si>
    <t>Pecentumvirus P100</t>
  </si>
  <si>
    <t>Pecentumvirus WIL1</t>
  </si>
  <si>
    <t>Okubovirus camphawk</t>
  </si>
  <si>
    <t>Okubovirus SPO1</t>
  </si>
  <si>
    <t>Siminovitchvirus CP51</t>
  </si>
  <si>
    <t>Siminovitchvirus JL</t>
  </si>
  <si>
    <t>Siminovitchvirus shanette</t>
  </si>
  <si>
    <t>Baoshanvirus BS1</t>
  </si>
  <si>
    <t>Baoshanvirus BS2</t>
  </si>
  <si>
    <t>Kayvirus G1</t>
  </si>
  <si>
    <t>Kayvirus G15</t>
  </si>
  <si>
    <t>Kayvirus JD7</t>
  </si>
  <si>
    <t>Kayvirus kay</t>
  </si>
  <si>
    <t>Kayvirus MCE2014</t>
  </si>
  <si>
    <t>Kayvirus P108</t>
  </si>
  <si>
    <t>Kayvirus rodi</t>
  </si>
  <si>
    <t>Kayvirus S253</t>
  </si>
  <si>
    <t>Kayvirus S254</t>
  </si>
  <si>
    <t>Kayvirus SA12</t>
  </si>
  <si>
    <t>Kayvirus Sb1</t>
  </si>
  <si>
    <t>Sciuriunavirus SscM1</t>
  </si>
  <si>
    <t>Sepunavirus IPLAC1C</t>
  </si>
  <si>
    <t>Sepunavirus SEP1</t>
  </si>
  <si>
    <t>Silviavirus remus</t>
  </si>
  <si>
    <t>Silviavirus SA11</t>
  </si>
  <si>
    <t>Silviavirus stau2</t>
  </si>
  <si>
    <t>Twortvirus twort</t>
  </si>
  <si>
    <t>Elpedvirus LpeD</t>
  </si>
  <si>
    <t>Harbinvirus bacchae</t>
  </si>
  <si>
    <t>Harbinvirus bromius</t>
  </si>
  <si>
    <t>Harbinvirus iacchus</t>
  </si>
  <si>
    <t>Harbinvirus Lpa804</t>
  </si>
  <si>
    <t>Harbinvirus semele</t>
  </si>
  <si>
    <t>Hopescreekvirus LfeInf</t>
  </si>
  <si>
    <t>Klumppvirus</t>
  </si>
  <si>
    <t>Klumppvirus A9</t>
  </si>
  <si>
    <t>Mooreparkvirus Lb3381</t>
  </si>
  <si>
    <t>Salchichonvirus LP65</t>
  </si>
  <si>
    <t>Tybeckvirus SAC12B</t>
  </si>
  <si>
    <t>Tybeckvirus tv521B</t>
  </si>
  <si>
    <t>Watanabevirus wv3521</t>
  </si>
  <si>
    <t>Kyanoviridae</t>
  </si>
  <si>
    <t>Acionnavirus monteraybay</t>
  </si>
  <si>
    <t>Ahtivirus sagseatwo</t>
  </si>
  <si>
    <t>Alisovirus</t>
  </si>
  <si>
    <t>Alisovirus socal22</t>
  </si>
  <si>
    <t>Anaposvirus socalone</t>
  </si>
  <si>
    <t>Atlauavirus acg2014f</t>
  </si>
  <si>
    <t>Atlauavirus caeruleum</t>
  </si>
  <si>
    <t>Atlauavirus tusconc8</t>
  </si>
  <si>
    <t>Bellamyvirus bellamy</t>
  </si>
  <si>
    <t>Bristolvirus</t>
  </si>
  <si>
    <t>Bristolvirus rhodeisland</t>
  </si>
  <si>
    <t>Brizovirus rhodeisland01</t>
  </si>
  <si>
    <t>Brizovirus rhodeisland06</t>
  </si>
  <si>
    <t>Brizovirus syn33</t>
  </si>
  <si>
    <t>Chalconvirus</t>
  </si>
  <si>
    <t>Chalconvirus acg2014e</t>
  </si>
  <si>
    <t>Chalconvirus acg2014i</t>
  </si>
  <si>
    <t>Charybdisvirus scam3</t>
  </si>
  <si>
    <t>Cymopoleiavirus swam2</t>
  </si>
  <si>
    <t>Emcearvirus</t>
  </si>
  <si>
    <t>Emcearvirus gerard</t>
  </si>
  <si>
    <t>Galenevirus</t>
  </si>
  <si>
    <t>Galenevirus mbcm1</t>
  </si>
  <si>
    <t>Gibbetvirus</t>
  </si>
  <si>
    <t>Gibbetvirus rsm4</t>
  </si>
  <si>
    <t>Greenvirus</t>
  </si>
  <si>
    <t>Greenvirus ssm4</t>
  </si>
  <si>
    <t>Haifavirus</t>
  </si>
  <si>
    <t>Haifavirus tim68</t>
  </si>
  <si>
    <t>Kanaloavirus scam9</t>
  </si>
  <si>
    <t>Leucotheavirus sp4</t>
  </si>
  <si>
    <t>Leucotheavirus syn30</t>
  </si>
  <si>
    <t>Libanvirus ptim40</t>
  </si>
  <si>
    <t>Lipsvirus</t>
  </si>
  <si>
    <t>Lipsvirus ssm7</t>
  </si>
  <si>
    <t>Lowelvirus</t>
  </si>
  <si>
    <t>Lowelvirus tuscon4d</t>
  </si>
  <si>
    <t>Macariavirus</t>
  </si>
  <si>
    <t>Macariavirus tuscon14g</t>
  </si>
  <si>
    <t>Makelovirus</t>
  </si>
  <si>
    <t>Makelovirus prm1</t>
  </si>
  <si>
    <t>Mazuvirus scam7</t>
  </si>
  <si>
    <t>Namakavirus smbcm6</t>
  </si>
  <si>
    <t>Neptunevirus srim18</t>
  </si>
  <si>
    <t>Neptunevirus srim50</t>
  </si>
  <si>
    <t>Nereusvirus tusconc4</t>
  </si>
  <si>
    <t>Nereusvirus tusconc61</t>
  </si>
  <si>
    <t>Neritesvirus</t>
  </si>
  <si>
    <t>Neritesvirus scam8</t>
  </si>
  <si>
    <t>Nerrivikvirus srim2</t>
  </si>
  <si>
    <t>Nilusvirus</t>
  </si>
  <si>
    <t>Nilusvirus ssm2</t>
  </si>
  <si>
    <t>Nodensvirus spm2</t>
  </si>
  <si>
    <t>Ormenosvirus</t>
  </si>
  <si>
    <t>Ormenosvirus syn9</t>
  </si>
  <si>
    <t>Palaemonvirus pssm7</t>
  </si>
  <si>
    <t>Pontusvirus syn19</t>
  </si>
  <si>
    <t>Potamoivirus</t>
  </si>
  <si>
    <t>Potamoivirus cam4</t>
  </si>
  <si>
    <t>Potamoivirus tusconj</t>
  </si>
  <si>
    <t>Ronodorvirus pssm3</t>
  </si>
  <si>
    <t>Ronodorvirus ssm4</t>
  </si>
  <si>
    <t>Salacisavirus pssm2</t>
  </si>
  <si>
    <t>Sedonavirus</t>
  </si>
  <si>
    <t>Sedonavirus tusconh</t>
  </si>
  <si>
    <t>Shandvirus</t>
  </si>
  <si>
    <t>Shandvirus sb64</t>
  </si>
  <si>
    <t>Shandvirus sh35</t>
  </si>
  <si>
    <t>Sokavirus</t>
  </si>
  <si>
    <t>Sokavirus swam1</t>
  </si>
  <si>
    <t>Tefnutvirus siom18</t>
  </si>
  <si>
    <t>Thaumasvirus stim4</t>
  </si>
  <si>
    <t>Thetisvirus ssm1</t>
  </si>
  <si>
    <t>Vellamovirus rhodeisland44</t>
  </si>
  <si>
    <t>Vellamovirus syn1</t>
  </si>
  <si>
    <t>Madisaviridae</t>
  </si>
  <si>
    <t>Clampvirus</t>
  </si>
  <si>
    <t>Clampvirus HHTV1</t>
  </si>
  <si>
    <t>Mesyanzhinovviridae</t>
  </si>
  <si>
    <t>Bradleyvirinae</t>
  </si>
  <si>
    <t>Abidjanvirus ZC01</t>
  </si>
  <si>
    <t>Bosavirus</t>
  </si>
  <si>
    <t>Bosavirus bosa</t>
  </si>
  <si>
    <t>Epaquintavirus</t>
  </si>
  <si>
    <t>Epaquintavirus Epa5</t>
  </si>
  <si>
    <t>Xooduovirus</t>
  </si>
  <si>
    <t>Xooduovirus Xoosp2</t>
  </si>
  <si>
    <t>Rabinowitzvirinae</t>
  </si>
  <si>
    <t>Keylargovirus</t>
  </si>
  <si>
    <t>Keylargovirus JL001</t>
  </si>
  <si>
    <t>Molycolviridae</t>
  </si>
  <si>
    <t>Mollyvirus</t>
  </si>
  <si>
    <t>Mollyvirus colly</t>
  </si>
  <si>
    <t>Mollyvirus molly</t>
  </si>
  <si>
    <t>Naomviridae</t>
  </si>
  <si>
    <t>Noahvirus</t>
  </si>
  <si>
    <t>Noahvirus arc</t>
  </si>
  <si>
    <t>Orlajensenviridae</t>
  </si>
  <si>
    <t>Pelczarvirinae</t>
  </si>
  <si>
    <t>Bonaevitaevirus</t>
  </si>
  <si>
    <t>Bonaevitae bonaevitae</t>
  </si>
  <si>
    <t>Efekovirus</t>
  </si>
  <si>
    <t>Efkovirus efeko</t>
  </si>
  <si>
    <t>Paopuvirus</t>
  </si>
  <si>
    <t>Paopuvirus azizam</t>
  </si>
  <si>
    <t>Paopuvirus bri160</t>
  </si>
  <si>
    <t>Paopuvirus kaijohn</t>
  </si>
  <si>
    <t>Paopuvirus nobel</t>
  </si>
  <si>
    <t>Paopuvirus noelani</t>
  </si>
  <si>
    <t>Paopuvirus paopu</t>
  </si>
  <si>
    <t>Paopuvirus poranda</t>
  </si>
  <si>
    <t>Paopuvirus quaker</t>
  </si>
  <si>
    <t>Paopuvirus Scamander</t>
  </si>
  <si>
    <t>Pachyviridae</t>
  </si>
  <si>
    <t>Bacelvirus</t>
  </si>
  <si>
    <t>Bacelvirus phi46tres</t>
  </si>
  <si>
    <t>Baltivirus</t>
  </si>
  <si>
    <t>Baltivirus phi13duo</t>
  </si>
  <si>
    <t>Baltivirus phi18tres</t>
  </si>
  <si>
    <t>Baltivirus phi19tres</t>
  </si>
  <si>
    <t>Gundelvirus</t>
  </si>
  <si>
    <t>Gundelvirus Gundel</t>
  </si>
  <si>
    <t>Peduoviridae</t>
  </si>
  <si>
    <t>Aptresvirus</t>
  </si>
  <si>
    <t>Aptresvirus AP3</t>
  </si>
  <si>
    <t>Aptresvirus mana</t>
  </si>
  <si>
    <t>Aresaunavirus RSA1</t>
  </si>
  <si>
    <t>Aresaunavirus RsoM1USA</t>
  </si>
  <si>
    <t>Arsyunavirus</t>
  </si>
  <si>
    <t>Arsyunavirus RSY1</t>
  </si>
  <si>
    <t>Baylorvirus bv1127AP1</t>
  </si>
  <si>
    <t>Baylorvirus PHL101</t>
  </si>
  <si>
    <t>Bielevirus phiO18P</t>
  </si>
  <si>
    <t>Bracchivirus</t>
  </si>
  <si>
    <t>Bracchivirus U2F1</t>
  </si>
  <si>
    <t>Canoevirus canoe</t>
  </si>
  <si>
    <t>Catalunyavirus C5a</t>
  </si>
  <si>
    <t>Citexvirus BR319A</t>
  </si>
  <si>
    <t>Citexvirus dobby</t>
  </si>
  <si>
    <t>Citexvirus phiCTX</t>
  </si>
  <si>
    <t>Citexvirus PS75V</t>
  </si>
  <si>
    <t>Dagavirus</t>
  </si>
  <si>
    <t>Dagavirus ST13OXA48phi121</t>
  </si>
  <si>
    <t>Duodecimduovirus</t>
  </si>
  <si>
    <t>Duodecimduovirus phiE122</t>
  </si>
  <si>
    <t>Eganvirus EtG</t>
  </si>
  <si>
    <t>Eganvirus ev186</t>
  </si>
  <si>
    <t>Eganvirus PsP3</t>
  </si>
  <si>
    <t>Eganvirus SEN1</t>
  </si>
  <si>
    <t>Eganvirus SW9</t>
  </si>
  <si>
    <t>Elveevirus</t>
  </si>
  <si>
    <t>Elveevirus 4LV2017</t>
  </si>
  <si>
    <t>Entnonagintavirus ENT90</t>
  </si>
  <si>
    <t>Evevirus</t>
  </si>
  <si>
    <t>Evevirus ev239</t>
  </si>
  <si>
    <t>Felsduovirus Fels2</t>
  </si>
  <si>
    <t>Felsduovirus IN60</t>
  </si>
  <si>
    <t>Felsduovirus RE2010</t>
  </si>
  <si>
    <t>Felsduovirus SEN8</t>
  </si>
  <si>
    <t>Felsduovirus SopEphi</t>
  </si>
  <si>
    <t>Felsduovirus ST437OXA245phi42</t>
  </si>
  <si>
    <t>Finvirus</t>
  </si>
  <si>
    <t>Finvirus FIN13</t>
  </si>
  <si>
    <t>Gegavirus</t>
  </si>
  <si>
    <t>Gegavirus ST15OXA48phi141</t>
  </si>
  <si>
    <t>Gegevirus</t>
  </si>
  <si>
    <t>Gegevirus ST437OXA245phi41</t>
  </si>
  <si>
    <t>Gemsvirus</t>
  </si>
  <si>
    <t>Gemsvirus gv5004652</t>
  </si>
  <si>
    <t>Hpunavirus HP1</t>
  </si>
  <si>
    <t>Hpunavirus HP2</t>
  </si>
  <si>
    <t>Irrigatiovirus SI7</t>
  </si>
  <si>
    <t>Irtavirus F108</t>
  </si>
  <si>
    <t>Kapieceevirus</t>
  </si>
  <si>
    <t>Kapieceevirus ST512KPC3phi132</t>
  </si>
  <si>
    <t>Kayeltresvirus</t>
  </si>
  <si>
    <t>Kayeltresvirus KL3</t>
  </si>
  <si>
    <t>Kisquattuordecimvirus FLC5</t>
  </si>
  <si>
    <t>Kisquattuordecimvirus KS14</t>
  </si>
  <si>
    <t>Kisquinquevirus KS5</t>
  </si>
  <si>
    <t>Longwoodvirus K139</t>
  </si>
  <si>
    <t>Maltschvirus</t>
  </si>
  <si>
    <t>Maltschvirus maltsch</t>
  </si>
  <si>
    <t>Mersinvirus</t>
  </si>
  <si>
    <t>Mersinvirus YA0848V</t>
  </si>
  <si>
    <t>Nampongvirus ST79</t>
  </si>
  <si>
    <t>Novemvirus T5282H</t>
  </si>
  <si>
    <t>Peduovirus fiAA91ss</t>
  </si>
  <si>
    <t>Peduovirus L413C</t>
  </si>
  <si>
    <t>Peduovirus magyaro</t>
  </si>
  <si>
    <t>Peduovirus P2</t>
  </si>
  <si>
    <t>Peduovirus P22H1</t>
  </si>
  <si>
    <t>Peduovirus P22H4</t>
  </si>
  <si>
    <t>Peduovirus P24A7b</t>
  </si>
  <si>
    <t>Peduovirus P24B2</t>
  </si>
  <si>
    <t>Peduovirus P24C9</t>
  </si>
  <si>
    <t>Peduovirus P24E6b</t>
  </si>
  <si>
    <t>Peduovirus pro147</t>
  </si>
  <si>
    <t>Peduovirus pro483</t>
  </si>
  <si>
    <t>Peduovirus pv12474III</t>
  </si>
  <si>
    <t>Peduovirus R18C</t>
  </si>
  <si>
    <t>Peduovirus STYP1</t>
  </si>
  <si>
    <t>Peduovirus Wphi</t>
  </si>
  <si>
    <t>Peduovirus YPM22</t>
  </si>
  <si>
    <t>Peduovirus YPM46</t>
  </si>
  <si>
    <t>Peduovirus YPM50</t>
  </si>
  <si>
    <t>Phitrevirus phi3</t>
  </si>
  <si>
    <t>Playavirus SMHB1</t>
  </si>
  <si>
    <t>Plazymidvirus</t>
  </si>
  <si>
    <t>Plazymidvirus ZM36</t>
  </si>
  <si>
    <t>Plazymidvirus ZM41</t>
  </si>
  <si>
    <t>Plazymidvirus ZM401</t>
  </si>
  <si>
    <t>Quadragintavirus</t>
  </si>
  <si>
    <t>Quadragintavirus ev015</t>
  </si>
  <si>
    <t>Quadragintavirus ev040</t>
  </si>
  <si>
    <t>Quadragintavirus ev129</t>
  </si>
  <si>
    <t>Reginaelenavirus rv3LV2017</t>
  </si>
  <si>
    <t>Reipivirus ST16OXA48phi54</t>
  </si>
  <si>
    <t>Sanguivirus</t>
  </si>
  <si>
    <t>Sanguivirus H5569V</t>
  </si>
  <si>
    <t>Senquatrovirus SEN4</t>
  </si>
  <si>
    <t>Seongnamvirus ESSI2</t>
  </si>
  <si>
    <t>Simpcentumvirus Smp131</t>
  </si>
  <si>
    <t>Stockinghallvirus FSLSP004</t>
  </si>
  <si>
    <t>Tigrvirus E202</t>
  </si>
  <si>
    <t>Tigrvirus phi52237</t>
  </si>
  <si>
    <t>Tigrvirus phiE094</t>
  </si>
  <si>
    <t>Valbvirus</t>
  </si>
  <si>
    <t>Valbvirus ValB1MD2</t>
  </si>
  <si>
    <t>Vimunumvirus ST147VIM1phi71</t>
  </si>
  <si>
    <t>Vulnificusvirus PV94</t>
  </si>
  <si>
    <t>Wadgaonvirus</t>
  </si>
  <si>
    <t>Wadgaonvirus V13P477T2</t>
  </si>
  <si>
    <t>Wadgaonvirus wv5004651</t>
  </si>
  <si>
    <t>Xuanwuvirus P88</t>
  </si>
  <si>
    <t>Xuanwuvirus P884B11</t>
  </si>
  <si>
    <t>Xuanwuvirus xv503458</t>
  </si>
  <si>
    <t>Xuanwuvirus xv520873</t>
  </si>
  <si>
    <t>Yongunavirus yong1</t>
  </si>
  <si>
    <t>Yulgyerivirus</t>
  </si>
  <si>
    <t>Yulgyerivirus E16KP0115V</t>
  </si>
  <si>
    <t>Pervagoviridae</t>
  </si>
  <si>
    <t>Callevirus</t>
  </si>
  <si>
    <t>Callevirus Calle</t>
  </si>
  <si>
    <t>Callevirus phi38una</t>
  </si>
  <si>
    <t>Andhravirus andhra</t>
  </si>
  <si>
    <t>Andhravirus St134</t>
  </si>
  <si>
    <t>Rosenblumvirus AGO13</t>
  </si>
  <si>
    <t>Rosenblumvirus BP39</t>
  </si>
  <si>
    <t>Rosenblumvirus CSA13</t>
  </si>
  <si>
    <t>Rosenblumvirus EBHT</t>
  </si>
  <si>
    <t>Rosenblumvirus GRCS</t>
  </si>
  <si>
    <t>Rosenblumvirus LSA2366</t>
  </si>
  <si>
    <t>Rosenblumvirus pabna</t>
  </si>
  <si>
    <t>Rosenblumvirus portland</t>
  </si>
  <si>
    <t>Rosenblumvirus PSa3</t>
  </si>
  <si>
    <t>Rosenblumvirus rv66</t>
  </si>
  <si>
    <t>Rosenblumvirus rv44AHJD</t>
  </si>
  <si>
    <t>Rosenblumvirus S241</t>
  </si>
  <si>
    <t>Rosenblumvirus SA46CL1</t>
  </si>
  <si>
    <t>Rosenblumvirus SAP2</t>
  </si>
  <si>
    <t>Rosenblumvirus SCH1</t>
  </si>
  <si>
    <t>Rosenblumvirus SLPW</t>
  </si>
  <si>
    <t>Copernicusvirus AE417</t>
  </si>
  <si>
    <t>Copernicusvirus Ef62</t>
  </si>
  <si>
    <t>Copernicusvirus Ef63</t>
  </si>
  <si>
    <t>Copernicusvirus Ef72</t>
  </si>
  <si>
    <t>Copernicusvirus Ef73</t>
  </si>
  <si>
    <t>Copernicusvirus Ef74</t>
  </si>
  <si>
    <t>Copernicusvirus Efae230P4</t>
  </si>
  <si>
    <t>Copernicusvirus Efmus1</t>
  </si>
  <si>
    <t>Copernicusvirus Efmus3</t>
  </si>
  <si>
    <t>Copernicusvirus Efmus4</t>
  </si>
  <si>
    <t>Copernicusvirus Idefix</t>
  </si>
  <si>
    <t>Copernicusvirus IME195</t>
  </si>
  <si>
    <t>Minhovirus IME199</t>
  </si>
  <si>
    <t>Minhovirus zip</t>
  </si>
  <si>
    <t>Fischettivirus C1</t>
  </si>
  <si>
    <t>Negarvirus WP2</t>
  </si>
  <si>
    <t>Claudivirus aurora</t>
  </si>
  <si>
    <t>Claudivirus baseballfield</t>
  </si>
  <si>
    <t>Claudivirus claudi</t>
  </si>
  <si>
    <t>Claudivirus Goe4</t>
  </si>
  <si>
    <t>Claudivirus juan</t>
  </si>
  <si>
    <t>Claudivirus konjotrouble</t>
  </si>
  <si>
    <t>Claudivirus QCM11</t>
  </si>
  <si>
    <t>Claudivirus serpounce</t>
  </si>
  <si>
    <t>Claudivirus stitch</t>
  </si>
  <si>
    <t>Claudivirus thornton</t>
  </si>
  <si>
    <t>Hemphillvirus DK1</t>
  </si>
  <si>
    <t>Hemphillvirus DK2</t>
  </si>
  <si>
    <t>Hemphillvirus DK3</t>
  </si>
  <si>
    <t>Klosterneuburgvirus MGB1</t>
  </si>
  <si>
    <t>Beecentumtrevirus B103</t>
  </si>
  <si>
    <t>Beecentumtrevirus Goe1</t>
  </si>
  <si>
    <t>Beecentumtrevirus Nf</t>
  </si>
  <si>
    <t>Salasvirus Goe6</t>
  </si>
  <si>
    <t>Salasvirus Gxv1</t>
  </si>
  <si>
    <t>Salasvirus phi29</t>
  </si>
  <si>
    <t>Salasvirus PZA</t>
  </si>
  <si>
    <t>Gaunavirus GA1</t>
  </si>
  <si>
    <t>Gaunavirus SRT01hs</t>
  </si>
  <si>
    <t>Karezivirus karezi</t>
  </si>
  <si>
    <t>Bundooravirus PumA1</t>
  </si>
  <si>
    <t>Bundooravirus PumA2</t>
  </si>
  <si>
    <t>Bundooravirus whyphy</t>
  </si>
  <si>
    <t>Cepunavirus Cp1</t>
  </si>
  <si>
    <t>Cepunavirus Cp7</t>
  </si>
  <si>
    <t>Harambevirus beachbum</t>
  </si>
  <si>
    <t>Harambevirus harambe</t>
  </si>
  <si>
    <t>Huangshavirus</t>
  </si>
  <si>
    <t>Huangshavirus dlcuna</t>
  </si>
  <si>
    <t>Mingyongvirus VMY22</t>
  </si>
  <si>
    <t>Saparoviridae</t>
  </si>
  <si>
    <t>Halohivirus</t>
  </si>
  <si>
    <t>Halohivirus HHTV2</t>
  </si>
  <si>
    <t>Samsavirus</t>
  </si>
  <si>
    <t>Samsavirus HCTV2</t>
  </si>
  <si>
    <t>Enquatrovirus N4</t>
  </si>
  <si>
    <t>Gamaleyavirus APEC5</t>
  </si>
  <si>
    <t>Gamaleyavirus APEC7</t>
  </si>
  <si>
    <t>Gamaleyavirus Bp4</t>
  </si>
  <si>
    <t>Gamaleyavirus EC1UPM</t>
  </si>
  <si>
    <t>Gamaleyavirus ECBP1</t>
  </si>
  <si>
    <t>Gamaleyavirus G7C</t>
  </si>
  <si>
    <t>Gamaleyavirus IME11</t>
  </si>
  <si>
    <t>Gamaleyavirus Sb1</t>
  </si>
  <si>
    <t>Kaypoctavirus KP8</t>
  </si>
  <si>
    <t>Johnsonvirus Ea92</t>
  </si>
  <si>
    <t>Johnsonvirus frozen</t>
  </si>
  <si>
    <t>Yonginvirus EaP8</t>
  </si>
  <si>
    <t>Matsuvirus pYD6A</t>
  </si>
  <si>
    <t>Stoningtonvirus VBP47</t>
  </si>
  <si>
    <t>Ithacavirus SP058</t>
  </si>
  <si>
    <t>Ithacavirus SP076</t>
  </si>
  <si>
    <t>Pollockvirus pollock</t>
  </si>
  <si>
    <t>Pylasvirus KpCHEMY26</t>
  </si>
  <si>
    <t>Pylasvirus pylas</t>
  </si>
  <si>
    <t>Litunavirus Ab09</t>
  </si>
  <si>
    <t>Litunavirus LIT1</t>
  </si>
  <si>
    <t>Litunavirus PA26</t>
  </si>
  <si>
    <t>Luzseptimavirus KPP21</t>
  </si>
  <si>
    <t>Luzseptimavirus LUZ7</t>
  </si>
  <si>
    <t>Dorisvirus 49B3</t>
  </si>
  <si>
    <t>Galateavirus PVA5</t>
  </si>
  <si>
    <t>Nahantvirus 49C7</t>
  </si>
  <si>
    <t>Aoqinvirus RD1410W101</t>
  </si>
  <si>
    <t>Aorunvirus EE36phi1</t>
  </si>
  <si>
    <t>Aorunvirus V12</t>
  </si>
  <si>
    <t>Baltimorevirus DFL12</t>
  </si>
  <si>
    <t>Plymouthvirus RPP1</t>
  </si>
  <si>
    <t>Pomeroyivirus V13</t>
  </si>
  <si>
    <t>Raunefjordenvirus CB2047B</t>
  </si>
  <si>
    <t>Sanyabayvirus DS1410Ws06</t>
  </si>
  <si>
    <t>Dongdastvirus Axp3</t>
  </si>
  <si>
    <t>Dongdastvirus Axy04</t>
  </si>
  <si>
    <t>Dongdastvirus Axy12</t>
  </si>
  <si>
    <t>Dongdastvirus Axy24</t>
  </si>
  <si>
    <t>Inbricusvirus inbricus</t>
  </si>
  <si>
    <t>Jwalphavirus jwalpha</t>
  </si>
  <si>
    <t>Pourcelvirus Axy10</t>
  </si>
  <si>
    <t>Pourcelvirus Axy11</t>
  </si>
  <si>
    <t>Cbunavirus A41</t>
  </si>
  <si>
    <t>Cbunavirus CB1</t>
  </si>
  <si>
    <t>Cbunavirus CB4</t>
  </si>
  <si>
    <t>Cbunavirus nepra</t>
  </si>
  <si>
    <t>Dendoorenvirus RG2014</t>
  </si>
  <si>
    <t>Eceepunavirus EcP1</t>
  </si>
  <si>
    <t>Efbeekayvirus</t>
  </si>
  <si>
    <t>Efbeekayvirus Fbkp27</t>
  </si>
  <si>
    <t>Efbeekayvirus P184</t>
  </si>
  <si>
    <t>Electravirus</t>
  </si>
  <si>
    <t>Electravirus Sbp1</t>
  </si>
  <si>
    <t>Exceevirus</t>
  </si>
  <si>
    <t>Exceevirus Xc38</t>
  </si>
  <si>
    <t>Huelvavirus ort11</t>
  </si>
  <si>
    <t>Littlefixvirus littlefix</t>
  </si>
  <si>
    <t>Mukerjeevirus mv48B1</t>
  </si>
  <si>
    <t>Mukerjeevirus mv51A6</t>
  </si>
  <si>
    <t>Mukerjeevirus mv51A7</t>
  </si>
  <si>
    <t>Mukerjeevirus mv52B1</t>
  </si>
  <si>
    <t>Oliverunavirus</t>
  </si>
  <si>
    <t>Oliverunavirus OLIVR1</t>
  </si>
  <si>
    <t>Pacinivirus phi1</t>
  </si>
  <si>
    <t>Pacinivirus VCO139</t>
  </si>
  <si>
    <t>Penintadodekavirus</t>
  </si>
  <si>
    <t>Penintadodekavirus 5012</t>
  </si>
  <si>
    <t>Pokkenvirus pokken</t>
  </si>
  <si>
    <t>Presleyvirus presley</t>
  </si>
  <si>
    <t>Riverridervirus riverrider</t>
  </si>
  <si>
    <t>Shizishanvirus phCDa</t>
  </si>
  <si>
    <t>Triduovirus</t>
  </si>
  <si>
    <t>Triduovirus Tr2</t>
  </si>
  <si>
    <t>Vicoquintavirus</t>
  </si>
  <si>
    <t>Vicoquintavirus Pvco5</t>
  </si>
  <si>
    <t>Waedenswilvirus S6</t>
  </si>
  <si>
    <t>Zicotriavirus ZC03</t>
  </si>
  <si>
    <t>Zicotriavirus ZC08</t>
  </si>
  <si>
    <t>Zurivirus zuri</t>
  </si>
  <si>
    <t>Straboviridae</t>
  </si>
  <si>
    <t>Ceceduovirus assw</t>
  </si>
  <si>
    <t>Ceceduovirus aszj</t>
  </si>
  <si>
    <t>Ceceduovirus cc2</t>
  </si>
  <si>
    <t>Ishigurovirus osborne</t>
  </si>
  <si>
    <t>Dhakavirus anyang</t>
  </si>
  <si>
    <t>Dhakavirus bp7</t>
  </si>
  <si>
    <t>Dhakavirus ecom005</t>
  </si>
  <si>
    <t>Dhakavirus ime08</t>
  </si>
  <si>
    <t>Dhakavirus ime281</t>
  </si>
  <si>
    <t>Dhakavirus ime348</t>
  </si>
  <si>
    <t>Dhakavirus JS10</t>
  </si>
  <si>
    <t>Dhakavirus JS98</t>
  </si>
  <si>
    <t>Dhakavirus mx01</t>
  </si>
  <si>
    <t>Dhakavirus ql01</t>
  </si>
  <si>
    <t>Dhakavirus vr5</t>
  </si>
  <si>
    <t>Dhakavirus wg01</t>
  </si>
  <si>
    <t>Gaprivervirus sp18</t>
  </si>
  <si>
    <t>Gaprivervirus vr7</t>
  </si>
  <si>
    <t>Gaprivervirus vr20</t>
  </si>
  <si>
    <t>Gaprivervirus vr25</t>
  </si>
  <si>
    <t>Gaprivervirus vr26</t>
  </si>
  <si>
    <t>Gelderlandvirus cgg41</t>
  </si>
  <si>
    <t>Gelderlandvirus melville</t>
  </si>
  <si>
    <t>Gelderlandvirus s16</t>
  </si>
  <si>
    <t>Gelderlandvirus stml198</t>
  </si>
  <si>
    <t>Gelderlandvirus stp4a</t>
  </si>
  <si>
    <t>Jiaodavirus jd18</t>
  </si>
  <si>
    <t>Jiaodavirus kp179</t>
  </si>
  <si>
    <t>Jiaodavirus kppv15</t>
  </si>
  <si>
    <t>Jiaodavirus kpv477</t>
  </si>
  <si>
    <t>Jiaodavirus mineola</t>
  </si>
  <si>
    <t>Jiaodavirus pko111</t>
  </si>
  <si>
    <t>Kagamiyamavirus</t>
  </si>
  <si>
    <t>Kagamiyamavirus ecs1</t>
  </si>
  <si>
    <t>Kanagawavirus cipnine</t>
  </si>
  <si>
    <t>Kanagawavirus pei20</t>
  </si>
  <si>
    <t>Karamvirus cc31</t>
  </si>
  <si>
    <t>Karamvirus mypsh1140</t>
  </si>
  <si>
    <t>Karamvirus petcm34</t>
  </si>
  <si>
    <t>Karamvirus pg7</t>
  </si>
  <si>
    <t>Moonvirus cf1</t>
  </si>
  <si>
    <t>Moonvirus merlin</t>
  </si>
  <si>
    <t>Moonvirus moon</t>
  </si>
  <si>
    <t>Mosigvirus 0157tp3</t>
  </si>
  <si>
    <t>Mosigvirus 25307</t>
  </si>
  <si>
    <t>Mosigvirus atk47</t>
  </si>
  <si>
    <t>Mosigvirus c120</t>
  </si>
  <si>
    <t>Mosigvirus hp3</t>
  </si>
  <si>
    <t>Mosigvirus HX01</t>
  </si>
  <si>
    <t>Mosigvirus JS09</t>
  </si>
  <si>
    <t>Mosigvirus mar005p1</t>
  </si>
  <si>
    <t>Mosigvirus p000v</t>
  </si>
  <si>
    <t>Mosigvirus phapec2</t>
  </si>
  <si>
    <t>Mosigvirus RB69</t>
  </si>
  <si>
    <t>Mosigvirus sf</t>
  </si>
  <si>
    <t>Mosigvirus shsm521</t>
  </si>
  <si>
    <t>Mosigvirus utam</t>
  </si>
  <si>
    <t>Mosugukvirus</t>
  </si>
  <si>
    <t>Mosugukvirus pm2</t>
  </si>
  <si>
    <t>Roskildevirus</t>
  </si>
  <si>
    <t>Roskildevirus cronus</t>
  </si>
  <si>
    <t>Tegunavirus fheyen901</t>
  </si>
  <si>
    <t>Tegunavirus r1rt</t>
  </si>
  <si>
    <t>Tegunavirus yenmtg1</t>
  </si>
  <si>
    <t>Tequatrovirus aplgate</t>
  </si>
  <si>
    <t>Tequatrovirus ar1</t>
  </si>
  <si>
    <t>Tequatrovirus c40</t>
  </si>
  <si>
    <t>Tequatrovirus cf2</t>
  </si>
  <si>
    <t>Tequatrovirus cm8</t>
  </si>
  <si>
    <t>Tequatrovirus cromcrrp10</t>
  </si>
  <si>
    <t>Tequatrovirus deeone</t>
  </si>
  <si>
    <t>Tequatrovirus e112</t>
  </si>
  <si>
    <t>Tequatrovirus ec04</t>
  </si>
  <si>
    <t>Tequatrovirus ec121</t>
  </si>
  <si>
    <t>Tequatrovirus ecml134</t>
  </si>
  <si>
    <t>Tequatrovirus ecnp1</t>
  </si>
  <si>
    <t>Tequatrovirus ecombl75</t>
  </si>
  <si>
    <t>Tequatrovirus ecomdalca</t>
  </si>
  <si>
    <t>Tequatrovirus ecomg28</t>
  </si>
  <si>
    <t>Tequatrovirus ecomim339</t>
  </si>
  <si>
    <t>Tequatrovirus ecomime340</t>
  </si>
  <si>
    <t>Tequatrovirus ecomnbg2</t>
  </si>
  <si>
    <t>Tequatrovirus ecomufv133</t>
  </si>
  <si>
    <t>Tequatrovirus effone</t>
  </si>
  <si>
    <t>Tequatrovirus efftwo</t>
  </si>
  <si>
    <t>Tequatrovirus fps2</t>
  </si>
  <si>
    <t>Tequatrovirus fps65</t>
  </si>
  <si>
    <t>Tequatrovirus fps90</t>
  </si>
  <si>
    <t>Tequatrovirus gee50</t>
  </si>
  <si>
    <t>Tequatrovirus gee4498</t>
  </si>
  <si>
    <t>Tequatrovirus gee4507</t>
  </si>
  <si>
    <t>Tequatrovirus gee9062</t>
  </si>
  <si>
    <t>Tequatrovirus geeight</t>
  </si>
  <si>
    <t>Tequatrovirus gizh</t>
  </si>
  <si>
    <t>Tequatrovirus hy01</t>
  </si>
  <si>
    <t>Tequatrovirus hy03</t>
  </si>
  <si>
    <t>Tequatrovirus ime09</t>
  </si>
  <si>
    <t>Tequatrovirus ime537</t>
  </si>
  <si>
    <t>Tequatrovirus jaykay</t>
  </si>
  <si>
    <t>Tequatrovirus kaw</t>
  </si>
  <si>
    <t>Tequatrovirus kha5h</t>
  </si>
  <si>
    <t>Tequatrovirus kit03</t>
  </si>
  <si>
    <t>Tequatrovirus knp5</t>
  </si>
  <si>
    <t>Tequatrovirus lutter</t>
  </si>
  <si>
    <t>Tequatrovirus mlf4</t>
  </si>
  <si>
    <t>Tequatrovirus nbeco</t>
  </si>
  <si>
    <t>Tequatrovirus oe5505</t>
  </si>
  <si>
    <t>Tequatrovirus ozark</t>
  </si>
  <si>
    <t>Tequatrovirus pd112</t>
  </si>
  <si>
    <t>Tequatrovirus pe37</t>
  </si>
  <si>
    <t>Tequatrovirus pp01</t>
  </si>
  <si>
    <t>Tequatrovirus pss1</t>
  </si>
  <si>
    <t>Tequatrovirus pst</t>
  </si>
  <si>
    <t>Tequatrovirus pyps2t</t>
  </si>
  <si>
    <t>Tequatrovirus RB3</t>
  </si>
  <si>
    <t>Tequatrovirus RB14</t>
  </si>
  <si>
    <t>Tequatrovirus RB18</t>
  </si>
  <si>
    <t>Tequatrovirus RB27</t>
  </si>
  <si>
    <t>Tequatrovirus RB32</t>
  </si>
  <si>
    <t>Tequatrovirus RB51</t>
  </si>
  <si>
    <t>Tequatrovirus sf21</t>
  </si>
  <si>
    <t>Tequatrovirus sf22</t>
  </si>
  <si>
    <t>Tequatrovirus sf23</t>
  </si>
  <si>
    <t>Tequatrovirus sf24</t>
  </si>
  <si>
    <t>Tequatrovirus sgallinarium</t>
  </si>
  <si>
    <t>Tequatrovirus sh7</t>
  </si>
  <si>
    <t>Tequatrovirus shfl2</t>
  </si>
  <si>
    <t>Tequatrovirus shfml11</t>
  </si>
  <si>
    <t>Tequatrovirus shfml26</t>
  </si>
  <si>
    <t>Tequatrovirus slur02</t>
  </si>
  <si>
    <t>Tequatrovirus slur03</t>
  </si>
  <si>
    <t>Tequatrovirus slur07</t>
  </si>
  <si>
    <t>Tequatrovirus snuabm</t>
  </si>
  <si>
    <t>Tequatrovirus T2</t>
  </si>
  <si>
    <t>Tequatrovirus T4</t>
  </si>
  <si>
    <t>Tequatrovirus T6</t>
  </si>
  <si>
    <t>Tequatrovirus teqdroes</t>
  </si>
  <si>
    <t>Tequatrovirus teqhad</t>
  </si>
  <si>
    <t>Tequatrovirus teqskov</t>
  </si>
  <si>
    <t>Tequatrovirus ufvareg1</t>
  </si>
  <si>
    <t>Tequatrovirus vtec</t>
  </si>
  <si>
    <t>Tequatrovirus zeen18</t>
  </si>
  <si>
    <t>Tequatrovirus zeezee23</t>
  </si>
  <si>
    <t>Tequatrovirus zeezeesix</t>
  </si>
  <si>
    <t>Tequatrovirus zeezeethirty</t>
  </si>
  <si>
    <t>Winklervirus chi14</t>
  </si>
  <si>
    <t>Winklervirus xtwenty</t>
  </si>
  <si>
    <t>Acajnonavirus acj9</t>
  </si>
  <si>
    <t>Hadassahvirus azbtza1</t>
  </si>
  <si>
    <t>Hadassahvirus pht2</t>
  </si>
  <si>
    <t>Lazarusvirus am101</t>
  </si>
  <si>
    <t>Lazarusvirus apostate</t>
  </si>
  <si>
    <t>Lazarusvirus berthold</t>
  </si>
  <si>
    <t>Lazarusvirus fhyacithree</t>
  </si>
  <si>
    <t>Lazarusvirus karl</t>
  </si>
  <si>
    <t>Lazarusvirus kimel</t>
  </si>
  <si>
    <t>Lazarusvirus kronadin</t>
  </si>
  <si>
    <t>Lazarusvirus lazarus</t>
  </si>
  <si>
    <t>Zedzedvirus zz1</t>
  </si>
  <si>
    <t>Angelvirus</t>
  </si>
  <si>
    <t>Angelvirus px29</t>
  </si>
  <si>
    <t>Biquartavirus 44RR2</t>
  </si>
  <si>
    <t>Bragavirus</t>
  </si>
  <si>
    <t>Bragavirus p43</t>
  </si>
  <si>
    <t>Bragavirus pm2</t>
  </si>
  <si>
    <t>Bragavirus pm5461</t>
  </si>
  <si>
    <t>Carettavirus</t>
  </si>
  <si>
    <t>Carettavirus e142</t>
  </si>
  <si>
    <t>Chrysonvirus</t>
  </si>
  <si>
    <t>Chrysonvirus as5</t>
  </si>
  <si>
    <t>Cinqassovirus</t>
  </si>
  <si>
    <t>Cinqassovirus aeh1</t>
  </si>
  <si>
    <t>Cinqassovirus ah1</t>
  </si>
  <si>
    <t>Gualtarvirus</t>
  </si>
  <si>
    <t>Gualtarvirus mp1</t>
  </si>
  <si>
    <t>Jiangsuvirus</t>
  </si>
  <si>
    <t>Jiangsuvirus pspyzu05</t>
  </si>
  <si>
    <t>Krischvirus ecd7</t>
  </si>
  <si>
    <t>Krischvirus gec3s</t>
  </si>
  <si>
    <t>Krischvirus georgiaone</t>
  </si>
  <si>
    <t>Krischvirus jse</t>
  </si>
  <si>
    <t>Krischvirus kfsec</t>
  </si>
  <si>
    <t>Krischvirus RB49</t>
  </si>
  <si>
    <t>Mylasvirus</t>
  </si>
  <si>
    <t>Mylasvirus persius</t>
  </si>
  <si>
    <t>Pseudotevenvirus gap161</t>
  </si>
  <si>
    <t>Pseudotevenvirus imecf2</t>
  </si>
  <si>
    <t>Pseudotevenvirus leb</t>
  </si>
  <si>
    <t>Pseudotevenvirus lee</t>
  </si>
  <si>
    <t>Pseudotevenvirus lw1</t>
  </si>
  <si>
    <t>Pseudotevenvirus margaery</t>
  </si>
  <si>
    <t>Pseudotevenvirus miller</t>
  </si>
  <si>
    <t>Pseudotevenvirus RB16</t>
  </si>
  <si>
    <t>Pseudotevenvirus RB43</t>
  </si>
  <si>
    <t>Schizotequatrovirus KVP40</t>
  </si>
  <si>
    <t>Schizotequatrovirus valkk3</t>
  </si>
  <si>
    <t>Schizotequatrovirus vh7d</t>
  </si>
  <si>
    <t>Slopekvirus eap3</t>
  </si>
  <si>
    <t>Slopekvirus kp15</t>
  </si>
  <si>
    <t>Slopekvirus kp27</t>
  </si>
  <si>
    <t>Slopekvirus matisse</t>
  </si>
  <si>
    <t>Slopekvirus pht4A</t>
  </si>
  <si>
    <t>Tuaanevirus ime13</t>
  </si>
  <si>
    <t>Tulanevirus 50ahydr13pp</t>
  </si>
  <si>
    <t>Tulanevirus 60ahydrpp</t>
  </si>
  <si>
    <t>Tulanevirus aes12</t>
  </si>
  <si>
    <t>Tulanevirus aes508</t>
  </si>
  <si>
    <t>Tulanevirus as4</t>
  </si>
  <si>
    <t>Tulanevirus asgz</t>
  </si>
  <si>
    <t>Tulanevirus bteighttwo</t>
  </si>
  <si>
    <t>Suolaviridae</t>
  </si>
  <si>
    <t>Pormufvirus</t>
  </si>
  <si>
    <t>Pormufvirus HRTV28</t>
  </si>
  <si>
    <t>Vertoviridae</t>
  </si>
  <si>
    <t>Chaovirus</t>
  </si>
  <si>
    <t>Chaovirus ChaoS9</t>
  </si>
  <si>
    <t>Myohalovirus phiCh1</t>
  </si>
  <si>
    <t>Myohalovirus phiH</t>
  </si>
  <si>
    <t>Vilmaviridae</t>
  </si>
  <si>
    <t>Lclasvirinae</t>
  </si>
  <si>
    <t>Bromdenvirus</t>
  </si>
  <si>
    <t>Bromdenvirus bromden</t>
  </si>
  <si>
    <t>Bromdenvirus dyoedafos</t>
  </si>
  <si>
    <t>Bronvirus cicholasnage</t>
  </si>
  <si>
    <t>Bronvirus dirkdirk</t>
  </si>
  <si>
    <t>Bronvirus ohshaghennessy</t>
  </si>
  <si>
    <t>Bronvirus silverleaf</t>
  </si>
  <si>
    <t>Faithunavirus</t>
  </si>
  <si>
    <t>Faithunavirus archie</t>
  </si>
  <si>
    <t>Faithunavirus CELFI</t>
  </si>
  <si>
    <t>Faithunavirus faith1</t>
  </si>
  <si>
    <t>Faithunavirus finemlucis</t>
  </si>
  <si>
    <t>Faithunavirus guuelaD</t>
  </si>
  <si>
    <t>Faithunavirus rumpelstiltskin</t>
  </si>
  <si>
    <t>Faithunavirus tourach</t>
  </si>
  <si>
    <t>Lumosvirus</t>
  </si>
  <si>
    <t>Lumosvirus krypton555</t>
  </si>
  <si>
    <t>Lumosvirus lolly9</t>
  </si>
  <si>
    <t>Lumosvirus lumos</t>
  </si>
  <si>
    <t>Lumosvirus whirlwind</t>
  </si>
  <si>
    <t>Bongovirus bongo</t>
  </si>
  <si>
    <t>Bongovirus reindeer</t>
  </si>
  <si>
    <t>Reyvirus aziz</t>
  </si>
  <si>
    <t>Reyvirus estes</t>
  </si>
  <si>
    <t>Reyvirus mrmagoo</t>
  </si>
  <si>
    <t>Reyvirus rey</t>
  </si>
  <si>
    <t>Kumaovirus</t>
  </si>
  <si>
    <t>Kumaovirus kumao</t>
  </si>
  <si>
    <t>Winoviridae</t>
  </si>
  <si>
    <t>Peternellavirus</t>
  </si>
  <si>
    <t>Peternellavirus peternella</t>
  </si>
  <si>
    <t>Pippivirus lotta</t>
  </si>
  <si>
    <t>Pippivirus pippi</t>
  </si>
  <si>
    <t>Zierdtviridae</t>
  </si>
  <si>
    <t>Emilbogenvirinae</t>
  </si>
  <si>
    <t>Foxborovirus</t>
  </si>
  <si>
    <t>Foxborovirus emianna</t>
  </si>
  <si>
    <t>Foxborovirus foxboro</t>
  </si>
  <si>
    <t>Foxborovirus GTE8</t>
  </si>
  <si>
    <t>Foxborovirus kidneybean</t>
  </si>
  <si>
    <t>Foxborovirus NatB6</t>
  </si>
  <si>
    <t>Gruunavirus</t>
  </si>
  <si>
    <t>Gruunavirus flapper</t>
  </si>
  <si>
    <t>Gruunavirus GRU1</t>
  </si>
  <si>
    <t>Gruunavirus GTE5</t>
  </si>
  <si>
    <t>Gruunavirus turuncu</t>
  </si>
  <si>
    <t>Kablunavirus</t>
  </si>
  <si>
    <t>Kablunavirus buggaboo</t>
  </si>
  <si>
    <t>Kablunavirus kabluna</t>
  </si>
  <si>
    <t>Kablunavirus nosilaM</t>
  </si>
  <si>
    <t>Pleakleyvirus</t>
  </si>
  <si>
    <t>Pleakleyvirus pleakley</t>
  </si>
  <si>
    <t>Skysandvirus</t>
  </si>
  <si>
    <t>Skysandvirus lollipop1437</t>
  </si>
  <si>
    <t>Skysandvirus patio</t>
  </si>
  <si>
    <t>Skysandvirus skysand</t>
  </si>
  <si>
    <t>Sukkupivirus</t>
  </si>
  <si>
    <t>Sukkupivirus idyn</t>
  </si>
  <si>
    <t>Sukkupivirus marietta</t>
  </si>
  <si>
    <t>Sukkupivirus nadinerae</t>
  </si>
  <si>
    <t>Sukkupivirus sukkupi</t>
  </si>
  <si>
    <t>Toshachvirinae</t>
  </si>
  <si>
    <t>Ceetrepovirus kimchi1738</t>
  </si>
  <si>
    <t>Ceetrepovirus stickynote</t>
  </si>
  <si>
    <t>Siovirus americense</t>
  </si>
  <si>
    <t>Siovirus coreense</t>
  </si>
  <si>
    <t>Siovirus germanense</t>
  </si>
  <si>
    <t>Veravirus septentrionalis</t>
  </si>
  <si>
    <t>Citrovirus coptotermitis</t>
  </si>
  <si>
    <t>Icepovirus bengalense</t>
  </si>
  <si>
    <t>Melvirus helgolandense</t>
  </si>
  <si>
    <t>Melvirus orientalis</t>
  </si>
  <si>
    <t>Paundecimvirus PA11</t>
  </si>
  <si>
    <t>Salinovirus utanense</t>
  </si>
  <si>
    <t>Vipivirus canadense</t>
  </si>
  <si>
    <t>Andrewesvirinae</t>
  </si>
  <si>
    <t>Denvervirus</t>
  </si>
  <si>
    <t>Denvervirus dv9183</t>
  </si>
  <si>
    <t>Vipetofemvirus</t>
  </si>
  <si>
    <t>Vipetofemvirus nattely</t>
  </si>
  <si>
    <t>Vipetofemvirus vipetofem</t>
  </si>
  <si>
    <t>Vipetofemvirus vv140</t>
  </si>
  <si>
    <t>Arequatrovirus ELB20</t>
  </si>
  <si>
    <t>Arequatrovirus paedore</t>
  </si>
  <si>
    <t>Arequatrovirus R4</t>
  </si>
  <si>
    <t>Caelumvirus</t>
  </si>
  <si>
    <t>Caelumvirus alvy</t>
  </si>
  <si>
    <t>Caelumvirus caelum</t>
  </si>
  <si>
    <t>Caelumvirus daudau</t>
  </si>
  <si>
    <t>Caelumvirus issmi</t>
  </si>
  <si>
    <t>Caelumvirus thestral</t>
  </si>
  <si>
    <t>Camvirus alsaber</t>
  </si>
  <si>
    <t>Camvirus amela</t>
  </si>
  <si>
    <t>Camvirus CAM</t>
  </si>
  <si>
    <t>Camvirus endor1</t>
  </si>
  <si>
    <t>Camvirus endor2</t>
  </si>
  <si>
    <t>Camvirus joe</t>
  </si>
  <si>
    <t>Camvirus saftant</t>
  </si>
  <si>
    <t>Camvirus sitrop</t>
  </si>
  <si>
    <t>Celiavirus</t>
  </si>
  <si>
    <t>Celiavirus celia</t>
  </si>
  <si>
    <t>Hautrevirus</t>
  </si>
  <si>
    <t>Hautrevirus hau3</t>
  </si>
  <si>
    <t>Janusvirus</t>
  </si>
  <si>
    <t>Janusvirus hank144</t>
  </si>
  <si>
    <t>Janusvirus janus</t>
  </si>
  <si>
    <t>Likavirus aaronocolus</t>
  </si>
  <si>
    <t>Likavirus caliburn</t>
  </si>
  <si>
    <t>Likavirus danzina</t>
  </si>
  <si>
    <t>Likavirus goby</t>
  </si>
  <si>
    <t>Likavirus hydra</t>
  </si>
  <si>
    <t>Likavirus izzy</t>
  </si>
  <si>
    <t>Likavirus lannister</t>
  </si>
  <si>
    <t>Likavirus lika</t>
  </si>
  <si>
    <t>Likavirus lorelei</t>
  </si>
  <si>
    <t>Likavirus nanodon</t>
  </si>
  <si>
    <t>Likavirus sujidade</t>
  </si>
  <si>
    <t>Likavirus werner</t>
  </si>
  <si>
    <t>Likavirus yasdnil</t>
  </si>
  <si>
    <t>Likavirus zemlya</t>
  </si>
  <si>
    <t>Omarvirus</t>
  </si>
  <si>
    <t>Omarvirus amethyst</t>
  </si>
  <si>
    <t>Omarvirus diane</t>
  </si>
  <si>
    <t>Omarvirus omar</t>
  </si>
  <si>
    <t>Omarvirus tefunt</t>
  </si>
  <si>
    <t>Salutenavirus</t>
  </si>
  <si>
    <t>Salutenavirus salutena</t>
  </si>
  <si>
    <t>Sentinelvirus</t>
  </si>
  <si>
    <t>Sentinelvirus sentinel</t>
  </si>
  <si>
    <t>Sentinelvirus spernnie</t>
  </si>
  <si>
    <t>Yosifvirus</t>
  </si>
  <si>
    <t>Yosifvirus yosif</t>
  </si>
  <si>
    <t>Dubowvirus baqsau1</t>
  </si>
  <si>
    <t>Dubowvirus dv11</t>
  </si>
  <si>
    <t>Dubowvirus dv53</t>
  </si>
  <si>
    <t>Dubowvirus dv69</t>
  </si>
  <si>
    <t>Dubowvirus dv85</t>
  </si>
  <si>
    <t>Dubowvirus dv80alpha</t>
  </si>
  <si>
    <t>Dubowvirus ETA2</t>
  </si>
  <si>
    <t>Dubowvirus HSA84</t>
  </si>
  <si>
    <t>Dubowvirus IPLA88</t>
  </si>
  <si>
    <t>Dubowvirus MR25</t>
  </si>
  <si>
    <t>Dubowvirus NM1</t>
  </si>
  <si>
    <t>Dubowvirus NM2</t>
  </si>
  <si>
    <t>Dubowvirus SA75</t>
  </si>
  <si>
    <t>Dubowvirus SA97</t>
  </si>
  <si>
    <t>Dubowvirus SAP26</t>
  </si>
  <si>
    <t>Dubowvirus SAP33</t>
  </si>
  <si>
    <t>Dubowvirus SP5</t>
  </si>
  <si>
    <t>Dubowvirus TEM126</t>
  </si>
  <si>
    <t>Phietavirus B122</t>
  </si>
  <si>
    <t>Phietavirus B166</t>
  </si>
  <si>
    <t>Phietavirus B236</t>
  </si>
  <si>
    <t>Phietavirus ETA</t>
  </si>
  <si>
    <t>Phietavirus ETA3</t>
  </si>
  <si>
    <t>Phietavirus EW</t>
  </si>
  <si>
    <t>Phietavirus Henu2</t>
  </si>
  <si>
    <t>Phietavirus JB</t>
  </si>
  <si>
    <t>Phietavirus MR11</t>
  </si>
  <si>
    <t>Phietavirus NM4</t>
  </si>
  <si>
    <t>Phietavirus pv29</t>
  </si>
  <si>
    <t>Phietavirus pv37</t>
  </si>
  <si>
    <t>Phietavirus pv55</t>
  </si>
  <si>
    <t>Phietavirus pv71</t>
  </si>
  <si>
    <t>Phietavirus pv80</t>
  </si>
  <si>
    <t>Phietavirus pv88</t>
  </si>
  <si>
    <t>Phietavirus pv92</t>
  </si>
  <si>
    <t>Phietavirus pv96</t>
  </si>
  <si>
    <t>Phietavirus pv187</t>
  </si>
  <si>
    <t>Phietavirus pv3MRA</t>
  </si>
  <si>
    <t>Phietavirus pv52a</t>
  </si>
  <si>
    <t>Phietavirus ROSA</t>
  </si>
  <si>
    <t>Phietavirus SA13</t>
  </si>
  <si>
    <t>Phietavirus SAP27</t>
  </si>
  <si>
    <t>Phietavirus sebago</t>
  </si>
  <si>
    <t>Phietavirus StauST3981</t>
  </si>
  <si>
    <t>Phietavirus StauST3983</t>
  </si>
  <si>
    <t>Phietavirus StauST3985</t>
  </si>
  <si>
    <t>Phietavirus UPMK2</t>
  </si>
  <si>
    <t>Phietavirus X2</t>
  </si>
  <si>
    <t>Acadianvirus acadian</t>
  </si>
  <si>
    <t>Acadianvirus baee</t>
  </si>
  <si>
    <t>Acadianvirus reprobate</t>
  </si>
  <si>
    <t>Acadianvirus serendipitous</t>
  </si>
  <si>
    <t>Birdsnestvirus</t>
  </si>
  <si>
    <t>Birdsnestvirus birdsnest</t>
  </si>
  <si>
    <t>Coopervirus adawi</t>
  </si>
  <si>
    <t>Coopervirus bane1</t>
  </si>
  <si>
    <t>Coopervirus brownCNA</t>
  </si>
  <si>
    <t>Coopervirus chrisnmich</t>
  </si>
  <si>
    <t>Coopervirus cooper</t>
  </si>
  <si>
    <t>Coopervirus fortunato</t>
  </si>
  <si>
    <t>Coopervirus heath</t>
  </si>
  <si>
    <t>Coopervirus JAMaL</t>
  </si>
  <si>
    <t>Coopervirus nigel</t>
  </si>
  <si>
    <t>Coopervirus stinger</t>
  </si>
  <si>
    <t>Coopervirus vincenzo</t>
  </si>
  <si>
    <t>Coopervirus zemanar</t>
  </si>
  <si>
    <t>Imvubuvirus</t>
  </si>
  <si>
    <t>Imvubuvirus imvubu</t>
  </si>
  <si>
    <t>Julieunavirus</t>
  </si>
  <si>
    <t>Julieunavirus julie1</t>
  </si>
  <si>
    <t>Lilmcdreamyvirus</t>
  </si>
  <si>
    <t>Lilmcdreamyvirus lilmcdreamy</t>
  </si>
  <si>
    <t>Pegunavirus apizium</t>
  </si>
  <si>
    <t>Pegunavirus kingtut</t>
  </si>
  <si>
    <t>Pegunavirus manad</t>
  </si>
  <si>
    <t>Pegunavirus oline</t>
  </si>
  <si>
    <t>Pegunavirus osmaximus</t>
  </si>
  <si>
    <t>Pegunavirus Pg1</t>
  </si>
  <si>
    <t>Pegunavirus soto</t>
  </si>
  <si>
    <t>Pegunavirus suffolk</t>
  </si>
  <si>
    <t>Pipefishvirus athena</t>
  </si>
  <si>
    <t>Pipefishvirus bernardo</t>
  </si>
  <si>
    <t>Pipefishvirus gadjet</t>
  </si>
  <si>
    <t>Pipefishvirus obutu</t>
  </si>
  <si>
    <t>Pipefishvirus pipefish</t>
  </si>
  <si>
    <t>Quesadillavirus</t>
  </si>
  <si>
    <t>Quesadillavirus CRB2</t>
  </si>
  <si>
    <t>Quesadillavirus quesadilla</t>
  </si>
  <si>
    <t>Rosebushvirus godines</t>
  </si>
  <si>
    <t>Rosebushvirus laurie</t>
  </si>
  <si>
    <t>Rosebushvirus rosebush</t>
  </si>
  <si>
    <t>Rosebushvirus TA17a</t>
  </si>
  <si>
    <t>Saguarovirus</t>
  </si>
  <si>
    <t>Saguarovirus saguaro</t>
  </si>
  <si>
    <t>Thonkovirus</t>
  </si>
  <si>
    <t>Thonkovirus thonko</t>
  </si>
  <si>
    <t>Flowerpowervirus flowerpower</t>
  </si>
  <si>
    <t>Immanueltrevirus immanuel3</t>
  </si>
  <si>
    <t>Manuelvirus JXY1</t>
  </si>
  <si>
    <t>Manuelvirus manuel</t>
  </si>
  <si>
    <t>Manuelvirus wrighton</t>
  </si>
  <si>
    <t>Boydwoodruffvirinae</t>
  </si>
  <si>
    <t>Samistivirus bmoc</t>
  </si>
  <si>
    <t>Samistivirus braelyn</t>
  </si>
  <si>
    <t>Samistivirus daubenski</t>
  </si>
  <si>
    <t>Samistivirus egole</t>
  </si>
  <si>
    <t>Samistivirus evy</t>
  </si>
  <si>
    <t>Samistivirus jay2jay</t>
  </si>
  <si>
    <t>Samistivirus mildred21</t>
  </si>
  <si>
    <t>Samistivirus nootnoot</t>
  </si>
  <si>
    <t>Samistivirus paradiddles</t>
  </si>
  <si>
    <t>Samistivirus peebs</t>
  </si>
  <si>
    <t>Samistivirus samisti12</t>
  </si>
  <si>
    <t>Biseptimavirus BU01</t>
  </si>
  <si>
    <t>Biseptimavirus bv77</t>
  </si>
  <si>
    <t>Biseptimavirus bv23MRA</t>
  </si>
  <si>
    <t>Biseptimavirus IME136101</t>
  </si>
  <si>
    <t>Biseptimavirus NM3</t>
  </si>
  <si>
    <t>Biseptimavirus P282</t>
  </si>
  <si>
    <t>Biseptimavirus P630</t>
  </si>
  <si>
    <t>Biseptimavirus P954</t>
  </si>
  <si>
    <t>Biseptimavirus P1105</t>
  </si>
  <si>
    <t>Biseptimavirus phi7247PVL</t>
  </si>
  <si>
    <t>Biseptimavirus SA1014ruMSSAST7</t>
  </si>
  <si>
    <t>Biseptimavirus SA345ruMSSAST8</t>
  </si>
  <si>
    <t>Biseptimavirus st22</t>
  </si>
  <si>
    <t>Biseptimavirus StauST3984</t>
  </si>
  <si>
    <t>Peeveelvirus CN125</t>
  </si>
  <si>
    <t>Peeveelvirus JS01</t>
  </si>
  <si>
    <t>Peeveelvirus pv13</t>
  </si>
  <si>
    <t>Peeveelvirus PV83</t>
  </si>
  <si>
    <t>Peeveelvirus pv3AJ2017</t>
  </si>
  <si>
    <t>Peeveelvirus PVL</t>
  </si>
  <si>
    <t>Peeveelvirus PVL108</t>
  </si>
  <si>
    <t>Peeveelvirus SA7</t>
  </si>
  <si>
    <t>Peeveelvirus SA780ruMSSAST101</t>
  </si>
  <si>
    <t>Peeveelvirus tp3101</t>
  </si>
  <si>
    <t>Ceeclamvirinae</t>
  </si>
  <si>
    <t>Bixzunavirus alice</t>
  </si>
  <si>
    <t>Bixzunavirus astraea</t>
  </si>
  <si>
    <t>Bixzunavirus bigswole</t>
  </si>
  <si>
    <t>Bixzunavirus Bxz1</t>
  </si>
  <si>
    <t>Bixzunavirus cane17</t>
  </si>
  <si>
    <t>Bixzunavirus charlieB</t>
  </si>
  <si>
    <t>Bixzunavirus dandelion</t>
  </si>
  <si>
    <t>Bixzunavirus hyro</t>
  </si>
  <si>
    <t>Bixzunavirus I3</t>
  </si>
  <si>
    <t>Bixzunavirus lukilu</t>
  </si>
  <si>
    <t>Bixzunavirus mangeria</t>
  </si>
  <si>
    <t>Bixzunavirus nappy</t>
  </si>
  <si>
    <t>Bixzunavirus noodletree</t>
  </si>
  <si>
    <t>Bixzunavirus qbert</t>
  </si>
  <si>
    <t>Bixzunavirus quasimodo</t>
  </si>
  <si>
    <t>Bixzunavirus sauce</t>
  </si>
  <si>
    <t>Bixzunavirus sebata</t>
  </si>
  <si>
    <t>Bixzunavirus tonenili</t>
  </si>
  <si>
    <t>Myrnavirus</t>
  </si>
  <si>
    <t>Myranavirus phabba</t>
  </si>
  <si>
    <t>Myrnavirus myrna</t>
  </si>
  <si>
    <t>Brujitavirus babsiella</t>
  </si>
  <si>
    <t>Brujitavirus brujita</t>
  </si>
  <si>
    <t>Brujitavirus HC</t>
  </si>
  <si>
    <t>Brujitavirus xula</t>
  </si>
  <si>
    <t>Hawkeyevirus hawkeye</t>
  </si>
  <si>
    <t>Plotvirus plot</t>
  </si>
  <si>
    <t>Kenoshavirus chikenjars</t>
  </si>
  <si>
    <t>Kenoshavirus crocheter</t>
  </si>
  <si>
    <t>Kenoshavirus duffington</t>
  </si>
  <si>
    <t>Kenoshavirus kenosha</t>
  </si>
  <si>
    <t>Kenoshavirus ohmyward</t>
  </si>
  <si>
    <t>Kenoshavirus rickmore</t>
  </si>
  <si>
    <t>Kenoshavirus untouchable</t>
  </si>
  <si>
    <t>Secretariatvirus secretariat</t>
  </si>
  <si>
    <t>Tanisvirus avazak</t>
  </si>
  <si>
    <t>Tanisvirus tanis</t>
  </si>
  <si>
    <t>Bertelyvirus BL9</t>
  </si>
  <si>
    <t>Bertelyvirus SC</t>
  </si>
  <si>
    <t>Colossusvirus colossus</t>
  </si>
  <si>
    <t>Colossusvirus PW</t>
  </si>
  <si>
    <t>Poindextervirus BL10</t>
  </si>
  <si>
    <t>Poindextervirus rogue</t>
  </si>
  <si>
    <t>Shapirovirus cbk</t>
  </si>
  <si>
    <t>Shapirovirus swift</t>
  </si>
  <si>
    <t>Akonivirus akoni</t>
  </si>
  <si>
    <t>Akonivirus phedro</t>
  </si>
  <si>
    <t>Tinytimothyvirus alex44</t>
  </si>
  <si>
    <t>Tinytimothyvirus tinytimothy</t>
  </si>
  <si>
    <t>Firehammervirus CP21</t>
  </si>
  <si>
    <t>Firehammervirus CP220</t>
  </si>
  <si>
    <t>Firehammervirus CPt10</t>
  </si>
  <si>
    <t>Fletchervirus CP81</t>
  </si>
  <si>
    <t>Fletchervirus CP30A</t>
  </si>
  <si>
    <t>Fletchervirus CPX</t>
  </si>
  <si>
    <t>Fletchervirus Los1</t>
  </si>
  <si>
    <t>Fletchervirus NCTC12673</t>
  </si>
  <si>
    <t>Gclasvirinae</t>
  </si>
  <si>
    <t>Antsirabevirus</t>
  </si>
  <si>
    <t>Antsirabevirus antsirabe</t>
  </si>
  <si>
    <t>Avocadovirus</t>
  </si>
  <si>
    <t>Avocadovirus avocado</t>
  </si>
  <si>
    <t>Avocadovirus cambiare</t>
  </si>
  <si>
    <t>Avocadovirus flagstaff</t>
  </si>
  <si>
    <t>Jolieduovirus</t>
  </si>
  <si>
    <t>Jolieduovirus jolie2</t>
  </si>
  <si>
    <t>Jolieduovirus lemuria</t>
  </si>
  <si>
    <t>Jolieduovirus mercurio</t>
  </si>
  <si>
    <t>Liefievirus grizzly</t>
  </si>
  <si>
    <t>Liefievirus paito</t>
  </si>
  <si>
    <t>Liefievirus rabbs</t>
  </si>
  <si>
    <t>Liefievirus taheera</t>
  </si>
  <si>
    <t>Pinnievirus</t>
  </si>
  <si>
    <t>Pinnievirus moorethemaryer</t>
  </si>
  <si>
    <t>Pinnievirus pinnie</t>
  </si>
  <si>
    <t>Dragolirvirus dragolir</t>
  </si>
  <si>
    <t>Harrisonvirus harrison</t>
  </si>
  <si>
    <t>Vegasvirus vegas</t>
  </si>
  <si>
    <t>Wanderervirus wanderer</t>
  </si>
  <si>
    <t>Aphroditevirus aphrodite1</t>
  </si>
  <si>
    <t>Aphroditevirus av2TSL2019</t>
  </si>
  <si>
    <t>Aphroditevirus PDCC1</t>
  </si>
  <si>
    <t>Aphroditevirus USC1</t>
  </si>
  <si>
    <t>Tidunavirus pTD1</t>
  </si>
  <si>
    <t>Tidunavirus VP4B</t>
  </si>
  <si>
    <t>Gracegardnervirinae</t>
  </si>
  <si>
    <t>Avanivirus avani</t>
  </si>
  <si>
    <t>Avanivirus Che9d</t>
  </si>
  <si>
    <t>Avanivirus demsculpinboyz</t>
  </si>
  <si>
    <t>Avanivirus soul22</t>
  </si>
  <si>
    <t>Avanivirus yoshi</t>
  </si>
  <si>
    <t>Avanivirus zapner</t>
  </si>
  <si>
    <t>Cheoctovirus arcusangelus</t>
  </si>
  <si>
    <t>Cheoctovirus batiatus</t>
  </si>
  <si>
    <t>Cheoctovirus blexus</t>
  </si>
  <si>
    <t>Cheoctovirus bobaphett</t>
  </si>
  <si>
    <t>Cheoctovirus bodeinwohner17</t>
  </si>
  <si>
    <t>Cheoctovirus bubbles123</t>
  </si>
  <si>
    <t>Cheoctovirus burwell21</t>
  </si>
  <si>
    <t>Cheoctovirus buzzlyseyear</t>
  </si>
  <si>
    <t>Cheoctovirus byougenkin</t>
  </si>
  <si>
    <t>Cheoctovirus captaintrips</t>
  </si>
  <si>
    <t>Cheoctovirus chuckly</t>
  </si>
  <si>
    <t>Cheoctovirus dante</t>
  </si>
  <si>
    <t>Cheoctovirus dilltech15</t>
  </si>
  <si>
    <t>Cheoctovirus donkeykong</t>
  </si>
  <si>
    <t>Cheoctovirus doug</t>
  </si>
  <si>
    <t>Cheoctovirus DRBy19</t>
  </si>
  <si>
    <t>Cheoctovirus eish</t>
  </si>
  <si>
    <t>Cheoctovirus eleanorgeorge</t>
  </si>
  <si>
    <t>Cheoctovirus emma</t>
  </si>
  <si>
    <t>Cheoctovirus empress</t>
  </si>
  <si>
    <t>Cheoctovirus estave1</t>
  </si>
  <si>
    <t>Cheoctovirus fancypants</t>
  </si>
  <si>
    <t>Cheoctovirus filuzino</t>
  </si>
  <si>
    <t>Cheoctovirus firehouse51</t>
  </si>
  <si>
    <t>Cheoctovirus florinda</t>
  </si>
  <si>
    <t>Cheoctovirus galactic</t>
  </si>
  <si>
    <t>Cheoctovirus gandalph</t>
  </si>
  <si>
    <t>Cheoctovirus geralt</t>
  </si>
  <si>
    <t>Cheoctovirus girr</t>
  </si>
  <si>
    <t>Cheoctovirus gorge</t>
  </si>
  <si>
    <t>Cheoctovirus hades</t>
  </si>
  <si>
    <t>Cheoctovirus hamulus</t>
  </si>
  <si>
    <t>Cheoctovirus harley</t>
  </si>
  <si>
    <t>Cheoctovirus hlubikazi</t>
  </si>
  <si>
    <t>Cheoctovirus inventum</t>
  </si>
  <si>
    <t>Cheoctovirus joeyjr</t>
  </si>
  <si>
    <t>Cheoctovirus kersh</t>
  </si>
  <si>
    <t>Cheoctovirus kimberlium</t>
  </si>
  <si>
    <t>Cheoctovirus krakatau</t>
  </si>
  <si>
    <t>Cheoctovirus kristaram</t>
  </si>
  <si>
    <t>Cheoctovirus lilmoolah</t>
  </si>
  <si>
    <t>Cheoctovirus lizziana</t>
  </si>
  <si>
    <t>Cheoctovirus mahavrat</t>
  </si>
  <si>
    <t>Cheoctovirus mantra</t>
  </si>
  <si>
    <t>Cheoctovirus mattes</t>
  </si>
  <si>
    <t>Cheoctovirus melissauren88</t>
  </si>
  <si>
    <t>Cheoctovirus milleniumforce</t>
  </si>
  <si>
    <t>Cheoctovirus miniondave</t>
  </si>
  <si>
    <t>Cheoctovirus minnie</t>
  </si>
  <si>
    <t>Cheoctovirus moonbeam</t>
  </si>
  <si>
    <t>Cheoctovirus nitzel</t>
  </si>
  <si>
    <t>Cheoctovirus nivrat</t>
  </si>
  <si>
    <t>Cheoctovirus ochi17</t>
  </si>
  <si>
    <t>Cheoctovirus oldben</t>
  </si>
  <si>
    <t>Cheoctovirus olympiasaint</t>
  </si>
  <si>
    <t>Cheoctovirus ovechkin</t>
  </si>
  <si>
    <t>Cheoctovirus owlsT2W</t>
  </si>
  <si>
    <t>Cheoctovirus phasih</t>
  </si>
  <si>
    <t>Cheoctovirus phatniss</t>
  </si>
  <si>
    <t>Cheoctovirus plumbus</t>
  </si>
  <si>
    <t>Cheoctovirus poenanya</t>
  </si>
  <si>
    <t>Cheoctovirus polka14</t>
  </si>
  <si>
    <t>Cheoctovirus poptart</t>
  </si>
  <si>
    <t>Cheoctovirus priscilla</t>
  </si>
  <si>
    <t>Cheoctovirus quickmath</t>
  </si>
  <si>
    <t>Cheoctovirus ritaG</t>
  </si>
  <si>
    <t>Cheoctovirus royals2015</t>
  </si>
  <si>
    <t>Cheoctovirus saal</t>
  </si>
  <si>
    <t>Cheoctovirus sandalphon</t>
  </si>
  <si>
    <t>Cheoctovirus sisi</t>
  </si>
  <si>
    <t>Cheoctovirus sparkdehlily</t>
  </si>
  <si>
    <t>Cheoctovirus spikelee</t>
  </si>
  <si>
    <t>Cheoctovirus spoonbill</t>
  </si>
  <si>
    <t>Cheoctovirus supergrey</t>
  </si>
  <si>
    <t>Cheoctovirus swagpigglett</t>
  </si>
  <si>
    <t>Cheoctovirus veteran</t>
  </si>
  <si>
    <t>Cheoctovirus wachhund</t>
  </si>
  <si>
    <t>Cheoctovirus whouxphf</t>
  </si>
  <si>
    <t>Cheoctovirus willsterrel</t>
  </si>
  <si>
    <t>Cheoctovirus xfactor</t>
  </si>
  <si>
    <t>Cheoctovirus zerg</t>
  </si>
  <si>
    <t>Moomoovirus</t>
  </si>
  <si>
    <t>Moomoovirus moomoo</t>
  </si>
  <si>
    <t>Cornellvirus SP31</t>
  </si>
  <si>
    <t>Jerseyvirus AG11</t>
  </si>
  <si>
    <t>Jerseyvirus Ent1</t>
  </si>
  <si>
    <t>Jerseyvirus f18SE</t>
  </si>
  <si>
    <t>Jerseyvirus jersey</t>
  </si>
  <si>
    <t>Jerseyvirus L13</t>
  </si>
  <si>
    <t>Jerseyvirus LSPA1</t>
  </si>
  <si>
    <t>Jerseyvirus SE2</t>
  </si>
  <si>
    <t>Jerseyvirus SETP3</t>
  </si>
  <si>
    <t>Jerseyvirus SETP7</t>
  </si>
  <si>
    <t>Jerseyvirus SETP13</t>
  </si>
  <si>
    <t>Jerseyvirus SP101</t>
  </si>
  <si>
    <t>Jerseyvirus SS3e</t>
  </si>
  <si>
    <t>Jerseyvirus wksl3</t>
  </si>
  <si>
    <t>Kagunavirus golestan</t>
  </si>
  <si>
    <t>Kagunavirus K1G</t>
  </si>
  <si>
    <t>Kagunavirus K1H</t>
  </si>
  <si>
    <t>Kagunavirus K1ind1</t>
  </si>
  <si>
    <t>Kagunavirus K1ind2</t>
  </si>
  <si>
    <t>Kagunavirus RP180</t>
  </si>
  <si>
    <t>Carmenvirus carmen17</t>
  </si>
  <si>
    <t>Carmenvirus Wes44</t>
  </si>
  <si>
    <t>Pebcunavirus PBC1</t>
  </si>
  <si>
    <t>Byrnievirus HK97</t>
  </si>
  <si>
    <t>Cuauhtlivirus mEpX1</t>
  </si>
  <si>
    <t>Kwaitsingvirus HK446</t>
  </si>
  <si>
    <t>Kwaitsingvirus HK544</t>
  </si>
  <si>
    <t>Nochtlivirus mEp235</t>
  </si>
  <si>
    <t>Saikungvirus HK75</t>
  </si>
  <si>
    <t>Saikungvirus HK633</t>
  </si>
  <si>
    <t>Shamshuipovirus HK022</t>
  </si>
  <si>
    <t>Shamshuipovirus mEpX2</t>
  </si>
  <si>
    <t>Wanchaivirus HK106</t>
  </si>
  <si>
    <t>Wanchaivirus mEp234</t>
  </si>
  <si>
    <t>Wongtaivirus ECP1</t>
  </si>
  <si>
    <t>Wongtaivirus HK542</t>
  </si>
  <si>
    <t>Yautsimvirus HK140</t>
  </si>
  <si>
    <t>Kantovirinae</t>
  </si>
  <si>
    <t>Beograduvirus</t>
  </si>
  <si>
    <t>Beograduvirus KPhi1</t>
  </si>
  <si>
    <t>Beograduvirus Xaf18</t>
  </si>
  <si>
    <t>Tsukubavirus</t>
  </si>
  <si>
    <t>Tsukubavirus OP2</t>
  </si>
  <si>
    <t>Tsukubavirus XPP1</t>
  </si>
  <si>
    <t>Tsukubavirus XPV1</t>
  </si>
  <si>
    <t>Getalongvirus asapag</t>
  </si>
  <si>
    <t>Getalongvirus bentherdunthat</t>
  </si>
  <si>
    <t>Getalongvirus getalong</t>
  </si>
  <si>
    <t>Getalongvirus kenna</t>
  </si>
  <si>
    <t>Horusvirus horus</t>
  </si>
  <si>
    <t>Phistoryvirus phistory</t>
  </si>
  <si>
    <t>Limdunavirus LDG</t>
  </si>
  <si>
    <t>Limdunavirus Lmd1</t>
  </si>
  <si>
    <t>Limdunavirus LN03</t>
  </si>
  <si>
    <t>Limdunavirus LN04</t>
  </si>
  <si>
    <t>Limdunavirus LN12</t>
  </si>
  <si>
    <t>Limdunavirus P793</t>
  </si>
  <si>
    <t>Limdunavirus P965</t>
  </si>
  <si>
    <t>Unaquatrovirus Ln7</t>
  </si>
  <si>
    <t>Unaquatrovirus Ln9</t>
  </si>
  <si>
    <t>Unaquatrovirus LN25</t>
  </si>
  <si>
    <t>Unaquatrovirus LN34</t>
  </si>
  <si>
    <t>Unaquatrovirus uv1A4</t>
  </si>
  <si>
    <t>Charlievirus Aggie</t>
  </si>
  <si>
    <t>Charlievirus Andies</t>
  </si>
  <si>
    <t>Charlievirus butters</t>
  </si>
  <si>
    <t>Charlievirus Charlie</t>
  </si>
  <si>
    <t>Charlievirus Fulbright</t>
  </si>
  <si>
    <t>Charlievirus Jamie19</t>
  </si>
  <si>
    <t>Charlievirus Kevin1</t>
  </si>
  <si>
    <t>Charlievirus michellemybell</t>
  </si>
  <si>
    <t>Charlievirus panchino</t>
  </si>
  <si>
    <t>Charlievirus Philonius</t>
  </si>
  <si>
    <t>Charlievirus phrann</t>
  </si>
  <si>
    <t>Charlievirus Pipsqueaks</t>
  </si>
  <si>
    <t>Charlievirus Raymond7</t>
  </si>
  <si>
    <t>Charlievirus Rebel</t>
  </si>
  <si>
    <t>Charlievirus redi</t>
  </si>
  <si>
    <t>Charlievirus skinnypete</t>
  </si>
  <si>
    <t>Charlievirus Tapioca</t>
  </si>
  <si>
    <t>Charlievirus Xeno</t>
  </si>
  <si>
    <t>Baxtervirus baxterfox</t>
  </si>
  <si>
    <t>Baxtervirus yeezy</t>
  </si>
  <si>
    <t>Nymphadoravirus kita</t>
  </si>
  <si>
    <t>Nymphadoravirus nymphadora</t>
  </si>
  <si>
    <t>Nymphadoravirus zirinka</t>
  </si>
  <si>
    <t>Felixounavirus Alf5</t>
  </si>
  <si>
    <t>Felixounavirus AYO145A</t>
  </si>
  <si>
    <t>Felixounavirus BPS15Q2</t>
  </si>
  <si>
    <t>Felixounavirus BPS17L1</t>
  </si>
  <si>
    <t>Felixounavirus BPS17W1</t>
  </si>
  <si>
    <t>Felixounavirus EC6</t>
  </si>
  <si>
    <t>Felixounavirus felixO1</t>
  </si>
  <si>
    <t>Felixounavirus HY02</t>
  </si>
  <si>
    <t>Felixounavirus JH2</t>
  </si>
  <si>
    <t>Felixounavirus mushroom</t>
  </si>
  <si>
    <t>Felixounavirus Si3</t>
  </si>
  <si>
    <t>Felixounavirus SP116</t>
  </si>
  <si>
    <t>Felixounavirus TP1</t>
  </si>
  <si>
    <t>Felixounavirus UAB87</t>
  </si>
  <si>
    <t>Felixounavirus VpaE1</t>
  </si>
  <si>
    <t>Felixounavirus wV8</t>
  </si>
  <si>
    <t>Kolesnikvirus Ea214</t>
  </si>
  <si>
    <t>Kolesnikvirus M7</t>
  </si>
  <si>
    <t>Mooglevirus moogle</t>
  </si>
  <si>
    <t>Mooglevirus mordin</t>
  </si>
  <si>
    <t>Mooglevirus Sf13</t>
  </si>
  <si>
    <t>Mooglevirus Sf14</t>
  </si>
  <si>
    <t>Mooglevirus Sf17</t>
  </si>
  <si>
    <t>Suspvirus SUSP1</t>
  </si>
  <si>
    <t>Suspvirus SUSP2</t>
  </si>
  <si>
    <t>Bignuzvirus bignuz</t>
  </si>
  <si>
    <t>Fishburnevirus arib1</t>
  </si>
  <si>
    <t>Fishburnevirus atcoo</t>
  </si>
  <si>
    <t>Fishburnevirus bartholomew</t>
  </si>
  <si>
    <t>Fishburnevirus brusacoram</t>
  </si>
  <si>
    <t>Fishburnevirus donovan</t>
  </si>
  <si>
    <t>Fishburnevirus firstplacepfu</t>
  </si>
  <si>
    <t>Fishburnevirus fishburne</t>
  </si>
  <si>
    <t>Fishburnevirus greaselightnin</t>
  </si>
  <si>
    <t>Fishburnevirus jebeks</t>
  </si>
  <si>
    <t>Fishburnevirus jung</t>
  </si>
  <si>
    <t>Fishburnevirus kilkor</t>
  </si>
  <si>
    <t>Fishburnevirus ksquared</t>
  </si>
  <si>
    <t>Fishburnevirus majeke</t>
  </si>
  <si>
    <t>Fishburnevirus malithi</t>
  </si>
  <si>
    <t>Fishburnevirus shipwreck</t>
  </si>
  <si>
    <t>Fishburnevirus willsammy</t>
  </si>
  <si>
    <t>Phayoncevirus phayonce</t>
  </si>
  <si>
    <t>Phayoncevirus thulathula</t>
  </si>
  <si>
    <t>Purkyvirus</t>
  </si>
  <si>
    <t>Purkyvirus purky</t>
  </si>
  <si>
    <t>Xaviavirus</t>
  </si>
  <si>
    <t>Xaviavirus xavia</t>
  </si>
  <si>
    <t>Amoyvirus R7M</t>
  </si>
  <si>
    <t>Nipunavirus NP1</t>
  </si>
  <si>
    <t>Nipunavirus PaMx25</t>
  </si>
  <si>
    <t>Nonagvirus JenK1</t>
  </si>
  <si>
    <t>Nonagvirus JenP1</t>
  </si>
  <si>
    <t>Nonagvirus JenP2</t>
  </si>
  <si>
    <t>Nonagvirus nv9g</t>
  </si>
  <si>
    <t>Nonagvirus SE1Kor</t>
  </si>
  <si>
    <t>Seuratvirus cajan</t>
  </si>
  <si>
    <t>Seuratvirus seurat</t>
  </si>
  <si>
    <t>Ruthgordonvirinae</t>
  </si>
  <si>
    <t>Catfishvirus</t>
  </si>
  <si>
    <t>Catfishvirus catfish</t>
  </si>
  <si>
    <t>Dardanusvirus</t>
  </si>
  <si>
    <t>Dardanusvirus dardanus</t>
  </si>
  <si>
    <t>Gesputvirus gsput1</t>
  </si>
  <si>
    <t>Schmidtvirus</t>
  </si>
  <si>
    <t>Schmidtvirus schmidt</t>
  </si>
  <si>
    <t>Tinalinvirus</t>
  </si>
  <si>
    <t>Tinalinvirus tinalin</t>
  </si>
  <si>
    <t>Vendettavirus tzgordon</t>
  </si>
  <si>
    <t>Vendettavirus vendetta</t>
  </si>
  <si>
    <t>Diegovirus dv7502Stx</t>
  </si>
  <si>
    <t>Diegovirus POCJ13</t>
  </si>
  <si>
    <t>Oslovirus ArgO145</t>
  </si>
  <si>
    <t>Oslovirus Lyz12581Vzw</t>
  </si>
  <si>
    <t>Oslovirus ov191</t>
  </si>
  <si>
    <t>Oslovirus PA2</t>
  </si>
  <si>
    <t>Oslovirus TL2011</t>
  </si>
  <si>
    <t>Oslovirus VASD</t>
  </si>
  <si>
    <t>Traversvirus AU5Stx1</t>
  </si>
  <si>
    <t>Traversvirus AU6Stx1</t>
  </si>
  <si>
    <t>Traversvirus F451</t>
  </si>
  <si>
    <t>Traversvirus II</t>
  </si>
  <si>
    <t>Traversvirus min27</t>
  </si>
  <si>
    <t>Traversvirus P27</t>
  </si>
  <si>
    <t>Traversvirus PA28</t>
  </si>
  <si>
    <t>Traversvirus SH2026Stx1</t>
  </si>
  <si>
    <t>Traversvirus ST28624</t>
  </si>
  <si>
    <t>Traversvirus tv86</t>
  </si>
  <si>
    <t>Traversvirus tv24B</t>
  </si>
  <si>
    <t>Traversvirus tv933W</t>
  </si>
  <si>
    <t>Traversvirus WGPS9</t>
  </si>
  <si>
    <t>Bembunaquatrovirus BMBtp14</t>
  </si>
  <si>
    <t>Pushchinovirus B83</t>
  </si>
  <si>
    <t>Stephanstirmvirinae</t>
  </si>
  <si>
    <t>Justusliebigvirus</t>
  </si>
  <si>
    <t>Justusliebigvirus alia</t>
  </si>
  <si>
    <t>Justusliebigvirus muut</t>
  </si>
  <si>
    <t>Justusliebigvirus PD06</t>
  </si>
  <si>
    <t>Justusliebigvirus PHB05</t>
  </si>
  <si>
    <t>Justusliebigvirus phi92</t>
  </si>
  <si>
    <t>Justusliebigvirus VEcB</t>
  </si>
  <si>
    <t>Phapecoctavirus anhysbys</t>
  </si>
  <si>
    <t>Phapecoctavirus Mt1B1P17</t>
  </si>
  <si>
    <t>Phapecoctavirus nepoznato</t>
  </si>
  <si>
    <t>Phapecoctavirus nieznany</t>
  </si>
  <si>
    <t>Phapecoctavirus Ro121c4YLVW</t>
  </si>
  <si>
    <t>Phapecoctavirus TSP7</t>
  </si>
  <si>
    <t>Phapecoctavirus tuntematon</t>
  </si>
  <si>
    <t>Phapecoctavirus ukendt</t>
  </si>
  <si>
    <t>Jelitavirus B025</t>
  </si>
  <si>
    <t>Slepowronvirus LP101</t>
  </si>
  <si>
    <t>Slepowronvirus LPHM00113468</t>
  </si>
  <si>
    <t>Douglaswolinvirus B2</t>
  </si>
  <si>
    <t>Lenusvirus lenus</t>
  </si>
  <si>
    <t>Lenusvirus nyseid</t>
  </si>
  <si>
    <t>Lenusvirus SAC12</t>
  </si>
  <si>
    <t>Lidleunavirus Ldl1</t>
  </si>
  <si>
    <t>Lidleunavirus ViSo2018a</t>
  </si>
  <si>
    <t>Maenadvirus maenad</t>
  </si>
  <si>
    <t>Maenadvirus P1</t>
  </si>
  <si>
    <t>Maenadvirus satyr</t>
  </si>
  <si>
    <t>Avunavirus Av05</t>
  </si>
  <si>
    <t>Certrevirus CR3</t>
  </si>
  <si>
    <t>Certrevirus CR8</t>
  </si>
  <si>
    <t>Certrevirus CR9</t>
  </si>
  <si>
    <t>Certrevirus PBES02</t>
  </si>
  <si>
    <t>Certrevirus phiTE</t>
  </si>
  <si>
    <t>Henunavirus hena1</t>
  </si>
  <si>
    <t>Henunavirus SNUABM01</t>
  </si>
  <si>
    <t>Mydovirus BIS47</t>
  </si>
  <si>
    <t>Mydovirus KB57</t>
  </si>
  <si>
    <t>Mydovirus KNP2</t>
  </si>
  <si>
    <t>Mydovirus KpS8</t>
  </si>
  <si>
    <t>Mydovirus mydo</t>
  </si>
  <si>
    <t>Mydovirus Ro1</t>
  </si>
  <si>
    <t>Seunavirus 4MG</t>
  </si>
  <si>
    <t>Seunavirus GAP31</t>
  </si>
  <si>
    <t>Seunavirus PVPSE1</t>
  </si>
  <si>
    <t>Seunavirus SSE121</t>
  </si>
  <si>
    <t>Vequintavirus APECc02</t>
  </si>
  <si>
    <t>Vequintavirus FFH2</t>
  </si>
  <si>
    <t>Vequintavirus FV3</t>
  </si>
  <si>
    <t>Vequintavirus JES2013</t>
  </si>
  <si>
    <t>Vequintavirus murica</t>
  </si>
  <si>
    <t>Vequintavirus slur16</t>
  </si>
  <si>
    <t>Vequintavirus V5</t>
  </si>
  <si>
    <t>Vequintavirus V18</t>
  </si>
  <si>
    <t>Weiservirinae</t>
  </si>
  <si>
    <t>Amginevirus</t>
  </si>
  <si>
    <t>Amginevirus amgine</t>
  </si>
  <si>
    <t>Amginevirus amohnition</t>
  </si>
  <si>
    <t>Amginevirus darthP</t>
  </si>
  <si>
    <t>Amginevirus ekdilam</t>
  </si>
  <si>
    <t>Amginevirus ellie</t>
  </si>
  <si>
    <t>Aminayvirus</t>
  </si>
  <si>
    <t>Aminayvirus aminay</t>
  </si>
  <si>
    <t>Anayavirus</t>
  </si>
  <si>
    <t>Anayavirus adephagia</t>
  </si>
  <si>
    <t>Anayavirus adonis</t>
  </si>
  <si>
    <t>Anayavirus alishaPH</t>
  </si>
  <si>
    <t>Anayavirus amelie</t>
  </si>
  <si>
    <t>Anayavirus anaya</t>
  </si>
  <si>
    <t>Anayavirus angelica</t>
  </si>
  <si>
    <t>Anayavirus apocalypse</t>
  </si>
  <si>
    <t>Anayavirus beezoo</t>
  </si>
  <si>
    <t>Anayavirus bella96</t>
  </si>
  <si>
    <t>Anayavirus chris</t>
  </si>
  <si>
    <t>Anayavirus crimD</t>
  </si>
  <si>
    <t>Anayavirus curiosium</t>
  </si>
  <si>
    <t>Anayavirus JAWS</t>
  </si>
  <si>
    <t>Anayavirus kisi</t>
  </si>
  <si>
    <t>Anayavirus lasthope</t>
  </si>
  <si>
    <t>Anayavirus laterM</t>
  </si>
  <si>
    <t>Anayavirus markphew</t>
  </si>
  <si>
    <t>Anayavirus marshawn</t>
  </si>
  <si>
    <t>Anayavirus murucutumbu</t>
  </si>
  <si>
    <t>Anayavirus nibb</t>
  </si>
  <si>
    <t>Anayavirus niklas</t>
  </si>
  <si>
    <t>Anayavirus prithvi</t>
  </si>
  <si>
    <t>Anayavirus sirphilip</t>
  </si>
  <si>
    <t>Anayavirus urkel</t>
  </si>
  <si>
    <t>Anayavirus validus</t>
  </si>
  <si>
    <t>Anayavirus yuna</t>
  </si>
  <si>
    <t>Anayavirus yunkel11</t>
  </si>
  <si>
    <t>Anayavirus zavala</t>
  </si>
  <si>
    <t>Fionnbharthvirus</t>
  </si>
  <si>
    <t>Fionnbharthvirus eponine</t>
  </si>
  <si>
    <t>Fionnbharthvirus fionnbharth</t>
  </si>
  <si>
    <t>Fionnbharthvirus henu3</t>
  </si>
  <si>
    <t>Fionnbharthvirus patt</t>
  </si>
  <si>
    <t>Fionnbharthvirus taquito</t>
  </si>
  <si>
    <t>Keshuvirus</t>
  </si>
  <si>
    <t>Keshuvirus hurricane</t>
  </si>
  <si>
    <t>Keshuvirus keshu</t>
  </si>
  <si>
    <t>Keshuvirus macncheese</t>
  </si>
  <si>
    <t>Keshuvirus pixie</t>
  </si>
  <si>
    <t>Keshuvirus shedlockholmes</t>
  </si>
  <si>
    <t>Kratiovirus</t>
  </si>
  <si>
    <t>Kratiovirus collard</t>
  </si>
  <si>
    <t>Kratiovirus gengar</t>
  </si>
  <si>
    <t>Kratiovirus kratio</t>
  </si>
  <si>
    <t>Kratiovirus larva</t>
  </si>
  <si>
    <t>Kratiovirus leston</t>
  </si>
  <si>
    <t>Kratiovirus omnicron</t>
  </si>
  <si>
    <t>Kratiovirus paola</t>
  </si>
  <si>
    <t>Kratiovirus rando14</t>
  </si>
  <si>
    <t>Kratiovirus thyatira</t>
  </si>
  <si>
    <t>Timquatrovirus findley</t>
  </si>
  <si>
    <t>Timquatrovirus mufasa</t>
  </si>
  <si>
    <t>Timquatrovirus zoeJ</t>
  </si>
  <si>
    <t>Unicornvirus</t>
  </si>
  <si>
    <t>Unicornvirus bryler</t>
  </si>
  <si>
    <t>Unicornvirus krueger</t>
  </si>
  <si>
    <t>Unicornvirus shandong1</t>
  </si>
  <si>
    <t>Unicornvirus unicorn</t>
  </si>
  <si>
    <t>Unicornvirus ximenita</t>
  </si>
  <si>
    <t>Abbeymikolonvirus abbeymikolon</t>
  </si>
  <si>
    <t>Abouovirus abouo</t>
  </si>
  <si>
    <t>Abouovirus davies</t>
  </si>
  <si>
    <t>Agmunavirus AGM1</t>
  </si>
  <si>
    <t>Agricanvirus deimos</t>
  </si>
  <si>
    <t>Agricanvirus desertfox</t>
  </si>
  <si>
    <t>Agricanvirus Ea3570</t>
  </si>
  <si>
    <t>Agricanvirus ray</t>
  </si>
  <si>
    <t>Agricanvirus simmy50</t>
  </si>
  <si>
    <t>Agricanvirus specialG</t>
  </si>
  <si>
    <t>Aguilavirus mEp043</t>
  </si>
  <si>
    <t>Aguilavirus mEp213</t>
  </si>
  <si>
    <t>Akiravirus</t>
  </si>
  <si>
    <t>Akiravirus akira</t>
  </si>
  <si>
    <t>Alachuavirus Xp15</t>
  </si>
  <si>
    <t>Alcyoneusvirus K641</t>
  </si>
  <si>
    <t>Alcyoneusvirus RaK2</t>
  </si>
  <si>
    <t>Alegriavirus av2B8</t>
  </si>
  <si>
    <t>Alexandravirus AD1</t>
  </si>
  <si>
    <t>Alexandravirus alexandra</t>
  </si>
  <si>
    <t>Amigovirus amigo</t>
  </si>
  <si>
    <t>Amigovirus molivia</t>
  </si>
  <si>
    <t>Anamdongvirus LBR48</t>
  </si>
  <si>
    <t>Anatolevirus anatole</t>
  </si>
  <si>
    <t>Anatolevirus B3</t>
  </si>
  <si>
    <t>Andrewvirus andrew</t>
  </si>
  <si>
    <t>Andromedavirus andromeda</t>
  </si>
  <si>
    <t>Andromedavirus blastoid</t>
  </si>
  <si>
    <t>Andromedavirus curly</t>
  </si>
  <si>
    <t>Andromedavirus eoghan</t>
  </si>
  <si>
    <t>Andromedavirus finn</t>
  </si>
  <si>
    <t>Andromedavirus glittering</t>
  </si>
  <si>
    <t>Andromedavirus riggi</t>
  </si>
  <si>
    <t>Andromedavirus taylor</t>
  </si>
  <si>
    <t>Anjalivirus anjali</t>
  </si>
  <si>
    <t>Anjalivirus mendel</t>
  </si>
  <si>
    <t>Annadreamyvirus annadreamy</t>
  </si>
  <si>
    <t>Annadreamyvirus blueeyedbeauty</t>
  </si>
  <si>
    <t>Anthonyvirus</t>
  </si>
  <si>
    <t>Anthonyvirus anthony</t>
  </si>
  <si>
    <t>Aokuangvirus SCBWM1</t>
  </si>
  <si>
    <t>Appavirus appa</t>
  </si>
  <si>
    <t>Apricotvirus apricot</t>
  </si>
  <si>
    <t>Arawnvirus arawn</t>
  </si>
  <si>
    <t>Archimedesvirus</t>
  </si>
  <si>
    <t>Archimedesvirus archimedes</t>
  </si>
  <si>
    <t>Armstrongvirus armstrong</t>
  </si>
  <si>
    <t>Ashduovirus A2</t>
  </si>
  <si>
    <t>Asteriusvirus av121Q</t>
  </si>
  <si>
    <t>Asteriusvirus PBECO4</t>
  </si>
  <si>
    <t>Astrithrvirus astrithr</t>
  </si>
  <si>
    <t>Attisvirus attis</t>
  </si>
  <si>
    <t>Attoomivirus attoomi</t>
  </si>
  <si>
    <t>Audreyjarvisvirus AM1</t>
  </si>
  <si>
    <t>Audreyjarvisvirus AM4</t>
  </si>
  <si>
    <t>Audreyjarvisvirus av949</t>
  </si>
  <si>
    <t>Audreyjarvisvirus L47</t>
  </si>
  <si>
    <t>Audreyjarvisvirus LW81</t>
  </si>
  <si>
    <t>Audreyjarvisvirus P1048</t>
  </si>
  <si>
    <t>Audreyjarvisvirus WRP3</t>
  </si>
  <si>
    <t>Aurunvirus STIM5</t>
  </si>
  <si>
    <t>Austintatiousvirus austintatious</t>
  </si>
  <si>
    <t>Austintatiousvirus ididsumtinwong</t>
  </si>
  <si>
    <t>Austintatiousvirus papayasalad</t>
  </si>
  <si>
    <t>Ayohtrevirus abba</t>
  </si>
  <si>
    <t>Backyardiganvirus</t>
  </si>
  <si>
    <t>Backyardiganvirus arturo</t>
  </si>
  <si>
    <t>Backyardiganvirus backyardigan</t>
  </si>
  <si>
    <t>Backyardiganvirus bellusterra</t>
  </si>
  <si>
    <t>Backyardiganvirus camperdownii</t>
  </si>
  <si>
    <t>Backyardiganvirus cerulean</t>
  </si>
  <si>
    <t>Backyardiganvirus cindaradix</t>
  </si>
  <si>
    <t>Backyardiganvirus cintron</t>
  </si>
  <si>
    <t>Backyardiganvirus icleared</t>
  </si>
  <si>
    <t>Backyardiganvirus leoavram</t>
  </si>
  <si>
    <t>Backyardiganvirus LHTSCC</t>
  </si>
  <si>
    <t>Backyardiganvirus miramae</t>
  </si>
  <si>
    <t>Backyardiganvirus mundrea</t>
  </si>
  <si>
    <t>Backyardiganvirus noelle</t>
  </si>
  <si>
    <t>Backyardiganvirus peaches</t>
  </si>
  <si>
    <t>Backyardiganvirus stasia</t>
  </si>
  <si>
    <t>Backyardiganvirus wizard007</t>
  </si>
  <si>
    <t>Badaztecvirus badaargau2</t>
  </si>
  <si>
    <t>Badaztecvirus badaztec1</t>
  </si>
  <si>
    <t>Baikalvirus PaBG</t>
  </si>
  <si>
    <t>Bakolyvirus bakoly</t>
  </si>
  <si>
    <t>Bakolyvirus simangalove</t>
  </si>
  <si>
    <t>Bantamvirus bantam</t>
  </si>
  <si>
    <t>Barbavirus barba18A</t>
  </si>
  <si>
    <t>Barbavirus barba19A</t>
  </si>
  <si>
    <t>Barbavirus barba21A</t>
  </si>
  <si>
    <t>Barbavirus barba5S</t>
  </si>
  <si>
    <t>Barbavirus barba8S</t>
  </si>
  <si>
    <t>Barnyardvirus barnyard</t>
  </si>
  <si>
    <t>Barnyardvirus drlupo</t>
  </si>
  <si>
    <t>Bcepfunavirus bcepF1</t>
  </si>
  <si>
    <t>Bcepmuvirus bcepMu</t>
  </si>
  <si>
    <t>Bcepmuvirus E255</t>
  </si>
  <si>
    <t>Beceayunavirus BceA1</t>
  </si>
  <si>
    <t>Becedseptimavirus BCD7</t>
  </si>
  <si>
    <t>Beetrevirus B3</t>
  </si>
  <si>
    <t>Beetrevirus JBD67</t>
  </si>
  <si>
    <t>Beetrevirus JD18</t>
  </si>
  <si>
    <t>Beetrevirus PM105</t>
  </si>
  <si>
    <t>Behunavirus BH1</t>
  </si>
  <si>
    <t>Bendigovirus GMA6</t>
  </si>
  <si>
    <t>Benedictvirus</t>
  </si>
  <si>
    <t>Benedictvirus archetta</t>
  </si>
  <si>
    <t>Benedictvirus benedict</t>
  </si>
  <si>
    <t>Benedictvirus bluefalcon</t>
  </si>
  <si>
    <t>Benedictvirus chadwick</t>
  </si>
  <si>
    <t>Benedictvirus cuco</t>
  </si>
  <si>
    <t>Benedictvirus jovo</t>
  </si>
  <si>
    <t>Benedictvirus littlecherry</t>
  </si>
  <si>
    <t>Benedictvirus naca</t>
  </si>
  <si>
    <t>Benedictvirus scorpia</t>
  </si>
  <si>
    <t>Benedictvirus swirley</t>
  </si>
  <si>
    <t>Benedictvirus theia</t>
  </si>
  <si>
    <t>Benedictvirus tiger</t>
  </si>
  <si>
    <t>Benedictvirus unionjack</t>
  </si>
  <si>
    <t>Benedictvirus zolita</t>
  </si>
  <si>
    <t>Bernalvirus bernal13</t>
  </si>
  <si>
    <t>Bernalvirus mendokysei</t>
  </si>
  <si>
    <t>Betterkatzvirus betterkatz</t>
  </si>
  <si>
    <t>Bievrevirus bv4A7</t>
  </si>
  <si>
    <t>Bingvirus bing</t>
  </si>
  <si>
    <t>Bippervirus</t>
  </si>
  <si>
    <t>Bippervirus bipper</t>
  </si>
  <si>
    <t>Bjornvirus bjorn</t>
  </si>
  <si>
    <t>Borockvirus brock</t>
  </si>
  <si>
    <t>Bowservirus bowser</t>
  </si>
  <si>
    <t>Bridgettevirus bridgette</t>
  </si>
  <si>
    <t>Bridgettevirus constance</t>
  </si>
  <si>
    <t>Bridgettevirus eileen</t>
  </si>
  <si>
    <t>Bridgettevirus judy</t>
  </si>
  <si>
    <t>Bridgettevirus peas</t>
  </si>
  <si>
    <t>Brigitvirus brigit</t>
  </si>
  <si>
    <t>Britbratvirus britbrat</t>
  </si>
  <si>
    <t>Brunovirus SEN34</t>
  </si>
  <si>
    <t>Brussowvirus ALQ132</t>
  </si>
  <si>
    <t>Brussowvirus bv858</t>
  </si>
  <si>
    <t>Brussowvirus bv2972</t>
  </si>
  <si>
    <t>Brussowvirus bvO1205</t>
  </si>
  <si>
    <t>Brussowvirus Sfi11</t>
  </si>
  <si>
    <t>Bruynoghevirus Ab22</t>
  </si>
  <si>
    <t>Bruynoghevirus CHU</t>
  </si>
  <si>
    <t>Bruynoghevirus LUZ24</t>
  </si>
  <si>
    <t>Bruynoghevirus PAA2</t>
  </si>
  <si>
    <t>Bruynoghevirus PaP3</t>
  </si>
  <si>
    <t>Bruynoghevirus PaP4</t>
  </si>
  <si>
    <t>Bruynoghevirus TL</t>
  </si>
  <si>
    <t>Buchananvirus</t>
  </si>
  <si>
    <t>Buchananvirus Sa179lw</t>
  </si>
  <si>
    <t>Burrovirus araxxi</t>
  </si>
  <si>
    <t>Burrovirus arete</t>
  </si>
  <si>
    <t>Burrovirus burro</t>
  </si>
  <si>
    <t>Busanvirus ACP17</t>
  </si>
  <si>
    <t>Caminolopintovirus</t>
  </si>
  <si>
    <t>Caminolopintovirus STGO351</t>
  </si>
  <si>
    <t>Camtrevirus BtCS33</t>
  </si>
  <si>
    <t>Camtrevirus CM3</t>
  </si>
  <si>
    <t>Camtrevirus S3501</t>
  </si>
  <si>
    <t>Carpasinavirus carpasina</t>
  </si>
  <si>
    <t>Carpasinavirus XcP1</t>
  </si>
  <si>
    <t>Casadabanvirus D3112</t>
  </si>
  <si>
    <t>Casadabanvirus DMS3</t>
  </si>
  <si>
    <t>Casadabanvirus FHA0480</t>
  </si>
  <si>
    <t>Casadabanvirus LPB1</t>
  </si>
  <si>
    <t>Casadabanvirus MP22</t>
  </si>
  <si>
    <t>Casadabanvirus MP29</t>
  </si>
  <si>
    <t>Casadabanvirus MP38</t>
  </si>
  <si>
    <t>Casadabanvirus PA1KOR</t>
  </si>
  <si>
    <t>Cbastvirus ST</t>
  </si>
  <si>
    <t>Cecivirus cv250</t>
  </si>
  <si>
    <t>Cecivirus IEBH</t>
  </si>
  <si>
    <t>Cedarrivervirus</t>
  </si>
  <si>
    <t>Cedarrivervirus Sf11</t>
  </si>
  <si>
    <t>Ceduovirus bIBB14</t>
  </si>
  <si>
    <t>Ceduovirus bIBBA3</t>
  </si>
  <si>
    <t>Ceduovirus bIBBAm4</t>
  </si>
  <si>
    <t>Ceduovirus bIBBE1</t>
  </si>
  <si>
    <t>Ceduovirus bIBBL12</t>
  </si>
  <si>
    <t>Ceduovirus bIBBp64</t>
  </si>
  <si>
    <t>Ceduovirus bIL67</t>
  </si>
  <si>
    <t>Ceduovirus blBB94p4</t>
  </si>
  <si>
    <t>Ceduovirus c2</t>
  </si>
  <si>
    <t>Ceduovirus CHPC116</t>
  </si>
  <si>
    <t>Ceduovirus CHPC122</t>
  </si>
  <si>
    <t>Ceduovirus CHPC966</t>
  </si>
  <si>
    <t>Ceduovirus CHPC967</t>
  </si>
  <si>
    <t>Ceduovirus CHPC972</t>
  </si>
  <si>
    <t>Ceduovirus CHPC1020</t>
  </si>
  <si>
    <t>Ceduovirus CHPC1170</t>
  </si>
  <si>
    <t>Ceduovirus CHPC1182</t>
  </si>
  <si>
    <t>Ceduovirus CHPC1183</t>
  </si>
  <si>
    <t>Ceduovirus CHPC1242</t>
  </si>
  <si>
    <t>Ceduovirus cv05802</t>
  </si>
  <si>
    <t>Ceduovirus cv20R03M</t>
  </si>
  <si>
    <t>Ceduovirus cv37203</t>
  </si>
  <si>
    <t>Ceduovirus cv50102</t>
  </si>
  <si>
    <t>Ceduovirus cv50504</t>
  </si>
  <si>
    <t>Ceduovirus cv5171F</t>
  </si>
  <si>
    <t>Ceduovirus cv62402</t>
  </si>
  <si>
    <t>Ceduovirus cv62403</t>
  </si>
  <si>
    <t>Ceduovirus cv62606</t>
  </si>
  <si>
    <t>Ceduovirus D4410</t>
  </si>
  <si>
    <t>Ceduovirus D4412</t>
  </si>
  <si>
    <t>Ceduovirus LacS15</t>
  </si>
  <si>
    <t>Ceduovirus M5938</t>
  </si>
  <si>
    <t>Ceduovirus PCB1</t>
  </si>
  <si>
    <t>Ceduovirus PCS1</t>
  </si>
  <si>
    <t>Cequinquevirus c5</t>
  </si>
  <si>
    <t>Cequinquevirus Ld3</t>
  </si>
  <si>
    <t>Cequinquevirus Ld17</t>
  </si>
  <si>
    <t>Cequinquevirus Ld25A</t>
  </si>
  <si>
    <t>Cequinquevirus Ldb</t>
  </si>
  <si>
    <t>Cequinquevirus LLKu</t>
  </si>
  <si>
    <t>Chakrabartyvirus pf16</t>
  </si>
  <si>
    <t>Chenonavirus Che9c</t>
  </si>
  <si>
    <t>Chenonavirus sbash</t>
  </si>
  <si>
    <t>Chertseyvirus GE1</t>
  </si>
  <si>
    <t>Chiangmaivirus RSF1</t>
  </si>
  <si>
    <t>Chiangmaivirus RSL2</t>
  </si>
  <si>
    <t>Chopinvirus KSY1</t>
  </si>
  <si>
    <t>Cimandefvirus cimandef</t>
  </si>
  <si>
    <t>Cimandefvirus eline</t>
  </si>
  <si>
    <t>Cimandefvirus gamede</t>
  </si>
  <si>
    <t>Cimandefvirus Ggerry</t>
  </si>
  <si>
    <t>Cimandefvirus heva</t>
  </si>
  <si>
    <t>Cimpunavirus CMP1</t>
  </si>
  <si>
    <t>Cinunavirus CN1A</t>
  </si>
  <si>
    <t>Clownvirus</t>
  </si>
  <si>
    <t>Clownvirus clown</t>
  </si>
  <si>
    <t>Coatlandelriovirus</t>
  </si>
  <si>
    <t>Coatlandelriovirus RSP</t>
  </si>
  <si>
    <t>Coetzeevirus ATCC8014</t>
  </si>
  <si>
    <t>Coetzeevirus cIP1</t>
  </si>
  <si>
    <t>Coetzeevirus JL1</t>
  </si>
  <si>
    <t>Colneyvirus CD27</t>
  </si>
  <si>
    <t>Colneyvirus CD505</t>
  </si>
  <si>
    <t>Colneyvirus CDKM9</t>
  </si>
  <si>
    <t>Colneyvirus CDKM15</t>
  </si>
  <si>
    <t>Colneyvirus MMP02</t>
  </si>
  <si>
    <t>Colunavirus CL1</t>
  </si>
  <si>
    <t>Colunavirus CL2</t>
  </si>
  <si>
    <t>Colunavirus iLp1308</t>
  </si>
  <si>
    <t>Coralvirus coral</t>
  </si>
  <si>
    <t>Coralvirus kepler</t>
  </si>
  <si>
    <t>Corndogvirus catdawg</t>
  </si>
  <si>
    <t>Corndogvirus corndog</t>
  </si>
  <si>
    <t>Corndogvirus firecracker</t>
  </si>
  <si>
    <t>Corndogvirus ryadel</t>
  </si>
  <si>
    <t>Coventryvirus SN8</t>
  </si>
  <si>
    <t>Coventryvirus SP120</t>
  </si>
  <si>
    <t>Coventryvirus SP197</t>
  </si>
  <si>
    <t>Coventryvirus SP276</t>
  </si>
  <si>
    <t>Coventryvirus SP441</t>
  </si>
  <si>
    <t>Coventryvirus SpT152</t>
  </si>
  <si>
    <t>Coventryvirus WIS42</t>
  </si>
  <si>
    <t>Cronusvirus cronus</t>
  </si>
  <si>
    <t>Cukevirus cuke</t>
  </si>
  <si>
    <t>Daredevilvirus daredevil</t>
  </si>
  <si>
    <t>Decurrovirus decurro</t>
  </si>
  <si>
    <t>Delepquintavirus DLP5</t>
  </si>
  <si>
    <t>Delislevirus P1</t>
  </si>
  <si>
    <t>Demosthenesvirus demosthenes</t>
  </si>
  <si>
    <t>Demosthenesvirus katyusha</t>
  </si>
  <si>
    <t>Derbicusvirus derbicus</t>
  </si>
  <si>
    <t>Deseoctovirus</t>
  </si>
  <si>
    <t>Deseoctovirus C1</t>
  </si>
  <si>
    <t>Deseoctovirus DS8</t>
  </si>
  <si>
    <t>Detrevirus D3</t>
  </si>
  <si>
    <t>Detrevirus PMG1</t>
  </si>
  <si>
    <t>Deurplevirus deeppurple</t>
  </si>
  <si>
    <t>Dexdertvirus</t>
  </si>
  <si>
    <t>Dexdertvirus dexdert</t>
  </si>
  <si>
    <t>Dexdertvirus GTE6</t>
  </si>
  <si>
    <t>Dexdertvirus tiamoceli</t>
  </si>
  <si>
    <t>Dhillonvirus EK99P1</t>
  </si>
  <si>
    <t>Dhillonvirus EP23</t>
  </si>
  <si>
    <t>Dhillonvirus HK578</t>
  </si>
  <si>
    <t>Dhillonvirus JL1</t>
  </si>
  <si>
    <t>Dhillonvirus SO1</t>
  </si>
  <si>
    <t>Dhillonvirus SSL2009a</t>
  </si>
  <si>
    <t>Dhillonvirus YD2008s</t>
  </si>
  <si>
    <t>Dibbivirus AAM37</t>
  </si>
  <si>
    <t>Dibbivirus DIBBI</t>
  </si>
  <si>
    <t>Dibbivirus PSKM</t>
  </si>
  <si>
    <t>Dinavirus dina</t>
  </si>
  <si>
    <t>Dismasvirus dismas</t>
  </si>
  <si>
    <t>Donellivirus gee</t>
  </si>
  <si>
    <t>Doucettevirus B22</t>
  </si>
  <si>
    <t>Doucettevirus doucette</t>
  </si>
  <si>
    <t>Doucettevirus E6</t>
  </si>
  <si>
    <t>Doucettevirus G4</t>
  </si>
  <si>
    <t>Dybvigvirus Av1</t>
  </si>
  <si>
    <t>Eagleeyevirus</t>
  </si>
  <si>
    <t>Eagleeyevirus eagleeye</t>
  </si>
  <si>
    <t>Edenvirus eden</t>
  </si>
  <si>
    <t>Efquatrovirus AL2</t>
  </si>
  <si>
    <t>Efquatrovirus AL3</t>
  </si>
  <si>
    <t>Efquatrovirus AUEF3</t>
  </si>
  <si>
    <t>Efquatrovirus EcZZ2</t>
  </si>
  <si>
    <t>Efquatrovirus EF3</t>
  </si>
  <si>
    <t>Efquatrovirus EF4</t>
  </si>
  <si>
    <t>Efquatrovirus EfaCPT1</t>
  </si>
  <si>
    <t>Efquatrovirus IME196</t>
  </si>
  <si>
    <t>Efquatrovirus LY0322</t>
  </si>
  <si>
    <t>Efquatrovirus PMBT2</t>
  </si>
  <si>
    <t>Efquatrovirus SANTOR1</t>
  </si>
  <si>
    <t>Efquatrovirus SHEF2</t>
  </si>
  <si>
    <t>Efquatrovirus SHEF4</t>
  </si>
  <si>
    <t>Efquatrovirus SHEF5</t>
  </si>
  <si>
    <t>Eiauvirus eiAU</t>
  </si>
  <si>
    <t>Eisenstarkvirus L7</t>
  </si>
  <si>
    <t>Elemovirus</t>
  </si>
  <si>
    <t>Elemovirus elemoA</t>
  </si>
  <si>
    <t>Elemovirus elemoB</t>
  </si>
  <si>
    <t>Elemovirus elemoC</t>
  </si>
  <si>
    <t>Elemovirus elemoD</t>
  </si>
  <si>
    <t>Elemovirus elemoE</t>
  </si>
  <si>
    <t>Elemovirus elemoF</t>
  </si>
  <si>
    <t>Elerivirus eleri</t>
  </si>
  <si>
    <t>Elmenteitavirus ev125</t>
  </si>
  <si>
    <t>Elvirus EL</t>
  </si>
  <si>
    <t>Emalynvirus cozz</t>
  </si>
  <si>
    <t>Emalynvirus emalyn</t>
  </si>
  <si>
    <t>Emalynvirus GTE2</t>
  </si>
  <si>
    <t>Emalynvirus troje</t>
  </si>
  <si>
    <t>Emdodecavirus M7</t>
  </si>
  <si>
    <t>Emdodecavirus M12</t>
  </si>
  <si>
    <t>Emdodecavirus N3</t>
  </si>
  <si>
    <t>Eneladusvirus BF</t>
  </si>
  <si>
    <t>Eneladusvirus Yen904</t>
  </si>
  <si>
    <t>Enhodamvirus VC8</t>
  </si>
  <si>
    <t>Enhodamvirus VP2</t>
  </si>
  <si>
    <t>Enhodamvirus VP5</t>
  </si>
  <si>
    <t>Eponavirus epona</t>
  </si>
  <si>
    <t>Erskinevirus asesino</t>
  </si>
  <si>
    <t>Erskinevirus EaH2</t>
  </si>
  <si>
    <t>Eurybiavirus MED4213</t>
  </si>
  <si>
    <t>Eurybiavirus PHM1</t>
  </si>
  <si>
    <t>Eurybiavirus PHM2</t>
  </si>
  <si>
    <t>Eyrevirus eyre</t>
  </si>
  <si>
    <t>Fairfaxidumvirus fairfaxidum</t>
  </si>
  <si>
    <t>Fairfaxidumvirus toast</t>
  </si>
  <si>
    <t>Fairfaxidumvirus william</t>
  </si>
  <si>
    <t>Farahnazvirus ISF9</t>
  </si>
  <si>
    <t>Fattrevirus AT3</t>
  </si>
  <si>
    <t>Feofaniavirus Eho49</t>
  </si>
  <si>
    <t>Feofaniavirus Eho59</t>
  </si>
  <si>
    <t>Fernvirus BN12</t>
  </si>
  <si>
    <t>Fernvirus diva</t>
  </si>
  <si>
    <t>Fernvirus eltigre</t>
  </si>
  <si>
    <t>Fernvirus fern</t>
  </si>
  <si>
    <t>Fernvirus Hb10c2</t>
  </si>
  <si>
    <t>Fernvirus jacopo</t>
  </si>
  <si>
    <t>Fernvirus kawika</t>
  </si>
  <si>
    <t>Fernvirus leyra</t>
  </si>
  <si>
    <t>Fernvirus likha</t>
  </si>
  <si>
    <t>Fernvirus lucielle</t>
  </si>
  <si>
    <t>Fernvirus P123</t>
  </si>
  <si>
    <t>Fernvirus pagassa</t>
  </si>
  <si>
    <t>Fernvirus PBL1c</t>
  </si>
  <si>
    <t>Fernvirus rani</t>
  </si>
  <si>
    <t>Fernvirus shelly</t>
  </si>
  <si>
    <t>Fernvirus sitara</t>
  </si>
  <si>
    <t>Fernvirus tadhana</t>
  </si>
  <si>
    <t>Fernvirus yyerffej</t>
  </si>
  <si>
    <t>Fibralongavirus fv2638A</t>
  </si>
  <si>
    <t>Fibralongavirus QT1</t>
  </si>
  <si>
    <t>Ficleduovirus FCL2</t>
  </si>
  <si>
    <t>Ficleduovirus FCV1</t>
  </si>
  <si>
    <t>Finchvirus</t>
  </si>
  <si>
    <t>Finchvirus finch</t>
  </si>
  <si>
    <t>Fipvunavirus Fpv1</t>
  </si>
  <si>
    <t>Fipvunavirus Fpv4</t>
  </si>
  <si>
    <t>Firingavirus firinga</t>
  </si>
  <si>
    <t>Firingavirus RSK1</t>
  </si>
  <si>
    <t>Flaumdravirus KIL2</t>
  </si>
  <si>
    <t>Flaumdravirus KIL4</t>
  </si>
  <si>
    <t>Fowlmouthvirus fowlmouth</t>
  </si>
  <si>
    <t>Foxquatrovirus</t>
  </si>
  <si>
    <t>Foxquatrovirus fox4</t>
  </si>
  <si>
    <t>Foxunavirus</t>
  </si>
  <si>
    <t>Foxunavirus fox1</t>
  </si>
  <si>
    <t>Foxunavirus fox2</t>
  </si>
  <si>
    <t>Foxunavirus fox3</t>
  </si>
  <si>
    <t>Foxunavirus fox5</t>
  </si>
  <si>
    <t>Franklinbayvirus fv9A</t>
  </si>
  <si>
    <t>Fremauxvirus CHPC971</t>
  </si>
  <si>
    <t>Fremauxvirus fv1706</t>
  </si>
  <si>
    <t>Fromanvirus alma</t>
  </si>
  <si>
    <t>Fromanvirus astro</t>
  </si>
  <si>
    <t>Fromanvirus bethlehem</t>
  </si>
  <si>
    <t>Fromanvirus billknuckles</t>
  </si>
  <si>
    <t>Fromanvirus bpbiebs31</t>
  </si>
  <si>
    <t>Fromanvirus bruns</t>
  </si>
  <si>
    <t>Fromanvirus Bxb1</t>
  </si>
  <si>
    <t>Fromanvirus Che12</t>
  </si>
  <si>
    <t>Fromanvirus D29</t>
  </si>
  <si>
    <t>Fromanvirus doom</t>
  </si>
  <si>
    <t>Fromanvirus euphoria</t>
  </si>
  <si>
    <t>Fromanvirus george</t>
  </si>
  <si>
    <t>Fromanvirus goose</t>
  </si>
  <si>
    <t>Fromanvirus jasper</t>
  </si>
  <si>
    <t>Fromanvirus JC27</t>
  </si>
  <si>
    <t>Fromanvirus KBG</t>
  </si>
  <si>
    <t>Fromanvirus kssjeb</t>
  </si>
  <si>
    <t>Fromanvirus kugel</t>
  </si>
  <si>
    <t>Fromanvirus L5</t>
  </si>
  <si>
    <t>Fromanvirus lesedi</t>
  </si>
  <si>
    <t>Fromanvirus lockley</t>
  </si>
  <si>
    <t>Fromanvirus marcell</t>
  </si>
  <si>
    <t>Fromanvirus mrgordo</t>
  </si>
  <si>
    <t>Fromanvirus museum</t>
  </si>
  <si>
    <t>Fromanvirus nepal</t>
  </si>
  <si>
    <t>Fromanvirus packman</t>
  </si>
  <si>
    <t>Fromanvirus perseus</t>
  </si>
  <si>
    <t>Fromanvirus rebeuca</t>
  </si>
  <si>
    <t>Fromanvirus redrock</t>
  </si>
  <si>
    <t>Fromanvirus ridgecb</t>
  </si>
  <si>
    <t>Fromanvirus saintus</t>
  </si>
  <si>
    <t>Fromanvirus skipole</t>
  </si>
  <si>
    <t>Fromanvirus solon</t>
  </si>
  <si>
    <t>Fromanvirus switzer</t>
  </si>
  <si>
    <t>Fromanvirus SWU1</t>
  </si>
  <si>
    <t>Fromanvirus trixie</t>
  </si>
  <si>
    <t>Fromanvirus twister</t>
  </si>
  <si>
    <t>Fromanvirus U2</t>
  </si>
  <si>
    <t>Fromanvirus violet</t>
  </si>
  <si>
    <t>Fukuivirus LMM01</t>
  </si>
  <si>
    <t>Fukuivirus MVDC</t>
  </si>
  <si>
    <t>Gaiavirus gaia</t>
  </si>
  <si>
    <t>Galaxyvirus abidatro</t>
  </si>
  <si>
    <t>Galaxyvirus galaxy</t>
  </si>
  <si>
    <t>Galunavirus GAL1</t>
  </si>
  <si>
    <t>Gamtrevirus GMA3</t>
  </si>
  <si>
    <t>Gervaisevirus claudettte</t>
  </si>
  <si>
    <t>Gervaisevirus gervaise</t>
  </si>
  <si>
    <t>Gervaisevirus GP4</t>
  </si>
  <si>
    <t>Getseptimavirus GMA7</t>
  </si>
  <si>
    <t>Getseptimavirus GTE7</t>
  </si>
  <si>
    <t>Ghobesvirus ghobes</t>
  </si>
  <si>
    <t>Gilesvirus giles</t>
  </si>
  <si>
    <t>Gillianvirus oneinagillian</t>
  </si>
  <si>
    <t>Gilsonvirus comrade</t>
  </si>
  <si>
    <t>Gilsonvirus gilson</t>
  </si>
  <si>
    <t>Gladiatorvirus</t>
  </si>
  <si>
    <t>Gladiatorvirus blinn1</t>
  </si>
  <si>
    <t>Gladiatorvirus CloudWang3</t>
  </si>
  <si>
    <t>Gladiatorvirus ericB</t>
  </si>
  <si>
    <t>Gladiatorvirus gladiator</t>
  </si>
  <si>
    <t>Gladiatorvirus hammer</t>
  </si>
  <si>
    <t>Gladiatorvirus jeffabunny</t>
  </si>
  <si>
    <t>Gladiatorvirus jewelbug</t>
  </si>
  <si>
    <t>Gladiatorvirus koko</t>
  </si>
  <si>
    <t>Gladiatorvirus priamo</t>
  </si>
  <si>
    <t>Gladiatorvirus zaka</t>
  </si>
  <si>
    <t>Glaedevirus gv2H10</t>
  </si>
  <si>
    <t>Godonkavirus godonK</t>
  </si>
  <si>
    <t>Gofduovirus edno5</t>
  </si>
  <si>
    <t>Gofduovirus GF2</t>
  </si>
  <si>
    <t>Goodmanvirus goodman</t>
  </si>
  <si>
    <t>Gordonvirus captnmurica</t>
  </si>
  <si>
    <t>Gordonvirus gordon</t>
  </si>
  <si>
    <t>Gordtnkvirus gordtnk2</t>
  </si>
  <si>
    <t>Gorganvirus isfahan</t>
  </si>
  <si>
    <t>Gorjumvirus jumbo</t>
  </si>
  <si>
    <t>Goslarvirus goslar</t>
  </si>
  <si>
    <t>Gustavvirus gustav</t>
  </si>
  <si>
    <t>Gustavvirus mahdia</t>
  </si>
  <si>
    <t>Halcyonevirus C7Cdelta</t>
  </si>
  <si>
    <t>Halcyonevirus halcyone</t>
  </si>
  <si>
    <t>Halcyonevirus scottie</t>
  </si>
  <si>
    <t>Halcyonevirus tripp</t>
  </si>
  <si>
    <t>Halcyonevirus unity</t>
  </si>
  <si>
    <t>Hapunavirus HAP1</t>
  </si>
  <si>
    <t>Hapunavirus VP882</t>
  </si>
  <si>
    <t>Harrisonburgvirus</t>
  </si>
  <si>
    <t>Harrisonburgvirus persinger</t>
  </si>
  <si>
    <t>Hattifnattvirus hattifnatt</t>
  </si>
  <si>
    <t>Hedwigvirus hedwig</t>
  </si>
  <si>
    <t>Heilongjiangvirus Lb</t>
  </si>
  <si>
    <t>Helsingorvirus Cba121</t>
  </si>
  <si>
    <t>Helsingorvirus Cba171</t>
  </si>
  <si>
    <t>Helsingorvirus Cba181</t>
  </si>
  <si>
    <t>Hiyaavirus hiyaa</t>
  </si>
  <si>
    <t>Hnatkovirus DS6A</t>
  </si>
  <si>
    <t>Hollowayvirus F116</t>
  </si>
  <si>
    <t>Hollowayvirus H66</t>
  </si>
  <si>
    <t>Holosalinivirus M1EM1</t>
  </si>
  <si>
    <t>Holosalinivirus M8CR302</t>
  </si>
  <si>
    <t>Homburgvirus LP26</t>
  </si>
  <si>
    <t>Homburgvirus LP37</t>
  </si>
  <si>
    <t>Homburgvirus LP110</t>
  </si>
  <si>
    <t>Homburgvirus LP114</t>
  </si>
  <si>
    <t>Homburgvirus P70</t>
  </si>
  <si>
    <t>Hubeivirus MY192</t>
  </si>
  <si>
    <t>Hubeivirus PfEFR4</t>
  </si>
  <si>
    <t>Hungariovirus</t>
  </si>
  <si>
    <t>Hungariovirus C1302</t>
  </si>
  <si>
    <t>Iaduovirus iA2</t>
  </si>
  <si>
    <t>Iapetusvirus EaH1</t>
  </si>
  <si>
    <t>Ikedavirus phi673</t>
  </si>
  <si>
    <t>Ikedavirus phi674</t>
  </si>
  <si>
    <t>Ilzatvirus hamlet</t>
  </si>
  <si>
    <t>Ilzatvirus ilzat</t>
  </si>
  <si>
    <t>Ilzatvirus mcgalleon</t>
  </si>
  <si>
    <t>Ilzatvirus monchoix</t>
  </si>
  <si>
    <t>Ilzatvirus teagan</t>
  </si>
  <si>
    <t>Immutovirus</t>
  </si>
  <si>
    <t>Immutovirus immuto</t>
  </si>
  <si>
    <t>Incheonvrus P12002L</t>
  </si>
  <si>
    <t>Incheonvrus P12002S</t>
  </si>
  <si>
    <t>Indlulamithivirus indlulamithi</t>
  </si>
  <si>
    <t>Inhavirus P12024L</t>
  </si>
  <si>
    <t>Inhavirus P12024S</t>
  </si>
  <si>
    <t>Iodovirus PLPE</t>
  </si>
  <si>
    <t>Ionavirus W14</t>
  </si>
  <si>
    <t>Jacevirus jace</t>
  </si>
  <si>
    <t>Jamesmcgillvirus</t>
  </si>
  <si>
    <t>Jamesmcgillvirus jv119X</t>
  </si>
  <si>
    <t>Jamesmcgillvirus PaMx41</t>
  </si>
  <si>
    <t>Jarrellvirus BCAJ1</t>
  </si>
  <si>
    <t>Jasminevirus adat</t>
  </si>
  <si>
    <t>Jasminevirus jasmine</t>
  </si>
  <si>
    <t>Jedunavirus JD001</t>
  </si>
  <si>
    <t>Jedunavirus KpV52</t>
  </si>
  <si>
    <t>Jedunavirus KpV80</t>
  </si>
  <si>
    <t>Jenstvirus jenst</t>
  </si>
  <si>
    <t>Jilinvirus CVM10</t>
  </si>
  <si>
    <t>Jilinvirus ECOO78</t>
  </si>
  <si>
    <t>Jilinvirus ep3</t>
  </si>
  <si>
    <t>Jimmervirus jimmer</t>
  </si>
  <si>
    <t>Jimmervirus osiris</t>
  </si>
  <si>
    <t>Jouyvirus ev017</t>
  </si>
  <si>
    <t>Jouyvirus ev207</t>
  </si>
  <si>
    <t>Jouyvirus jv1H12</t>
  </si>
  <si>
    <t>Juiceboxvirus juicebox</t>
  </si>
  <si>
    <t>Jujuvirus</t>
  </si>
  <si>
    <t>Jujuvirus azula</t>
  </si>
  <si>
    <t>Jujuvirus blino</t>
  </si>
  <si>
    <t>Jujuvirus frokostdame</t>
  </si>
  <si>
    <t>Jujuvirus juju</t>
  </si>
  <si>
    <t>Jujuvirus petra</t>
  </si>
  <si>
    <t>Jujuvirus walrus</t>
  </si>
  <si>
    <t>Junavirus J1</t>
  </si>
  <si>
    <t>Junavirus LJ</t>
  </si>
  <si>
    <t>Junavirus PL1</t>
  </si>
  <si>
    <t>Kafunavirus KF1</t>
  </si>
  <si>
    <t>Kairosalinivirus M31CR412</t>
  </si>
  <si>
    <t>Kairosalinivirus SRUTV1</t>
  </si>
  <si>
    <t>Kamchatkavirus AP45</t>
  </si>
  <si>
    <t>Kelleziovirus kellezzio</t>
  </si>
  <si>
    <t>Kelleziovirus kitkat</t>
  </si>
  <si>
    <t>Kelquatrovirus KL4</t>
  </si>
  <si>
    <t>Kilunavirus KL1</t>
  </si>
  <si>
    <t>Kimonavirus</t>
  </si>
  <si>
    <t>Kimonavirus kimona</t>
  </si>
  <si>
    <t>Klausavirus ArV1</t>
  </si>
  <si>
    <t>Klausavirus colucci</t>
  </si>
  <si>
    <t>Klausavirus dryang</t>
  </si>
  <si>
    <t>Klausavirus kburrousTX</t>
  </si>
  <si>
    <t>Klausavirus lymara</t>
  </si>
  <si>
    <t>Klausavirus princesstrina</t>
  </si>
  <si>
    <t>Kleczkowskavirus RHEph4</t>
  </si>
  <si>
    <t>Klementvirus CP1</t>
  </si>
  <si>
    <t>Knuthellervirus PMBT14</t>
  </si>
  <si>
    <t>Kochitakasuvirus KPP25</t>
  </si>
  <si>
    <t>Kochitakasuvirus R18</t>
  </si>
  <si>
    <t>Kojivirus golden</t>
  </si>
  <si>
    <t>Kojivirus koji</t>
  </si>
  <si>
    <t>Konstantinevirus konstantine</t>
  </si>
  <si>
    <t>Korravirus bennie</t>
  </si>
  <si>
    <t>Korravirus bigmack</t>
  </si>
  <si>
    <t>Korravirus drrobert</t>
  </si>
  <si>
    <t>Korravirus gisselle</t>
  </si>
  <si>
    <t>Korravirus glenn</t>
  </si>
  <si>
    <t>Korravirus greenhearts</t>
  </si>
  <si>
    <t>Korravirus greenhouse</t>
  </si>
  <si>
    <t>Korravirus hunterdalle</t>
  </si>
  <si>
    <t>Korravirus huntingdon</t>
  </si>
  <si>
    <t>Korravirus joann</t>
  </si>
  <si>
    <t>Korravirus kittykat</t>
  </si>
  <si>
    <t>Korravirus korra</t>
  </si>
  <si>
    <t>Korravirus litotes</t>
  </si>
  <si>
    <t>Korravirus mamapearl</t>
  </si>
  <si>
    <t>Korravirus nubia</t>
  </si>
  <si>
    <t>Korravirus oxynfrius</t>
  </si>
  <si>
    <t>Korravirus preamble</t>
  </si>
  <si>
    <t>Korravirus pumancara</t>
  </si>
  <si>
    <t>Korravirus sergei</t>
  </si>
  <si>
    <t>Korravirus urla</t>
  </si>
  <si>
    <t>Korravirus wawa</t>
  </si>
  <si>
    <t>Korravirus wayne</t>
  </si>
  <si>
    <t>Kostyavirus bask21</t>
  </si>
  <si>
    <t>Kostyavirus CJW1</t>
  </si>
  <si>
    <t>Kostyavirus eureka</t>
  </si>
  <si>
    <t>Kostyavirus kostya</t>
  </si>
  <si>
    <t>Kostyavirus kv244</t>
  </si>
  <si>
    <t>Kostyavirus porky</t>
  </si>
  <si>
    <t>Kostyavirus pumpkin</t>
  </si>
  <si>
    <t>Kostyavirus sirduracell</t>
  </si>
  <si>
    <t>Kostyavirus toto</t>
  </si>
  <si>
    <t>Kozyakovvirus A4L</t>
  </si>
  <si>
    <t>Krampusvirus krampus</t>
  </si>
  <si>
    <t>Kroosvirus</t>
  </si>
  <si>
    <t>Kroosvirus ashertheman</t>
  </si>
  <si>
    <t>Kroosvirus bizzy</t>
  </si>
  <si>
    <t>Kroosvirus gaea</t>
  </si>
  <si>
    <t>Kroosvirus jksyngboy</t>
  </si>
  <si>
    <t>Kroosvirus kroos</t>
  </si>
  <si>
    <t>Kroosvirus ribeye</t>
  </si>
  <si>
    <t>Kroosvirus tangerine</t>
  </si>
  <si>
    <t>Kroosvirus yorkonyx</t>
  </si>
  <si>
    <t>Krylovvirus tf</t>
  </si>
  <si>
    <t>Kryptosalinivirus M8CC19</t>
  </si>
  <si>
    <t>Kryptosalinivirus M8CRM1</t>
  </si>
  <si>
    <t>Kuleanavirus kuleana</t>
  </si>
  <si>
    <t>Kungbxnavirus pT24</t>
  </si>
  <si>
    <t>Kunmingvirus</t>
  </si>
  <si>
    <t>Kunmingvirus kv2D05</t>
  </si>
  <si>
    <t>Kunmingvirus kv4D05</t>
  </si>
  <si>
    <t>Kuravirus ECB2</t>
  </si>
  <si>
    <t>Kuravirus kv1721</t>
  </si>
  <si>
    <t>Kuravirus NJ01</t>
  </si>
  <si>
    <t>Kuravirus phiEco32</t>
  </si>
  <si>
    <t>Kuravirus septima11</t>
  </si>
  <si>
    <t>Kuravirus SU10</t>
  </si>
  <si>
    <t>Kylevirus kyle</t>
  </si>
  <si>
    <t>Lacnuvirus LcNu</t>
  </si>
  <si>
    <t>Lacusarxvirus lacusarx</t>
  </si>
  <si>
    <t>Lafunavirus LF1</t>
  </si>
  <si>
    <t>Lagaffevirus lagaffe</t>
  </si>
  <si>
    <t>Lahexavirus LAh6</t>
  </si>
  <si>
    <t>Lahexavirus LAh8</t>
  </si>
  <si>
    <t>Lahexavirus LAh9</t>
  </si>
  <si>
    <t>Lahexavirus lv44572</t>
  </si>
  <si>
    <t>Lambdavirus HK629</t>
  </si>
  <si>
    <t>Lambdavirus HK630</t>
  </si>
  <si>
    <t>Lambdavirus lambda</t>
  </si>
  <si>
    <t>Lambdavirus lvO276</t>
  </si>
  <si>
    <t>Lambovirus gibbin</t>
  </si>
  <si>
    <t>Lambovirus lambo</t>
  </si>
  <si>
    <t>Lambovirus ranch</t>
  </si>
  <si>
    <t>Lambovirus sadboi</t>
  </si>
  <si>
    <t>Lambovirus yikes</t>
  </si>
  <si>
    <t>Lanavirus lana</t>
  </si>
  <si>
    <t>Larmunavirus Lrm1</t>
  </si>
  <si>
    <t>Laroyevirus laroye</t>
  </si>
  <si>
    <t>Laroyevirus lisara</t>
  </si>
  <si>
    <t>Laroyevirus salgado</t>
  </si>
  <si>
    <t>Laroyevirus wheelbite</t>
  </si>
  <si>
    <t>Lastavirus lasta</t>
  </si>
  <si>
    <t>Lastavirus sopranogao</t>
  </si>
  <si>
    <t>Latrobevirus FNU1</t>
  </si>
  <si>
    <t>Lederbergvirus BTP1</t>
  </si>
  <si>
    <t>Lederbergvirus HK620</t>
  </si>
  <si>
    <t>Lederbergvirus P22</t>
  </si>
  <si>
    <t>Lederbergvirus SE1Spa</t>
  </si>
  <si>
    <t>Lederbergvirus Sf6</t>
  </si>
  <si>
    <t>Lederbergvirus ST64T</t>
  </si>
  <si>
    <t>Leicestervirus CD111</t>
  </si>
  <si>
    <t>Leicestervirus CD146</t>
  </si>
  <si>
    <t>Leicestervirus CD382</t>
  </si>
  <si>
    <t>Lentavirus PMBT5</t>
  </si>
  <si>
    <t>Leonardvirus</t>
  </si>
  <si>
    <t>Leonardvirus ali17</t>
  </si>
  <si>
    <t>Leonardvirus emoore</t>
  </si>
  <si>
    <t>Leonardvirus leonard</t>
  </si>
  <si>
    <t>Leonardvirus melbins</t>
  </si>
  <si>
    <t>Lessievirus bcep22</t>
  </si>
  <si>
    <t>Lessievirus bcepil02</t>
  </si>
  <si>
    <t>Lessievirus bcepmigl</t>
  </si>
  <si>
    <t>Lessievirus DC1</t>
  </si>
  <si>
    <t>Lietduovirus LIET2</t>
  </si>
  <si>
    <t>Lightbulbvirus Cba41</t>
  </si>
  <si>
    <t>Lightbulbvirus Cba172</t>
  </si>
  <si>
    <t>Lilbeanievirus</t>
  </si>
  <si>
    <t>Lilbeanievirus lilbeanie</t>
  </si>
  <si>
    <t>Lillamyvirus hemulen</t>
  </si>
  <si>
    <t>Lillamyvirus lillamy</t>
  </si>
  <si>
    <t>Lillamyvirus morran</t>
  </si>
  <si>
    <t>Lillamyvirus sniff</t>
  </si>
  <si>
    <t>Lillamyvirus snork</t>
  </si>
  <si>
    <t>Lillamyvirus stinky</t>
  </si>
  <si>
    <t>Lilyvirus lily</t>
  </si>
  <si>
    <t>Llyrvirus SSKS1</t>
  </si>
  <si>
    <t>Lokivirus IMEAB3</t>
  </si>
  <si>
    <t>Lokivirus loki</t>
  </si>
  <si>
    <t>Lomovskayavirus BT1</t>
  </si>
  <si>
    <t>Lomovskayavirus C31</t>
  </si>
  <si>
    <t>Rosemountvirus ZCSE2</t>
  </si>
  <si>
    <t>Lubbockvirus CD119</t>
  </si>
  <si>
    <t>Lubbockvirus CDHM19</t>
  </si>
  <si>
    <t>Luchadorvirus</t>
  </si>
  <si>
    <t>Lucadorvirus gail</t>
  </si>
  <si>
    <t>Lucadorvirus jeeves</t>
  </si>
  <si>
    <t>Lucadorvirus luchador</t>
  </si>
  <si>
    <t>Luckybarnesvirus luckybarnes</t>
  </si>
  <si>
    <t>Luckytenvirus lucky10</t>
  </si>
  <si>
    <t>Lughvirus lugh</t>
  </si>
  <si>
    <t>Lwoffvirus BMBtp2</t>
  </si>
  <si>
    <t>Lwoffvirus TP21</t>
  </si>
  <si>
    <t>Macdonaldcampvirus</t>
  </si>
  <si>
    <t>Macdonaldcampvirus SB28</t>
  </si>
  <si>
    <t>Macdonaldcampvirus ViIIE1</t>
  </si>
  <si>
    <t>Machinavirus machina</t>
  </si>
  <si>
    <t>Magadivirus Mgbh1</t>
  </si>
  <si>
    <t>Majavirus maja</t>
  </si>
  <si>
    <t>Manhattanvirus drmanhattan</t>
  </si>
  <si>
    <t>Manovirus</t>
  </si>
  <si>
    <t>Manovirus Mano</t>
  </si>
  <si>
    <t>Mapvirus Ff47</t>
  </si>
  <si>
    <t>Mapvirus muddy</t>
  </si>
  <si>
    <t>Mardecavirus MAR10</t>
  </si>
  <si>
    <t>Mardecavirus SSP002</t>
  </si>
  <si>
    <t>Marfavirus F48</t>
  </si>
  <si>
    <t>Marfavirus marfa</t>
  </si>
  <si>
    <t>Marienburgvirus BP4795</t>
  </si>
  <si>
    <t>Marienburgvirus JLK2012</t>
  </si>
  <si>
    <t>Marthavirus barretlemon</t>
  </si>
  <si>
    <t>Marthavirus beans</t>
  </si>
  <si>
    <t>Marthavirus brent</t>
  </si>
  <si>
    <t>Marthavirus jawnski</t>
  </si>
  <si>
    <t>Marthavirus martha</t>
  </si>
  <si>
    <t>Marthavirus piccoletto</t>
  </si>
  <si>
    <t>Marthavirus shade</t>
  </si>
  <si>
    <t>Marthavirus zartrosa</t>
  </si>
  <si>
    <t>Marvinvirus marvin</t>
  </si>
  <si>
    <t>Marvinvirus mosmoris</t>
  </si>
  <si>
    <t>Maxrubnervirus PMBT3</t>
  </si>
  <si>
    <t>Mementomorivirus mementomori</t>
  </si>
  <si>
    <t>Menderavirus IMESM1</t>
  </si>
  <si>
    <t>Menderavirus mendera</t>
  </si>
  <si>
    <t>Menderavirus moby</t>
  </si>
  <si>
    <t>Metamorphoovirus fireman</t>
  </si>
  <si>
    <t>Metamorphoovirus metamorphoo</t>
  </si>
  <si>
    <t>Metamorphoovirus robsfeet</t>
  </si>
  <si>
    <t>Metrivirus ME3</t>
  </si>
  <si>
    <t>Micavirus</t>
  </si>
  <si>
    <t>Micavirus Mica</t>
  </si>
  <si>
    <t>Microwolfvirus</t>
  </si>
  <si>
    <t>Microwolfvirus Bxz2</t>
  </si>
  <si>
    <t>Microwolfvirus JHC117</t>
  </si>
  <si>
    <t>Microwolfvirus microwolf</t>
  </si>
  <si>
    <t>Microwolfvirus purplehaze</t>
  </si>
  <si>
    <t>Microwolfvirus soildragon</t>
  </si>
  <si>
    <t>Microwolfvirus wonder</t>
  </si>
  <si>
    <t>Microwolfvirus zetzy</t>
  </si>
  <si>
    <t>Mieseafarmvirus RSL1</t>
  </si>
  <si>
    <t>Mimasvirus CBB</t>
  </si>
  <si>
    <t>Mimasvirus GAP32</t>
  </si>
  <si>
    <t>Minunavirus Min1</t>
  </si>
  <si>
    <t>Moabitevirus moabite</t>
  </si>
  <si>
    <t>Moabitevirus mv2050HW</t>
  </si>
  <si>
    <t>Moineauvirus Abc2</t>
  </si>
  <si>
    <t>Moineauvirus DT1</t>
  </si>
  <si>
    <t>Moineauvirus mv7201</t>
  </si>
  <si>
    <t>Moineauvirus Sfi19</t>
  </si>
  <si>
    <t>Moineauvirus Sfi21</t>
  </si>
  <si>
    <t>Montyvirus adgers</t>
  </si>
  <si>
    <t>Montyvirus beaver</t>
  </si>
  <si>
    <t>Montyvirus birksandsocks</t>
  </si>
  <si>
    <t>Montyvirus chelms</t>
  </si>
  <si>
    <t>Montyvirus flakey</t>
  </si>
  <si>
    <t>Montyvirus jellybones</t>
  </si>
  <si>
    <t>Montyvirus john316</t>
  </si>
  <si>
    <t>Montyvirus monty</t>
  </si>
  <si>
    <t>Montyvirus sombrero</t>
  </si>
  <si>
    <t>Montyvirus stevefrench</t>
  </si>
  <si>
    <t>Moturavirus motura</t>
  </si>
  <si>
    <t>Mudcatvirus circum</t>
  </si>
  <si>
    <t>Mudcatvirus mudcat</t>
  </si>
  <si>
    <t>Mufasoctovirus mufasa8</t>
  </si>
  <si>
    <t>Muldoonvirus muldoon</t>
  </si>
  <si>
    <t>Muldoonvirus PS2</t>
  </si>
  <si>
    <t>Muminvirus filifjonk</t>
  </si>
  <si>
    <t>Muminvirus mumin</t>
  </si>
  <si>
    <t>Muminvirus mymlan</t>
  </si>
  <si>
    <t>Muminvirus snusmum</t>
  </si>
  <si>
    <t>Muminvirus tooticki</t>
  </si>
  <si>
    <t>Murrayvirus EC2</t>
  </si>
  <si>
    <t>Murrayvirus lumpael</t>
  </si>
  <si>
    <t>Mushuvirus mushu</t>
  </si>
  <si>
    <t>Muvirus mu</t>
  </si>
  <si>
    <t>Muvirus SfMu</t>
  </si>
  <si>
    <t>Mycoabscvirus</t>
  </si>
  <si>
    <t>Mycoabscvirus phiT46-1</t>
  </si>
  <si>
    <t>Myoalterovirus PT11V22</t>
  </si>
  <si>
    <t>Myosmarvirus MTx</t>
  </si>
  <si>
    <t>Myosmarvirus myosmar</t>
  </si>
  <si>
    <t>Myradeevirus</t>
  </si>
  <si>
    <t>Myradeevirus MyraDee</t>
  </si>
  <si>
    <t>Myxoctovirus Mx8</t>
  </si>
  <si>
    <t>Naesvirus bcep1</t>
  </si>
  <si>
    <t>Naesvirus bcep43</t>
  </si>
  <si>
    <t>Naesvirus bcep781</t>
  </si>
  <si>
    <t>Naesvirus bcepNY3</t>
  </si>
  <si>
    <t>Nanhaivirus D5C</t>
  </si>
  <si>
    <t>Nankokuvirus Ab03</t>
  </si>
  <si>
    <t>Nankokuvirus G1</t>
  </si>
  <si>
    <t>Nankokuvirus KPP10</t>
  </si>
  <si>
    <t>Nankokuvirus PAKP3</t>
  </si>
  <si>
    <t>Nankokuvirus PS24</t>
  </si>
  <si>
    <t>Neferthenavirus neferthena</t>
  </si>
  <si>
    <t>Nesevirus ev243</t>
  </si>
  <si>
    <t>Nesevirus nv2G7b</t>
  </si>
  <si>
    <t>Nevevirus P078</t>
  </si>
  <si>
    <t>Nevevirus P092</t>
  </si>
  <si>
    <t>Nevevirus P118</t>
  </si>
  <si>
    <t>Nevevirus P162</t>
  </si>
  <si>
    <t>Nickievirus nickie</t>
  </si>
  <si>
    <t>Nonanavirus nv9NA</t>
  </si>
  <si>
    <t>Nonanavirus SP069</t>
  </si>
  <si>
    <t>Noxifervirus noxifer</t>
  </si>
  <si>
    <t>Nyceiraevirus nyceirae</t>
  </si>
  <si>
    <t>Nylescharonvirus LE3</t>
  </si>
  <si>
    <t>Nylescharonvirus LE4</t>
  </si>
  <si>
    <t>Obolenskvirus AB1</t>
  </si>
  <si>
    <t>Obolenskvirus AB2</t>
  </si>
  <si>
    <t>Obolenskvirus AbC62</t>
  </si>
  <si>
    <t>Obolenskvirus AbP2</t>
  </si>
  <si>
    <t>Obolenskvirus AP22</t>
  </si>
  <si>
    <t>Obolenskvirus LZ35</t>
  </si>
  <si>
    <t>Obolenskvirus WCHABP1</t>
  </si>
  <si>
    <t>Obolenskvirus WCHABP12</t>
  </si>
  <si>
    <t>Oengusvirus oengus</t>
  </si>
  <si>
    <t>Oliverocinquevirus</t>
  </si>
  <si>
    <t>Oliverocinquevirus OLIVR5</t>
  </si>
  <si>
    <t>Omegavirus baka</t>
  </si>
  <si>
    <t>Omegavirus courthouse</t>
  </si>
  <si>
    <t>Omegavirus littlee</t>
  </si>
  <si>
    <t>Omegavirus omega</t>
  </si>
  <si>
    <t>Omegavirus optimus</t>
  </si>
  <si>
    <t>Omegavirus thibault</t>
  </si>
  <si>
    <t>Oneupvirus brutongaster</t>
  </si>
  <si>
    <t>Oneupvirus oneup</t>
  </si>
  <si>
    <t>Orchidvirus orchid</t>
  </si>
  <si>
    <t>Oshimavirus P2345</t>
  </si>
  <si>
    <t>Oshimavirus P7426</t>
  </si>
  <si>
    <t>Otagovirus Psa374</t>
  </si>
  <si>
    <t>Otagovirus VCM</t>
  </si>
  <si>
    <t>Pagevirus page</t>
  </si>
  <si>
    <t>Pagevirus palmer</t>
  </si>
  <si>
    <t>Pagevirus pascal</t>
  </si>
  <si>
    <t>Pagevirus pony</t>
  </si>
  <si>
    <t>Pagevirus pookie</t>
  </si>
  <si>
    <t>Pahexavirus ATCC29399BC</t>
  </si>
  <si>
    <t>Pahexavirus ATCC29399BT</t>
  </si>
  <si>
    <t>Pahexavirus attacne</t>
  </si>
  <si>
    <t>Pahexavirus keiki</t>
  </si>
  <si>
    <t>Pahexavirus kubed</t>
  </si>
  <si>
    <t>Pahexavirus lauchelly</t>
  </si>
  <si>
    <t>Pahexavirus mrAK</t>
  </si>
  <si>
    <t>Pahexavirus ouroboros</t>
  </si>
  <si>
    <t>Pahexavirus P11</t>
  </si>
  <si>
    <t>Pahexavirus P91</t>
  </si>
  <si>
    <t>Pahexavirus P105</t>
  </si>
  <si>
    <t>Pahexavirus P144</t>
  </si>
  <si>
    <t>Pahexavirus P1001</t>
  </si>
  <si>
    <t>Pahexavirus P100A</t>
  </si>
  <si>
    <t>Pahexavirus P100D</t>
  </si>
  <si>
    <t>Pahexavirus P101A</t>
  </si>
  <si>
    <t>Pahexavirus P104A</t>
  </si>
  <si>
    <t>Pahexavirus PA6</t>
  </si>
  <si>
    <t>Pahexavirus pacnes201215</t>
  </si>
  <si>
    <t>Pahexavirus PAD20</t>
  </si>
  <si>
    <t>Pahexavirus PAS50</t>
  </si>
  <si>
    <t>Pahexavirus PHL009M11</t>
  </si>
  <si>
    <t>Pahexavirus PHL025M00</t>
  </si>
  <si>
    <t>Pahexavirus PHL037M02</t>
  </si>
  <si>
    <t>Pahexavirus PHL041M10</t>
  </si>
  <si>
    <t>Pahexavirus PHL060L00</t>
  </si>
  <si>
    <t>Pahexavirus PHL067M01</t>
  </si>
  <si>
    <t>Pahexavirus PHL070N00</t>
  </si>
  <si>
    <t>Pahexavirus PHL071N05</t>
  </si>
  <si>
    <t>Pahexavirus PHL082M03</t>
  </si>
  <si>
    <t>Pahexavirus PHL092M00</t>
  </si>
  <si>
    <t>Pahexavirus PHL095N00</t>
  </si>
  <si>
    <t>Pahexavirus PHL111M01</t>
  </si>
  <si>
    <t>Pahexavirus PHL112N00</t>
  </si>
  <si>
    <t>Pahexavirus PHL113M01</t>
  </si>
  <si>
    <t>Pahexavirus PHL114L00</t>
  </si>
  <si>
    <t>Pahexavirus PHL116M00</t>
  </si>
  <si>
    <t>Pahexavirus PHL117M00</t>
  </si>
  <si>
    <t>Pahexavirus PHL117M01</t>
  </si>
  <si>
    <t>Pahexavirus PHL132N00</t>
  </si>
  <si>
    <t>Pahexavirus PHL141N00</t>
  </si>
  <si>
    <t>Pahexavirus PHL151M00</t>
  </si>
  <si>
    <t>Pahexavirus PHL151N00</t>
  </si>
  <si>
    <t>Pahexavirus PHL152M00</t>
  </si>
  <si>
    <t>Pahexavirus PHL163M00</t>
  </si>
  <si>
    <t>Pahexavirus PHL171M01</t>
  </si>
  <si>
    <t>Pahexavirus PHL179M00</t>
  </si>
  <si>
    <t>Pahexavirus PHL194M00</t>
  </si>
  <si>
    <t>Pahexavirus PHL199M00</t>
  </si>
  <si>
    <t>Pahexavirus PHL301M00</t>
  </si>
  <si>
    <t>Pahexavirus PHL308M00</t>
  </si>
  <si>
    <t>Pahexavirus pirate</t>
  </si>
  <si>
    <t>Pahexavirus procrass1</t>
  </si>
  <si>
    <t>Pahexavirus SKKY</t>
  </si>
  <si>
    <t>Pahexavirus solid</t>
  </si>
  <si>
    <t>Pahexavirus stormborn</t>
  </si>
  <si>
    <t>Pahexavirus wizzo</t>
  </si>
  <si>
    <t>Pakpunavirus CAb1</t>
  </si>
  <si>
    <t>Pakpunavirus CAb02</t>
  </si>
  <si>
    <t>Pakpunavirus JG004</t>
  </si>
  <si>
    <t>Pakpunavirus MAG1</t>
  </si>
  <si>
    <t>Pakpunavirus MK</t>
  </si>
  <si>
    <t>Pakpunavirus PA10</t>
  </si>
  <si>
    <t>Pakpunavirus PAKP1</t>
  </si>
  <si>
    <t>Pakpunavirus PAKP2</t>
  </si>
  <si>
    <t>Pakpunavirus PAKP4</t>
  </si>
  <si>
    <t>Pakpunavirus PaP1</t>
  </si>
  <si>
    <t>Pakpunavirus zigelbrucke</t>
  </si>
  <si>
    <t>Pamexvirus PaMx28</t>
  </si>
  <si>
    <t>Pamexvirus PaMx74</t>
  </si>
  <si>
    <t>Pankowvirus pv1717</t>
  </si>
  <si>
    <t>Pankowvirus pv2851</t>
  </si>
  <si>
    <t>Pankowvirus WGPS6</t>
  </si>
  <si>
    <t>Pankowvirus WGPS8</t>
  </si>
  <si>
    <t>Pankowvirus YYZ2008</t>
  </si>
  <si>
    <t>Papyrusvirus papyrus</t>
  </si>
  <si>
    <t>Papyrusvirus send513</t>
  </si>
  <si>
    <t>Parlovirus parlo</t>
  </si>
  <si>
    <t>Patiencevirus patience</t>
  </si>
  <si>
    <t>Pbunavirus Ab28</t>
  </si>
  <si>
    <t>Pbunavirus antinowhere</t>
  </si>
  <si>
    <t>Pbunavirus BrSP1</t>
  </si>
  <si>
    <t>Pbunavirus crassa</t>
  </si>
  <si>
    <t>Pbunavirus datas</t>
  </si>
  <si>
    <t>Pbunavirus DL60</t>
  </si>
  <si>
    <t>Pbunavirus DP1</t>
  </si>
  <si>
    <t>Pbunavirus E215</t>
  </si>
  <si>
    <t>Pbunavirus E217</t>
  </si>
  <si>
    <t>Pbunavirus Epa7</t>
  </si>
  <si>
    <t>Pbunavirus Epa14</t>
  </si>
  <si>
    <t>Pbunavirus EPa61</t>
  </si>
  <si>
    <t>Pbunavirus F8</t>
  </si>
  <si>
    <t>Pbunavirus KPP12</t>
  </si>
  <si>
    <t>Pbunavirus KTN6</t>
  </si>
  <si>
    <t>Pbunavirus LBL3</t>
  </si>
  <si>
    <t>Pbunavirus LMA2</t>
  </si>
  <si>
    <t>Pbunavirus LS1</t>
  </si>
  <si>
    <t>Pbunavirus PA01</t>
  </si>
  <si>
    <t>Pbunavirus PA5</t>
  </si>
  <si>
    <t>Pbunavirus Pa193</t>
  </si>
  <si>
    <t>Pbunavirus PA8P1</t>
  </si>
  <si>
    <t>Pbunavirus PaGU11</t>
  </si>
  <si>
    <t>Pbunavirus PB1</t>
  </si>
  <si>
    <t>Pbunavirus PS44</t>
  </si>
  <si>
    <t>Pbunavirus pv141</t>
  </si>
  <si>
    <t>Pbunavirus R12</t>
  </si>
  <si>
    <t>Pbunavirus R26</t>
  </si>
  <si>
    <t>Pbunavirus S1</t>
  </si>
  <si>
    <t>Pbunavirus SCUTS1</t>
  </si>
  <si>
    <t>Pbunavirus SL1</t>
  </si>
  <si>
    <t>Pbunavirus SN</t>
  </si>
  <si>
    <t>Pbunavirus USP1</t>
  </si>
  <si>
    <t>Peatvirus peat2</t>
  </si>
  <si>
    <t>Pemunavirus PM1</t>
  </si>
  <si>
    <t>Pepyhexavirus pepy6</t>
  </si>
  <si>
    <t>Pepyhexavirus poco6</t>
  </si>
  <si>
    <t>Perisivirus Pr</t>
  </si>
  <si>
    <t>Perisivirus Tb</t>
  </si>
  <si>
    <t>Petsuvirus pEtSU</t>
  </si>
  <si>
    <t>Phabquatrovirus PHB04</t>
  </si>
  <si>
    <t>Pharaohvirus</t>
  </si>
  <si>
    <t>Pharaohvirus pharaoh</t>
  </si>
  <si>
    <t>Pharaohvirus steamy</t>
  </si>
  <si>
    <t>Phifelvirus FL1</t>
  </si>
  <si>
    <t>Phifelvirus FL2</t>
  </si>
  <si>
    <t>Phifelvirus FL3</t>
  </si>
  <si>
    <t>Phikzvirus PA7</t>
  </si>
  <si>
    <t>Phikzvirus phiKZ</t>
  </si>
  <si>
    <t>Phikzvirus SL2</t>
  </si>
  <si>
    <t>Phleivirus</t>
  </si>
  <si>
    <t>Phleivirus Phlei</t>
  </si>
  <si>
    <t>Phrappuccinovirus</t>
  </si>
  <si>
    <t>Phreappuccinovirus Phrappuccino</t>
  </si>
  <si>
    <t>Picardvirus picard</t>
  </si>
  <si>
    <t>Pikminvirus pikmin</t>
  </si>
  <si>
    <t>Plaisancevirus PMW</t>
  </si>
  <si>
    <t>Plateaulakevirus pv2L372D</t>
  </si>
  <si>
    <t>Plateaulakevirus pv2L372X</t>
  </si>
  <si>
    <t>Plateaulakevirus pv4L372D</t>
  </si>
  <si>
    <t>Plateaulakevirus pv4L372XY</t>
  </si>
  <si>
    <t>Pleeduovirus PLE2</t>
  </si>
  <si>
    <t>Pleetrevirus iLp84</t>
  </si>
  <si>
    <t>Pleetrevirus PLE3</t>
  </si>
  <si>
    <t>Polybotosvirus Atuph07</t>
  </si>
  <si>
    <t>Popoffvirus pv56</t>
  </si>
  <si>
    <t>Poushouvirus Poushou</t>
  </si>
  <si>
    <t>Predatorvirus predator</t>
  </si>
  <si>
    <t>Privateervirus privateer</t>
  </si>
  <si>
    <t>Privateervirus pv009</t>
  </si>
  <si>
    <t>Psavirus LP302</t>
  </si>
  <si>
    <t>Psavirus PSA</t>
  </si>
  <si>
    <t>Pukovnikvirus</t>
  </si>
  <si>
    <t>Pukovnikvirus bactobuster</t>
  </si>
  <si>
    <t>Pukovnikvirus ironman</t>
  </si>
  <si>
    <t>Pukovnikvirus phaded</t>
  </si>
  <si>
    <t>Pukovnikvirus pukovnik</t>
  </si>
  <si>
    <t>Pulverervirus PFR1</t>
  </si>
  <si>
    <t>Punavirus P1</t>
  </si>
  <si>
    <t>Punavirus RCS47</t>
  </si>
  <si>
    <t>Punavirus SJ46</t>
  </si>
  <si>
    <t>Puppervirus</t>
  </si>
  <si>
    <t>Puppervirus Pupper</t>
  </si>
  <si>
    <t>Qingdaovirus J21</t>
  </si>
  <si>
    <t>Questintvirus Q54</t>
  </si>
  <si>
    <t>Quhwahvirus kaihaidragon</t>
  </si>
  <si>
    <t>Quhwahvirus ouhwah</t>
  </si>
  <si>
    <t>Quhwahvirus paschalis</t>
  </si>
  <si>
    <t>Radostvirus ev099</t>
  </si>
  <si>
    <t>Rahariannevirus raharianne</t>
  </si>
  <si>
    <t>Raleighvirus darolandstone</t>
  </si>
  <si>
    <t>Raleighvirus raleigh</t>
  </si>
  <si>
    <t>Rauchvirus BPP1</t>
  </si>
  <si>
    <t>Ravarandavirus kac65v151</t>
  </si>
  <si>
    <t>Ravarandavirus kac68v161</t>
  </si>
  <si>
    <t>Ravarandavirus rv2AV2</t>
  </si>
  <si>
    <t>Ravinvirus N15</t>
  </si>
  <si>
    <t>Refugevirus</t>
  </si>
  <si>
    <t>Rerduovirus hiro</t>
  </si>
  <si>
    <t>Rerduovirus phailmary</t>
  </si>
  <si>
    <t>Rerduovirus RER2</t>
  </si>
  <si>
    <t>Rerduovirus RGL3</t>
  </si>
  <si>
    <t>Rerduovirus takoda</t>
  </si>
  <si>
    <t>Rigallicvirus P106B</t>
  </si>
  <si>
    <t>Rimavirus drgrey</t>
  </si>
  <si>
    <t>Rimavirus rima</t>
  </si>
  <si>
    <t>Ripduovirus RP12</t>
  </si>
  <si>
    <t>Risingsunvirus risingsun</t>
  </si>
  <si>
    <t>Rockefellervirus CNPH82</t>
  </si>
  <si>
    <t>Rockefellervirus CNPx</t>
  </si>
  <si>
    <t>Rockefellervirus IME134801</t>
  </si>
  <si>
    <t>Rockefellervirus IPLA5</t>
  </si>
  <si>
    <t>Rockefellervirus IPLA7</t>
  </si>
  <si>
    <t>Rockefellervirus PH15</t>
  </si>
  <si>
    <t>Rockvillevirus phi4J1</t>
  </si>
  <si>
    <t>Rogerhendrixvirus hendrix</t>
  </si>
  <si>
    <t>Ronaldovirus fryberger</t>
  </si>
  <si>
    <t>Ronaldovirus ronaldo</t>
  </si>
  <si>
    <t>Rosariovirus</t>
  </si>
  <si>
    <t>Rosariovirus Weirdo19ES</t>
  </si>
  <si>
    <t>Rosemountvirus birk</t>
  </si>
  <si>
    <t>Rosemountvirus BP63</t>
  </si>
  <si>
    <t>Rosemountvirus SE13</t>
  </si>
  <si>
    <t>Rosemountvirus UPFBP2</t>
  </si>
  <si>
    <t>Rosemountvirus yarpen</t>
  </si>
  <si>
    <t>Roufvirus pIS4A</t>
  </si>
  <si>
    <t>Rowavirus rowa</t>
  </si>
  <si>
    <t>Ruthyvirus dumpsterdude</t>
  </si>
  <si>
    <t>Ruthyvirus ruthy</t>
  </si>
  <si>
    <t>Ryyoungvirus bcepC6B</t>
  </si>
  <si>
    <t>Saclayvirus Aci05</t>
  </si>
  <si>
    <t>Saclayvirus Aci011</t>
  </si>
  <si>
    <t>Saclayvirus Aci022</t>
  </si>
  <si>
    <t>Sagamiharavirus</t>
  </si>
  <si>
    <t>Sagamiharavirus PP</t>
  </si>
  <si>
    <t>Saintgironsvirus LE1</t>
  </si>
  <si>
    <t>Salmondvirus JA11</t>
  </si>
  <si>
    <t>Salmondvirus JA29</t>
  </si>
  <si>
    <t>Saltrevirus</t>
  </si>
  <si>
    <t>Saltrevirus sv64795sal3</t>
  </si>
  <si>
    <t>Samunavirus SM1</t>
  </si>
  <si>
    <t>Samwavirus adelaide</t>
  </si>
  <si>
    <t>Samwavirus dina</t>
  </si>
  <si>
    <t>Samwavirus samW</t>
  </si>
  <si>
    <t>Samwavirus StAB</t>
  </si>
  <si>
    <t>Samwavirus stiles</t>
  </si>
  <si>
    <t>Sandinevirus BK5T</t>
  </si>
  <si>
    <t>Santafevirus</t>
  </si>
  <si>
    <t>Santafevirus sf40AC</t>
  </si>
  <si>
    <t>Saphexavirus BC611</t>
  </si>
  <si>
    <t>Saphexavirus IMEEF1</t>
  </si>
  <si>
    <t>Saphexavirus SAP6</t>
  </si>
  <si>
    <t>Saphexavirus SPQS1</t>
  </si>
  <si>
    <t>Saphexavirus VD13</t>
  </si>
  <si>
    <t>Sarumanvirus bcepsaruman</t>
  </si>
  <si>
    <t>Sarumanvirus bcepsauron</t>
  </si>
  <si>
    <t>Sashavirus sasha</t>
  </si>
  <si>
    <t>Sasquatchvirus Y3</t>
  </si>
  <si>
    <t>Sasvirus BFK20</t>
  </si>
  <si>
    <t>Saundersvirus Tp84</t>
  </si>
  <si>
    <t>Sawaravirus WGPS2</t>
  </si>
  <si>
    <t>Scapunavirus scap1</t>
  </si>
  <si>
    <t>Schmidvirus KHP30</t>
  </si>
  <si>
    <t>Schmidvirus KHP40</t>
  </si>
  <si>
    <t>Schmidvirus sv1961P</t>
  </si>
  <si>
    <t>Schmittlotzvirus sv771</t>
  </si>
  <si>
    <t>Schnabeltiervirus schnabeltier</t>
  </si>
  <si>
    <t>Schubertvirus schubert</t>
  </si>
  <si>
    <t>Segzyvirus</t>
  </si>
  <si>
    <t>Segzyvirus segz1</t>
  </si>
  <si>
    <t>Sendosyvirus APSE1</t>
  </si>
  <si>
    <t>Sendosyvirus APSE2</t>
  </si>
  <si>
    <t>Seongbukvirus MH1</t>
  </si>
  <si>
    <t>Seoulvirus SPN3US</t>
  </si>
  <si>
    <t>Septimatrevirus Ab26</t>
  </si>
  <si>
    <t>Septimatrevirus kakheti25</t>
  </si>
  <si>
    <t>Septimatrevirus sv73</t>
  </si>
  <si>
    <t>Seussvirus seuss</t>
  </si>
  <si>
    <t>Sextaecvirus SEP9</t>
  </si>
  <si>
    <t>Sextaecvirus sextaec</t>
  </si>
  <si>
    <t>Shandongvirus H101</t>
  </si>
  <si>
    <t>Sheenvirus</t>
  </si>
  <si>
    <t>Sheenvirus Sheen</t>
  </si>
  <si>
    <t>Sherbrookevirus CD506</t>
  </si>
  <si>
    <t>Sherbrookevirus CD4811</t>
  </si>
  <si>
    <t>Sherbrookevirus CDHM11</t>
  </si>
  <si>
    <t>Sherbrookevirus CDHM13</t>
  </si>
  <si>
    <t>Sherbrookevirus CDHM14</t>
  </si>
  <si>
    <t>Sherbrookevirus MMP04</t>
  </si>
  <si>
    <t>Shirahamavirus PTm1</t>
  </si>
  <si>
    <t>Shuimuvirus</t>
  </si>
  <si>
    <t>Shuimuvirus IME207</t>
  </si>
  <si>
    <t>Skarprettervirus skarpretter</t>
  </si>
  <si>
    <t>Skatevirus</t>
  </si>
  <si>
    <t>Skatevirus BS5</t>
  </si>
  <si>
    <t>Skatevirus KFSSE2</t>
  </si>
  <si>
    <t>Skatevirus LPST10</t>
  </si>
  <si>
    <t>Skatevirus SeSz2</t>
  </si>
  <si>
    <t>Skatevirus Seszw1</t>
  </si>
  <si>
    <t>Skatevirus skate</t>
  </si>
  <si>
    <t>Skatevirus VSt472</t>
  </si>
  <si>
    <t>Skogvirus</t>
  </si>
  <si>
    <t>Skogvirus Skog</t>
  </si>
  <si>
    <t>Skunavirus A16</t>
  </si>
  <si>
    <t>Skunavirus ASCC191</t>
  </si>
  <si>
    <t>Skunavirus ASCC273</t>
  </si>
  <si>
    <t>Skunavirus ASCC281</t>
  </si>
  <si>
    <t>Skunavirus ASCC465</t>
  </si>
  <si>
    <t>Skunavirus ASCC532</t>
  </si>
  <si>
    <t>Skunavirus B1127</t>
  </si>
  <si>
    <t>Skunavirus bibb29</t>
  </si>
  <si>
    <t>Skunavirus bIBB5g1</t>
  </si>
  <si>
    <t>Skunavirus bIBBF12</t>
  </si>
  <si>
    <t>Skunavirus bIL170</t>
  </si>
  <si>
    <t>Skunavirus caseusJM1</t>
  </si>
  <si>
    <t>Skunavirus CB13</t>
  </si>
  <si>
    <t>Skunavirus CB14</t>
  </si>
  <si>
    <t>Skunavirus CB19</t>
  </si>
  <si>
    <t>Skunavirus CHPC52</t>
  </si>
  <si>
    <t>Skunavirus CHPC129</t>
  </si>
  <si>
    <t>Skunavirus CHPC361</t>
  </si>
  <si>
    <t>Skunavirus CHPC362</t>
  </si>
  <si>
    <t>Skunavirus CHPC781</t>
  </si>
  <si>
    <t>Skunavirus CHPC958</t>
  </si>
  <si>
    <t>Skunavirus CHPC959</t>
  </si>
  <si>
    <t>Skunavirus CHPC964</t>
  </si>
  <si>
    <t>Skunavirus CHPC965</t>
  </si>
  <si>
    <t>Skunavirus E1127</t>
  </si>
  <si>
    <t>Skunavirus F0139</t>
  </si>
  <si>
    <t>Skunavirus fd13</t>
  </si>
  <si>
    <t>Skunavirus i0139</t>
  </si>
  <si>
    <t>Skunavirus JF1</t>
  </si>
  <si>
    <t>Skunavirus jm2</t>
  </si>
  <si>
    <t>Skunavirus jm3</t>
  </si>
  <si>
    <t>Skunavirus L6</t>
  </si>
  <si>
    <t>Skunavirus L18</t>
  </si>
  <si>
    <t>Skunavirus Lj</t>
  </si>
  <si>
    <t>Skunavirus LP0209</t>
  </si>
  <si>
    <t>Skunavirus LP0903</t>
  </si>
  <si>
    <t>Skunavirus LP8511</t>
  </si>
  <si>
    <t>Skunavirus LP9207</t>
  </si>
  <si>
    <t>Skunavirus LP9404</t>
  </si>
  <si>
    <t>Skunavirus LP9609</t>
  </si>
  <si>
    <t>Skunavirus LP9903</t>
  </si>
  <si>
    <t>Skunavirus LP9908</t>
  </si>
  <si>
    <t>Skunavirus LP1502a</t>
  </si>
  <si>
    <t>Skunavirus M1127</t>
  </si>
  <si>
    <t>Skunavirus MP1</t>
  </si>
  <si>
    <t>Skunavirus MV10L</t>
  </si>
  <si>
    <t>Skunavirus P008</t>
  </si>
  <si>
    <t>Skunavirus p272</t>
  </si>
  <si>
    <t>Skunavirus P475</t>
  </si>
  <si>
    <t>Skunavirus P656</t>
  </si>
  <si>
    <t>Skunavirus P680</t>
  </si>
  <si>
    <t>Skunavirus P1532</t>
  </si>
  <si>
    <t>Skunavirus P4565</t>
  </si>
  <si>
    <t>Skunavirus R31</t>
  </si>
  <si>
    <t>Skunavirus S0139</t>
  </si>
  <si>
    <t>Skunavirus sk1</t>
  </si>
  <si>
    <t>Skunavirus Sl4</t>
  </si>
  <si>
    <t>Skunavirus sv7</t>
  </si>
  <si>
    <t>Skunavirus sv15</t>
  </si>
  <si>
    <t>Skunavirus sv42</t>
  </si>
  <si>
    <t>Skunavirus sv44</t>
  </si>
  <si>
    <t>Skunavirus sv109</t>
  </si>
  <si>
    <t>Skunavirus sv145</t>
  </si>
  <si>
    <t>Skunavirus sv155</t>
  </si>
  <si>
    <t>Skunavirus sv193</t>
  </si>
  <si>
    <t>Skunavirus sv340</t>
  </si>
  <si>
    <t>Skunavirus sv512</t>
  </si>
  <si>
    <t>Skunavirus sv712</t>
  </si>
  <si>
    <t>Skunavirus sv936</t>
  </si>
  <si>
    <t>Skunavirus sv05601</t>
  </si>
  <si>
    <t>Skunavirus sv16802</t>
  </si>
  <si>
    <t>Skunavirus sv10W18</t>
  </si>
  <si>
    <t>Skunavirus sv13W11L</t>
  </si>
  <si>
    <t>Skunavirus sv16W23</t>
  </si>
  <si>
    <t>Skunavirus sv30804</t>
  </si>
  <si>
    <t>Skunavirus sv37201</t>
  </si>
  <si>
    <t>Skunavirus sv38503</t>
  </si>
  <si>
    <t>Skunavirus sv38507</t>
  </si>
  <si>
    <t>Skunavirus sv3R16S</t>
  </si>
  <si>
    <t>Skunavirus sv51701</t>
  </si>
  <si>
    <t>Skunavirus sv56003</t>
  </si>
  <si>
    <t>Skunavirus sv56301</t>
  </si>
  <si>
    <t>Skunavirus sv57001</t>
  </si>
  <si>
    <t>Skunavirus sv62601</t>
  </si>
  <si>
    <t>Skunavirus sv62605</t>
  </si>
  <si>
    <t>Skunavirus sv63302</t>
  </si>
  <si>
    <t>Skunavirus sv66901</t>
  </si>
  <si>
    <t>Skunavirus sv79201</t>
  </si>
  <si>
    <t>Skunavirus sv88605</t>
  </si>
  <si>
    <t>Skunavirus sv8V08</t>
  </si>
  <si>
    <t>Skunavirus sv91127</t>
  </si>
  <si>
    <t>Skunavirus sv96401</t>
  </si>
  <si>
    <t>Skunavirus sv96403</t>
  </si>
  <si>
    <t>Skunavirus sv96603</t>
  </si>
  <si>
    <t>Slashvirus slash</t>
  </si>
  <si>
    <t>Slashvirus stahl</t>
  </si>
  <si>
    <t>Slashvirus staley</t>
  </si>
  <si>
    <t>Slashvirus stills</t>
  </si>
  <si>
    <t>Sleepyheadvirus sleepyhead</t>
  </si>
  <si>
    <t>Smoothievirus bachita</t>
  </si>
  <si>
    <t>Smoothievirus clubL</t>
  </si>
  <si>
    <t>Smoothievirus smoothie</t>
  </si>
  <si>
    <t>Sonalivirus sonali</t>
  </si>
  <si>
    <t>Sortsnevirus IME279</t>
  </si>
  <si>
    <t>Sortsnevirus sortsne</t>
  </si>
  <si>
    <t>Soupsvirus soups</t>
  </si>
  <si>
    <t>Soupsvirus strosahl</t>
  </si>
  <si>
    <t>Soupsvirus wait</t>
  </si>
  <si>
    <t>Sourvirus sour</t>
  </si>
  <si>
    <t>Sozzivirus S11</t>
  </si>
  <si>
    <t>Sozzivirus S13</t>
  </si>
  <si>
    <t>Sozzivirus sv9805</t>
  </si>
  <si>
    <t>Sparkyvirus sparky</t>
  </si>
  <si>
    <t>Spbetavirus SPbeta</t>
  </si>
  <si>
    <t>Spizizenvirus sv105</t>
  </si>
  <si>
    <t>Squashvirus hyperion</t>
  </si>
  <si>
    <t>Squashvirus squash</t>
  </si>
  <si>
    <t>Stanholtvirus E125</t>
  </si>
  <si>
    <t>Stanholtvirus sv6442</t>
  </si>
  <si>
    <t>Stanholtvirus sv1026b</t>
  </si>
  <si>
    <t>Steinhofvirus JWX</t>
  </si>
  <si>
    <t>Steinhofvirus sv8324</t>
  </si>
  <si>
    <t>Stormageddonvirus</t>
  </si>
  <si>
    <t>Stormageddonvirus Stormageddon</t>
  </si>
  <si>
    <t>Sukhumvitvirus T25</t>
  </si>
  <si>
    <t>Svunavirus GBSV1</t>
  </si>
  <si>
    <t>Svunavirus sv1</t>
  </si>
  <si>
    <t>Swiduovirus</t>
  </si>
  <si>
    <t>Swiduovirus swi2</t>
  </si>
  <si>
    <t>Tabernariusvirus tabernarius</t>
  </si>
  <si>
    <t>Takahashivirus PBS1</t>
  </si>
  <si>
    <t>Tamkungvirus ST4</t>
  </si>
  <si>
    <t>Tandoganvirus A403</t>
  </si>
  <si>
    <t>Tankvirus tank</t>
  </si>
  <si>
    <t>Tantvirus tant</t>
  </si>
  <si>
    <t>Taranisvirus taranis</t>
  </si>
  <si>
    <t>Terapinvirus suzy</t>
  </si>
  <si>
    <t>Terapinvirus terapin</t>
  </si>
  <si>
    <t>Teubervirus AM6</t>
  </si>
  <si>
    <t>Teubervirus LW31</t>
  </si>
  <si>
    <t>Teubervirus P087</t>
  </si>
  <si>
    <t>Teubervirus P596</t>
  </si>
  <si>
    <t>Teubervirus Q1</t>
  </si>
  <si>
    <t>Thornevirus SP15</t>
  </si>
  <si>
    <t>Tigunavirus TG1</t>
  </si>
  <si>
    <t>Tijeunavirus TJE1</t>
  </si>
  <si>
    <t>Timshelvirus</t>
  </si>
  <si>
    <t>Timshelvirus droogsarmy</t>
  </si>
  <si>
    <t>Timshelvirus HINdeR</t>
  </si>
  <si>
    <t>Timshelvirus SWU2</t>
  </si>
  <si>
    <t>Timshelvirus timshel</t>
  </si>
  <si>
    <t>Tinduovirus TIN2</t>
  </si>
  <si>
    <t>Tinduovirus TIN3</t>
  </si>
  <si>
    <t>Titanvirus rcspartan</t>
  </si>
  <si>
    <t>Titanvirus rctitan</t>
  </si>
  <si>
    <t>Toutatisvirus toutatis</t>
  </si>
  <si>
    <t>Triavirus fPfSau02</t>
  </si>
  <si>
    <t>Triavirus IPLA35</t>
  </si>
  <si>
    <t>Triavirus JS02</t>
  </si>
  <si>
    <t>Triavirus LH1</t>
  </si>
  <si>
    <t>Triavirus P240</t>
  </si>
  <si>
    <t>Triavirus R1988</t>
  </si>
  <si>
    <t>Triavirus SA137ruMSSAST121PVL</t>
  </si>
  <si>
    <t>Triavirus SAP11</t>
  </si>
  <si>
    <t>Triavirus SLT</t>
  </si>
  <si>
    <t>Triavirus st1</t>
  </si>
  <si>
    <t>Triavirus st5</t>
  </si>
  <si>
    <t>Triavirus st30</t>
  </si>
  <si>
    <t>Triavirus st78</t>
  </si>
  <si>
    <t>Triavirus st121mssa</t>
  </si>
  <si>
    <t>Triavirus StauST3982</t>
  </si>
  <si>
    <t>Triavirus tp3102</t>
  </si>
  <si>
    <t>Triavirus tv2</t>
  </si>
  <si>
    <t>Triavirus tv12</t>
  </si>
  <si>
    <t>Triavirus tv47</t>
  </si>
  <si>
    <t>Triavirus tv15644</t>
  </si>
  <si>
    <t>Triavirus tv2958PVL</t>
  </si>
  <si>
    <t>Triavirus tv3a</t>
  </si>
  <si>
    <t>Triavirus tv42e</t>
  </si>
  <si>
    <t>Trigintaduovirus 32HC</t>
  </si>
  <si>
    <t>Trigintaduovirus rem711</t>
  </si>
  <si>
    <t>Trinavirus trina</t>
  </si>
  <si>
    <t>Trinevirus trine</t>
  </si>
  <si>
    <t>Triplejayvirus tripleJ</t>
  </si>
  <si>
    <t>Turbidovirus</t>
  </si>
  <si>
    <t>Turbidovirus anselm</t>
  </si>
  <si>
    <t>Turbidovirus benvolio</t>
  </si>
  <si>
    <t>Turbidovirus bugsy</t>
  </si>
  <si>
    <t>Turbidovirus centaur</t>
  </si>
  <si>
    <t>Turbidovirus evilgenius</t>
  </si>
  <si>
    <t>Turbidovirus fameo</t>
  </si>
  <si>
    <t>Turbidovirus georgie2</t>
  </si>
  <si>
    <t>Turbidovirus heffalump</t>
  </si>
  <si>
    <t>Turbidovirus joshkayV</t>
  </si>
  <si>
    <t>Turbidovirus larenn</t>
  </si>
  <si>
    <t>Turbidovirus malec</t>
  </si>
  <si>
    <t>Turbidovirus piro94</t>
  </si>
  <si>
    <t>Turbidovirus turbido</t>
  </si>
  <si>
    <t>Typhavirus</t>
  </si>
  <si>
    <t>Typhavirus typha</t>
  </si>
  <si>
    <t>Uetakevirus epsilon15</t>
  </si>
  <si>
    <t>Uetakevirus phiV10</t>
  </si>
  <si>
    <t>Uetakevirus SPN1S</t>
  </si>
  <si>
    <t>Uwajimavirus PLgW1</t>
  </si>
  <si>
    <t>Vashvirus lilbooboo</t>
  </si>
  <si>
    <t>Vashvirus vash</t>
  </si>
  <si>
    <t>Vedamuthuvirus BM13</t>
  </si>
  <si>
    <t>Vedamuthuvirus P1045</t>
  </si>
  <si>
    <t>Vedamuthuvirus Q33</t>
  </si>
  <si>
    <t>Vedamuthuvirus vv50902</t>
  </si>
  <si>
    <t>Vedamuthuvirus vv62503</t>
  </si>
  <si>
    <t>Veracruzvirus</t>
  </si>
  <si>
    <t>Veracruzvirus babyboy</t>
  </si>
  <si>
    <t>Veracruzvirus BTCU1</t>
  </si>
  <si>
    <t>Veracruzvirus heldan</t>
  </si>
  <si>
    <t>Veracruzvirus MA5</t>
  </si>
  <si>
    <t>Veracruzvirus phantastic</t>
  </si>
  <si>
    <t>Veracruzvirus pistachio</t>
  </si>
  <si>
    <t>Veracruzvirus rockstar</t>
  </si>
  <si>
    <t>Veracruzvirus veracruz</t>
  </si>
  <si>
    <t>Vhmlvirus mar</t>
  </si>
  <si>
    <t>Vhmlvirus VHML</t>
  </si>
  <si>
    <t>Vhmlvirus VP585</t>
  </si>
  <si>
    <t>Vhulanivirus Shpa</t>
  </si>
  <si>
    <t>Vibakivirus vibaki</t>
  </si>
  <si>
    <t>Vicosavirus NV1</t>
  </si>
  <si>
    <t>Vicosavirus UFVP2</t>
  </si>
  <si>
    <t>Vidquintavirus Vid5</t>
  </si>
  <si>
    <t>Vieuvirus B1251</t>
  </si>
  <si>
    <t>Vieuvirus R3177</t>
  </si>
  <si>
    <t>Vividuovirus ailee</t>
  </si>
  <si>
    <t>Vividuovirus angelicage</t>
  </si>
  <si>
    <t>Vividuovirus barsten</t>
  </si>
  <si>
    <t>Vividuovirus bibwit</t>
  </si>
  <si>
    <t>Vividuovirus brandonk123</t>
  </si>
  <si>
    <t>Vividuovirus fosterous</t>
  </si>
  <si>
    <t>Vividuovirus galadriel</t>
  </si>
  <si>
    <t>Vividuovirus geodirt</t>
  </si>
  <si>
    <t>Vividuovirus jabberwocky</t>
  </si>
  <si>
    <t>Vividuovirus keitabear</t>
  </si>
  <si>
    <t>Vividuovirus love</t>
  </si>
  <si>
    <t>Vividuovirus mckinley</t>
  </si>
  <si>
    <t>Vividuovirus nordenberg</t>
  </si>
  <si>
    <t>Vividuovirus paries</t>
  </si>
  <si>
    <t>Vividuovirus rofo</t>
  </si>
  <si>
    <t>Vividuovirus stultus</t>
  </si>
  <si>
    <t>Vividuovirus tangent</t>
  </si>
  <si>
    <t>Vividuovirus vivi2</t>
  </si>
  <si>
    <t>Waukeshavirus BMBtp3</t>
  </si>
  <si>
    <t>Waukeshavirus waukesha92</t>
  </si>
  <si>
    <t>Wbetavirus wbeta</t>
  </si>
  <si>
    <t>Weaselvirus weasel</t>
  </si>
  <si>
    <t>Wellingtonvirus wellington</t>
  </si>
  <si>
    <t>Whackvirus whack</t>
  </si>
  <si>
    <t>Whiteheadvirus wv1358</t>
  </si>
  <si>
    <t>Wifcevirus ECML117</t>
  </si>
  <si>
    <t>Wifcevirus FEC19</t>
  </si>
  <si>
    <t>Wifcevirus WFC</t>
  </si>
  <si>
    <t>Wifcevirus WFH</t>
  </si>
  <si>
    <t>Wilnyevirus billnye</t>
  </si>
  <si>
    <t>Wizardvirus Arri</t>
  </si>
  <si>
    <t>Wizardvirus bakery</t>
  </si>
  <si>
    <t>Wizardvirus barb</t>
  </si>
  <si>
    <t>Wizardvirus danyall</t>
  </si>
  <si>
    <t>Wizardvirus evamon</t>
  </si>
  <si>
    <t>Wizardvirus fireball</t>
  </si>
  <si>
    <t>Wizardvirus jambalaya</t>
  </si>
  <si>
    <t>Wizardvirus kimmyK</t>
  </si>
  <si>
    <t>Wizardvirus mutzi</t>
  </si>
  <si>
    <t>Wizardvirus nubi</t>
  </si>
  <si>
    <t>Wizardvirus phlop</t>
  </si>
  <si>
    <t>Wizardvirus portcullis</t>
  </si>
  <si>
    <t>Wizardvirus rogerdodger</t>
  </si>
  <si>
    <t>Wizardvirus smokingbunny</t>
  </si>
  <si>
    <t>Wizardvirus tillybobjoe</t>
  </si>
  <si>
    <t>Wizardvirus twister6</t>
  </si>
  <si>
    <t>Wizardvirus valary</t>
  </si>
  <si>
    <t>Wizardvirus vandewege</t>
  </si>
  <si>
    <t>Wizardvirus wizard</t>
  </si>
  <si>
    <t>Woesvirus woes</t>
  </si>
  <si>
    <t>Woodruffvirus TP1604</t>
  </si>
  <si>
    <t>Woodruffvirus YDN12</t>
  </si>
  <si>
    <t>Wumpquatrovirus WMP4</t>
  </si>
  <si>
    <t>Wumptrevirus PP</t>
  </si>
  <si>
    <t>Wumptrevirus WMP3</t>
  </si>
  <si>
    <t>Xiamenvirus RDJL1</t>
  </si>
  <si>
    <t>Xiamenvirus RDJL2</t>
  </si>
  <si>
    <t>Xipdecavirus OP1</t>
  </si>
  <si>
    <t>Xipdecavirus Xop411</t>
  </si>
  <si>
    <t>Xipdecavirus Xp10</t>
  </si>
  <si>
    <t>Xuquatrovirus PTXU04</t>
  </si>
  <si>
    <t>Yangvirus yang</t>
  </si>
  <si>
    <t>Yeceytrevirus</t>
  </si>
  <si>
    <t>Yeceytrevirus yecey3</t>
  </si>
  <si>
    <t>Yokohamavirus MSW3</t>
  </si>
  <si>
    <t>Yokohamavirus PEi21</t>
  </si>
  <si>
    <t>Yoloswagvirus yoloswag</t>
  </si>
  <si>
    <t>Yongloolinvirus C2</t>
  </si>
  <si>
    <t>Yongloolinvirus CDMH1</t>
  </si>
  <si>
    <t>Yongloolinvirus MMP01</t>
  </si>
  <si>
    <t>Yongloolinvirus MMP03</t>
  </si>
  <si>
    <t>Zetavirus zeta1847</t>
  </si>
  <si>
    <t>Zitchvirus</t>
  </si>
  <si>
    <t>Zitchvirus verity</t>
  </si>
  <si>
    <t>Zitchvirus zipp</t>
  </si>
  <si>
    <t>Zitchvirus zitch</t>
  </si>
  <si>
    <t>Affertcholeramvirus CTXphi</t>
  </si>
  <si>
    <t>Affertcholeramvirus preCTX1</t>
  </si>
  <si>
    <t>Affertcholeramvirus preCTX2</t>
  </si>
  <si>
    <t>Capistrivirus KSF1</t>
  </si>
  <si>
    <t>Coriovirus Cf1c</t>
  </si>
  <si>
    <t>Fibrovirus fs1</t>
  </si>
  <si>
    <t>Fibrovirus VGJ</t>
  </si>
  <si>
    <t>Fobrovirus VP24</t>
  </si>
  <si>
    <t>Habenivirus RS551</t>
  </si>
  <si>
    <t>Habenivirus RS603</t>
  </si>
  <si>
    <t>Habenivirus RSM1</t>
  </si>
  <si>
    <t>Habenivirus RSM3</t>
  </si>
  <si>
    <t>Infulavirus If1</t>
  </si>
  <si>
    <t>Inovirus M13</t>
  </si>
  <si>
    <t>Lineavirus I22</t>
  </si>
  <si>
    <t>Lineavirus IKe</t>
  </si>
  <si>
    <t>Lineavirus pear</t>
  </si>
  <si>
    <t>Lophivirus</t>
  </si>
  <si>
    <t>Lophivirus Cf2</t>
  </si>
  <si>
    <t>Lophivirus Lf2</t>
  </si>
  <si>
    <t>Lophivirus LfUK</t>
  </si>
  <si>
    <t>Lophivirus Xv2</t>
  </si>
  <si>
    <t>Parhipatevirus PE226</t>
  </si>
  <si>
    <t>Porrectionivirus</t>
  </si>
  <si>
    <t>Porrectionivirus p12J</t>
  </si>
  <si>
    <t>Primolicivirus Pf1</t>
  </si>
  <si>
    <t>Primolicivirus Pf8</t>
  </si>
  <si>
    <t>Psecadovirus PSH1</t>
  </si>
  <si>
    <t>Restivirus RSBg</t>
  </si>
  <si>
    <t>Restivirus RSS1</t>
  </si>
  <si>
    <t>Saetivirus fs2</t>
  </si>
  <si>
    <t>Saetivirus VFJ</t>
  </si>
  <si>
    <t>Scuticavirus SMA6</t>
  </si>
  <si>
    <t>Siphunculivirus</t>
  </si>
  <si>
    <t>Siphunculivirus SHP2</t>
  </si>
  <si>
    <t>Staminivirus SMA9</t>
  </si>
  <si>
    <t>Subteminivirus SMA7</t>
  </si>
  <si>
    <t>Tertilicivirus Pf3</t>
  </si>
  <si>
    <t>Vasivirus</t>
  </si>
  <si>
    <t>Vasivirus VAI</t>
  </si>
  <si>
    <t>Versovirus VALG6</t>
  </si>
  <si>
    <t>Versovirus VfO3K6</t>
  </si>
  <si>
    <t>Vicialiavirus VCY</t>
  </si>
  <si>
    <t>Villovirus VALG8</t>
  </si>
  <si>
    <t>Villovirus Vf33</t>
  </si>
  <si>
    <t>Xylivirus XacF13</t>
  </si>
  <si>
    <t>Xylivirus Xf109</t>
  </si>
  <si>
    <t>Bifilivirus B5</t>
  </si>
  <si>
    <t>Thomixvirus OH3</t>
  </si>
  <si>
    <t>Plectrovirus L51</t>
  </si>
  <si>
    <t>Suturavirus SVTS2</t>
  </si>
  <si>
    <t>Vespertiliovirus C74</t>
  </si>
  <si>
    <t>Vespertiliovirus R8A2B</t>
  </si>
  <si>
    <t>Vespertiliovirus SkV1CR23x</t>
  </si>
  <si>
    <t>Virgulavirus</t>
  </si>
  <si>
    <t>Virgulavirus SVGII3</t>
  </si>
  <si>
    <t>Alphatrevirus alpha3</t>
  </si>
  <si>
    <t>Alphatrevirus ID21</t>
  </si>
  <si>
    <t>Alphatrevirus ID32</t>
  </si>
  <si>
    <t>Alphatrevirus ID62</t>
  </si>
  <si>
    <t>Alphatrevirus NC28</t>
  </si>
  <si>
    <t>Alphatrevirus NC29</t>
  </si>
  <si>
    <t>Alphatrevirus NC35</t>
  </si>
  <si>
    <t>Alphatrevirus phiK</t>
  </si>
  <si>
    <t>Alphatrevirus St1</t>
  </si>
  <si>
    <t>Alphatrevirus WA45</t>
  </si>
  <si>
    <t>Gequatrovirus G4</t>
  </si>
  <si>
    <t>Gequatrovirus ID52</t>
  </si>
  <si>
    <t>Gequatrovirus talmos</t>
  </si>
  <si>
    <t>Sinsheimervirus phiX174</t>
  </si>
  <si>
    <t>Bdellomicrovirus MH2K</t>
  </si>
  <si>
    <t>Chlamydiamicrovirus Chp1</t>
  </si>
  <si>
    <t>Chlamydiamicrovirus Chp2</t>
  </si>
  <si>
    <t>Chlamydiamicrovirus CPAR39</t>
  </si>
  <si>
    <t>Chlamydiamicrovirus CPG1</t>
  </si>
  <si>
    <t>Spiromicrovirus SpV4</t>
  </si>
  <si>
    <t>Alphapolyomavirus acelebensis</t>
  </si>
  <si>
    <t>Alphapolyomavirus aflavicollis</t>
  </si>
  <si>
    <t>Alphapolyomavirus apaniscus</t>
  </si>
  <si>
    <t>Alphapolyomavirus callosciuri</t>
  </si>
  <si>
    <t>Alphapolyomavirus cardiodermae</t>
  </si>
  <si>
    <t>Alphapolyomavirus carolliae</t>
  </si>
  <si>
    <t>Alphapolyomavirus chlopygerythrus</t>
  </si>
  <si>
    <t>Alphapolyomavirus dobsoniae</t>
  </si>
  <si>
    <t>Alphapolyomavirus eidoli</t>
  </si>
  <si>
    <t>Alphapolyomavirus gorillae</t>
  </si>
  <si>
    <t>Alphapolyomavirus macacae</t>
  </si>
  <si>
    <t>Alphapolyomavirus mauratus</t>
  </si>
  <si>
    <t>Alphapolyomavirus mischreibersii</t>
  </si>
  <si>
    <t>Alphapolyomavirus molossi</t>
  </si>
  <si>
    <t>Alphapolyomavirus muris</t>
  </si>
  <si>
    <t>Alphapolyomavirus nonihominis</t>
  </si>
  <si>
    <t>Alphapolyomavirus octihominis</t>
  </si>
  <si>
    <t>Alphapolyomavirus omartiensseni</t>
  </si>
  <si>
    <t>Alphapolyomavirus pacynocephalus</t>
  </si>
  <si>
    <t>Alphapolyomavirus panos</t>
  </si>
  <si>
    <t>Alphapolyomavirus philantombae</t>
  </si>
  <si>
    <t>Alphapolyomavirus pibadius</t>
  </si>
  <si>
    <t>Alphapolyomavirus pirufomitratus</t>
  </si>
  <si>
    <t>Alphapolyomavirus ponabelii</t>
  </si>
  <si>
    <t>Alphapolyomavirus ponpygmaeus</t>
  </si>
  <si>
    <t>Alphapolyomavirus procyonis</t>
  </si>
  <si>
    <t>Alphapolyomavirus ptevampyrus</t>
  </si>
  <si>
    <t>Alphapolyomavirus quardecihominis</t>
  </si>
  <si>
    <t>Alphapolyomavirus quartipanos</t>
  </si>
  <si>
    <t>Alphapolyomavirus quintihominis</t>
  </si>
  <si>
    <t>Alphapolyomavirus quintipanos</t>
  </si>
  <si>
    <t>Alphapolyomavirus ranorvegicus</t>
  </si>
  <si>
    <t>Alphapolyomavirus saraneus</t>
  </si>
  <si>
    <t>Alphapolyomavirus secarplanirostris</t>
  </si>
  <si>
    <t>Alphapolyomavirus secomartiensseni</t>
  </si>
  <si>
    <t>Alphapolyomavirus secumastomysis</t>
  </si>
  <si>
    <t>Alphapolyomavirus secumischreibersii</t>
  </si>
  <si>
    <t>Alphapolyomavirus secupanos</t>
  </si>
  <si>
    <t>Alphapolyomavirus septipanos</t>
  </si>
  <si>
    <t>Alphapolyomavirus sextipanos</t>
  </si>
  <si>
    <t>Alphapolyomavirus socoronatus</t>
  </si>
  <si>
    <t>Alphapolyomavirus sominutus</t>
  </si>
  <si>
    <t>Alphapolyomavirus sturnirae</t>
  </si>
  <si>
    <t>Alphapolyomavirus suis</t>
  </si>
  <si>
    <t>Alphapolyomavirus terdecihominis</t>
  </si>
  <si>
    <t>Alphapolyomavirus tertarplanisrostris</t>
  </si>
  <si>
    <t>Alphapolyomavirus tertichlopygerythrus</t>
  </si>
  <si>
    <t>Alphapolyomavirus tertimastomysis</t>
  </si>
  <si>
    <t>Alphapolyomavirus tertipanos</t>
  </si>
  <si>
    <t>Alphapolyomavirus tubelangeri</t>
  </si>
  <si>
    <t>Alphapolyomavirus tuglis</t>
  </si>
  <si>
    <t>Betapolyomavirus arplanirostris</t>
  </si>
  <si>
    <t>Betapolyomavirus calbifrons</t>
  </si>
  <si>
    <t>Betapolyomavirus callosciuri</t>
  </si>
  <si>
    <t>Betapolyomavirus canis</t>
  </si>
  <si>
    <t>Betapolyomavirus cercopitheci</t>
  </si>
  <si>
    <t>Betapolyomavirus desrotundus</t>
  </si>
  <si>
    <t>Betapolyomavirus elephanti</t>
  </si>
  <si>
    <t>Betapolyomavirus enhydrae</t>
  </si>
  <si>
    <t>Betapolyomavirus equi</t>
  </si>
  <si>
    <t>Betapolyomavirus gliris</t>
  </si>
  <si>
    <t>Betapolyomavirus hominis</t>
  </si>
  <si>
    <t>Betapolyomavirus leporis</t>
  </si>
  <si>
    <t>Betapolyomavirus lepweddellii</t>
  </si>
  <si>
    <t>Betapolyomavirus macacae</t>
  </si>
  <si>
    <t>Betapolyomavirus mafricanus</t>
  </si>
  <si>
    <t>Betapolyomavirus marvalis</t>
  </si>
  <si>
    <t>Betapolyomavirus mastomysis</t>
  </si>
  <si>
    <t>Betapolyomavirus meletis</t>
  </si>
  <si>
    <t>Betapolyomavirus myoglareolus</t>
  </si>
  <si>
    <t>Betapolyomavirus myolucifugus</t>
  </si>
  <si>
    <t>Betapolyomavirus octipanos</t>
  </si>
  <si>
    <t>Betapolyomavirus pantherae</t>
  </si>
  <si>
    <t>Betapolyomavirus ptedavyi</t>
  </si>
  <si>
    <t>Betapolyomavirus pteparnellii</t>
  </si>
  <si>
    <t>Betapolyomavirus quartihominis</t>
  </si>
  <si>
    <t>Betapolyomavirus raegyptiacus</t>
  </si>
  <si>
    <t>Betapolyomavirus saboliviensis</t>
  </si>
  <si>
    <t>Betapolyomavirus sasciureus</t>
  </si>
  <si>
    <t>Betapolyomavirus sciuri</t>
  </si>
  <si>
    <t>Betapolyomavirus secacelebensis</t>
  </si>
  <si>
    <t>Betapolyomavirus secuchlopygerythrus</t>
  </si>
  <si>
    <t>Betapolyomavirus secudobsoniae</t>
  </si>
  <si>
    <t>Betapolyomavirus secuhominis</t>
  </si>
  <si>
    <t>Betapolyomavirus secumuris</t>
  </si>
  <si>
    <t>Betapolyomavirus secupacynocephalus</t>
  </si>
  <si>
    <t>Betapolyomavirus securanorvegicus</t>
  </si>
  <si>
    <t>Betapolyomavirus tertidobsoniae</t>
  </si>
  <si>
    <t>Betapolyomavirus tertihominis</t>
  </si>
  <si>
    <t>Betapolyomavirus tertimuris</t>
  </si>
  <si>
    <t>Betapolyomavirus vicugnae</t>
  </si>
  <si>
    <t>Betapolyomavirus zacalifornianus</t>
  </si>
  <si>
    <t>Deltapolyomavirus ailuropodae</t>
  </si>
  <si>
    <t>Deltapolyomavirus canis</t>
  </si>
  <si>
    <t>Deltapolyomavirus decihominis</t>
  </si>
  <si>
    <t>Deltapolyomavirus secuprocyonis</t>
  </si>
  <si>
    <t>Deltapolyomavirus septihominis</t>
  </si>
  <si>
    <t>Deltapolyomavirus sextihominis</t>
  </si>
  <si>
    <t>Deltapolyomavirus undecihominis</t>
  </si>
  <si>
    <t>Epsilonpolyomavirus bovis</t>
  </si>
  <si>
    <t>Epsilonpolyomavirus caprae</t>
  </si>
  <si>
    <t>Epsilonpolyomavirus poporcus</t>
  </si>
  <si>
    <t>Etapolyomavirus</t>
  </si>
  <si>
    <t>Etapolyomavirus rhyndjiddensis</t>
  </si>
  <si>
    <t>Gammapolyomavirus anseris</t>
  </si>
  <si>
    <t>Gammapolyomavirus avis</t>
  </si>
  <si>
    <t>Gammapolyomavirus corvi</t>
  </si>
  <si>
    <t>Gammapolyomavirus cratorquatus</t>
  </si>
  <si>
    <t>Gammapolyomavirus egouldiae</t>
  </si>
  <si>
    <t>Gammapolyomavirus lonmaja</t>
  </si>
  <si>
    <t>Gammapolyomavirus padeliae</t>
  </si>
  <si>
    <t>Gammapolyomavirus pypyrrhula</t>
  </si>
  <si>
    <t>Gammapolyomavirus secanaria</t>
  </si>
  <si>
    <t>Thetapolyomavirus</t>
  </si>
  <si>
    <t>Thetapolyomavirus censtriata</t>
  </si>
  <si>
    <t>Thetapolyomavirus spari</t>
  </si>
  <si>
    <t>Thetapolyomavirus trebernacchii</t>
  </si>
  <si>
    <t>Thetapolyomavirus trepennellii</t>
  </si>
  <si>
    <t>Zetapolyomavirus delphini</t>
  </si>
  <si>
    <t>Vilyaviridae</t>
  </si>
  <si>
    <t>Andurilvirus</t>
  </si>
  <si>
    <t>Andurilvirus erebor</t>
  </si>
  <si>
    <t>Andurilvirus finwe</t>
  </si>
  <si>
    <t>Angristvirus</t>
  </si>
  <si>
    <t>Angristvirus fangorn</t>
  </si>
  <si>
    <t>Angristvirus hurin</t>
  </si>
  <si>
    <t>Aranruthvirus</t>
  </si>
  <si>
    <t>Aranruthvirus numenor</t>
  </si>
  <si>
    <t>Arnorvirus</t>
  </si>
  <si>
    <t>Arnorvirus sauron</t>
  </si>
  <si>
    <t>Glamdringvirus</t>
  </si>
  <si>
    <t>Glamdringvirus minas</t>
  </si>
  <si>
    <t>Glamdringvirus thorin</t>
  </si>
  <si>
    <t>Grondvirus</t>
  </si>
  <si>
    <t>Grondvirus lorian</t>
  </si>
  <si>
    <t>Herugrimvirus</t>
  </si>
  <si>
    <t>Herugrimvirus gladden</t>
  </si>
  <si>
    <t>Illuinvirus</t>
  </si>
  <si>
    <t>Illuinvirus amon</t>
  </si>
  <si>
    <t>Ormalvirus</t>
  </si>
  <si>
    <t>Ormalvirus cirith</t>
  </si>
  <si>
    <t>Palantirivirus</t>
  </si>
  <si>
    <t>Palantirivirus imlardis</t>
  </si>
  <si>
    <t>Ringilvirus</t>
  </si>
  <si>
    <t>Ringilvirus thingol</t>
  </si>
  <si>
    <t>Ringilvirus tuor</t>
  </si>
  <si>
    <t>Ringilvirus ungol</t>
  </si>
  <si>
    <t>Vingilotevirus</t>
  </si>
  <si>
    <t>Vingilotevirus gamgee</t>
  </si>
  <si>
    <t>Vingilotevirus gimli</t>
  </si>
  <si>
    <t>Rivendellvirales</t>
  </si>
  <si>
    <t>Naryaviridae</t>
  </si>
  <si>
    <t>Menegrothvirus</t>
  </si>
  <si>
    <t>Menegrothvirus gilly</t>
  </si>
  <si>
    <t>Nauglamirvirus</t>
  </si>
  <si>
    <t>Nauglamirvirus anduin</t>
  </si>
  <si>
    <t>Nimphelosvirus</t>
  </si>
  <si>
    <t>Nimphelosvirus arnor</t>
  </si>
  <si>
    <t>Nimphelosvirus isildur</t>
  </si>
  <si>
    <t>Phialvirus</t>
  </si>
  <si>
    <t>Phialvirus golin</t>
  </si>
  <si>
    <t>Rohanvirales</t>
  </si>
  <si>
    <t>Nenyaviridae</t>
  </si>
  <si>
    <t>Angainorvirus</t>
  </si>
  <si>
    <t>Angainorvirus turin</t>
  </si>
  <si>
    <t>Galvornvirus</t>
  </si>
  <si>
    <t>Galvornvirus isengard</t>
  </si>
  <si>
    <t>Mazarbulvirus</t>
  </si>
  <si>
    <t>Mazarbulvirus hasufel</t>
  </si>
  <si>
    <t>Mithrilvirus</t>
  </si>
  <si>
    <t>Mithrilvirus smaug</t>
  </si>
  <si>
    <t>Valinorvirus</t>
  </si>
  <si>
    <t>Valinorvirus arda</t>
  </si>
  <si>
    <t>Valinorvirus eriador</t>
  </si>
  <si>
    <t>Gammapleolipovirus Hardyhisp2</t>
  </si>
  <si>
    <t>Alphachrysovirus anthurii</t>
  </si>
  <si>
    <t>Alphachrysovirus aspergilli</t>
  </si>
  <si>
    <t>Alphachrysovirus brassicae</t>
  </si>
  <si>
    <t>Alphachrysovirus cerasi</t>
  </si>
  <si>
    <t>Alphachrysovirus chrysothricis</t>
  </si>
  <si>
    <t>Alphachrysovirus colletotrichi</t>
  </si>
  <si>
    <t>Alphachrysovirus cryphonectriae</t>
  </si>
  <si>
    <t>Alphachrysovirus fusarii</t>
  </si>
  <si>
    <t>Alphachrysovirus helminthosporii</t>
  </si>
  <si>
    <t>Alphachrysovirus isariae</t>
  </si>
  <si>
    <t>Alphachrysovirus macrophominae</t>
  </si>
  <si>
    <t>Alphachrysovirus penicillii</t>
  </si>
  <si>
    <t>Alphachrysovirus penicompacti</t>
  </si>
  <si>
    <t>Alphachrysovirus penifulvi</t>
  </si>
  <si>
    <t>Alphachrysovirus perseae</t>
  </si>
  <si>
    <t>Alphachrysovirus raphani</t>
  </si>
  <si>
    <t>Alphachrysovirus saladoense</t>
  </si>
  <si>
    <t>Alphachrysovirus shuangaoense</t>
  </si>
  <si>
    <t>Alphachrysovirus verticillii</t>
  </si>
  <si>
    <t>Alphachrysovirus zeae</t>
  </si>
  <si>
    <t>Betachrysovirus alternariae</t>
  </si>
  <si>
    <t>Betachrysovirus aspergilli</t>
  </si>
  <si>
    <t>Betachrysovirus botryosphaeriae</t>
  </si>
  <si>
    <t>Betachrysovirus colletotrichi</t>
  </si>
  <si>
    <t>Betachrysovirus coniothyrii</t>
  </si>
  <si>
    <t>Betachrysovirus foxyspori</t>
  </si>
  <si>
    <t>Betachrysovirus fugramineari</t>
  </si>
  <si>
    <t>Betachrysovirus magnaporthis</t>
  </si>
  <si>
    <t>Betachrysovirus neofusicocci</t>
  </si>
  <si>
    <t>Betachrysovirus pripenicillii</t>
  </si>
  <si>
    <t>Betachrysovirus secupenicillii</t>
  </si>
  <si>
    <t>Sedoreoviridae</t>
  </si>
  <si>
    <t>Spinareoviridae</t>
  </si>
  <si>
    <t>Cystovirus phi6</t>
  </si>
  <si>
    <t>Cystovirus phi8</t>
  </si>
  <si>
    <t>Cystovirus phi12</t>
  </si>
  <si>
    <t>Cystovirus phi13</t>
  </si>
  <si>
    <t>Cystovirus phi2954</t>
  </si>
  <si>
    <t>Cystovirus phiNN</t>
  </si>
  <si>
    <t>Cystovirus phiYY</t>
  </si>
  <si>
    <t>Orthohepevirinae</t>
  </si>
  <si>
    <t>Avihepevirus</t>
  </si>
  <si>
    <t>Avihepevirus egretti</t>
  </si>
  <si>
    <t>Avihepevirus magniiecur</t>
  </si>
  <si>
    <t>Chirohepevirus</t>
  </si>
  <si>
    <t>Chirohepevirus desmodi</t>
  </si>
  <si>
    <t>Chirohepevirus eptesici</t>
  </si>
  <si>
    <t>Chirohepevirus rhinolophi</t>
  </si>
  <si>
    <t>Paslahepevirus</t>
  </si>
  <si>
    <t>Paslahepevirus alci</t>
  </si>
  <si>
    <t>Paslahepevirus balayani</t>
  </si>
  <si>
    <t>Rocahepevirus</t>
  </si>
  <si>
    <t>Rocahepevirus eothenomi</t>
  </si>
  <si>
    <t>Rocahepevirus ratti</t>
  </si>
  <si>
    <t>Parahepevirinae</t>
  </si>
  <si>
    <t>Piscihepevirus heenan</t>
  </si>
  <si>
    <t>Anulavirus GLPV</t>
  </si>
  <si>
    <t>Bromovirus SVS</t>
  </si>
  <si>
    <t>Bluvavirus</t>
  </si>
  <si>
    <t>Menthavirus</t>
  </si>
  <si>
    <t>Olivavirus</t>
  </si>
  <si>
    <t>Cilevirus oahuense</t>
  </si>
  <si>
    <t>Idaeovirus ligustri</t>
  </si>
  <si>
    <t>Idaeovirus rubi</t>
  </si>
  <si>
    <t>Pteridovirus filicis</t>
  </si>
  <si>
    <t>Pteridovirus maydis</t>
  </si>
  <si>
    <t>Banmivirus</t>
  </si>
  <si>
    <t>Banmivirus BanMMV</t>
  </si>
  <si>
    <t>Carlavirus BiCV</t>
  </si>
  <si>
    <t>Carlavirus CVR</t>
  </si>
  <si>
    <t>Carlavirus PaMMaV</t>
  </si>
  <si>
    <t>Carlavirus PapMaV</t>
  </si>
  <si>
    <t>Carlavirus PepVA</t>
  </si>
  <si>
    <t>Carlavirus RoVA</t>
  </si>
  <si>
    <t>Carlavirus SCV1</t>
  </si>
  <si>
    <t>Carlavirus ShVS</t>
  </si>
  <si>
    <t>Foveavirus ChVB</t>
  </si>
  <si>
    <t>Foveavirus RuV1</t>
  </si>
  <si>
    <t>Sustrivirus</t>
  </si>
  <si>
    <t>Sustrivirus SCSMaV</t>
  </si>
  <si>
    <t>Capillovirus TRV1</t>
  </si>
  <si>
    <t>Prunevirus CRSaV-1</t>
  </si>
  <si>
    <t>Tepovirus AgVT</t>
  </si>
  <si>
    <t>Tepovirus ChVT</t>
  </si>
  <si>
    <t>Tepovirus ZoVT</t>
  </si>
  <si>
    <t>Trichovirus CLV-1</t>
  </si>
  <si>
    <t>Trichovirus PCLSV</t>
  </si>
  <si>
    <t>Trichovirus PeVM</t>
  </si>
  <si>
    <t>Vitivirus BGMaV</t>
  </si>
  <si>
    <t>Vitivirus GVL</t>
  </si>
  <si>
    <t>Gammaflexivirus</t>
  </si>
  <si>
    <t>Gammaflexivirus EntGFV-1</t>
  </si>
  <si>
    <t>Gammaflexivirus PaGFV-1</t>
  </si>
  <si>
    <t>Xylavirus</t>
  </si>
  <si>
    <t>Xylavirus EntGFV-2</t>
  </si>
  <si>
    <t>Sikte waterborne virus</t>
  </si>
  <si>
    <t>2020.037P.R.Correction_Tombusviridae.zip</t>
  </si>
  <si>
    <t>Tralespevirus</t>
  </si>
  <si>
    <t>Tralespevirus gompholobii</t>
  </si>
  <si>
    <t>Tralespevirus lespedezae</t>
  </si>
  <si>
    <t>Duamitovirus</t>
  </si>
  <si>
    <t>Duamitovirus alal1</t>
  </si>
  <si>
    <t>Duamitovirus azfi1</t>
  </si>
  <si>
    <t>Duamitovirus bevu1</t>
  </si>
  <si>
    <t>Duamitovirus boci1</t>
  </si>
  <si>
    <t>Duamitovirus boci3</t>
  </si>
  <si>
    <t>Duamitovirus bodo1</t>
  </si>
  <si>
    <t>Duamitovirus busp1</t>
  </si>
  <si>
    <t>Duamitovirus casa1</t>
  </si>
  <si>
    <t>Duamitovirus cesp1</t>
  </si>
  <si>
    <t>Duamitovirus chqu1</t>
  </si>
  <si>
    <t>Duamitovirus clod1</t>
  </si>
  <si>
    <t>Duamitovirus crpa1</t>
  </si>
  <si>
    <t>Duamitovirus dapi1</t>
  </si>
  <si>
    <t>Duamitovirus epni1</t>
  </si>
  <si>
    <t>Duamitovirus fubo1</t>
  </si>
  <si>
    <t>Duamitovirus fupo3</t>
  </si>
  <si>
    <t>Duamitovirus fupo4</t>
  </si>
  <si>
    <t>Duamitovirus gima1</t>
  </si>
  <si>
    <t>Duamitovirus gima2</t>
  </si>
  <si>
    <t>Duamitovirus gima3</t>
  </si>
  <si>
    <t>Duamitovirus gima4</t>
  </si>
  <si>
    <t>Duamitovirus hean1</t>
  </si>
  <si>
    <t>Duamitovirus hean3</t>
  </si>
  <si>
    <t>Duamitovirus hepa3</t>
  </si>
  <si>
    <t>Duamitovirus hulu1</t>
  </si>
  <si>
    <t>Duamitovirus nepa1</t>
  </si>
  <si>
    <t>Duamitovirus nior1</t>
  </si>
  <si>
    <t>Duamitovirus opno1a</t>
  </si>
  <si>
    <t>Duamitovirus opno1b</t>
  </si>
  <si>
    <t>Duamitovirus opno1c</t>
  </si>
  <si>
    <t>Duamitovirus opno3a</t>
  </si>
  <si>
    <t>Duamitovirus opno3b</t>
  </si>
  <si>
    <t>Duamitovirus oxru1</t>
  </si>
  <si>
    <t>Duamitovirus peex1</t>
  </si>
  <si>
    <t>Duamitovirus rhce1</t>
  </si>
  <si>
    <t>Duamitovirus rhir1</t>
  </si>
  <si>
    <t>Duamitovirus rhso21</t>
  </si>
  <si>
    <t>Duamitovirus rhso25</t>
  </si>
  <si>
    <t>Duamitovirus rhso26</t>
  </si>
  <si>
    <t>Duamitovirus rhso27</t>
  </si>
  <si>
    <t>Duamitovirus rhso31</t>
  </si>
  <si>
    <t>Duamitovirus rhso32</t>
  </si>
  <si>
    <t>Duamitovirus rhso34</t>
  </si>
  <si>
    <t>Duamitovirus scho1</t>
  </si>
  <si>
    <t>Duamitovirus scni2</t>
  </si>
  <si>
    <t>Duamitovirus scsc3</t>
  </si>
  <si>
    <t>Duamitovirus scsc6</t>
  </si>
  <si>
    <t>Duamitovirus soch1</t>
  </si>
  <si>
    <t>Duamitovirus tuae1</t>
  </si>
  <si>
    <t>Kvaramitovirus</t>
  </si>
  <si>
    <t>Kvaramitovirus opno7</t>
  </si>
  <si>
    <t>Triamitovirus</t>
  </si>
  <si>
    <t>Triamitovirus cespA</t>
  </si>
  <si>
    <t>Triamitovirus gesu1</t>
  </si>
  <si>
    <t>Triamitovirus rhcl1</t>
  </si>
  <si>
    <t>Triamitovirus rhor1</t>
  </si>
  <si>
    <t>Triamitovirus rhso1</t>
  </si>
  <si>
    <t>Triamitovirus rhso23</t>
  </si>
  <si>
    <t>Triamitovirus rhso30</t>
  </si>
  <si>
    <t>Triamitovirus rhso39</t>
  </si>
  <si>
    <t>Triamitovirus tuex1</t>
  </si>
  <si>
    <t>Unuamitovirus</t>
  </si>
  <si>
    <t>Unuamitovirus agbi1</t>
  </si>
  <si>
    <t>Unuamitovirus alar1</t>
  </si>
  <si>
    <t>Unuamitovirus albr1</t>
  </si>
  <si>
    <t>Unuamitovirus boci2</t>
  </si>
  <si>
    <t>Unuamitovirus boci4</t>
  </si>
  <si>
    <t>Unuamitovirus crri1</t>
  </si>
  <si>
    <t>Unuamitovirus crri2</t>
  </si>
  <si>
    <t>Unuamitovirus crri3</t>
  </si>
  <si>
    <t>Unuamitovirus crri4</t>
  </si>
  <si>
    <t>Unuamitovirus crri5</t>
  </si>
  <si>
    <t>Unuamitovirus diru1</t>
  </si>
  <si>
    <t>Unuamitovirus enmu1</t>
  </si>
  <si>
    <t>Unuamitovirus enmu2</t>
  </si>
  <si>
    <t>Unuamitovirus enmu3</t>
  </si>
  <si>
    <t>Unuamitovirus enmu4</t>
  </si>
  <si>
    <t>Unuamitovirus enmu5</t>
  </si>
  <si>
    <t>Unuamitovirus enmu6</t>
  </si>
  <si>
    <t>Unuamitovirus enmu7</t>
  </si>
  <si>
    <t>Unuamitovirus enmu8</t>
  </si>
  <si>
    <t>Unuamitovirus fuan1</t>
  </si>
  <si>
    <t>Unuamitovirus fuci1</t>
  </si>
  <si>
    <t>Unuamitovirus fuci2</t>
  </si>
  <si>
    <t>Unuamitovirus fuco1</t>
  </si>
  <si>
    <t>Unuamitovirus fugl1</t>
  </si>
  <si>
    <t>Unuamitovirus fuox1</t>
  </si>
  <si>
    <t>Unuamitovirus fupo1</t>
  </si>
  <si>
    <t>Unuamitovirus fupo2</t>
  </si>
  <si>
    <t>Unuamitovirus fuve1</t>
  </si>
  <si>
    <t>Unuamitovirus grab1</t>
  </si>
  <si>
    <t>Unuamitovirus grab2</t>
  </si>
  <si>
    <t>Unuamitovirus hean2</t>
  </si>
  <si>
    <t>Unuamitovirus hemo1</t>
  </si>
  <si>
    <t>Unuamitovirus hyal1</t>
  </si>
  <si>
    <t>Unuamitovirus hyfr1</t>
  </si>
  <si>
    <t>Unuamitovirus lebi1</t>
  </si>
  <si>
    <t>Unuamitovirus nior2</t>
  </si>
  <si>
    <t>Unuamitovirus opno4</t>
  </si>
  <si>
    <t>Unuamitovirus opno5</t>
  </si>
  <si>
    <t>Unuamitovirus opno6</t>
  </si>
  <si>
    <t>Unuamitovirus pust1</t>
  </si>
  <si>
    <t>Unuamitovirus scni1</t>
  </si>
  <si>
    <t>Unuamitovirus scsc1</t>
  </si>
  <si>
    <t>Unuamitovirus scsc2</t>
  </si>
  <si>
    <t>Unuamitovirus scsc4</t>
  </si>
  <si>
    <t>Unuamitovirus scsc7</t>
  </si>
  <si>
    <t>Unuamitovirus thba1</t>
  </si>
  <si>
    <t>2020.095B.R.Leviviricetes.zip</t>
  </si>
  <si>
    <t>2020.095B.R.Leviviricetes.zip;2020.001G.R.Abolish_type_species.pdf</t>
  </si>
  <si>
    <t>Gredihovirus paludicola</t>
  </si>
  <si>
    <t>Betabotoulivirus</t>
  </si>
  <si>
    <t>Betabotoulivirus alphaplasmoparae</t>
  </si>
  <si>
    <t>Betabotoulivirus betaplasmoparae</t>
  </si>
  <si>
    <t>Betabotoulivirus deltaplasmoparae</t>
  </si>
  <si>
    <t>Betabotoulivirus entoleucae</t>
  </si>
  <si>
    <t>Betabotoulivirus epsilonplasmoparae</t>
  </si>
  <si>
    <t>Betabotoulivirus etaplasmoparae</t>
  </si>
  <si>
    <t>Betabotoulivirus gammaplasmoparae</t>
  </si>
  <si>
    <t>Betabotoulivirus phaeoacremonium</t>
  </si>
  <si>
    <t>Betabotoulivirus thetaplasmoparae</t>
  </si>
  <si>
    <t>Betabotoulivirus zetaplasmoparae</t>
  </si>
  <si>
    <t>Betarhizoulivirus</t>
  </si>
  <si>
    <t>Betarhizoulivirus solani</t>
  </si>
  <si>
    <t>Betascleroulivirus</t>
  </si>
  <si>
    <t>Betascleroulivirus alphaplasmoparae</t>
  </si>
  <si>
    <t>Betascleroulivirus betaplasmoparae</t>
  </si>
  <si>
    <t>Betascleroulivirus botrytidis</t>
  </si>
  <si>
    <t>Betascleroulivirus deltaplasmoparae</t>
  </si>
  <si>
    <t>Betascleroulivirus epsilonplasmoparae</t>
  </si>
  <si>
    <t>Betascleroulivirus etaplasmoparae</t>
  </si>
  <si>
    <t>Betascleroulivirus gammaplasmoparae</t>
  </si>
  <si>
    <t>Betascleroulivirus iotaplasmoparae</t>
  </si>
  <si>
    <t>Betascleroulivirus kappaplasmoparae</t>
  </si>
  <si>
    <t>Betascleroulivirus lambdaplasmoparae</t>
  </si>
  <si>
    <t>Betascleroulivirus miplasmoparae</t>
  </si>
  <si>
    <t>Betascleroulivirus pyriculariae</t>
  </si>
  <si>
    <t>Betascleroulivirus thetaplasmoparae</t>
  </si>
  <si>
    <t>Betascleroulivirus zetaplasmoparae</t>
  </si>
  <si>
    <t>Botoulivirus alphabotrytidis</t>
  </si>
  <si>
    <t>Botoulivirus alphaplasmoparae</t>
  </si>
  <si>
    <t>Botoulivirus betabotrytidis</t>
  </si>
  <si>
    <t>Botoulivirus betaplasmoparae</t>
  </si>
  <si>
    <t>Botoulivirus deltabotrytidis</t>
  </si>
  <si>
    <t>Botoulivirus deltaplasmoparae</t>
  </si>
  <si>
    <t>Botoulivirus epsilonbotrytidis</t>
  </si>
  <si>
    <t>Botoulivirus epsilonplasmoparae</t>
  </si>
  <si>
    <t>Botoulivirus etabotrytidis</t>
  </si>
  <si>
    <t>Botoulivirus etaplasmoparae</t>
  </si>
  <si>
    <t>Botoulivirus gammabotrytidis</t>
  </si>
  <si>
    <t>Botoulivirus gammaplasmoparae</t>
  </si>
  <si>
    <t>Botoulivirus thetabotrytidis</t>
  </si>
  <si>
    <t>Botoulivirus zetabotrytidis</t>
  </si>
  <si>
    <t>Botoulivirus zetaplasmoparae</t>
  </si>
  <si>
    <t>Deltascleroulivirus</t>
  </si>
  <si>
    <t>Deltascleroulivirus alphaplasmoparae</t>
  </si>
  <si>
    <t>Deltascleroulivirus betaplasmoparae</t>
  </si>
  <si>
    <t>Deltascleroulivirus botrytidis</t>
  </si>
  <si>
    <t>Epsilonscleroulivirus</t>
  </si>
  <si>
    <t>Epsilonscleroulivirus plasmoparae</t>
  </si>
  <si>
    <t>Gammascleroulivirus</t>
  </si>
  <si>
    <t>Gammascleroulivirus alphaplasmoparae</t>
  </si>
  <si>
    <t>Gammascleroulivirus betaplasmoparae</t>
  </si>
  <si>
    <t>Magoulivirus alphabotrytidis</t>
  </si>
  <si>
    <t>Magoulivirus alphamacrophominae</t>
  </si>
  <si>
    <t>Magoulivirus alphaplasmoparae</t>
  </si>
  <si>
    <t>Magoulivirus betabotrytidis</t>
  </si>
  <si>
    <t>Magoulivirus betamacrophominae</t>
  </si>
  <si>
    <t>Magoulivirus betaplasmoparae</t>
  </si>
  <si>
    <t>Magoulivirus deltaplasmoparae</t>
  </si>
  <si>
    <t>Magoulivirus epsilonplasmoparae</t>
  </si>
  <si>
    <t>Magoulivirus etaplasmoparae</t>
  </si>
  <si>
    <t>Magoulivirus fiplasmoparae</t>
  </si>
  <si>
    <t>Magoulivirus gammaplasmoparae</t>
  </si>
  <si>
    <t>Magoulivirus iotaplasmoparae</t>
  </si>
  <si>
    <t>Magoulivirus ipsilonplasmoparae</t>
  </si>
  <si>
    <t>Magoulivirus jiplasmoparae</t>
  </si>
  <si>
    <t>Magoulivirus kappaplasmoparae</t>
  </si>
  <si>
    <t>Magoulivirus lambdaplasmoparae</t>
  </si>
  <si>
    <t>Magoulivirus malus</t>
  </si>
  <si>
    <t>Magoulivirus miplasmoparae</t>
  </si>
  <si>
    <t>Magoulivirus niplasmoparae</t>
  </si>
  <si>
    <t>Magoulivirus omegaplasmoparae</t>
  </si>
  <si>
    <t>Magoulivirus omicronplasmoparae</t>
  </si>
  <si>
    <t>Magoulivirus piplasmoparae</t>
  </si>
  <si>
    <t>Magoulivirus psiplasmoparae</t>
  </si>
  <si>
    <t>Magoulivirus rhoplasmoparae</t>
  </si>
  <si>
    <t>Magoulivirus sigmaplasmoparae</t>
  </si>
  <si>
    <t>Magoulivirus tauplasmoparae</t>
  </si>
  <si>
    <t>Magoulivirus thetaplasmoparae</t>
  </si>
  <si>
    <t>Magoulivirus viticolae</t>
  </si>
  <si>
    <t>Magoulivirus xiplasmoparae</t>
  </si>
  <si>
    <t>Magoulivirus zetaplasmoparae</t>
  </si>
  <si>
    <t>Penoulivirus alphabotrytidis</t>
  </si>
  <si>
    <t>Penoulivirus alphaplasmoparae</t>
  </si>
  <si>
    <t>Penoulivirus betabotrytidis</t>
  </si>
  <si>
    <t>Penoulivirus betaplasmoparae</t>
  </si>
  <si>
    <t>Penoulivirus deltaplasmoparae</t>
  </si>
  <si>
    <t>Penoulivirus epsilonplasmoparae</t>
  </si>
  <si>
    <t>Penoulivirus etaplasmoparae</t>
  </si>
  <si>
    <t>Penoulivirus gammabotrytidis</t>
  </si>
  <si>
    <t>Penoulivirus gammaplasmoparae</t>
  </si>
  <si>
    <t>Penoulivirus iotaplasmoparae</t>
  </si>
  <si>
    <t>Penoulivirus macrophominae</t>
  </si>
  <si>
    <t>Penoulivirus malus</t>
  </si>
  <si>
    <t>Penoulivirus thetaplasmoparae</t>
  </si>
  <si>
    <t>Penoulivirus zetaplasmoparae</t>
  </si>
  <si>
    <t>Rhizoulivirus alpharhizoctoniae</t>
  </si>
  <si>
    <t>Rhizoulivirus betarhizoctoniae</t>
  </si>
  <si>
    <t>Rhizoulivirus gammarhizoctoniae</t>
  </si>
  <si>
    <t>Scleroulivirus alphaplasmoparae</t>
  </si>
  <si>
    <t>Scleroulivirus betaplasmoparae</t>
  </si>
  <si>
    <t>Scleroulivirus deltaplasmoparae</t>
  </si>
  <si>
    <t>Scleroulivirus epsilonplasmoparae</t>
  </si>
  <si>
    <t>Scleroulivirus etaplasmoparae</t>
  </si>
  <si>
    <t>Scleroulivirus gammaplasmoparae</t>
  </si>
  <si>
    <t>Scleroulivirus iotaplasmoparae</t>
  </si>
  <si>
    <t>Scleroulivirus kappaplasmoparae</t>
  </si>
  <si>
    <t>Scleroulivirus lambdaplasmoparae</t>
  </si>
  <si>
    <t>Scleroulivirus miplasmoparae</t>
  </si>
  <si>
    <t>Scleroulivirus niplasmoparae</t>
  </si>
  <si>
    <t>Scleroulivirus oidiodendronae</t>
  </si>
  <si>
    <t>Scleroulivirus omicronplasmoparae</t>
  </si>
  <si>
    <t>Scleroulivirus piplasmoparae</t>
  </si>
  <si>
    <t>Scleroulivirus rhoplasmoparae</t>
  </si>
  <si>
    <t>Scleroulivirus sigmaplasmoparae</t>
  </si>
  <si>
    <t>Scleroulivirus thetaplasmoparae</t>
  </si>
  <si>
    <t>Scleroulivirus xiplasmoparae</t>
  </si>
  <si>
    <t>Scleroulivirus zetaplasmoparae</t>
  </si>
  <si>
    <t>Yingvirus beihaiense</t>
  </si>
  <si>
    <t>Yingvirus charybdis</t>
  </si>
  <si>
    <t>Yingvirus hubeiense</t>
  </si>
  <si>
    <t>Yingvirus sanxiaense</t>
  </si>
  <si>
    <t>Yingvirus shaheense</t>
  </si>
  <si>
    <t>Yingvirus wenzhouense</t>
  </si>
  <si>
    <t>Yingvirus wuhanense</t>
  </si>
  <si>
    <t>Yingvirus xinzhouense</t>
  </si>
  <si>
    <t>Ophiovirus citri</t>
  </si>
  <si>
    <t>Ophiovirus freesiae</t>
  </si>
  <si>
    <t>Ophiovirus lactucae</t>
  </si>
  <si>
    <t>Ophiovirus mirafioriense</t>
  </si>
  <si>
    <t>Ophiovirus ranunculi</t>
  </si>
  <si>
    <t>Ophiovirus tulipae</t>
  </si>
  <si>
    <t>Ophiovirus vaccinii</t>
  </si>
  <si>
    <t>Hexartovirus cirripedis</t>
  </si>
  <si>
    <t>Hexartovirus lepeophtheiri</t>
  </si>
  <si>
    <t>Peropuvirus beihaiense</t>
  </si>
  <si>
    <t>Peropuvirus dentati</t>
  </si>
  <si>
    <t>Peropuvirus hubeiense</t>
  </si>
  <si>
    <t>Peropuvirus juli</t>
  </si>
  <si>
    <t>Peropuvirus lignarii</t>
  </si>
  <si>
    <t>Peropuvirus melongenae</t>
  </si>
  <si>
    <t>Peropuvirus pteromali</t>
  </si>
  <si>
    <t>Carbovirus queenslandense</t>
  </si>
  <si>
    <t>Carbovirus tapeti</t>
  </si>
  <si>
    <t>Cultervirus hemicultri</t>
  </si>
  <si>
    <t>Orthobornavirus alphapsittaciforme</t>
  </si>
  <si>
    <t>Orthobornavirus avisaquaticae</t>
  </si>
  <si>
    <t>Orthobornavirus betapsittaciforme</t>
  </si>
  <si>
    <t>Orthobornavirus bornaense</t>
  </si>
  <si>
    <t>Orthobornavirus caenophidiae</t>
  </si>
  <si>
    <t>Orthobornavirus elapsoideae</t>
  </si>
  <si>
    <t>Orthobornavirus estrildidae</t>
  </si>
  <si>
    <t>Orthobornavirus sciuri</t>
  </si>
  <si>
    <t>Orthobornavirus serini</t>
  </si>
  <si>
    <t>Oblavirus</t>
  </si>
  <si>
    <t>Oblavirus percae</t>
  </si>
  <si>
    <t>Tapjovirus</t>
  </si>
  <si>
    <t>Tapjovirus bothropis</t>
  </si>
  <si>
    <t>Thamnovirus kanderense</t>
  </si>
  <si>
    <t>Thamnovirus percae</t>
  </si>
  <si>
    <t>Anicalvirus</t>
  </si>
  <si>
    <t>Anicalvirus hangzhouense</t>
  </si>
  <si>
    <t>Anidravirus</t>
  </si>
  <si>
    <t>Anidravirus hangzhouense</t>
  </si>
  <si>
    <t>Arlivirus arachnae</t>
  </si>
  <si>
    <t>Copasivirus</t>
  </si>
  <si>
    <t>Copasivirus ivindoense</t>
  </si>
  <si>
    <t>Copasivirus manlyvaleense</t>
  </si>
  <si>
    <t>Cybitervirus</t>
  </si>
  <si>
    <t>Cybitervirus niederense</t>
  </si>
  <si>
    <t>Damravirus</t>
  </si>
  <si>
    <t>Damravirus dentatis</t>
  </si>
  <si>
    <t>Ganiavirus</t>
  </si>
  <si>
    <t>Ganiavirus tachengense</t>
  </si>
  <si>
    <t>Leocovirus</t>
  </si>
  <si>
    <t>Leocovirus coleopteris</t>
  </si>
  <si>
    <t>Nematovirus</t>
  </si>
  <si>
    <t>Nematovirus wuchangense</t>
  </si>
  <si>
    <t>Phelinovirus</t>
  </si>
  <si>
    <t>Phelinovirus aphidis</t>
  </si>
  <si>
    <t>Rivapovirus</t>
  </si>
  <si>
    <t>Rivapovirus aleyrodidae</t>
  </si>
  <si>
    <t>Sanstrivirus</t>
  </si>
  <si>
    <t>Sanstrivirus gerridis</t>
  </si>
  <si>
    <t>Stylovirus</t>
  </si>
  <si>
    <t>Stylovirus niederense</t>
  </si>
  <si>
    <t>Supelovirus</t>
  </si>
  <si>
    <t>Supelovirus thailandense</t>
  </si>
  <si>
    <t>Synelinevirus</t>
  </si>
  <si>
    <t>Synelinevirus bonnense</t>
  </si>
  <si>
    <t>Synelinevirus paranaense</t>
  </si>
  <si>
    <t>Usmuvirus</t>
  </si>
  <si>
    <t>Usmuvirus newyorkense</t>
  </si>
  <si>
    <t>Xenophyvirus</t>
  </si>
  <si>
    <t>Xenophyvirus mathesonense</t>
  </si>
  <si>
    <t>Auricularimonavirus bondarzewiae</t>
  </si>
  <si>
    <t>Botrytimonavirus alphabotrytidis</t>
  </si>
  <si>
    <t>Sclerotimonavirus alphabotrytidis</t>
  </si>
  <si>
    <t>Sclerotimonavirus betabotrytidis</t>
  </si>
  <si>
    <t>Sclerotimonavirus cryphonectriae</t>
  </si>
  <si>
    <t>Berhavirus beihaiense</t>
  </si>
  <si>
    <t>Berhavirus radialis</t>
  </si>
  <si>
    <t>Berhavirus sipunculi</t>
  </si>
  <si>
    <t>Crustavirus beihaiense</t>
  </si>
  <si>
    <t>Crustavirus wenlingense</t>
  </si>
  <si>
    <t>Crustavirus wenzhouense</t>
  </si>
  <si>
    <t>Formivirus angliae</t>
  </si>
  <si>
    <t>Formivirus chalybii</t>
  </si>
  <si>
    <t>Formivirus finnoniae</t>
  </si>
  <si>
    <t>Formivirus gorytis</t>
  </si>
  <si>
    <t>Formivirus solenopsi</t>
  </si>
  <si>
    <t>Nyavirus argatis</t>
  </si>
  <si>
    <t>Nyavirus midwayense</t>
  </si>
  <si>
    <t>Nyavirus nyamaniniense</t>
  </si>
  <si>
    <t>Nyavirus sanjacintoense</t>
  </si>
  <si>
    <t>Nyavirus sierranevadaense</t>
  </si>
  <si>
    <t>Nyavirus somateriae</t>
  </si>
  <si>
    <t>Orinovirus pasiphilae</t>
  </si>
  <si>
    <t>Socyvirus heteroderae</t>
  </si>
  <si>
    <t>Tapwovirus cesti</t>
  </si>
  <si>
    <t>2019.014M.zip;2019.025M.zip</t>
  </si>
  <si>
    <t>Jeilongvirus anhuiense</t>
  </si>
  <si>
    <t>Jeilongvirus apodemi</t>
  </si>
  <si>
    <t>Jeilongvirus comorosense</t>
  </si>
  <si>
    <t>Jeilongvirus erinacei</t>
  </si>
  <si>
    <t>Jeilongvirus felis</t>
  </si>
  <si>
    <t>Jeilongvirus madagascarense</t>
  </si>
  <si>
    <t>Jeilongvirus murinae</t>
  </si>
  <si>
    <t>Jeilongvirus rungweense</t>
  </si>
  <si>
    <t>Almendravirus almendras</t>
  </si>
  <si>
    <t>Almendravirus arboretum</t>
  </si>
  <si>
    <t>Almendravirus balsa</t>
  </si>
  <si>
    <t>Almendravirus chico</t>
  </si>
  <si>
    <t>Almendravirus cootbay</t>
  </si>
  <si>
    <t>Almendravirus menghai</t>
  </si>
  <si>
    <t>Alphanemrhavirus xingshan</t>
  </si>
  <si>
    <t>Alphanemrhavirus xinzhou</t>
  </si>
  <si>
    <t>Alphapaprhavirus hubei</t>
  </si>
  <si>
    <t>Alphapaprhavirus pararge</t>
  </si>
  <si>
    <t>Alpharicinrhavirus bole</t>
  </si>
  <si>
    <t>Alpharicinrhavirus wuhan</t>
  </si>
  <si>
    <t>Amplylivirus</t>
  </si>
  <si>
    <t>Amplylivirus cinereus</t>
  </si>
  <si>
    <t>Arurhavirus aruac</t>
  </si>
  <si>
    <t>Arurhavirus inhangapi</t>
  </si>
  <si>
    <t>Arurhavirus santabarbara</t>
  </si>
  <si>
    <t>Arurhavirus xiburema</t>
  </si>
  <si>
    <t>Barhavirus bahia</t>
  </si>
  <si>
    <t>Barhavirus muir</t>
  </si>
  <si>
    <t>Caligrhavirus caligus</t>
  </si>
  <si>
    <t>Caligrhavirus lepeophtheirus</t>
  </si>
  <si>
    <t>Caligrhavirus salmonlouse</t>
  </si>
  <si>
    <t>Cetarhavirus</t>
  </si>
  <si>
    <t>Cetarhavirus laganorhynchus</t>
  </si>
  <si>
    <t>Cetarhavirus phocoena</t>
  </si>
  <si>
    <t>Curiovirus curionopolis</t>
  </si>
  <si>
    <t>Curiovirus iriri</t>
  </si>
  <si>
    <t>Curiovirus itacaiunas</t>
  </si>
  <si>
    <t>Curiovirus rochambeau</t>
  </si>
  <si>
    <t>Ephemerovirus adelaide</t>
  </si>
  <si>
    <t>Ephemerovirus berrimah</t>
  </si>
  <si>
    <t>Ephemerovirus febris</t>
  </si>
  <si>
    <t>Ephemerovirus hayes</t>
  </si>
  <si>
    <t>Ephemerovirus kent</t>
  </si>
  <si>
    <t>Ephemerovirus kimberley</t>
  </si>
  <si>
    <t>Ephemerovirus koolpinyah</t>
  </si>
  <si>
    <t>Ephemerovirus kotonkan</t>
  </si>
  <si>
    <t>Ephemerovirus obodhiang</t>
  </si>
  <si>
    <t>Ephemerovirus puchong</t>
  </si>
  <si>
    <t>Ephemerovirus yata</t>
  </si>
  <si>
    <t>Hapavirus bangoran</t>
  </si>
  <si>
    <t>Hapavirus flanders</t>
  </si>
  <si>
    <t>Hapavirus graylodge</t>
  </si>
  <si>
    <t>Hapavirus hartpark</t>
  </si>
  <si>
    <t>Hapavirus holmes</t>
  </si>
  <si>
    <t>Hapavirus joinjakaka</t>
  </si>
  <si>
    <t>Hapavirus kamese</t>
  </si>
  <si>
    <t>Hapavirus lajoya</t>
  </si>
  <si>
    <t>Hapavirus landjia</t>
  </si>
  <si>
    <t>Hapavirus manitoba</t>
  </si>
  <si>
    <t>Hapavirus marco</t>
  </si>
  <si>
    <t>Hapavirus mosqueiro</t>
  </si>
  <si>
    <t>Hapavirus mossuril</t>
  </si>
  <si>
    <t>Hapavirus ngaingan</t>
  </si>
  <si>
    <t>Hapavirus ord</t>
  </si>
  <si>
    <t>Hapavirus parry</t>
  </si>
  <si>
    <t>Hapavirus porton</t>
  </si>
  <si>
    <t>Hapavirus wongabel</t>
  </si>
  <si>
    <t>Ledantevirus barur</t>
  </si>
  <si>
    <t>Ledantevirus bughendera</t>
  </si>
  <si>
    <t>Ledantevirus elgon</t>
  </si>
  <si>
    <t>Ledantevirus fikirini</t>
  </si>
  <si>
    <t>Ledantevirus fukuoka</t>
  </si>
  <si>
    <t>Ledantevirus kanyawara</t>
  </si>
  <si>
    <t>Ledantevirus kern</t>
  </si>
  <si>
    <t>Ledantevirus keuraliba</t>
  </si>
  <si>
    <t>Ledantevirus kolente</t>
  </si>
  <si>
    <t>Ledantevirus kumasi</t>
  </si>
  <si>
    <t>Ledantevirus ledantec</t>
  </si>
  <si>
    <t>Ledantevirus nishimuro</t>
  </si>
  <si>
    <t>Ledantevirus nkolbisson</t>
  </si>
  <si>
    <t>Ledantevirus oita</t>
  </si>
  <si>
    <t>Ledantevirus taiyi</t>
  </si>
  <si>
    <t>Ledantevirus vaprio</t>
  </si>
  <si>
    <t>Ledantevirus wuhan</t>
  </si>
  <si>
    <t>Ledantevirus yongjia</t>
  </si>
  <si>
    <t>Lostrhavirus hyalomma</t>
  </si>
  <si>
    <t>Lostrhavirus lonestar</t>
  </si>
  <si>
    <t>Lyssavirus aravan</t>
  </si>
  <si>
    <t>Lyssavirus australis</t>
  </si>
  <si>
    <t>Lyssavirus bokeloh</t>
  </si>
  <si>
    <t>Lyssavirus caucasicus</t>
  </si>
  <si>
    <t>Lyssavirus duvenhage</t>
  </si>
  <si>
    <t>Lyssavirus formosa</t>
  </si>
  <si>
    <t>Lyssavirus gannoruwa</t>
  </si>
  <si>
    <t>Lyssavirus hamburg</t>
  </si>
  <si>
    <t>Lyssavirus helsinki</t>
  </si>
  <si>
    <t>Lyssavirus ikoma</t>
  </si>
  <si>
    <t>Lyssavirus irkut</t>
  </si>
  <si>
    <t>Lyssavirus khujand</t>
  </si>
  <si>
    <t>Lyssavirus lagos</t>
  </si>
  <si>
    <t>Lyssavirus lleida</t>
  </si>
  <si>
    <t>Lyssavirus mokola</t>
  </si>
  <si>
    <t>Lyssavirus rabies</t>
  </si>
  <si>
    <t>Lyssavirus shimoni</t>
  </si>
  <si>
    <t>Merhavirus merida</t>
  </si>
  <si>
    <t>Merhavirus tritaeniorhynchus</t>
  </si>
  <si>
    <t>Mousrhavirus moussa</t>
  </si>
  <si>
    <t>Ohlsrhavirus angeles</t>
  </si>
  <si>
    <t>Ohlsrhavirus culex</t>
  </si>
  <si>
    <t>Ohlsrhavirus lobeira</t>
  </si>
  <si>
    <t>Ohlsrhavirus northcreek</t>
  </si>
  <si>
    <t>Ohlsrhavirus ohlsdorf</t>
  </si>
  <si>
    <t>Ohlsrhavirus pseudovishnui</t>
  </si>
  <si>
    <t>Ohlsrhavirus riverside</t>
  </si>
  <si>
    <t>Ohlsrhavirus tongilchon</t>
  </si>
  <si>
    <t>Perhabdovirus anguilla</t>
  </si>
  <si>
    <t>Perhabdovirus leman</t>
  </si>
  <si>
    <t>Perhabdovirus perca</t>
  </si>
  <si>
    <t>Perhabdovirus trutta</t>
  </si>
  <si>
    <t>Replylivirus</t>
  </si>
  <si>
    <t>Replylivirus allogus</t>
  </si>
  <si>
    <t>Sawgrhavirus connecticut</t>
  </si>
  <si>
    <t>Sawgrhavirus longisland</t>
  </si>
  <si>
    <t>Sawgrhavirus minto</t>
  </si>
  <si>
    <t>Sawgrhavirus sawgrass</t>
  </si>
  <si>
    <t>Scophrhavirus</t>
  </si>
  <si>
    <t>Scophrhavirus chanodychthys</t>
  </si>
  <si>
    <t>Scophrhavirus maximus</t>
  </si>
  <si>
    <t>Sigmavirus affinis</t>
  </si>
  <si>
    <t>Sigmavirus ananassae</t>
  </si>
  <si>
    <t>Sigmavirus capitata</t>
  </si>
  <si>
    <t>Sigmavirus domestica</t>
  </si>
  <si>
    <t>Sigmavirus hippoboscid</t>
  </si>
  <si>
    <t>Sigmavirus hubei</t>
  </si>
  <si>
    <t>Sigmavirus immigrans</t>
  </si>
  <si>
    <t>Sigmavirus lousefly</t>
  </si>
  <si>
    <t>Sigmavirus melanogaster</t>
  </si>
  <si>
    <t>Sigmavirus muscina</t>
  </si>
  <si>
    <t>Sigmavirus myga</t>
  </si>
  <si>
    <t>Sigmavirus obscura</t>
  </si>
  <si>
    <t>Sigmavirus shayang</t>
  </si>
  <si>
    <t>Sigmavirus sturtevanti</t>
  </si>
  <si>
    <t>Sigmavirus tristis</t>
  </si>
  <si>
    <t>Sigmavirus wuhan</t>
  </si>
  <si>
    <t>Sigmavirus ying</t>
  </si>
  <si>
    <t>Siniperhavirus</t>
  </si>
  <si>
    <t>Siniperhavirus chuatsi</t>
  </si>
  <si>
    <t>Siniperhavirus zoarces</t>
  </si>
  <si>
    <t>Sripuvirus almpiwar</t>
  </si>
  <si>
    <t>Sripuvirus chaco</t>
  </si>
  <si>
    <t>Sripuvirus charleville</t>
  </si>
  <si>
    <t>Sripuvirus cuiaba</t>
  </si>
  <si>
    <t>Sripuvirus hainan</t>
  </si>
  <si>
    <t>Sripuvirus madureira</t>
  </si>
  <si>
    <t>Sripuvirus niakha</t>
  </si>
  <si>
    <t>Sripuvirus sripur</t>
  </si>
  <si>
    <t>Sunrhavirus alexandria</t>
  </si>
  <si>
    <t>Sunrhavirus bimbo</t>
  </si>
  <si>
    <t>Sunrhavirus boteke</t>
  </si>
  <si>
    <t>Sunrhavirus dillard</t>
  </si>
  <si>
    <t>Sunrhavirus garba</t>
  </si>
  <si>
    <t>Sunrhavirus harrison</t>
  </si>
  <si>
    <t>Sunrhavirus kolongo</t>
  </si>
  <si>
    <t>Sunrhavirus kwatta</t>
  </si>
  <si>
    <t>Sunrhavirus matariya</t>
  </si>
  <si>
    <t>Sunrhavirus oakvale</t>
  </si>
  <si>
    <t>Sunrhavirus ouango</t>
  </si>
  <si>
    <t>Sunrhavirus sandjimba</t>
  </si>
  <si>
    <t>Sunrhavirus sunguru</t>
  </si>
  <si>
    <t>Sunrhavirus walkabout</t>
  </si>
  <si>
    <t>Tibrovirus alphaekpoma</t>
  </si>
  <si>
    <t>Tibrovirus beatrice</t>
  </si>
  <si>
    <t>Tibrovirus betaekpoma</t>
  </si>
  <si>
    <t>Tibrovirus coastal</t>
  </si>
  <si>
    <t>Tibrovirus congo</t>
  </si>
  <si>
    <t>Tibrovirus sweetwater</t>
  </si>
  <si>
    <t>Tibrovirus tibrogargan</t>
  </si>
  <si>
    <t>Tupavirus durham</t>
  </si>
  <si>
    <t>Tupavirus klamath</t>
  </si>
  <si>
    <t>Tupavirus tupaia</t>
  </si>
  <si>
    <t>Vesiculovirus alagoas</t>
  </si>
  <si>
    <t>Vesiculovirus bogdanovac</t>
  </si>
  <si>
    <t>Vesiculovirus carajas</t>
  </si>
  <si>
    <t>Vesiculovirus chandipura</t>
  </si>
  <si>
    <t>Vesiculovirus cocal</t>
  </si>
  <si>
    <t>Vesiculovirus eptesicus</t>
  </si>
  <si>
    <t>Vesiculovirus indiana</t>
  </si>
  <si>
    <t>Vesiculovirus isfahan</t>
  </si>
  <si>
    <t>Vesiculovirus jurona</t>
  </si>
  <si>
    <t>Vesiculovirus malpais</t>
  </si>
  <si>
    <t>Vesiculovirus maraba</t>
  </si>
  <si>
    <t>Vesiculovirus mediterranean</t>
  </si>
  <si>
    <t>Vesiculovirus morreton</t>
  </si>
  <si>
    <t>Vesiculovirus newjersey</t>
  </si>
  <si>
    <t>Vesiculovirus perinet</t>
  </si>
  <si>
    <t>Vesiculovirus piry</t>
  </si>
  <si>
    <t>Vesiculovirus radi</t>
  </si>
  <si>
    <t>Vesiculovirus rhinolophus</t>
  </si>
  <si>
    <t>Vesiculovirus yinshui</t>
  </si>
  <si>
    <t>Zarhavirus zahedan</t>
  </si>
  <si>
    <t>Alphanucleorhabdovirus colocasiae</t>
  </si>
  <si>
    <t>Alphanucleorhabdovirus constrictae</t>
  </si>
  <si>
    <t>Alphanucleorhabdovirus joa</t>
  </si>
  <si>
    <t>Alphanucleorhabdovirus maydis</t>
  </si>
  <si>
    <t>Alphanucleorhabdovirus melongenae</t>
  </si>
  <si>
    <t>Alphanucleorhabdovirus morogoromaydis</t>
  </si>
  <si>
    <t>Alphanucleorhabdovirus oryzae</t>
  </si>
  <si>
    <t>Alphanucleorhabdovirus physostegiae</t>
  </si>
  <si>
    <t>Alphanucleorhabdovirus pruni</t>
  </si>
  <si>
    <t>Alphanucleorhabdovirus tritici</t>
  </si>
  <si>
    <t>Alphanucleorhabdovirus tuberosum</t>
  </si>
  <si>
    <t>Alphanucleorhabdovirus zeairanense</t>
  </si>
  <si>
    <t>Betanucleorhabdovirus bacopae</t>
  </si>
  <si>
    <t>Betanucleorhabdovirus cardamomi</t>
  </si>
  <si>
    <t>Betanucleorhabdovirus daturae</t>
  </si>
  <si>
    <t>Betanucleorhabdovirus loti</t>
  </si>
  <si>
    <t>Betanucleorhabdovirus mali</t>
  </si>
  <si>
    <t>Betanucleorhabdovirus medicagonis</t>
  </si>
  <si>
    <t>Betanucleorhabdovirus retesonchi</t>
  </si>
  <si>
    <t>Betanucleorhabdovirus ribes</t>
  </si>
  <si>
    <t>Betanucleorhabdovirus venasonchi</t>
  </si>
  <si>
    <t>Betanucleorhabdovirus zanthoxyli</t>
  </si>
  <si>
    <t>Cytorhabdovirus alphatrifolii</t>
  </si>
  <si>
    <t>Cytorhabdovirus alphawuhaninsectum</t>
  </si>
  <si>
    <t>Cytorhabdovirus bacopae</t>
  </si>
  <si>
    <t>Cytorhabdovirus betatrifolii</t>
  </si>
  <si>
    <t>Cytorhabdovirus betawuhaninsectum</t>
  </si>
  <si>
    <t>Cytorhabdovirus brassicae</t>
  </si>
  <si>
    <t>Cytorhabdovirus brassicicolae</t>
  </si>
  <si>
    <t>Cytorhabdovirus broussonetiae</t>
  </si>
  <si>
    <t>Cytorhabdovirus caricae</t>
  </si>
  <si>
    <t>Cytorhabdovirus chrysanthemi</t>
  </si>
  <si>
    <t>Cytorhabdovirus colocasiae</t>
  </si>
  <si>
    <t>Cytorhabdovirus cucurbitae</t>
  </si>
  <si>
    <t>Cytorhabdovirus festucae</t>
  </si>
  <si>
    <t>Cytorhabdovirus flaviyerbamate</t>
  </si>
  <si>
    <t>Cytorhabdovirus fragariae</t>
  </si>
  <si>
    <t>Cytorhabdovirus fragariarugosus</t>
  </si>
  <si>
    <t>Cytorhabdovirus gammawuhaninsectum</t>
  </si>
  <si>
    <t>Cytorhabdovirus gramineae</t>
  </si>
  <si>
    <t>Cytorhabdovirus hordei</t>
  </si>
  <si>
    <t>Cytorhabdovirus lactucamaculante</t>
  </si>
  <si>
    <t>Cytorhabdovirus lactucanecante</t>
  </si>
  <si>
    <t>Cytorhabdovirus lycopersici</t>
  </si>
  <si>
    <t>Cytorhabdovirus maydis</t>
  </si>
  <si>
    <t>Cytorhabdovirus maysflavostriatis</t>
  </si>
  <si>
    <t>Cytorhabdovirus medicagonis</t>
  </si>
  <si>
    <t>Cytorhabdovirus oryzae</t>
  </si>
  <si>
    <t>Cytorhabdovirus persimmon</t>
  </si>
  <si>
    <t>Cytorhabdovirus rosae</t>
  </si>
  <si>
    <t>Cytorhabdovirus rubus</t>
  </si>
  <si>
    <t>Cytorhabdovirus sonchi</t>
  </si>
  <si>
    <t>Cytorhabdovirus trichosanthei</t>
  </si>
  <si>
    <t>Cytorhabdovirus tritici</t>
  </si>
  <si>
    <t>Cytorhabdovirus yerbamate</t>
  </si>
  <si>
    <t>Dichorhavirus citri</t>
  </si>
  <si>
    <t>Dichorhavirus clerodendri</t>
  </si>
  <si>
    <t>Dichorhavirus coffeae</t>
  </si>
  <si>
    <t>Dichorhavirus leprosis</t>
  </si>
  <si>
    <t>Dichorhavirus orchidaceae</t>
  </si>
  <si>
    <t>Gammanucleorhabdovirus maydis</t>
  </si>
  <si>
    <t>Varicosavirus alopecuri</t>
  </si>
  <si>
    <t>Varicosavirus lactucae</t>
  </si>
  <si>
    <t>Varicosavirus trifolii</t>
  </si>
  <si>
    <t>Novirhabdovirus hirame</t>
  </si>
  <si>
    <t>Novirhabdovirus piscine</t>
  </si>
  <si>
    <t>Novirhabdovirus salmonid</t>
  </si>
  <si>
    <t>Novirhabdovirus snakehead</t>
  </si>
  <si>
    <t>Alphacrustrhavirus wenling</t>
  </si>
  <si>
    <t>Alphacrustrhavirus zhejiang</t>
  </si>
  <si>
    <t>Alphadrosrhavirus hubei</t>
  </si>
  <si>
    <t>Alphadrosrhavirus shayang</t>
  </si>
  <si>
    <t>Alphahymrhavirus cinereus</t>
  </si>
  <si>
    <t>Alphahymrhavirus hirtum</t>
  </si>
  <si>
    <t>Alphahymrhavirus neglectus</t>
  </si>
  <si>
    <t>Alphahymrhavirus radians</t>
  </si>
  <si>
    <t>Betahymrhavirus austriaca</t>
  </si>
  <si>
    <t>Betahymrhavirus heterodontonyx</t>
  </si>
  <si>
    <t>Betanemrhavirus hubei</t>
  </si>
  <si>
    <t>Betanemrhavirus shayang</t>
  </si>
  <si>
    <t>Betapaprhavirus frugiperda</t>
  </si>
  <si>
    <t>Betapaprhavirus sylvina</t>
  </si>
  <si>
    <t>Betaricinrhavirus chimay</t>
  </si>
  <si>
    <t>Betaricinrhavirus scapularis</t>
  </si>
  <si>
    <t>Sunshinevirus reptilis</t>
  </si>
  <si>
    <t>Alasvirus</t>
  </si>
  <si>
    <t>Alasvirus muscae</t>
  </si>
  <si>
    <t>Anphevirus xinchengense</t>
  </si>
  <si>
    <t>Doupovirus</t>
  </si>
  <si>
    <t>Doupovirus australiaense</t>
  </si>
  <si>
    <t>Draselvirus</t>
  </si>
  <si>
    <t>Draselvirus dentati</t>
  </si>
  <si>
    <t>Drunivirus</t>
  </si>
  <si>
    <t>Drunivirus chambonense</t>
  </si>
  <si>
    <t>Gambievirus</t>
  </si>
  <si>
    <t>Gambievirus bolahunense</t>
  </si>
  <si>
    <t>Gambievirus senegalense</t>
  </si>
  <si>
    <t>Gylbovirus</t>
  </si>
  <si>
    <t>Gylbovirus aagae</t>
  </si>
  <si>
    <t>Hoptevirus</t>
  </si>
  <si>
    <t>Hoptevirus orthopteris</t>
  </si>
  <si>
    <t>Madalivirus</t>
  </si>
  <si>
    <t>Madalivirus amapaense</t>
  </si>
  <si>
    <t>Madalivirus amazonaense</t>
  </si>
  <si>
    <t>Pelmivirus</t>
  </si>
  <si>
    <t>Pelmivirus eymattense</t>
  </si>
  <si>
    <t>Triniovirus</t>
  </si>
  <si>
    <t>Triniovirus yonagoense</t>
  </si>
  <si>
    <t>Ulegvirus</t>
  </si>
  <si>
    <t>Ulegvirus freckenfeldense</t>
  </si>
  <si>
    <t>Yuyuevirus beihaiense</t>
  </si>
  <si>
    <t>Yuyuevirus shaheense</t>
  </si>
  <si>
    <t>Mammarenavirus bituense</t>
  </si>
  <si>
    <t>Mammarenavirus kwanzaense</t>
  </si>
  <si>
    <t>Serra do Navio mammarenavirus</t>
  </si>
  <si>
    <t>Discoviridae</t>
  </si>
  <si>
    <t>Orthodiscovirus</t>
  </si>
  <si>
    <t>Orthodiscovirus coniellae</t>
  </si>
  <si>
    <t>Orthodiscovirus hispaniae</t>
  </si>
  <si>
    <t>Orthodiscovirus iberiae</t>
  </si>
  <si>
    <t>Orthodiscovirus missouriense</t>
  </si>
  <si>
    <t>Orthodiscovirus penicillii</t>
  </si>
  <si>
    <t>Emaravirus aceris</t>
  </si>
  <si>
    <t>Emaravirus actinidiae</t>
  </si>
  <si>
    <t>Emaravirus cajani</t>
  </si>
  <si>
    <t>Emaravirus camelliae</t>
  </si>
  <si>
    <t>Emaravirus cercidis</t>
  </si>
  <si>
    <t>Emaravirus cordylinae</t>
  </si>
  <si>
    <t>Emaravirus fici</t>
  </si>
  <si>
    <t>Emaravirus idaeobati</t>
  </si>
  <si>
    <t>Emaravirus kiwii</t>
  </si>
  <si>
    <t>Emaravirus parkinsoniae</t>
  </si>
  <si>
    <t>Emaravirus perillae</t>
  </si>
  <si>
    <t>Emaravirus pistaciae</t>
  </si>
  <si>
    <t>Emaravirus populi</t>
  </si>
  <si>
    <t>Emaravirus pyri</t>
  </si>
  <si>
    <t>Emaravirus quercus</t>
  </si>
  <si>
    <t>Emaravirus rosae</t>
  </si>
  <si>
    <t>Emaravirus rubi</t>
  </si>
  <si>
    <t>Emaravirus sorbi</t>
  </si>
  <si>
    <t>Emaravirus syringae</t>
  </si>
  <si>
    <t>Emaravirus toordali</t>
  </si>
  <si>
    <t>Emaravirus tritici</t>
  </si>
  <si>
    <t>Emaravirus verbanni</t>
  </si>
  <si>
    <t>Emaravirus ziziphi</t>
  </si>
  <si>
    <t>Shilevirus leptomonadis</t>
  </si>
  <si>
    <t>Hubavirus myriapedis</t>
  </si>
  <si>
    <t>Khurdivirus</t>
  </si>
  <si>
    <t>Khurdivirus volgaense</t>
  </si>
  <si>
    <t>Lakivirus</t>
  </si>
  <si>
    <t>Lakivirus lakamhaense</t>
  </si>
  <si>
    <t>Lambavirus</t>
  </si>
  <si>
    <t>Lambavirus wisconsinense</t>
  </si>
  <si>
    <t>2019.022M.zip;2019.026M.zip</t>
  </si>
  <si>
    <t>Cicadellivirus</t>
  </si>
  <si>
    <t>Cicadellivirus scaphoidei</t>
  </si>
  <si>
    <t>Orthophasmavirus coredoense</t>
  </si>
  <si>
    <t>Orthophasmavirus flenense</t>
  </si>
  <si>
    <t>Tulasviridae</t>
  </si>
  <si>
    <t>Orthotulasvirus</t>
  </si>
  <si>
    <t>Orthotulasvirus tulasnellae</t>
  </si>
  <si>
    <t>Wumivirus millepedae</t>
  </si>
  <si>
    <t>Tilapinevirus tilapiae</t>
  </si>
  <si>
    <t>Alphainfluenzavirus influenzae</t>
  </si>
  <si>
    <t>Betainfluenzavirus influenzae</t>
  </si>
  <si>
    <t>Deltainfluenzavirus influenzae</t>
  </si>
  <si>
    <t>Gammainfluenzavirus influenzae</t>
  </si>
  <si>
    <t>Isavirus salaris</t>
  </si>
  <si>
    <t>Mykissvirus</t>
  </si>
  <si>
    <t>Mykissvirus tructae</t>
  </si>
  <si>
    <t>Quaranjavirus araguariense</t>
  </si>
  <si>
    <t>Quaranjavirus chadense</t>
  </si>
  <si>
    <t>Quaranjavirus johnstonense</t>
  </si>
  <si>
    <t>Quaranjavirus quaranfilense</t>
  </si>
  <si>
    <t>Quaranjavirus tyulekense</t>
  </si>
  <si>
    <t>Quaranjavirus wellfleetense</t>
  </si>
  <si>
    <t>Sardinovirus</t>
  </si>
  <si>
    <t>Sardinovirus pilchardi</t>
  </si>
  <si>
    <t>Thogotovirus bourbonense</t>
  </si>
  <si>
    <t>Thogotovirus dhoriense</t>
  </si>
  <si>
    <t>Thogotovirus josense</t>
  </si>
  <si>
    <t>Thogotovirus ozense</t>
  </si>
  <si>
    <t>Thogotovirus sinuense</t>
  </si>
  <si>
    <t>Thogotovirus thailandense</t>
  </si>
  <si>
    <t>Thogotovirus thogotoense</t>
  </si>
  <si>
    <t>Thogotovirus upoluense</t>
  </si>
  <si>
    <t>Fusariviridae</t>
  </si>
  <si>
    <t>Alphafusarivirus</t>
  </si>
  <si>
    <t>Alphafusarivirus agarici</t>
  </si>
  <si>
    <t>Alphafusarivirus aspergilli</t>
  </si>
  <si>
    <t>Alphafusarivirus auriculariae</t>
  </si>
  <si>
    <t>Alphafusarivirus botryospheriae</t>
  </si>
  <si>
    <t>Alphafusarivirus botrytidis</t>
  </si>
  <si>
    <t>Alphafusarivirus fusarii</t>
  </si>
  <si>
    <t>Alphafusarivirus ioaponiae</t>
  </si>
  <si>
    <t>Alphafusarivirus italiae</t>
  </si>
  <si>
    <t>Alphafusarivirus macrophominae</t>
  </si>
  <si>
    <t>Alphafusarivirus neofusicocci</t>
  </si>
  <si>
    <t>Alphafusarivirus neurosporae</t>
  </si>
  <si>
    <t>Alphafusarivirus penicilli</t>
  </si>
  <si>
    <t>Alphafusarivirus plasmoparae</t>
  </si>
  <si>
    <t>Alphafusarivirus pleosporae</t>
  </si>
  <si>
    <t>Alphafusarivirus portobelli</t>
  </si>
  <si>
    <t>Alphafusarivirus rhizoctoniae</t>
  </si>
  <si>
    <t>Alphafusarivirus rolfsii</t>
  </si>
  <si>
    <t>Alphafusarivirus roqueforti</t>
  </si>
  <si>
    <t>Alphafusarivirus roselliniae</t>
  </si>
  <si>
    <t>Alphafusarivirus rutstroemiae</t>
  </si>
  <si>
    <t>Alphafusarivirus sclerotii</t>
  </si>
  <si>
    <t>Alphafusarivirus zymoseptoriae</t>
  </si>
  <si>
    <t>Betafusarivirus</t>
  </si>
  <si>
    <t>Betafusarivirus alternariae</t>
  </si>
  <si>
    <t>Betafusarivirus botrytidis</t>
  </si>
  <si>
    <t>Betafusarivirus brasiliensis</t>
  </si>
  <si>
    <t>Betafusarivirus crassae</t>
  </si>
  <si>
    <t>Betafusarivirus hispaniae</t>
  </si>
  <si>
    <t>Betafusarivirus homeocarpa</t>
  </si>
  <si>
    <t>Betafusarivirus iberiae</t>
  </si>
  <si>
    <t>Betafusarivirus neurosporae</t>
  </si>
  <si>
    <t>Betafusarivirus rhizoctoniae</t>
  </si>
  <si>
    <t>Betafusarivirus sclerotiniae</t>
  </si>
  <si>
    <t>Betafusarivirus sinensis</t>
  </si>
  <si>
    <t>Gammafusarivirus</t>
  </si>
  <si>
    <t>Gammafusarivirus lentinualea</t>
  </si>
  <si>
    <t>Alphahypovirus</t>
  </si>
  <si>
    <t>Alphahypovirus alternariae</t>
  </si>
  <si>
    <t>Alphahypovirus americanum</t>
  </si>
  <si>
    <t>Alphahypovirus bipolaridis</t>
  </si>
  <si>
    <t>Alphahypovirus botrytidis</t>
  </si>
  <si>
    <t>Alphahypovirus cryphonectriae</t>
  </si>
  <si>
    <t>Alphahypovirus fusarii</t>
  </si>
  <si>
    <t>Alphahypovirus insecti</t>
  </si>
  <si>
    <t>Alphahypovirus japonicum</t>
  </si>
  <si>
    <t>Alphahypovirus macrophominae</t>
  </si>
  <si>
    <t>Alphahypovirus sacchari</t>
  </si>
  <si>
    <t>Alphahypovirus trichodermae</t>
  </si>
  <si>
    <t>Betahypovirus</t>
  </si>
  <si>
    <t>Betahypovirus americanum</t>
  </si>
  <si>
    <t>Betahypovirus cryphonectriae</t>
  </si>
  <si>
    <t>Betahypovirus fusarii</t>
  </si>
  <si>
    <t>Betahypovirus phomopsis</t>
  </si>
  <si>
    <t>Betahypovirus sclerotiniae</t>
  </si>
  <si>
    <t>Betahypovirus setosphaeriae</t>
  </si>
  <si>
    <t>Betahypovirus sinensis</t>
  </si>
  <si>
    <t>Betahypovirus trichodermae</t>
  </si>
  <si>
    <t>Betahypovirus valsae</t>
  </si>
  <si>
    <t>Deltahypovirus</t>
  </si>
  <si>
    <t>Deltahypovirus sinicum</t>
  </si>
  <si>
    <t>Deltahypovirus sipunculidi</t>
  </si>
  <si>
    <t>Epsilonhypovirus</t>
  </si>
  <si>
    <t>Epsilonhypovirus agarici</t>
  </si>
  <si>
    <t>Epsilonhypovirus entoleucae</t>
  </si>
  <si>
    <t>Epsilonhypovirus japonicum</t>
  </si>
  <si>
    <t>Epsilonhypovirus roselliniae</t>
  </si>
  <si>
    <t>Epsilonhypovirus sclerotiniae</t>
  </si>
  <si>
    <t>Epsilonhypovirus sinicum</t>
  </si>
  <si>
    <t>Etahypovirus</t>
  </si>
  <si>
    <t>Etahypovirus sclerotii</t>
  </si>
  <si>
    <t>Gammahypovirus</t>
  </si>
  <si>
    <t>Gammahypovirus atheliae</t>
  </si>
  <si>
    <t>Gammahypovirus meridionalis</t>
  </si>
  <si>
    <t>Gammahypovirus sclerotii</t>
  </si>
  <si>
    <t>Gammahypovirus sinensis</t>
  </si>
  <si>
    <t>Gammahypovirus uredi</t>
  </si>
  <si>
    <t>Thetahypovirus</t>
  </si>
  <si>
    <t>Thetahypovirus botrytidis</t>
  </si>
  <si>
    <t>Thetahypovirus rhizoctoniae</t>
  </si>
  <si>
    <t>Thetahypovirus sclerotii</t>
  </si>
  <si>
    <t>Thetahypovirus sclerotiniae</t>
  </si>
  <si>
    <t>Zetahypovirus</t>
  </si>
  <si>
    <t>Zetahypovirus sclerotiniae</t>
  </si>
  <si>
    <t>Orthopicobirnavirus</t>
  </si>
  <si>
    <t>Orthopicobirnavirus beihaiense</t>
  </si>
  <si>
    <t>Orthopicobirnavirus equi</t>
  </si>
  <si>
    <t>Orthopicobirnavirus hominis</t>
  </si>
  <si>
    <t>Becregavirinae</t>
  </si>
  <si>
    <t>Sicregavirus</t>
  </si>
  <si>
    <t>Trisihevirus</t>
  </si>
  <si>
    <t>Sicregavirus nixi</t>
  </si>
  <si>
    <t>Amalacovirus</t>
  </si>
  <si>
    <t>Alphacoronavirus AMALF</t>
  </si>
  <si>
    <t>Alphacoronavirus CHB25</t>
  </si>
  <si>
    <t>Alphacoronavirus WA3607</t>
  </si>
  <si>
    <t>Alphacoronavirus HKU33</t>
  </si>
  <si>
    <t>Alphacoronavirus WA2028</t>
  </si>
  <si>
    <t>Alphacoronavirus BT020</t>
  </si>
  <si>
    <t>Alphacoronavirus WA1087</t>
  </si>
  <si>
    <t>Pitovirinae</t>
  </si>
  <si>
    <t>Alphapironavirus</t>
  </si>
  <si>
    <t>Samovirus</t>
  </si>
  <si>
    <t>Alphapironavirus bona</t>
  </si>
  <si>
    <t>Yilivirus</t>
  </si>
  <si>
    <t>Alphamesonivirus 11</t>
  </si>
  <si>
    <t>Menanivirinae</t>
  </si>
  <si>
    <t>Nasenivirus</t>
  </si>
  <si>
    <t>Insemevirus</t>
  </si>
  <si>
    <t>Insemevirus tami</t>
  </si>
  <si>
    <t>Metotonivirinae</t>
  </si>
  <si>
    <t>Tocinivirus</t>
  </si>
  <si>
    <t>Acimevirus</t>
  </si>
  <si>
    <t>Tocinivirus aphisi</t>
  </si>
  <si>
    <t>Tofonivirus</t>
  </si>
  <si>
    <t>Fomevirus</t>
  </si>
  <si>
    <t>Tofonivirus foami</t>
  </si>
  <si>
    <t>Nimanivirus</t>
  </si>
  <si>
    <t>Marovirus</t>
  </si>
  <si>
    <t>Nimanivirus lahi</t>
  </si>
  <si>
    <t>Selatovirus</t>
  </si>
  <si>
    <t>Infratovirus latu</t>
  </si>
  <si>
    <t>Chalatovirus</t>
  </si>
  <si>
    <t>Lyctovirus alpa</t>
  </si>
  <si>
    <t>Pregotovirus heba</t>
  </si>
  <si>
    <t>Septovirus</t>
  </si>
  <si>
    <t>Sekatovirus</t>
  </si>
  <si>
    <t>Septovirus foka</t>
  </si>
  <si>
    <t>Sertovirus</t>
  </si>
  <si>
    <t>Serecovirus</t>
  </si>
  <si>
    <t>Sertovirus cona</t>
  </si>
  <si>
    <t>Vebetovirus</t>
  </si>
  <si>
    <t>Chabetovirus</t>
  </si>
  <si>
    <t>Vebetovirus paba</t>
  </si>
  <si>
    <t>Bantovirus</t>
  </si>
  <si>
    <t>Torovirus banli</t>
  </si>
  <si>
    <t>Acheta domesticus iflavirus</t>
  </si>
  <si>
    <t>Varroa destructor iflavirus 1</t>
  </si>
  <si>
    <t>Caphthovirinae</t>
  </si>
  <si>
    <t>Ensavirinae</t>
  </si>
  <si>
    <t>Heptrevirinae</t>
  </si>
  <si>
    <t>Kodimesavirinae</t>
  </si>
  <si>
    <t>Paavivirinae</t>
  </si>
  <si>
    <t>Comovirus ArLV1</t>
  </si>
  <si>
    <t>Comovirus PepMMV</t>
  </si>
  <si>
    <t>Comovirus PvSMV</t>
  </si>
  <si>
    <t>Fabavirus PLPaV</t>
  </si>
  <si>
    <t>Nepovirus CawYV</t>
  </si>
  <si>
    <t>Nepovirus GNVA</t>
  </si>
  <si>
    <t>Nepovirus GSPNeV</t>
  </si>
  <si>
    <t>Nepovirus PCMoV</t>
  </si>
  <si>
    <t>Nepovirus PoLNVA</t>
  </si>
  <si>
    <t>Nepovirus RCNA</t>
  </si>
  <si>
    <t>Sadwavirus PSVA</t>
  </si>
  <si>
    <t>Sadwavirus LSV1</t>
  </si>
  <si>
    <t>Sequivirus LSMV</t>
  </si>
  <si>
    <t>Stralarivirus</t>
  </si>
  <si>
    <t>Stralarivirus LycMoV</t>
  </si>
  <si>
    <t>Stralarivirus SLRSV</t>
  </si>
  <si>
    <t>Waikavirus AcYV1</t>
  </si>
  <si>
    <t>Waikavirus BCWVA</t>
  </si>
  <si>
    <t>Waikavirus BnRV1</t>
  </si>
  <si>
    <t>Waikavirus PoLV1</t>
  </si>
  <si>
    <t>Waikavirus PWaiV</t>
  </si>
  <si>
    <t>Waikavirus RCaV1</t>
  </si>
  <si>
    <t>Sobemovirus smamv</t>
  </si>
  <si>
    <t>Potyvirus achyranthis</t>
  </si>
  <si>
    <t>Potyvirus ashitabae</t>
  </si>
  <si>
    <t>Potyvirus fountaingrassi</t>
  </si>
  <si>
    <t>Potyvirus mirabilis</t>
  </si>
  <si>
    <t>Potyvirus pleioblasti</t>
  </si>
  <si>
    <t>Yadokarivirales</t>
  </si>
  <si>
    <t>Yadokariviridae</t>
  </si>
  <si>
    <t>Alphayadokarivirus</t>
  </si>
  <si>
    <t>Alphayadokarivirus gobani</t>
  </si>
  <si>
    <t>Alphayadokarivirus ichibani</t>
  </si>
  <si>
    <t>Alphayadokarivirus nibani</t>
  </si>
  <si>
    <t>Alphayadokarivirus rokubani</t>
  </si>
  <si>
    <t>Alphayadokarivirus sanbani</t>
  </si>
  <si>
    <t>Alphayadokarivirus yonbani</t>
  </si>
  <si>
    <t>Betayadokarivirus</t>
  </si>
  <si>
    <t>Betayadokarivirus ichibani</t>
  </si>
  <si>
    <t>Betayadokarivirus nibani</t>
  </si>
  <si>
    <t>Betayadokarivirus sanbani</t>
  </si>
  <si>
    <t>Betayadokarivirus yonbani</t>
  </si>
  <si>
    <t>Hadakaviridae</t>
  </si>
  <si>
    <t>Hadakavirus</t>
  </si>
  <si>
    <t>Hadakavirus nanga</t>
  </si>
  <si>
    <t>Badnavirus aucubae</t>
  </si>
  <si>
    <t>Badnavirus castaneae</t>
  </si>
  <si>
    <t>Alphatectivirus PR4</t>
  </si>
  <si>
    <t>Alphatectivirus PRD1</t>
  </si>
  <si>
    <t>Betatectivirus AP50</t>
  </si>
  <si>
    <t>Betatectivirus Bam35</t>
  </si>
  <si>
    <t>Betatectivirus GIL16</t>
  </si>
  <si>
    <t>Betatectivirus sato</t>
  </si>
  <si>
    <t>Betatectivirus sole</t>
  </si>
  <si>
    <t>Betatectivirus Wip1</t>
  </si>
  <si>
    <t>Deltatectivirus forthebois</t>
  </si>
  <si>
    <t>Deltatectivirus wheeheim</t>
  </si>
  <si>
    <t>Epsilontectivirus toil</t>
  </si>
  <si>
    <t>Gammatectivirus GC1</t>
  </si>
  <si>
    <t>Aviadenovirus leucophthalmi</t>
  </si>
  <si>
    <t>Corticovirus Cr39582</t>
  </si>
  <si>
    <t>Corticovirus PM2</t>
  </si>
  <si>
    <t>Yaraviridae</t>
  </si>
  <si>
    <t>Yaravirus</t>
  </si>
  <si>
    <t>Yaravirus brasiliense</t>
  </si>
  <si>
    <t>Hukuchivirus P2377</t>
  </si>
  <si>
    <t>Alphasphaerolipovirus HCIV1</t>
  </si>
  <si>
    <t>Alphasphaerolipovirus HHIV2</t>
  </si>
  <si>
    <t>Alphasphaerolipovirus PH1</t>
  </si>
  <si>
    <t>Alphasphaerolipovirus SH1</t>
  </si>
  <si>
    <t>Alphabaculovirus ardigramma</t>
  </si>
  <si>
    <t>Alphabaculovirus dijuno</t>
  </si>
  <si>
    <t>Alphabaculovirus ranu</t>
  </si>
  <si>
    <t>Alphabaculovirus speridania-b</t>
  </si>
  <si>
    <t>Betabaculovirus hycunea</t>
  </si>
  <si>
    <t>Betabaculovirus maphaseoli</t>
  </si>
  <si>
    <t>Gammanudivirus camaenasi</t>
  </si>
  <si>
    <t>Gammanudivirus cracrangoni</t>
  </si>
  <si>
    <t>Mutorquevirus equid2</t>
  </si>
  <si>
    <t>Finnlakevirus FLiP</t>
  </si>
  <si>
    <t>Plasmavirus L2</t>
  </si>
  <si>
    <t>Polydnaviriformidae</t>
  </si>
  <si>
    <t>Bracoviriform</t>
  </si>
  <si>
    <t>Bracoviriform altitudinis</t>
  </si>
  <si>
    <t>Bracoviriform argentifrontis</t>
  </si>
  <si>
    <t>Bracoviriform blackburni</t>
  </si>
  <si>
    <t>Bracoviriform canadense</t>
  </si>
  <si>
    <t>Bracoviriform congregatae</t>
  </si>
  <si>
    <t>Bracoviriform crassicornis</t>
  </si>
  <si>
    <t>Bracoviriform croceipedis</t>
  </si>
  <si>
    <t>Bracoviriform curvimaculati</t>
  </si>
  <si>
    <t>Bracoviriform demolitoris</t>
  </si>
  <si>
    <t>Bracoviriform ectdytolophae</t>
  </si>
  <si>
    <t>Bracoviriform facetosae</t>
  </si>
  <si>
    <t>Bracoviriform flavicoxis</t>
  </si>
  <si>
    <t>Bracoviriform flavipedis</t>
  </si>
  <si>
    <t>Bracoviriform flavitestaceae</t>
  </si>
  <si>
    <t>Bracoviriform fumiferanae</t>
  </si>
  <si>
    <t>Bracoviriform glomeratae</t>
  </si>
  <si>
    <t>Bracoviriform hyphantriae</t>
  </si>
  <si>
    <t>Bracoviriform inaniti</t>
  </si>
  <si>
    <t>Bracoviriform indiense</t>
  </si>
  <si>
    <t>Bracoviriform insularis</t>
  </si>
  <si>
    <t>Bracoviriform kariyai</t>
  </si>
  <si>
    <t>Bracoviriform liparidis</t>
  </si>
  <si>
    <t>Bracoviriform marginiventris</t>
  </si>
  <si>
    <t>Bracoviriform melanoscelae</t>
  </si>
  <si>
    <t>Bracoviriform nigricipitis</t>
  </si>
  <si>
    <t>Bracoviriform ornigis</t>
  </si>
  <si>
    <t>Bracoviriform paleacritae</t>
  </si>
  <si>
    <t>Bracoviriform quadridentatae</t>
  </si>
  <si>
    <t>Bracoviriform rubeculae</t>
  </si>
  <si>
    <t>Bracoviriform schaeferi</t>
  </si>
  <si>
    <t>Bracoviriform texani</t>
  </si>
  <si>
    <t>Ichnoviriform</t>
  </si>
  <si>
    <t>Ichnoviriform acronyctae</t>
  </si>
  <si>
    <t>Ichnoviriform annulipedis</t>
  </si>
  <si>
    <t>Ichnoviriform aprilis</t>
  </si>
  <si>
    <t>Ichnoviriform arjunae</t>
  </si>
  <si>
    <t>Ichnoviriform benefactoris</t>
  </si>
  <si>
    <t>Ichnoviriform eribori</t>
  </si>
  <si>
    <t>Ichnoviriform exiguae</t>
  </si>
  <si>
    <t>Ichnoviriform flavicinctae</t>
  </si>
  <si>
    <t>Ichnoviriform forcipatae</t>
  </si>
  <si>
    <t>Ichnoviriform fugitivi</t>
  </si>
  <si>
    <t>Ichnoviriform fumiferanae</t>
  </si>
  <si>
    <t>Ichnoviriform geniculatae</t>
  </si>
  <si>
    <t>Ichnoviriform infestae</t>
  </si>
  <si>
    <t>Ichnoviriform interrupti</t>
  </si>
  <si>
    <t>Ichnoviriform lymantriae</t>
  </si>
  <si>
    <t>Ichnoviriform montani</t>
  </si>
  <si>
    <t>Ichnoviriform pilosuli</t>
  </si>
  <si>
    <t>Ichnoviriform rivalis</t>
  </si>
  <si>
    <t>Ichnoviriform rostralis</t>
  </si>
  <si>
    <t>Ichnoviriform sonorense</t>
  </si>
  <si>
    <t>Ichnoviriform tenuifemoris</t>
  </si>
  <si>
    <t>Ichnoviriform terebrantis</t>
  </si>
  <si>
    <t>Apscaviroid aclsvd</t>
  </si>
  <si>
    <t>Apscaviroid cvd-VII</t>
  </si>
  <si>
    <t>Apscaviroid dvd</t>
  </si>
  <si>
    <t>Apscaviroid glvd</t>
  </si>
  <si>
    <t>Apscaviroid lvd</t>
  </si>
  <si>
    <t>Apscaviroid plvd-I</t>
  </si>
  <si>
    <t>Apscaviroid pvd</t>
  </si>
  <si>
    <t>Apscaviroid pvd-2</t>
  </si>
  <si>
    <t>Coleviroid cbvd-5</t>
  </si>
  <si>
    <t>Coleviroid cbvd-6</t>
  </si>
  <si>
    <t>Pospiviroid plvd</t>
  </si>
  <si>
    <t>2021.003A.R.Ungulaviridae.zip</t>
  </si>
  <si>
    <t>2021.022B.R.Crassvirales.zip</t>
  </si>
  <si>
    <t>Graaviviridae</t>
  </si>
  <si>
    <t>2021.001A.R.Archaeal_Caudoviricetes.zip</t>
  </si>
  <si>
    <t>Druskaviridae</t>
  </si>
  <si>
    <t>2021.010B.R.Binomial_names.zip</t>
  </si>
  <si>
    <t>2021.029B.R.Flavophages_9_families.zip</t>
  </si>
  <si>
    <t>2021.001B.R.abolish_Caudovirales.zip</t>
  </si>
  <si>
    <t>2021.001B.R.abolish_Caudovirales.zip;2021.015B.A.v1.Casjensviridae.zip</t>
  </si>
  <si>
    <t>2021.015B.R.Casjensviridae.zip</t>
  </si>
  <si>
    <t>2021.023B.R.Demerecviridae_new_genera.zip</t>
  </si>
  <si>
    <t>2021.043B.R.Klumppvirus.zip</t>
  </si>
  <si>
    <t>2021.082B.R.Tevens_new_families.zip</t>
  </si>
  <si>
    <t>Glaucusvirus</t>
  </si>
  <si>
    <t>Glaucusvirus ssm5</t>
  </si>
  <si>
    <t>2021.051B.R.Mesyanzhinovviridae.zip</t>
  </si>
  <si>
    <t>2021.001B.R.abolish_Caudovirales.zip;2021.051B.A.v1.Mesyanzhinovviridae.zip</t>
  </si>
  <si>
    <t>2021.056B.R.Naomiviridae.zip</t>
  </si>
  <si>
    <t>2021.060B.R.Orlajensenviridae.zip</t>
  </si>
  <si>
    <t>2021.063B.R.Peduoviridae.zip</t>
  </si>
  <si>
    <t>2021.072B.R.Rosenblumvirus.zip</t>
  </si>
  <si>
    <t>2021.020B.R.Copernicusvirus.zip</t>
  </si>
  <si>
    <t>2021.017B.R.Claudivirus.zip</t>
  </si>
  <si>
    <t>2021.014B.R.Bundooravirus.zip</t>
  </si>
  <si>
    <t>2021.037B.R.Huangshavirus.zip</t>
  </si>
  <si>
    <t>2021.076B.R.Schitoviridae_new_genera.zip</t>
  </si>
  <si>
    <t>2021.059B.R.Oliverunavirus.zip</t>
  </si>
  <si>
    <t>Pariacacavirus</t>
  </si>
  <si>
    <t>Pariacacavirus 1238A</t>
  </si>
  <si>
    <t>Pariacacavirus 1245O</t>
  </si>
  <si>
    <t>2021.001B.R.abolish_Caudovirales.zip;2021.082B.A.v1.Tevens_new_families.zip</t>
  </si>
  <si>
    <t>2021.089B.R.Vilmaviridae.zip</t>
  </si>
  <si>
    <t>2021.001B.R.abolish_Caudovirales.zip;2021.089B.A.v1.Vilmaviridae.zip</t>
  </si>
  <si>
    <t>2021.094B.R.Zierdtviridae.zip</t>
  </si>
  <si>
    <t>2021.001B.R.abolish_Caudovirales.zip;2021.094B.A.v1.Zierdtviridae.zip</t>
  </si>
  <si>
    <t>2021.002B.R.Andrewesvirinae.zip</t>
  </si>
  <si>
    <t>2021.005B.R.Arquatrovirinae.zip</t>
  </si>
  <si>
    <t>2021.007B.R.Bclasvirinae.zip</t>
  </si>
  <si>
    <t>2021.001B.R.abolish_Caudovirales.zip;2021.012B.A.v1.Boydwoodruffvirinae.zip</t>
  </si>
  <si>
    <t>2021.012B.R.Boydwoodruffvirinae.zip</t>
  </si>
  <si>
    <t>2021.016B.R.Ceeclamvirinae.zip</t>
  </si>
  <si>
    <t>2021.013B.R.Brujitavirus_new_species.zip</t>
  </si>
  <si>
    <t>2021.032B.R.Gclasvirinae.zip</t>
  </si>
  <si>
    <t>2021.001B.R.abolish_Caudovirales.zip;2021.032B.A.v1.Gclasvirinae.zip</t>
  </si>
  <si>
    <t>2021.035B.R.Gracegardnervirinae.zip</t>
  </si>
  <si>
    <t>2021.001B.R.abolish_Caudovirales.zip;2021.035B.A.v1.Gracegardnervirinae.zip</t>
  </si>
  <si>
    <t>2021.038B.R.Kantovirinae.zip</t>
  </si>
  <si>
    <t>2021.057B.R.Nclasvirinae.zip</t>
  </si>
  <si>
    <t>2021.062B.R.Pclasvirinae_new_genera.zip</t>
  </si>
  <si>
    <t>2021.001B.R.abolish_Caudovirales.zip;2021.062B.A.v1.Pclasvirinae_new_genera.zip</t>
  </si>
  <si>
    <t>2021.073B.R.Ruthgordonvirinae.zip</t>
  </si>
  <si>
    <t>2021.080B.R.Stephanstirmvirinae.zip</t>
  </si>
  <si>
    <t>2021.091B.R.Weiservirinae.zip</t>
  </si>
  <si>
    <t>2021.001B.R.abolish_Caudovirales.zip;2021.091B.A.v1.Weiservirinae.zip</t>
  </si>
  <si>
    <t>2021.078B.R.Siphoviridae_new_genera.zip</t>
  </si>
  <si>
    <t>2021.003B.R.Anthonyvirus.zip</t>
  </si>
  <si>
    <t>2021.004B.R.Archimedesvirus.zip</t>
  </si>
  <si>
    <t>2021.006B.R.Backyardiganvirus.zip</t>
  </si>
  <si>
    <t>2021.008B.R.Benedictvirus.zip</t>
  </si>
  <si>
    <t>2021.039B.R.Infilling.zip</t>
  </si>
  <si>
    <t>2021.011B.R.Bippervirus.zip</t>
  </si>
  <si>
    <t>2021.018B.R.Clownvirus.zip</t>
  </si>
  <si>
    <t>2021.019B.R.Coatlandelriovirus.zip</t>
  </si>
  <si>
    <t>2021.021B.R.Corndogvirus.zip</t>
  </si>
  <si>
    <t>2021.024B.R.Dexdertvirus.zip</t>
  </si>
  <si>
    <t>2021.025B.R.Eagleeyevirus.zip</t>
  </si>
  <si>
    <t>2021.028B.R.Flavobacterium_phages_new_genera.zip</t>
  </si>
  <si>
    <t>2021.026B.R.Fairfaxidumvirus_new_species.zip</t>
  </si>
  <si>
    <t>2021.027B.R.Finchvirus.zip</t>
  </si>
  <si>
    <t>2021.030B.R.Foxquatrovirus.zip</t>
  </si>
  <si>
    <t>2021.031B.R.Foxunavirus.zip</t>
  </si>
  <si>
    <t>2021.033B.R.Gladiatorvirus.zip</t>
  </si>
  <si>
    <t>2021.034B.R.Gofduovirus_new_species.zip</t>
  </si>
  <si>
    <t>2021.036B.R.Harrisonburgvirus.zip</t>
  </si>
  <si>
    <t>2021.069B.R.Rename_Giessenvirus.zip</t>
  </si>
  <si>
    <t>2021.040B.R.Jamesmcgillvirus.zip</t>
  </si>
  <si>
    <t>2021.041B.R.Jujuvirus.zip</t>
  </si>
  <si>
    <t>2021.042B.R.Kimonavirus.zip</t>
  </si>
  <si>
    <t>2021.044B.R.Korravirus_new_species.zip</t>
  </si>
  <si>
    <t>2021.045B.R.Kroosvirus.zip</t>
  </si>
  <si>
    <t>2021.046B.R.Kunmingvirus.zip</t>
  </si>
  <si>
    <t>2021.047B.R.Leonardvirus.zip</t>
  </si>
  <si>
    <t>2021.048B.R.Lilbeanievirus.zip</t>
  </si>
  <si>
    <t>2021.049B.R.Luchadorvirus.zip</t>
  </si>
  <si>
    <t>2021.050B.R.Manovirus.zip</t>
  </si>
  <si>
    <t>2021.052B.R.Micavirus.zip</t>
  </si>
  <si>
    <t>2021.053B.R.Microwolfvirus.zip</t>
  </si>
  <si>
    <t>2021.054B.R.Mycoabscvirus.zip</t>
  </si>
  <si>
    <t>2021.055B.R.Myradeevirus.zip</t>
  </si>
  <si>
    <t>2021.058B.R.Oliverocinquevirus.zip</t>
  </si>
  <si>
    <t>2021.061B.R.Pbunavirus_new_species.zip</t>
  </si>
  <si>
    <t>2021.064B.R.Pharaohvirus_Refugevirus.zip</t>
  </si>
  <si>
    <t>2021.065B.R.Phleivirus.zip</t>
  </si>
  <si>
    <t>2021.066B.R.Phrappuccinovirus.zip</t>
  </si>
  <si>
    <t>2021.067B.R.Pukovnikvirus.zip</t>
  </si>
  <si>
    <t>2021.068B.R.Puppervirus.zip</t>
  </si>
  <si>
    <t>Refugevirus darthphader</t>
  </si>
  <si>
    <t>Refugevirus refuge</t>
  </si>
  <si>
    <t>2021.070B.R.Rerduovirus_new_species.zip</t>
  </si>
  <si>
    <t>2021.071B.R.Rosariovirus.zip</t>
  </si>
  <si>
    <t>2021.074B.R.Sagamiharavirus.zip</t>
  </si>
  <si>
    <t>2021.075B.R.Santafevirus.zip</t>
  </si>
  <si>
    <t>2021.077B.R.Sheenvirus.zip</t>
  </si>
  <si>
    <t>2021.079B.R.Skogvirus.zip</t>
  </si>
  <si>
    <t>2021.081B.R.Stormageddonvirus.zip</t>
  </si>
  <si>
    <t>2021.083B.R.Timshelvirus.zip</t>
  </si>
  <si>
    <t>2021.084B.R.Trigintaduovirus_new_species.zip</t>
  </si>
  <si>
    <t>2021.039B.R.Infilling.zip;2021.084B.A.v1.Trigintaduovirus_new_species.zip</t>
  </si>
  <si>
    <t>2021.086B.R.Turbidovirus.zip</t>
  </si>
  <si>
    <t>2021.087B.R.Typhavirus.zip</t>
  </si>
  <si>
    <t>2021.088B.R.Veracruzvirus.zip</t>
  </si>
  <si>
    <t>2021.090B.R.Vividuovirus_new_species.zip</t>
  </si>
  <si>
    <t>2021.092B.R.Wizardvirus_new_species.zip</t>
  </si>
  <si>
    <t>2021.093B.R.Yeceytrevirus.zip</t>
  </si>
  <si>
    <t>2021.095B.R.Zitchvirus.zip</t>
  </si>
  <si>
    <t>2021.085B.R.Tubulavirales.zip</t>
  </si>
  <si>
    <t>2021.007D.R.Polyomaviridae_2ngen_117rensp.zip</t>
  </si>
  <si>
    <t>2021.010F.R.Cressdna_2neword_3newfam_21newgen.zip</t>
  </si>
  <si>
    <t>2021.005A.R.Gammapleolipovirus_1nsp.zip</t>
  </si>
  <si>
    <t>2021.002F.R.Chrysoviridae_binomials.zip</t>
  </si>
  <si>
    <t>2020.028M.R.Reovirales_2nfam.zip</t>
  </si>
  <si>
    <t>2021.001S.R.Hepeviridae.zip</t>
  </si>
  <si>
    <t>2021.004P.R.Anulavirus_1ns.zip</t>
  </si>
  <si>
    <t>2021.005P.R.Bromovirus_1ns.zip</t>
  </si>
  <si>
    <t>2021.019P.R.Closteroviridae_3ngen_abolish_2sp.zip</t>
  </si>
  <si>
    <t>2021.008P.R.Cilevirus_1ns.zip</t>
  </si>
  <si>
    <t>2021.020P.R.Mayoviridae_binomials.zip</t>
  </si>
  <si>
    <t>2021.007P.R.Betaflexiviridae_2ng_23nsp.zip</t>
  </si>
  <si>
    <t>2021.007F.R.Gammaflexiviridae_2ngen_3nsp.zip</t>
  </si>
  <si>
    <t>2021.018P.R.Tombusviridae_1ng_2ns.zip</t>
  </si>
  <si>
    <t>2021.003F.R.Mitoviridae_100nsp_4ngen.zip</t>
  </si>
  <si>
    <t>2021.009F.R.Botourmiaviridae_6newgen_109newsp.zip</t>
  </si>
  <si>
    <t>2021.018M.R.Negarnaviricota_sprename.zip</t>
  </si>
  <si>
    <t>2021.014P.R.Aspiviridae_rename.zip</t>
  </si>
  <si>
    <t>Ollusvirus shayangense</t>
  </si>
  <si>
    <t>2021.042M.R.Corrections_Riboviria_Duplodnaviria.zip</t>
  </si>
  <si>
    <t>2021.009M.R.Artoviridae_sprename.zip</t>
  </si>
  <si>
    <t>2021.029M.R.Peropuvirus_1nsp.zip</t>
  </si>
  <si>
    <t>2021.010M.R.Bornaviridae_sprename.zip</t>
  </si>
  <si>
    <t>2021.021M.R.Orthobornavirus_1nsp.zip</t>
  </si>
  <si>
    <t>2021.011M.R.Filoviridae_1ngen_3nsp.zip</t>
  </si>
  <si>
    <t>2021.005M.R.Filoviridae_1ngen_1nsp.zip</t>
  </si>
  <si>
    <t>2021.016M.R.Lispiviridae_16ngen_13nsp.zip</t>
  </si>
  <si>
    <t>2021.041M.R.Mymonaviridae_5nsp.zip</t>
  </si>
  <si>
    <t>2021.020M.R.Nyamiviridae_sprename.zip</t>
  </si>
  <si>
    <t>2021.019M.R.Nyamiviridae_3nsp.zip</t>
  </si>
  <si>
    <t>2021.014M.R.Jeilongvirus_2nsp.zip</t>
  </si>
  <si>
    <t>2021.036M.R.Rhabdoviridae_sprename.zip</t>
  </si>
  <si>
    <t>Alpharicinrhavirus blanchseco</t>
  </si>
  <si>
    <t>2021.036M.R.Rhabdoviridae_sprename.zip;2021.043M.R.Corrections_Mononegavirales_Bunyavirales.zip</t>
  </si>
  <si>
    <t>2021.035M.R.Rhabdoviridae_2ngen_2nsp.zip</t>
  </si>
  <si>
    <t>2021.003M.R.Alpharhabdovirinae_3ngen_7nsp.zip</t>
  </si>
  <si>
    <t>2021.004M.R.Alpharhabdovirinae_13nsp.zip</t>
  </si>
  <si>
    <t>Sprivivirus cyprinus</t>
  </si>
  <si>
    <t>2021.036M.R.Rhabdoviridae_sprename.zip;2021.042M.R.Corrections_Riboviria_Duplodnaviria.zip</t>
  </si>
  <si>
    <t>Sprivivirus esox</t>
  </si>
  <si>
    <t>Sunrhavirus nasoule</t>
  </si>
  <si>
    <t>2021.004M.R.Alpharhabdovirinae_13nsp.zip;2021.042M.R.Corrections_Riboviria_Duplodnaviria.zip</t>
  </si>
  <si>
    <t>2021.001M.R.Betarhabdovirinae_7nsp.zip</t>
  </si>
  <si>
    <t>2021.037M.R.Sunviridae _sprename.zip</t>
  </si>
  <si>
    <t>2021.039M.R.Xinmoviridae_11ngen_8nsp.zip</t>
  </si>
  <si>
    <t>2021.006M.R.Mammarenavirus_1nsp_Bitu.zip</t>
  </si>
  <si>
    <t>2021.007M.R.Mammarenavirus_1nsp_Kwanza.zip</t>
  </si>
  <si>
    <t>2021.040M.R.Bunyavirales_2nfam_2ngen_6nsp.zip</t>
  </si>
  <si>
    <t>2021.010P.R.Emaravirus_1ns.zip</t>
  </si>
  <si>
    <t>2021.013P.R.Fimoviridae_rename.zip</t>
  </si>
  <si>
    <t>Emaravirus chrysanthemi</t>
  </si>
  <si>
    <t>2021.011P.R.Emaravirus_1ns.zip;2021.043M.R.Corrections_Mononegavirales_Bunyavirales.zip</t>
  </si>
  <si>
    <t>2021.012P.R.Emaravirus_1ns.zip</t>
  </si>
  <si>
    <t>Seewis orthohantavirus</t>
  </si>
  <si>
    <t>Thottapalayam thottimvirus</t>
  </si>
  <si>
    <t>2021.027M.R.Peribunyaviridae_3ngen_3nsp.zip</t>
  </si>
  <si>
    <t>Lumbo orthobunyavirus</t>
  </si>
  <si>
    <t>2021.030M.R.Phasmaviridae_1ngen_5nsp.zip</t>
  </si>
  <si>
    <t>Orthophasmavirus barstukasense</t>
  </si>
  <si>
    <t>2021.030M.R.Phasmaviridae_1ngen_5nsp.zip;2021.043M.R.Corrections_Mononegavirales_Bunyavirales.zip</t>
  </si>
  <si>
    <t>Orthophasmavirus miglotasense</t>
  </si>
  <si>
    <t>2021.024M.R.Orthomyxoviridae_sprename.zip</t>
  </si>
  <si>
    <t>2021.022M.R.Orthomyxoviridae_1ngen_1nsp_Mykiss.zip</t>
  </si>
  <si>
    <t>2021.034M.R.Quaranjavirus_4nsp.zip</t>
  </si>
  <si>
    <t>2021.023M.R.Orthomyxoviridae_1ngen_1nsp_Sardino.zip</t>
  </si>
  <si>
    <t>2021.038M.R.Thogotovirus_6nsp.zip</t>
  </si>
  <si>
    <t>2021.001F.R.Fusariviridae_1newfam.zip</t>
  </si>
  <si>
    <t>2021.006F.R.Hypoviridae_8newgen_35newsp.zip</t>
  </si>
  <si>
    <t>2021.032M.R.Picobirnaviridae_sprename_genrename.zip</t>
  </si>
  <si>
    <t>2021.005S.R.Nidovirales.zip</t>
  </si>
  <si>
    <t>2021.004S.R.Iflavirus_1nsp.zip</t>
  </si>
  <si>
    <t>2021.002S.R.Iflavirus_1nsp.zip</t>
  </si>
  <si>
    <t>2021.006S.R.Picornaviridae_5nsfam.zip</t>
  </si>
  <si>
    <t>2021.002P.R.Secoviridae_1ng_20ns.zip</t>
  </si>
  <si>
    <t>2021.009P.R.Sobemovirus_1ns.zip</t>
  </si>
  <si>
    <t>2021.006P.R.Potyvirus_5ns_3as.zip</t>
  </si>
  <si>
    <t>2021.005F.R.Yadokarivirales_neworder.zip</t>
  </si>
  <si>
    <t>2021.004F.R.Hadakaviridae_newfam.zip</t>
  </si>
  <si>
    <t>2021.003P.R.Badnavirus_2ns_1as.zip</t>
  </si>
  <si>
    <t>2021.009B.R.Betatectivirus_new species.zip</t>
  </si>
  <si>
    <t>2021.001D.R.Adenoviridae_1nsp.zip</t>
  </si>
  <si>
    <t>2021.008F.R.Yaraviridae_newfam.zip</t>
  </si>
  <si>
    <t>2021.002A.R.Sphaerolipoviridae_species_renaming.zip</t>
  </si>
  <si>
    <t>2021.004D.R.Baculoviridae_6nsp.zip</t>
  </si>
  <si>
    <t>2021.005D.R.Nudiviridae_2nsp.zip</t>
  </si>
  <si>
    <t>2021.003D.R.Anelloviridae_1abgen_2spmv.zip</t>
  </si>
  <si>
    <t>2021.002D.R.Anelloviridae_1nsp.zip</t>
  </si>
  <si>
    <t>2021.006D.R.Polydnaviriformidae_1renfam_3rensp.zip</t>
  </si>
  <si>
    <t>2021.016P.R.Pospiviroidae_11ns.zip</t>
  </si>
  <si>
    <t>Correct names</t>
  </si>
  <si>
    <t>2021.043M.R.Corrections_Mononegavirales_Bunyavirales.zip</t>
  </si>
  <si>
    <t xml:space="preserve">    Rename 7 species, 2 families</t>
  </si>
  <si>
    <t xml:space="preserve">    Renames 4 specices</t>
  </si>
  <si>
    <t>Updates approved during EC 53, Online, July 2021; Email ratification March 2022 (MSL #37)</t>
  </si>
  <si>
    <t>Abolished: The taxon is abolished (deleted) from the MSL. All constituent taxa need to be moved, otherwise they will also be deleted.
Demoted: (This one is new for 2020.) A higher rank taxon is moved to a lower rank (potentially requiring a rename). This does NOT necessarily imply that the constituent members of the promoted taxon are subject to any change.
Merged: Two separate taxa will be merged into a single taxon. The single taxon may be one of the initial two, or it could be a newly created taxon. All constituent, lower rank members will be automatically moved into the merged taxon.
Moved: A lower rank taxon and its constituent members is moved from one higher rank taxon to another. (The move usually, but not necessarily, is to a taxon (existing or new) at the same rank as the original parent.)
New: Creation of a new taxon. New ranks higher than Species must contain new (or moved) lower-rank members.
Promoted: A lower rank taxon is moved to a higher rank (usually also requiring a rename). This does NOT necessarily imply that the constituent members of the promoted taxon are subject to any change.
Renamed: A taxon is renamed. The new name must adhere to the naming rules of the ICTV Code of Virus Classification and Nomenclature.
Split: A taxon, along with its constituent members, are split into two or more taxa. The original taxon that was split may, or may not, be retained, and the resulting set of taxa into which the original was split, may consist of existing or new taxa. The change must be accompanied with an indication of where each of the constituent member taxa are to be moved. Theoretically, this action could be accomplished with a combination of changes involving Moved, Abolished, and New, but was created to maintain the history of all changes to the original taxon and its members.</t>
  </si>
  <si>
    <t>Change  definitions</t>
  </si>
  <si>
    <t>The last change made to each virus species across the entire history of the taxon. Possible changes include a combination of the following:
- Abolished
- Demoted
- Merged
- Moved
- New
- Promoted
- Renamed
- Split</t>
  </si>
  <si>
    <t>The release number of the Master Species List (MSL) where the Last Change occurred.
See https://talk.ictvonline.org/taxonomy/p/taxonomy_releases for a list of MSLs and their year of release.</t>
    <phoneticPr fontId="2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</si>
</sst>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409]mmmm\ d\,\ yyyy;@"/>
  </numFmts>
  <fonts count="22" x14ac:knownFonts="1">
    <font>
      <sz val="10"/>
      <name val="Arial"/>
    </font>
    <font>
      <sz val="12"/>
      <color theme="1"/>
      <name val="宋体"/>
      <family val="2"/>
      <scheme val="minor"/>
    </font>
    <font>
      <sz val="8"/>
      <name val="Arial"/>
      <family val="2"/>
    </font>
    <font>
      <i/>
      <sz val="10"/>
      <color indexed="8"/>
      <name val="Verdana"/>
      <family val="2"/>
    </font>
    <font>
      <sz val="8"/>
      <name val="Verdana"/>
      <family val="2"/>
    </font>
    <font>
      <sz val="14"/>
      <name val="Arial"/>
      <family val="2"/>
    </font>
    <font>
      <b/>
      <sz val="12"/>
      <name val="Arial"/>
      <family val="2"/>
    </font>
    <font>
      <sz val="12"/>
      <name val="Arial"/>
      <family val="2"/>
    </font>
    <font>
      <sz val="10"/>
      <color indexed="8"/>
      <name val="Verdana"/>
      <family val="2"/>
    </font>
    <font>
      <b/>
      <i/>
      <sz val="10"/>
      <color indexed="8"/>
      <name val="Verdana"/>
      <family val="2"/>
    </font>
    <font>
      <b/>
      <sz val="14"/>
      <color theme="1"/>
      <name val="Arial"/>
      <family val="2"/>
    </font>
    <font>
      <sz val="10"/>
      <color theme="1"/>
      <name val="Arial"/>
      <family val="2"/>
    </font>
    <font>
      <sz val="10"/>
      <color rgb="FF000000"/>
      <name val="Verdana"/>
      <family val="2"/>
    </font>
    <font>
      <sz val="12"/>
      <color theme="1"/>
      <name val="宋体"/>
      <family val="2"/>
      <scheme val="minor"/>
    </font>
    <font>
      <sz val="14"/>
      <color theme="1"/>
      <name val="Arial"/>
      <family val="2"/>
    </font>
    <font>
      <b/>
      <sz val="12"/>
      <color theme="1"/>
      <name val="Arial"/>
      <family val="2"/>
    </font>
    <font>
      <sz val="12"/>
      <color theme="1"/>
      <name val="Arial"/>
      <family val="2"/>
    </font>
    <font>
      <i/>
      <sz val="12"/>
      <color indexed="8"/>
      <name val="Arial"/>
      <family val="2"/>
    </font>
    <font>
      <sz val="12"/>
      <color indexed="8"/>
      <name val="Arial"/>
      <family val="2"/>
    </font>
    <font>
      <u/>
      <sz val="10"/>
      <color theme="10"/>
      <name val="Arial"/>
      <family val="2"/>
    </font>
    <font>
      <b/>
      <sz val="10"/>
      <color theme="1"/>
      <name val="Verdana Bold"/>
    </font>
    <font>
      <sz val="9"/>
      <name val="宋体"/>
      <family val="3"/>
      <charset val="134"/>
    </font>
  </fonts>
  <fills count="4">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s>
  <borders count="14">
    <border>
      <left/>
      <right/>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3" fillId="0" borderId="0"/>
    <xf numFmtId="0" fontId="19" fillId="0" borderId="0" applyNumberFormat="0" applyFill="0" applyBorder="0" applyAlignment="0" applyProtection="0"/>
    <xf numFmtId="0" fontId="1" fillId="0" borderId="0"/>
  </cellStyleXfs>
  <cellXfs count="44">
    <xf numFmtId="0" fontId="0" fillId="0" borderId="0" xfId="0"/>
    <xf numFmtId="0" fontId="3" fillId="0" borderId="0" xfId="0" applyFont="1" applyFill="1"/>
    <xf numFmtId="0" fontId="3" fillId="0" borderId="0" xfId="0" applyFont="1" applyFill="1" applyBorder="1"/>
    <xf numFmtId="0" fontId="8" fillId="0" borderId="0" xfId="0" applyFont="1" applyFill="1"/>
    <xf numFmtId="0" fontId="3" fillId="0" borderId="0" xfId="0" applyFont="1" applyFill="1" applyAlignment="1"/>
    <xf numFmtId="0" fontId="0" fillId="0" borderId="0" xfId="0" applyBorder="1"/>
    <xf numFmtId="0" fontId="0" fillId="0" borderId="0" xfId="0" applyBorder="1" applyAlignment="1">
      <alignment horizontal="left"/>
    </xf>
    <xf numFmtId="0" fontId="5" fillId="0" borderId="0" xfId="0" applyFont="1" applyBorder="1"/>
    <xf numFmtId="0" fontId="5" fillId="0" borderId="0" xfId="0" applyFont="1" applyFill="1" applyBorder="1"/>
    <xf numFmtId="0" fontId="7" fillId="0" borderId="0" xfId="0" applyFont="1" applyFill="1" applyBorder="1"/>
    <xf numFmtId="15" fontId="7" fillId="0" borderId="0" xfId="0" applyNumberFormat="1" applyFont="1" applyFill="1" applyBorder="1"/>
    <xf numFmtId="0" fontId="0" fillId="0" borderId="0" xfId="0" applyFill="1" applyBorder="1"/>
    <xf numFmtId="15" fontId="7" fillId="0" borderId="0" xfId="0" applyNumberFormat="1" applyFont="1" applyFill="1" applyBorder="1" applyAlignment="1">
      <alignment horizontal="right"/>
    </xf>
    <xf numFmtId="0" fontId="6" fillId="0" borderId="1" xfId="0" applyFont="1" applyFill="1" applyBorder="1" applyAlignment="1">
      <alignment horizontal="right"/>
    </xf>
    <xf numFmtId="0" fontId="6" fillId="0" borderId="2" xfId="0" applyFont="1" applyFill="1" applyBorder="1" applyAlignment="1">
      <alignment horizontal="right"/>
    </xf>
    <xf numFmtId="15" fontId="7" fillId="0" borderId="3" xfId="0" applyNumberFormat="1" applyFont="1" applyFill="1" applyBorder="1" applyAlignment="1">
      <alignment horizontal="right"/>
    </xf>
    <xf numFmtId="0" fontId="6" fillId="2" borderId="4" xfId="0" applyFont="1" applyFill="1" applyBorder="1" applyAlignment="1">
      <alignment horizontal="right"/>
    </xf>
    <xf numFmtId="0" fontId="7" fillId="2" borderId="5" xfId="0" applyFont="1" applyFill="1" applyBorder="1"/>
    <xf numFmtId="0" fontId="10" fillId="3" borderId="6" xfId="0" applyFont="1" applyFill="1" applyBorder="1" applyAlignment="1">
      <alignment horizontal="left" vertical="center"/>
    </xf>
    <xf numFmtId="0" fontId="11" fillId="3" borderId="7" xfId="0" applyFont="1" applyFill="1" applyBorder="1" applyAlignment="1">
      <alignment horizontal="left" vertical="center"/>
    </xf>
    <xf numFmtId="0" fontId="0" fillId="0" borderId="0" xfId="0" applyBorder="1" applyAlignment="1">
      <alignment horizontal="left" vertical="center"/>
    </xf>
    <xf numFmtId="49" fontId="6" fillId="0" borderId="9" xfId="0" applyNumberFormat="1" applyFont="1" applyFill="1" applyBorder="1" applyAlignment="1">
      <alignment horizontal="left" vertical="center"/>
    </xf>
    <xf numFmtId="0" fontId="9" fillId="0" borderId="0" xfId="0" applyFont="1" applyFill="1"/>
    <xf numFmtId="0" fontId="7" fillId="0" borderId="0" xfId="0" applyFont="1" applyFill="1" applyBorder="1" applyAlignment="1">
      <alignment horizontal="left" vertical="center"/>
    </xf>
    <xf numFmtId="0" fontId="7" fillId="2" borderId="9" xfId="0" applyFont="1" applyFill="1" applyBorder="1" applyAlignment="1">
      <alignment horizontal="left" vertical="center"/>
    </xf>
    <xf numFmtId="0" fontId="7" fillId="0" borderId="11" xfId="0" applyFont="1" applyFill="1" applyBorder="1" applyAlignment="1">
      <alignment horizontal="left" vertical="center"/>
    </xf>
    <xf numFmtId="0" fontId="7" fillId="0" borderId="0" xfId="0" applyFont="1" applyBorder="1"/>
    <xf numFmtId="0" fontId="7" fillId="0" borderId="0" xfId="0" applyFont="1" applyBorder="1" applyAlignment="1">
      <alignment horizontal="left" vertical="center"/>
    </xf>
    <xf numFmtId="176" fontId="7" fillId="0" borderId="8" xfId="0" applyNumberFormat="1" applyFont="1" applyFill="1" applyBorder="1" applyAlignment="1">
      <alignment horizontal="right"/>
    </xf>
    <xf numFmtId="0" fontId="19" fillId="0" borderId="10" xfId="2" applyFill="1" applyBorder="1" applyAlignment="1">
      <alignment horizontal="left" vertical="center"/>
    </xf>
    <xf numFmtId="0" fontId="8" fillId="0" borderId="0" xfId="0" applyFont="1" applyFill="1" applyAlignment="1">
      <alignment horizontal="left"/>
    </xf>
    <xf numFmtId="0" fontId="12" fillId="0" borderId="0" xfId="0" applyFont="1" applyFill="1" applyAlignment="1">
      <alignment horizontal="left"/>
    </xf>
    <xf numFmtId="0" fontId="20" fillId="3" borderId="12" xfId="0" applyFont="1" applyFill="1" applyBorder="1"/>
    <xf numFmtId="0" fontId="11" fillId="0" borderId="0" xfId="2" applyFont="1" applyFill="1"/>
    <xf numFmtId="0" fontId="6" fillId="0" borderId="0" xfId="0" applyFont="1" applyFill="1" applyBorder="1" applyAlignment="1">
      <alignment horizontal="right"/>
    </xf>
    <xf numFmtId="0" fontId="6" fillId="0" borderId="11" xfId="0" applyFont="1" applyFill="1" applyBorder="1" applyAlignment="1">
      <alignment horizontal="left" vertical="center"/>
    </xf>
    <xf numFmtId="0" fontId="16" fillId="0" borderId="10" xfId="1" applyFont="1" applyBorder="1"/>
    <xf numFmtId="49" fontId="16" fillId="0" borderId="0" xfId="3" applyNumberFormat="1" applyFont="1" applyAlignment="1">
      <alignment wrapText="1"/>
    </xf>
    <xf numFmtId="49" fontId="16" fillId="0" borderId="0" xfId="3" applyNumberFormat="1" applyFont="1" applyAlignment="1">
      <alignment vertical="top" wrapText="1"/>
    </xf>
    <xf numFmtId="49" fontId="16" fillId="0" borderId="13" xfId="3" applyNumberFormat="1" applyFont="1" applyBorder="1" applyAlignment="1">
      <alignment vertical="top" wrapText="1"/>
    </xf>
    <xf numFmtId="49" fontId="15" fillId="0" borderId="13" xfId="3" applyNumberFormat="1" applyFont="1" applyBorder="1" applyAlignment="1">
      <alignment horizontal="right" vertical="top" wrapText="1"/>
    </xf>
    <xf numFmtId="49" fontId="14" fillId="0" borderId="0" xfId="3" applyNumberFormat="1" applyFont="1" applyAlignment="1">
      <alignment wrapText="1"/>
    </xf>
    <xf numFmtId="49" fontId="16" fillId="0" borderId="13" xfId="3" quotePrefix="1" applyNumberFormat="1" applyFont="1" applyBorder="1" applyAlignment="1">
      <alignment vertical="top" wrapText="1"/>
    </xf>
    <xf numFmtId="49" fontId="10" fillId="0" borderId="13" xfId="3" applyNumberFormat="1" applyFont="1" applyBorder="1" applyAlignment="1">
      <alignment vertical="top" wrapText="1"/>
    </xf>
  </cellXfs>
  <cellStyles count="4">
    <cellStyle name="Normal 2" xfId="1" xr:uid="{00000000-0005-0000-0000-000002000000}"/>
    <cellStyle name="Normal 2 2" xfId="3" xr:uid="{9967A158-13A4-6343-A556-4F949247BF50}"/>
    <cellStyle name="常规" xfId="0" builtinId="0"/>
    <cellStyle name="超链接" xfId="2" builtinId="8"/>
  </cellStyles>
  <dxfs count="3">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2"/>
      <tableStyleElement type="headerRow" dxfId="1"/>
    </tableStyle>
  </tableStyles>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
  <sheetViews>
    <sheetView showGridLines="0" tabSelected="1" zoomScale="125" workbookViewId="0">
      <selection activeCell="B9" sqref="B9"/>
    </sheetView>
  </sheetViews>
  <sheetFormatPr defaultColWidth="11.42578125" defaultRowHeight="12.75" x14ac:dyDescent="0.2"/>
  <cols>
    <col min="1" max="1" width="3.28515625" style="5" customWidth="1"/>
    <col min="2" max="2" width="11.85546875" style="5" customWidth="1"/>
    <col min="3" max="3" width="23.42578125" style="5" customWidth="1"/>
    <col min="4" max="4" width="4.7109375" style="5" customWidth="1"/>
    <col min="5" max="5" width="105" style="20" bestFit="1" customWidth="1"/>
    <col min="6" max="6" width="54.7109375" style="5" customWidth="1"/>
    <col min="7" max="7" width="10.85546875" style="5" customWidth="1"/>
    <col min="8" max="16384" width="11.42578125" style="5"/>
  </cols>
  <sheetData>
    <row r="1" spans="1:6" ht="13.5" thickBot="1" x14ac:dyDescent="0.25"/>
    <row r="2" spans="1:6" s="7" customFormat="1" ht="18.75" thickBot="1" x14ac:dyDescent="0.3">
      <c r="B2" s="18" t="s">
        <v>8681</v>
      </c>
      <c r="C2" s="19"/>
      <c r="D2" s="19"/>
      <c r="E2" s="19"/>
      <c r="F2" s="6"/>
    </row>
    <row r="3" spans="1:6" ht="15.75" thickBot="1" x14ac:dyDescent="0.25">
      <c r="A3" s="11"/>
      <c r="B3" s="9"/>
      <c r="C3" s="9"/>
      <c r="D3" s="9"/>
      <c r="E3" s="23"/>
    </row>
    <row r="4" spans="1:6" ht="18" x14ac:dyDescent="0.25">
      <c r="A4" s="8"/>
      <c r="B4" s="16" t="s">
        <v>398</v>
      </c>
      <c r="C4" s="17">
        <v>2</v>
      </c>
      <c r="D4" s="9"/>
      <c r="E4" s="24" t="str">
        <f>CONCATENATE("Version ",C4)</f>
        <v>Version 2</v>
      </c>
    </row>
    <row r="5" spans="1:6" ht="15" customHeight="1" x14ac:dyDescent="0.25">
      <c r="A5" s="9"/>
      <c r="B5" s="13" t="s">
        <v>1200</v>
      </c>
      <c r="C5" s="28">
        <v>44725</v>
      </c>
      <c r="D5" s="10"/>
      <c r="E5" s="21" t="s">
        <v>14079</v>
      </c>
    </row>
    <row r="6" spans="1:6" ht="16.5" thickBot="1" x14ac:dyDescent="0.3">
      <c r="A6" s="9"/>
      <c r="B6" s="14" t="s">
        <v>1201</v>
      </c>
      <c r="C6" s="15" t="s">
        <v>14078</v>
      </c>
      <c r="D6" s="12"/>
      <c r="E6" s="25" t="s">
        <v>14081</v>
      </c>
    </row>
    <row r="7" spans="1:6" ht="15.75" x14ac:dyDescent="0.25">
      <c r="A7" s="9"/>
      <c r="B7" s="34"/>
      <c r="C7" s="12"/>
      <c r="D7" s="12"/>
      <c r="E7" s="35" t="s">
        <v>14008</v>
      </c>
    </row>
    <row r="8" spans="1:6" ht="15" x14ac:dyDescent="0.2">
      <c r="A8" s="9"/>
      <c r="B8" s="9"/>
      <c r="C8" s="9"/>
      <c r="D8" s="9"/>
      <c r="E8" s="36" t="s">
        <v>14080</v>
      </c>
    </row>
    <row r="9" spans="1:6" ht="15.75" thickBot="1" x14ac:dyDescent="0.25">
      <c r="A9" s="11"/>
      <c r="B9" s="9"/>
      <c r="C9" s="9"/>
      <c r="D9" s="9"/>
      <c r="E9" s="23"/>
    </row>
    <row r="10" spans="1:6" ht="15.75" x14ac:dyDescent="0.25">
      <c r="B10" s="16" t="s">
        <v>398</v>
      </c>
      <c r="C10" s="17">
        <v>1</v>
      </c>
      <c r="D10" s="9"/>
      <c r="E10" s="24" t="str">
        <f>CONCATENATE("Version ",C10)</f>
        <v>Version 1</v>
      </c>
    </row>
    <row r="11" spans="1:6" ht="15.75" x14ac:dyDescent="0.25">
      <c r="B11" s="13" t="s">
        <v>1200</v>
      </c>
      <c r="C11" s="28">
        <v>44644</v>
      </c>
      <c r="D11" s="10"/>
      <c r="E11" s="21" t="s">
        <v>8682</v>
      </c>
    </row>
    <row r="12" spans="1:6" ht="16.5" thickBot="1" x14ac:dyDescent="0.3">
      <c r="B12" s="14" t="s">
        <v>1201</v>
      </c>
      <c r="C12" s="15" t="s">
        <v>1198</v>
      </c>
      <c r="D12" s="12"/>
      <c r="E12" s="25" t="s">
        <v>14082</v>
      </c>
    </row>
    <row r="13" spans="1:6" ht="15" x14ac:dyDescent="0.2">
      <c r="B13" s="9"/>
      <c r="C13" s="9"/>
      <c r="D13" s="9"/>
      <c r="E13" s="29" t="str">
        <f>HYPERLINK("https://ictv.global/taxonomy","For more information see: https://ictv.global/taxonomy")</f>
        <v>For more information see: https://ictv.global/taxonomy</v>
      </c>
    </row>
    <row r="14" spans="1:6" ht="15" x14ac:dyDescent="0.2">
      <c r="B14" s="9"/>
      <c r="C14" s="9"/>
      <c r="D14" s="9"/>
      <c r="E14" s="23"/>
    </row>
    <row r="15" spans="1:6" ht="15" x14ac:dyDescent="0.2">
      <c r="B15" s="26"/>
      <c r="C15" s="26"/>
      <c r="D15" s="26"/>
      <c r="E15" s="27"/>
    </row>
    <row r="16" spans="1:6" ht="15" x14ac:dyDescent="0.2">
      <c r="B16" s="26"/>
      <c r="C16" s="26"/>
      <c r="D16" s="26"/>
      <c r="E16" s="27"/>
    </row>
    <row r="17" spans="2:5" ht="15" x14ac:dyDescent="0.2">
      <c r="B17" s="26"/>
      <c r="C17" s="26"/>
      <c r="D17" s="26"/>
      <c r="E17" s="27"/>
    </row>
    <row r="18" spans="2:5" ht="15" x14ac:dyDescent="0.2">
      <c r="B18" s="26"/>
      <c r="C18" s="26"/>
      <c r="D18" s="26"/>
      <c r="E18" s="27"/>
    </row>
    <row r="19" spans="2:5" ht="15" x14ac:dyDescent="0.2">
      <c r="B19" s="26"/>
      <c r="C19" s="26"/>
      <c r="D19" s="26"/>
      <c r="E19" s="27"/>
    </row>
  </sheetData>
  <phoneticPr fontId="4" type="noConversion"/>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48BEB-CD54-2544-AA0D-F158E7AD36AD}">
  <dimension ref="A1:B23"/>
  <sheetViews>
    <sheetView showGridLines="0" topLeftCell="A19" zoomScaleNormal="100" workbookViewId="0">
      <selection activeCell="B20" sqref="B20"/>
    </sheetView>
  </sheetViews>
  <sheetFormatPr defaultColWidth="10.85546875" defaultRowHeight="15" x14ac:dyDescent="0.2"/>
  <cols>
    <col min="1" max="1" width="32.7109375" style="38" bestFit="1" customWidth="1"/>
    <col min="2" max="2" width="124" style="38" bestFit="1" customWidth="1"/>
    <col min="3" max="16384" width="10.85546875" style="37"/>
  </cols>
  <sheetData>
    <row r="1" spans="1:2" s="41" customFormat="1" ht="36" x14ac:dyDescent="0.25">
      <c r="A1" s="43" t="s">
        <v>3063</v>
      </c>
      <c r="B1" s="43" t="s">
        <v>3064</v>
      </c>
    </row>
    <row r="2" spans="1:2" s="41" customFormat="1" ht="30" x14ac:dyDescent="0.25">
      <c r="A2" s="40" t="s">
        <v>4874</v>
      </c>
      <c r="B2" s="39" t="s">
        <v>4224</v>
      </c>
    </row>
    <row r="3" spans="1:2" s="41" customFormat="1" ht="18" x14ac:dyDescent="0.25">
      <c r="A3" s="40" t="s">
        <v>3971</v>
      </c>
      <c r="B3" s="42" t="s">
        <v>4221</v>
      </c>
    </row>
    <row r="4" spans="1:2" s="41" customFormat="1" ht="18" x14ac:dyDescent="0.25">
      <c r="A4" s="40" t="s">
        <v>3972</v>
      </c>
      <c r="B4" s="39" t="s">
        <v>4209</v>
      </c>
    </row>
    <row r="5" spans="1:2" s="41" customFormat="1" ht="18" x14ac:dyDescent="0.25">
      <c r="A5" s="40" t="s">
        <v>3973</v>
      </c>
      <c r="B5" s="39" t="s">
        <v>4210</v>
      </c>
    </row>
    <row r="6" spans="1:2" s="41" customFormat="1" ht="18" x14ac:dyDescent="0.25">
      <c r="A6" s="40" t="s">
        <v>3974</v>
      </c>
      <c r="B6" s="39" t="s">
        <v>4211</v>
      </c>
    </row>
    <row r="7" spans="1:2" s="41" customFormat="1" ht="18" x14ac:dyDescent="0.25">
      <c r="A7" s="40" t="s">
        <v>3975</v>
      </c>
      <c r="B7" s="39" t="s">
        <v>4212</v>
      </c>
    </row>
    <row r="8" spans="1:2" s="41" customFormat="1" ht="18" x14ac:dyDescent="0.25">
      <c r="A8" s="40" t="s">
        <v>3976</v>
      </c>
      <c r="B8" s="39" t="s">
        <v>4213</v>
      </c>
    </row>
    <row r="9" spans="1:2" s="41" customFormat="1" ht="18" x14ac:dyDescent="0.25">
      <c r="A9" s="40" t="s">
        <v>3977</v>
      </c>
      <c r="B9" s="39" t="s">
        <v>4214</v>
      </c>
    </row>
    <row r="10" spans="1:2" s="41" customFormat="1" ht="18" x14ac:dyDescent="0.25">
      <c r="A10" s="40" t="s">
        <v>3978</v>
      </c>
      <c r="B10" s="39" t="s">
        <v>4215</v>
      </c>
    </row>
    <row r="11" spans="1:2" ht="15.75" x14ac:dyDescent="0.2">
      <c r="A11" s="40" t="s">
        <v>955</v>
      </c>
      <c r="B11" s="39" t="s">
        <v>4216</v>
      </c>
    </row>
    <row r="12" spans="1:2" ht="15.75" x14ac:dyDescent="0.2">
      <c r="A12" s="40" t="s">
        <v>3979</v>
      </c>
      <c r="B12" s="39" t="s">
        <v>4217</v>
      </c>
    </row>
    <row r="13" spans="1:2" ht="15.75" x14ac:dyDescent="0.2">
      <c r="A13" s="40" t="s">
        <v>1709</v>
      </c>
      <c r="B13" s="39" t="s">
        <v>4208</v>
      </c>
    </row>
    <row r="14" spans="1:2" ht="15.75" x14ac:dyDescent="0.2">
      <c r="A14" s="40" t="s">
        <v>1710</v>
      </c>
      <c r="B14" s="39" t="s">
        <v>4218</v>
      </c>
    </row>
    <row r="15" spans="1:2" ht="15.75" x14ac:dyDescent="0.2">
      <c r="A15" s="40" t="s">
        <v>1711</v>
      </c>
      <c r="B15" s="39" t="s">
        <v>4219</v>
      </c>
    </row>
    <row r="16" spans="1:2" ht="15.75" x14ac:dyDescent="0.2">
      <c r="A16" s="40" t="s">
        <v>3980</v>
      </c>
      <c r="B16" s="39" t="s">
        <v>4220</v>
      </c>
    </row>
    <row r="17" spans="1:2" ht="30" x14ac:dyDescent="0.2">
      <c r="A17" s="40" t="s">
        <v>1712</v>
      </c>
      <c r="B17" s="39" t="s">
        <v>4222</v>
      </c>
    </row>
    <row r="18" spans="1:2" ht="195" x14ac:dyDescent="0.2">
      <c r="A18" s="40" t="s">
        <v>2572</v>
      </c>
      <c r="B18" s="39" t="s">
        <v>4223</v>
      </c>
    </row>
    <row r="19" spans="1:2" ht="150" x14ac:dyDescent="0.2">
      <c r="A19" s="40" t="s">
        <v>2574</v>
      </c>
      <c r="B19" s="39" t="s">
        <v>14085</v>
      </c>
    </row>
    <row r="20" spans="1:2" ht="375" x14ac:dyDescent="0.2">
      <c r="A20" s="40" t="s">
        <v>14084</v>
      </c>
      <c r="B20" s="39" t="s">
        <v>14083</v>
      </c>
    </row>
    <row r="21" spans="1:2" ht="45" x14ac:dyDescent="0.2">
      <c r="A21" s="40" t="s">
        <v>3066</v>
      </c>
      <c r="B21" s="39" t="s">
        <v>14086</v>
      </c>
    </row>
    <row r="22" spans="1:2" ht="45" x14ac:dyDescent="0.2">
      <c r="A22" s="40" t="s">
        <v>3572</v>
      </c>
      <c r="B22" s="39" t="s">
        <v>4225</v>
      </c>
    </row>
    <row r="23" spans="1:2" ht="30" x14ac:dyDescent="0.2">
      <c r="A23" s="40" t="s">
        <v>2573</v>
      </c>
      <c r="B23" s="39" t="s">
        <v>3065</v>
      </c>
    </row>
  </sheetData>
  <phoneticPr fontId="21" type="noConversion"/>
  <pageMargins left="0.7" right="0.7" top="0.75" bottom="0.75"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V10435"/>
  <sheetViews>
    <sheetView topLeftCell="I1" zoomScale="90" zoomScaleNormal="90" workbookViewId="0">
      <pane ySplit="1" topLeftCell="A20" activePane="bottomLeft" state="frozen"/>
      <selection activeCell="P1" sqref="P1"/>
      <selection pane="bottomLeft" activeCell="T68" sqref="T68"/>
    </sheetView>
  </sheetViews>
  <sheetFormatPr defaultColWidth="8.85546875" defaultRowHeight="12.75" x14ac:dyDescent="0.2"/>
  <cols>
    <col min="1" max="1" width="8.42578125" style="3" customWidth="1"/>
    <col min="2" max="15" width="15.85546875" style="1" customWidth="1"/>
    <col min="16" max="16" width="36.85546875" style="1" customWidth="1"/>
    <col min="17" max="17" width="12.7109375" style="30" customWidth="1"/>
    <col min="18" max="18" width="38.140625" style="33" bestFit="1" customWidth="1"/>
    <col min="19" max="19" width="21.140625" bestFit="1" customWidth="1"/>
    <col min="20" max="20" width="28.7109375" style="1" bestFit="1" customWidth="1"/>
    <col min="21" max="21" width="26.7109375" style="1" bestFit="1" customWidth="1"/>
    <col min="22" max="16384" width="8.85546875" style="1"/>
  </cols>
  <sheetData>
    <row r="1" spans="1:21" customFormat="1" ht="26.25" customHeight="1" thickBot="1" x14ac:dyDescent="0.25">
      <c r="A1" s="32" t="s">
        <v>4874</v>
      </c>
      <c r="B1" s="32" t="s">
        <v>3971</v>
      </c>
      <c r="C1" s="32" t="s">
        <v>3972</v>
      </c>
      <c r="D1" s="32" t="s">
        <v>3973</v>
      </c>
      <c r="E1" s="32" t="s">
        <v>3974</v>
      </c>
      <c r="F1" s="32" t="s">
        <v>3975</v>
      </c>
      <c r="G1" s="32" t="s">
        <v>3976</v>
      </c>
      <c r="H1" s="32" t="s">
        <v>3977</v>
      </c>
      <c r="I1" s="32" t="s">
        <v>3978</v>
      </c>
      <c r="J1" s="32" t="s">
        <v>955</v>
      </c>
      <c r="K1" s="32" t="s">
        <v>3979</v>
      </c>
      <c r="L1" s="32" t="s">
        <v>1709</v>
      </c>
      <c r="M1" s="32" t="s">
        <v>1710</v>
      </c>
      <c r="N1" s="32" t="s">
        <v>1711</v>
      </c>
      <c r="O1" s="32" t="s">
        <v>3980</v>
      </c>
      <c r="P1" s="32" t="s">
        <v>1712</v>
      </c>
      <c r="Q1" s="32" t="s">
        <v>2572</v>
      </c>
      <c r="R1" s="32" t="s">
        <v>2574</v>
      </c>
      <c r="S1" s="32" t="s">
        <v>3066</v>
      </c>
      <c r="T1" s="32" t="s">
        <v>3572</v>
      </c>
      <c r="U1" s="32" t="s">
        <v>2573</v>
      </c>
    </row>
    <row r="2" spans="1:21" x14ac:dyDescent="0.2">
      <c r="A2" s="3">
        <v>1</v>
      </c>
      <c r="B2" s="1" t="s">
        <v>5902</v>
      </c>
      <c r="D2" s="1" t="s">
        <v>5903</v>
      </c>
      <c r="F2" s="1" t="s">
        <v>5904</v>
      </c>
      <c r="H2" s="1" t="s">
        <v>5905</v>
      </c>
      <c r="J2" s="1" t="s">
        <v>2018</v>
      </c>
      <c r="L2" s="1" t="s">
        <v>1512</v>
      </c>
      <c r="N2" s="1" t="s">
        <v>5862</v>
      </c>
      <c r="P2" s="1" t="s">
        <v>5863</v>
      </c>
      <c r="Q2" s="30" t="s">
        <v>2565</v>
      </c>
      <c r="R2" s="33" t="s">
        <v>3474</v>
      </c>
      <c r="S2">
        <v>36</v>
      </c>
      <c r="T2" s="1" t="s">
        <v>5906</v>
      </c>
      <c r="U2" s="1" t="str">
        <f>HYPERLINK("http://ictvonline.org/taxonomy/p/taxonomy-history?taxnode_id=202108644","ICTVonline=202108644")</f>
        <v>ICTVonline=202108644</v>
      </c>
    </row>
    <row r="3" spans="1:21" x14ac:dyDescent="0.2">
      <c r="A3" s="3">
        <v>2</v>
      </c>
      <c r="B3" s="1" t="s">
        <v>5902</v>
      </c>
      <c r="D3" s="1" t="s">
        <v>5903</v>
      </c>
      <c r="F3" s="1" t="s">
        <v>5904</v>
      </c>
      <c r="H3" s="1" t="s">
        <v>5905</v>
      </c>
      <c r="J3" s="1" t="s">
        <v>2018</v>
      </c>
      <c r="L3" s="1" t="s">
        <v>1512</v>
      </c>
      <c r="N3" s="1" t="s">
        <v>5862</v>
      </c>
      <c r="P3" s="1" t="s">
        <v>5864</v>
      </c>
      <c r="Q3" s="30" t="s">
        <v>2565</v>
      </c>
      <c r="R3" s="33" t="s">
        <v>8660</v>
      </c>
      <c r="S3">
        <v>36</v>
      </c>
      <c r="T3" s="1" t="s">
        <v>8661</v>
      </c>
      <c r="U3" s="1" t="str">
        <f>HYPERLINK("http://ictvonline.org/taxonomy/p/taxonomy-history?taxnode_id=202108643","ICTVonline=202108643")</f>
        <v>ICTVonline=202108643</v>
      </c>
    </row>
    <row r="4" spans="1:21" x14ac:dyDescent="0.2">
      <c r="A4" s="3">
        <v>3</v>
      </c>
      <c r="B4" s="1" t="s">
        <v>5902</v>
      </c>
      <c r="D4" s="1" t="s">
        <v>5903</v>
      </c>
      <c r="F4" s="1" t="s">
        <v>5904</v>
      </c>
      <c r="H4" s="1" t="s">
        <v>5905</v>
      </c>
      <c r="J4" s="1" t="s">
        <v>2018</v>
      </c>
      <c r="L4" s="1" t="s">
        <v>1512</v>
      </c>
      <c r="N4" s="1" t="s">
        <v>1513</v>
      </c>
      <c r="P4" s="1" t="s">
        <v>624</v>
      </c>
      <c r="Q4" s="30" t="s">
        <v>2565</v>
      </c>
      <c r="R4" s="33" t="s">
        <v>3474</v>
      </c>
      <c r="S4">
        <v>36</v>
      </c>
      <c r="T4" s="1" t="s">
        <v>5906</v>
      </c>
      <c r="U4" s="1" t="str">
        <f>HYPERLINK("http://ictvonline.org/taxonomy/p/taxonomy-history?taxnode_id=202101532","ICTVonline=202101532")</f>
        <v>ICTVonline=202101532</v>
      </c>
    </row>
    <row r="5" spans="1:21" x14ac:dyDescent="0.2">
      <c r="A5" s="3">
        <v>4</v>
      </c>
      <c r="B5" s="1" t="s">
        <v>5902</v>
      </c>
      <c r="D5" s="1" t="s">
        <v>5903</v>
      </c>
      <c r="F5" s="1" t="s">
        <v>5904</v>
      </c>
      <c r="H5" s="1" t="s">
        <v>5905</v>
      </c>
      <c r="J5" s="1" t="s">
        <v>2018</v>
      </c>
      <c r="L5" s="1" t="s">
        <v>1512</v>
      </c>
      <c r="N5" s="1" t="s">
        <v>1513</v>
      </c>
      <c r="P5" s="1" t="s">
        <v>623</v>
      </c>
      <c r="Q5" s="30" t="s">
        <v>2565</v>
      </c>
      <c r="R5" s="33" t="s">
        <v>3474</v>
      </c>
      <c r="S5">
        <v>36</v>
      </c>
      <c r="T5" s="1" t="s">
        <v>5906</v>
      </c>
      <c r="U5" s="1" t="str">
        <f>HYPERLINK("http://ictvonline.org/taxonomy/p/taxonomy-history?taxnode_id=202101533","ICTVonline=202101533")</f>
        <v>ICTVonline=202101533</v>
      </c>
    </row>
    <row r="6" spans="1:21" x14ac:dyDescent="0.2">
      <c r="A6" s="3">
        <v>5</v>
      </c>
      <c r="B6" s="1" t="s">
        <v>5902</v>
      </c>
      <c r="D6" s="1" t="s">
        <v>5903</v>
      </c>
      <c r="F6" s="1" t="s">
        <v>5904</v>
      </c>
      <c r="H6" s="1" t="s">
        <v>5905</v>
      </c>
      <c r="J6" s="1" t="s">
        <v>2018</v>
      </c>
      <c r="L6" s="1" t="s">
        <v>1512</v>
      </c>
      <c r="N6" s="1" t="s">
        <v>1513</v>
      </c>
      <c r="P6" s="1" t="s">
        <v>622</v>
      </c>
      <c r="Q6" s="30" t="s">
        <v>2565</v>
      </c>
      <c r="R6" s="33" t="s">
        <v>3474</v>
      </c>
      <c r="S6">
        <v>36</v>
      </c>
      <c r="T6" s="1" t="s">
        <v>5906</v>
      </c>
      <c r="U6" s="1" t="str">
        <f>HYPERLINK("http://ictvonline.org/taxonomy/p/taxonomy-history?taxnode_id=202101534","ICTVonline=202101534")</f>
        <v>ICTVonline=202101534</v>
      </c>
    </row>
    <row r="7" spans="1:21" x14ac:dyDescent="0.2">
      <c r="A7" s="3">
        <v>6</v>
      </c>
      <c r="B7" s="1" t="s">
        <v>5902</v>
      </c>
      <c r="D7" s="1" t="s">
        <v>5903</v>
      </c>
      <c r="F7" s="1" t="s">
        <v>5904</v>
      </c>
      <c r="H7" s="1" t="s">
        <v>5905</v>
      </c>
      <c r="J7" s="1" t="s">
        <v>2018</v>
      </c>
      <c r="L7" s="1" t="s">
        <v>1512</v>
      </c>
      <c r="N7" s="1" t="s">
        <v>1513</v>
      </c>
      <c r="P7" s="1" t="s">
        <v>1667</v>
      </c>
      <c r="Q7" s="30" t="s">
        <v>2565</v>
      </c>
      <c r="R7" s="33" t="s">
        <v>3474</v>
      </c>
      <c r="S7">
        <v>36</v>
      </c>
      <c r="T7" s="1" t="s">
        <v>5906</v>
      </c>
      <c r="U7" s="1" t="str">
        <f>HYPERLINK("http://ictvonline.org/taxonomy/p/taxonomy-history?taxnode_id=202101535","ICTVonline=202101535")</f>
        <v>ICTVonline=202101535</v>
      </c>
    </row>
    <row r="8" spans="1:21" x14ac:dyDescent="0.2">
      <c r="A8" s="3">
        <v>7</v>
      </c>
      <c r="B8" s="1" t="s">
        <v>5902</v>
      </c>
      <c r="D8" s="1" t="s">
        <v>5903</v>
      </c>
      <c r="F8" s="1" t="s">
        <v>5904</v>
      </c>
      <c r="H8" s="1" t="s">
        <v>5905</v>
      </c>
      <c r="J8" s="1" t="s">
        <v>2018</v>
      </c>
      <c r="L8" s="1" t="s">
        <v>1512</v>
      </c>
      <c r="N8" s="1" t="s">
        <v>1513</v>
      </c>
      <c r="P8" s="1" t="s">
        <v>1666</v>
      </c>
      <c r="Q8" s="30" t="s">
        <v>2565</v>
      </c>
      <c r="R8" s="33" t="s">
        <v>3474</v>
      </c>
      <c r="S8">
        <v>36</v>
      </c>
      <c r="T8" s="1" t="s">
        <v>5906</v>
      </c>
      <c r="U8" s="1" t="str">
        <f>HYPERLINK("http://ictvonline.org/taxonomy/p/taxonomy-history?taxnode_id=202101536","ICTVonline=202101536")</f>
        <v>ICTVonline=202101536</v>
      </c>
    </row>
    <row r="9" spans="1:21" x14ac:dyDescent="0.2">
      <c r="A9" s="3">
        <v>8</v>
      </c>
      <c r="B9" s="1" t="s">
        <v>5902</v>
      </c>
      <c r="D9" s="1" t="s">
        <v>5903</v>
      </c>
      <c r="F9" s="1" t="s">
        <v>5904</v>
      </c>
      <c r="H9" s="1" t="s">
        <v>5905</v>
      </c>
      <c r="J9" s="1" t="s">
        <v>2018</v>
      </c>
      <c r="L9" s="1" t="s">
        <v>1512</v>
      </c>
      <c r="N9" s="1" t="s">
        <v>1513</v>
      </c>
      <c r="P9" s="1" t="s">
        <v>1514</v>
      </c>
      <c r="Q9" s="30" t="s">
        <v>2565</v>
      </c>
      <c r="R9" s="33" t="s">
        <v>8660</v>
      </c>
      <c r="S9">
        <v>36</v>
      </c>
      <c r="T9" s="1" t="s">
        <v>8661</v>
      </c>
      <c r="U9" s="1" t="str">
        <f>HYPERLINK("http://ictvonline.org/taxonomy/p/taxonomy-history?taxnode_id=202101537","ICTVonline=202101537")</f>
        <v>ICTVonline=202101537</v>
      </c>
    </row>
    <row r="10" spans="1:21" x14ac:dyDescent="0.2">
      <c r="A10" s="3">
        <v>9</v>
      </c>
      <c r="B10" s="1" t="s">
        <v>5902</v>
      </c>
      <c r="D10" s="1" t="s">
        <v>5903</v>
      </c>
      <c r="F10" s="1" t="s">
        <v>5904</v>
      </c>
      <c r="H10" s="1" t="s">
        <v>5905</v>
      </c>
      <c r="J10" s="1" t="s">
        <v>2018</v>
      </c>
      <c r="L10" s="1" t="s">
        <v>1512</v>
      </c>
      <c r="N10" s="1" t="s">
        <v>1025</v>
      </c>
      <c r="P10" s="1" t="s">
        <v>1835</v>
      </c>
      <c r="Q10" s="30" t="s">
        <v>2565</v>
      </c>
      <c r="R10" s="33" t="s">
        <v>8660</v>
      </c>
      <c r="S10">
        <v>36</v>
      </c>
      <c r="T10" s="1" t="s">
        <v>8661</v>
      </c>
      <c r="U10" s="1" t="str">
        <f>HYPERLINK("http://ictvonline.org/taxonomy/p/taxonomy-history?taxnode_id=202101539","ICTVonline=202101539")</f>
        <v>ICTVonline=202101539</v>
      </c>
    </row>
    <row r="11" spans="1:21" x14ac:dyDescent="0.2">
      <c r="A11" s="3">
        <v>10</v>
      </c>
      <c r="B11" s="1" t="s">
        <v>5902</v>
      </c>
      <c r="D11" s="1" t="s">
        <v>5903</v>
      </c>
      <c r="F11" s="1" t="s">
        <v>5904</v>
      </c>
      <c r="H11" s="1" t="s">
        <v>5905</v>
      </c>
      <c r="J11" s="1" t="s">
        <v>2018</v>
      </c>
      <c r="L11" s="1" t="s">
        <v>1512</v>
      </c>
      <c r="N11" s="1" t="s">
        <v>1025</v>
      </c>
      <c r="P11" s="1" t="s">
        <v>5865</v>
      </c>
      <c r="Q11" s="30" t="s">
        <v>2565</v>
      </c>
      <c r="R11" s="33" t="s">
        <v>3474</v>
      </c>
      <c r="S11">
        <v>36</v>
      </c>
      <c r="T11" s="1" t="s">
        <v>5906</v>
      </c>
      <c r="U11" s="1" t="str">
        <f>HYPERLINK("http://ictvonline.org/taxonomy/p/taxonomy-history?taxnode_id=202108645","ICTVonline=202108645")</f>
        <v>ICTVonline=202108645</v>
      </c>
    </row>
    <row r="12" spans="1:21" x14ac:dyDescent="0.2">
      <c r="A12" s="3">
        <v>11</v>
      </c>
      <c r="B12" s="1" t="s">
        <v>5902</v>
      </c>
      <c r="D12" s="1" t="s">
        <v>5903</v>
      </c>
      <c r="F12" s="1" t="s">
        <v>5904</v>
      </c>
      <c r="H12" s="1" t="s">
        <v>5905</v>
      </c>
      <c r="J12" s="1" t="s">
        <v>2018</v>
      </c>
      <c r="L12" s="1" t="s">
        <v>1197</v>
      </c>
      <c r="N12" s="1" t="s">
        <v>5907</v>
      </c>
      <c r="P12" s="1" t="s">
        <v>5908</v>
      </c>
      <c r="Q12" s="30" t="s">
        <v>2565</v>
      </c>
      <c r="R12" s="33" t="s">
        <v>3472</v>
      </c>
      <c r="S12">
        <v>36</v>
      </c>
      <c r="T12" s="1" t="s">
        <v>5909</v>
      </c>
      <c r="U12" s="1" t="str">
        <f>HYPERLINK("http://ictvonline.org/taxonomy/p/taxonomy-history?taxnode_id=202111720","ICTVonline=202111720")</f>
        <v>ICTVonline=202111720</v>
      </c>
    </row>
    <row r="13" spans="1:21" x14ac:dyDescent="0.2">
      <c r="A13" s="3">
        <v>12</v>
      </c>
      <c r="B13" s="1" t="s">
        <v>5902</v>
      </c>
      <c r="D13" s="1" t="s">
        <v>5903</v>
      </c>
      <c r="F13" s="1" t="s">
        <v>5904</v>
      </c>
      <c r="H13" s="1" t="s">
        <v>5905</v>
      </c>
      <c r="J13" s="1" t="s">
        <v>2018</v>
      </c>
      <c r="L13" s="1" t="s">
        <v>1197</v>
      </c>
      <c r="N13" s="1" t="s">
        <v>5910</v>
      </c>
      <c r="P13" s="1" t="s">
        <v>5911</v>
      </c>
      <c r="Q13" s="30" t="s">
        <v>2565</v>
      </c>
      <c r="R13" s="33" t="s">
        <v>3472</v>
      </c>
      <c r="S13">
        <v>36</v>
      </c>
      <c r="T13" s="1" t="s">
        <v>5909</v>
      </c>
      <c r="U13" s="1" t="str">
        <f>HYPERLINK("http://ictvonline.org/taxonomy/p/taxonomy-history?taxnode_id=202111716","ICTVonline=202111716")</f>
        <v>ICTVonline=202111716</v>
      </c>
    </row>
    <row r="14" spans="1:21" x14ac:dyDescent="0.2">
      <c r="A14" s="3">
        <v>13</v>
      </c>
      <c r="B14" s="1" t="s">
        <v>5902</v>
      </c>
      <c r="D14" s="1" t="s">
        <v>5903</v>
      </c>
      <c r="F14" s="1" t="s">
        <v>5904</v>
      </c>
      <c r="H14" s="1" t="s">
        <v>5905</v>
      </c>
      <c r="J14" s="1" t="s">
        <v>2018</v>
      </c>
      <c r="L14" s="1" t="s">
        <v>1197</v>
      </c>
      <c r="N14" s="1" t="s">
        <v>5910</v>
      </c>
      <c r="P14" s="1" t="s">
        <v>5912</v>
      </c>
      <c r="Q14" s="30" t="s">
        <v>2565</v>
      </c>
      <c r="R14" s="33" t="s">
        <v>3472</v>
      </c>
      <c r="S14">
        <v>36</v>
      </c>
      <c r="T14" s="1" t="s">
        <v>5909</v>
      </c>
      <c r="U14" s="1" t="str">
        <f>HYPERLINK("http://ictvonline.org/taxonomy/p/taxonomy-history?taxnode_id=202111717","ICTVonline=202111717")</f>
        <v>ICTVonline=202111717</v>
      </c>
    </row>
    <row r="15" spans="1:21" x14ac:dyDescent="0.2">
      <c r="A15" s="3">
        <v>14</v>
      </c>
      <c r="B15" s="1" t="s">
        <v>5902</v>
      </c>
      <c r="D15" s="1" t="s">
        <v>5903</v>
      </c>
      <c r="F15" s="1" t="s">
        <v>5904</v>
      </c>
      <c r="H15" s="1" t="s">
        <v>5905</v>
      </c>
      <c r="J15" s="1" t="s">
        <v>2018</v>
      </c>
      <c r="L15" s="1" t="s">
        <v>1197</v>
      </c>
      <c r="N15" s="1" t="s">
        <v>5910</v>
      </c>
      <c r="P15" s="1" t="s">
        <v>5913</v>
      </c>
      <c r="Q15" s="30" t="s">
        <v>2565</v>
      </c>
      <c r="R15" s="33" t="s">
        <v>3472</v>
      </c>
      <c r="S15">
        <v>36</v>
      </c>
      <c r="T15" s="1" t="s">
        <v>5909</v>
      </c>
      <c r="U15" s="1" t="str">
        <f>HYPERLINK("http://ictvonline.org/taxonomy/p/taxonomy-history?taxnode_id=202111718","ICTVonline=202111718")</f>
        <v>ICTVonline=202111718</v>
      </c>
    </row>
    <row r="16" spans="1:21" x14ac:dyDescent="0.2">
      <c r="A16" s="3">
        <v>15</v>
      </c>
      <c r="B16" s="1" t="s">
        <v>5902</v>
      </c>
      <c r="D16" s="1" t="s">
        <v>5903</v>
      </c>
      <c r="F16" s="1" t="s">
        <v>5904</v>
      </c>
      <c r="H16" s="1" t="s">
        <v>5905</v>
      </c>
      <c r="J16" s="1" t="s">
        <v>2018</v>
      </c>
      <c r="L16" s="1" t="s">
        <v>1197</v>
      </c>
      <c r="N16" s="1" t="s">
        <v>5910</v>
      </c>
      <c r="P16" s="1" t="s">
        <v>5914</v>
      </c>
      <c r="Q16" s="30" t="s">
        <v>2565</v>
      </c>
      <c r="R16" s="33" t="s">
        <v>3472</v>
      </c>
      <c r="S16">
        <v>36</v>
      </c>
      <c r="T16" s="1" t="s">
        <v>5909</v>
      </c>
      <c r="U16" s="1" t="str">
        <f>HYPERLINK("http://ictvonline.org/taxonomy/p/taxonomy-history?taxnode_id=202111719","ICTVonline=202111719")</f>
        <v>ICTVonline=202111719</v>
      </c>
    </row>
    <row r="17" spans="1:21" x14ac:dyDescent="0.2">
      <c r="A17" s="3">
        <v>16</v>
      </c>
      <c r="B17" s="1" t="s">
        <v>5902</v>
      </c>
      <c r="D17" s="1" t="s">
        <v>5903</v>
      </c>
      <c r="F17" s="1" t="s">
        <v>5904</v>
      </c>
      <c r="H17" s="1" t="s">
        <v>5905</v>
      </c>
      <c r="J17" s="1" t="s">
        <v>2018</v>
      </c>
      <c r="L17" s="1" t="s">
        <v>1197</v>
      </c>
      <c r="N17" s="1" t="s">
        <v>5915</v>
      </c>
      <c r="P17" s="1" t="s">
        <v>5916</v>
      </c>
      <c r="Q17" s="30" t="s">
        <v>2565</v>
      </c>
      <c r="R17" s="33" t="s">
        <v>3473</v>
      </c>
      <c r="S17">
        <v>36</v>
      </c>
      <c r="T17" s="1" t="s">
        <v>5909</v>
      </c>
      <c r="U17" s="1" t="str">
        <f>HYPERLINK("http://ictvonline.org/taxonomy/p/taxonomy-history?taxnode_id=202101546","ICTVonline=202101546")</f>
        <v>ICTVonline=202101546</v>
      </c>
    </row>
    <row r="18" spans="1:21" x14ac:dyDescent="0.2">
      <c r="A18" s="3">
        <v>17</v>
      </c>
      <c r="B18" s="1" t="s">
        <v>5902</v>
      </c>
      <c r="D18" s="1" t="s">
        <v>5903</v>
      </c>
      <c r="F18" s="1" t="s">
        <v>5904</v>
      </c>
      <c r="H18" s="1" t="s">
        <v>5905</v>
      </c>
      <c r="J18" s="1" t="s">
        <v>2018</v>
      </c>
      <c r="L18" s="1" t="s">
        <v>1197</v>
      </c>
      <c r="N18" s="1" t="s">
        <v>5915</v>
      </c>
      <c r="P18" s="1" t="s">
        <v>5917</v>
      </c>
      <c r="Q18" s="30" t="s">
        <v>2565</v>
      </c>
      <c r="R18" s="33" t="s">
        <v>8662</v>
      </c>
      <c r="S18">
        <v>36</v>
      </c>
      <c r="T18" s="1" t="s">
        <v>8663</v>
      </c>
      <c r="U18" s="1" t="str">
        <f>HYPERLINK("http://ictvonline.org/taxonomy/p/taxonomy-history?taxnode_id=202101547","ICTVonline=202101547")</f>
        <v>ICTVonline=202101547</v>
      </c>
    </row>
    <row r="19" spans="1:21" x14ac:dyDescent="0.2">
      <c r="A19" s="3">
        <v>18</v>
      </c>
      <c r="B19" s="1" t="s">
        <v>5902</v>
      </c>
      <c r="D19" s="1" t="s">
        <v>5903</v>
      </c>
      <c r="F19" s="1" t="s">
        <v>5904</v>
      </c>
      <c r="H19" s="1" t="s">
        <v>5905</v>
      </c>
      <c r="J19" s="1" t="s">
        <v>2018</v>
      </c>
      <c r="L19" s="1" t="s">
        <v>1197</v>
      </c>
      <c r="N19" s="1" t="s">
        <v>5915</v>
      </c>
      <c r="P19" s="1" t="s">
        <v>5918</v>
      </c>
      <c r="Q19" s="30" t="s">
        <v>2565</v>
      </c>
      <c r="R19" s="33" t="s">
        <v>3472</v>
      </c>
      <c r="S19">
        <v>36</v>
      </c>
      <c r="T19" s="1" t="s">
        <v>5909</v>
      </c>
      <c r="U19" s="1" t="str">
        <f>HYPERLINK("http://ictvonline.org/taxonomy/p/taxonomy-history?taxnode_id=202111709","ICTVonline=202111709")</f>
        <v>ICTVonline=202111709</v>
      </c>
    </row>
    <row r="20" spans="1:21" x14ac:dyDescent="0.2">
      <c r="A20" s="3">
        <v>19</v>
      </c>
      <c r="B20" s="1" t="s">
        <v>5902</v>
      </c>
      <c r="D20" s="1" t="s">
        <v>5903</v>
      </c>
      <c r="F20" s="1" t="s">
        <v>5904</v>
      </c>
      <c r="H20" s="1" t="s">
        <v>5905</v>
      </c>
      <c r="J20" s="1" t="s">
        <v>2018</v>
      </c>
      <c r="L20" s="1" t="s">
        <v>1197</v>
      </c>
      <c r="N20" s="1" t="s">
        <v>5919</v>
      </c>
      <c r="P20" s="1" t="s">
        <v>5920</v>
      </c>
      <c r="Q20" s="30" t="s">
        <v>2565</v>
      </c>
      <c r="R20" s="33" t="s">
        <v>3473</v>
      </c>
      <c r="S20">
        <v>36</v>
      </c>
      <c r="T20" s="1" t="s">
        <v>5909</v>
      </c>
      <c r="U20" s="1" t="str">
        <f>HYPERLINK("http://ictvonline.org/taxonomy/p/taxonomy-history?taxnode_id=202101545","ICTVonline=202101545")</f>
        <v>ICTVonline=202101545</v>
      </c>
    </row>
    <row r="21" spans="1:21" x14ac:dyDescent="0.2">
      <c r="A21" s="3">
        <v>20</v>
      </c>
      <c r="B21" s="1" t="s">
        <v>5902</v>
      </c>
      <c r="D21" s="1" t="s">
        <v>5903</v>
      </c>
      <c r="F21" s="1" t="s">
        <v>5904</v>
      </c>
      <c r="H21" s="1" t="s">
        <v>5905</v>
      </c>
      <c r="J21" s="1" t="s">
        <v>2018</v>
      </c>
      <c r="L21" s="1" t="s">
        <v>1197</v>
      </c>
      <c r="N21" s="1" t="s">
        <v>5921</v>
      </c>
      <c r="P21" s="1" t="s">
        <v>5922</v>
      </c>
      <c r="Q21" s="30" t="s">
        <v>2565</v>
      </c>
      <c r="R21" s="33" t="s">
        <v>3472</v>
      </c>
      <c r="S21">
        <v>36</v>
      </c>
      <c r="T21" s="1" t="s">
        <v>5909</v>
      </c>
      <c r="U21" s="1" t="str">
        <f>HYPERLINK("http://ictvonline.org/taxonomy/p/taxonomy-history?taxnode_id=202111721","ICTVonline=202111721")</f>
        <v>ICTVonline=202111721</v>
      </c>
    </row>
    <row r="22" spans="1:21" x14ac:dyDescent="0.2">
      <c r="A22" s="3">
        <v>21</v>
      </c>
      <c r="B22" s="1" t="s">
        <v>5902</v>
      </c>
      <c r="D22" s="1" t="s">
        <v>5903</v>
      </c>
      <c r="F22" s="1" t="s">
        <v>5904</v>
      </c>
      <c r="H22" s="1" t="s">
        <v>5905</v>
      </c>
      <c r="J22" s="1" t="s">
        <v>2018</v>
      </c>
      <c r="L22" s="1" t="s">
        <v>1197</v>
      </c>
      <c r="N22" s="1" t="s">
        <v>5923</v>
      </c>
      <c r="P22" s="1" t="s">
        <v>5924</v>
      </c>
      <c r="Q22" s="30" t="s">
        <v>2565</v>
      </c>
      <c r="R22" s="33" t="s">
        <v>3472</v>
      </c>
      <c r="S22">
        <v>36</v>
      </c>
      <c r="T22" s="1" t="s">
        <v>5909</v>
      </c>
      <c r="U22" s="1" t="str">
        <f>HYPERLINK("http://ictvonline.org/taxonomy/p/taxonomy-history?taxnode_id=202111722","ICTVonline=202111722")</f>
        <v>ICTVonline=202111722</v>
      </c>
    </row>
    <row r="23" spans="1:21" x14ac:dyDescent="0.2">
      <c r="A23" s="3">
        <v>22</v>
      </c>
      <c r="B23" s="1" t="s">
        <v>5902</v>
      </c>
      <c r="D23" s="1" t="s">
        <v>5903</v>
      </c>
      <c r="F23" s="1" t="s">
        <v>5904</v>
      </c>
      <c r="H23" s="1" t="s">
        <v>5905</v>
      </c>
      <c r="J23" s="1" t="s">
        <v>2018</v>
      </c>
      <c r="L23" s="1" t="s">
        <v>1197</v>
      </c>
      <c r="N23" s="1" t="s">
        <v>5925</v>
      </c>
      <c r="P23" s="1" t="s">
        <v>5926</v>
      </c>
      <c r="Q23" s="30" t="s">
        <v>2565</v>
      </c>
      <c r="R23" s="33" t="s">
        <v>3472</v>
      </c>
      <c r="S23">
        <v>36</v>
      </c>
      <c r="T23" s="1" t="s">
        <v>5909</v>
      </c>
      <c r="U23" s="1" t="str">
        <f>HYPERLINK("http://ictvonline.org/taxonomy/p/taxonomy-history?taxnode_id=202111710","ICTVonline=202111710")</f>
        <v>ICTVonline=202111710</v>
      </c>
    </row>
    <row r="24" spans="1:21" x14ac:dyDescent="0.2">
      <c r="A24" s="3">
        <v>23</v>
      </c>
      <c r="B24" s="1" t="s">
        <v>5902</v>
      </c>
      <c r="D24" s="1" t="s">
        <v>5903</v>
      </c>
      <c r="F24" s="1" t="s">
        <v>5904</v>
      </c>
      <c r="H24" s="1" t="s">
        <v>5905</v>
      </c>
      <c r="J24" s="1" t="s">
        <v>2018</v>
      </c>
      <c r="L24" s="1" t="s">
        <v>1197</v>
      </c>
      <c r="N24" s="1" t="s">
        <v>5925</v>
      </c>
      <c r="P24" s="1" t="s">
        <v>5927</v>
      </c>
      <c r="Q24" s="30" t="s">
        <v>2565</v>
      </c>
      <c r="R24" s="33" t="s">
        <v>3472</v>
      </c>
      <c r="S24">
        <v>36</v>
      </c>
      <c r="T24" s="1" t="s">
        <v>5909</v>
      </c>
      <c r="U24" s="1" t="str">
        <f>HYPERLINK("http://ictvonline.org/taxonomy/p/taxonomy-history?taxnode_id=202111711","ICTVonline=202111711")</f>
        <v>ICTVonline=202111711</v>
      </c>
    </row>
    <row r="25" spans="1:21" x14ac:dyDescent="0.2">
      <c r="A25" s="3">
        <v>24</v>
      </c>
      <c r="B25" s="1" t="s">
        <v>5902</v>
      </c>
      <c r="D25" s="1" t="s">
        <v>5903</v>
      </c>
      <c r="F25" s="1" t="s">
        <v>5904</v>
      </c>
      <c r="H25" s="1" t="s">
        <v>5905</v>
      </c>
      <c r="J25" s="1" t="s">
        <v>2018</v>
      </c>
      <c r="L25" s="1" t="s">
        <v>1197</v>
      </c>
      <c r="N25" s="1" t="s">
        <v>5925</v>
      </c>
      <c r="P25" s="1" t="s">
        <v>5928</v>
      </c>
      <c r="Q25" s="30" t="s">
        <v>2565</v>
      </c>
      <c r="R25" s="33" t="s">
        <v>3472</v>
      </c>
      <c r="S25">
        <v>36</v>
      </c>
      <c r="T25" s="1" t="s">
        <v>5909</v>
      </c>
      <c r="U25" s="1" t="str">
        <f>HYPERLINK("http://ictvonline.org/taxonomy/p/taxonomy-history?taxnode_id=202111712","ICTVonline=202111712")</f>
        <v>ICTVonline=202111712</v>
      </c>
    </row>
    <row r="26" spans="1:21" x14ac:dyDescent="0.2">
      <c r="A26" s="3">
        <v>25</v>
      </c>
      <c r="B26" s="1" t="s">
        <v>5902</v>
      </c>
      <c r="D26" s="1" t="s">
        <v>5903</v>
      </c>
      <c r="F26" s="1" t="s">
        <v>5904</v>
      </c>
      <c r="H26" s="1" t="s">
        <v>5905</v>
      </c>
      <c r="J26" s="1" t="s">
        <v>2018</v>
      </c>
      <c r="L26" s="1" t="s">
        <v>1197</v>
      </c>
      <c r="N26" s="1" t="s">
        <v>5925</v>
      </c>
      <c r="P26" s="1" t="s">
        <v>5929</v>
      </c>
      <c r="Q26" s="30" t="s">
        <v>2565</v>
      </c>
      <c r="R26" s="33" t="s">
        <v>3472</v>
      </c>
      <c r="S26">
        <v>36</v>
      </c>
      <c r="T26" s="1" t="s">
        <v>5909</v>
      </c>
      <c r="U26" s="1" t="str">
        <f>HYPERLINK("http://ictvonline.org/taxonomy/p/taxonomy-history?taxnode_id=202111713","ICTVonline=202111713")</f>
        <v>ICTVonline=202111713</v>
      </c>
    </row>
    <row r="27" spans="1:21" x14ac:dyDescent="0.2">
      <c r="A27" s="3">
        <v>26</v>
      </c>
      <c r="B27" s="1" t="s">
        <v>5902</v>
      </c>
      <c r="D27" s="1" t="s">
        <v>5903</v>
      </c>
      <c r="F27" s="1" t="s">
        <v>5904</v>
      </c>
      <c r="H27" s="1" t="s">
        <v>5905</v>
      </c>
      <c r="J27" s="1" t="s">
        <v>2018</v>
      </c>
      <c r="L27" s="1" t="s">
        <v>1197</v>
      </c>
      <c r="N27" s="1" t="s">
        <v>5925</v>
      </c>
      <c r="P27" s="1" t="s">
        <v>5930</v>
      </c>
      <c r="Q27" s="30" t="s">
        <v>2565</v>
      </c>
      <c r="R27" s="33" t="s">
        <v>3472</v>
      </c>
      <c r="S27">
        <v>36</v>
      </c>
      <c r="T27" s="1" t="s">
        <v>5909</v>
      </c>
      <c r="U27" s="1" t="str">
        <f>HYPERLINK("http://ictvonline.org/taxonomy/p/taxonomy-history?taxnode_id=202111714","ICTVonline=202111714")</f>
        <v>ICTVonline=202111714</v>
      </c>
    </row>
    <row r="28" spans="1:21" x14ac:dyDescent="0.2">
      <c r="A28" s="3">
        <v>27</v>
      </c>
      <c r="B28" s="1" t="s">
        <v>5902</v>
      </c>
      <c r="D28" s="1" t="s">
        <v>5903</v>
      </c>
      <c r="F28" s="1" t="s">
        <v>5904</v>
      </c>
      <c r="H28" s="1" t="s">
        <v>5905</v>
      </c>
      <c r="J28" s="1" t="s">
        <v>2018</v>
      </c>
      <c r="L28" s="1" t="s">
        <v>1197</v>
      </c>
      <c r="N28" s="1" t="s">
        <v>5925</v>
      </c>
      <c r="P28" s="1" t="s">
        <v>5931</v>
      </c>
      <c r="Q28" s="30" t="s">
        <v>2565</v>
      </c>
      <c r="R28" s="33" t="s">
        <v>3472</v>
      </c>
      <c r="S28">
        <v>36</v>
      </c>
      <c r="T28" s="1" t="s">
        <v>5909</v>
      </c>
      <c r="U28" s="1" t="str">
        <f>HYPERLINK("http://ictvonline.org/taxonomy/p/taxonomy-history?taxnode_id=202111715","ICTVonline=202111715")</f>
        <v>ICTVonline=202111715</v>
      </c>
    </row>
    <row r="29" spans="1:21" x14ac:dyDescent="0.2">
      <c r="A29" s="3">
        <v>28</v>
      </c>
      <c r="B29" s="1" t="s">
        <v>5902</v>
      </c>
      <c r="D29" s="1" t="s">
        <v>5903</v>
      </c>
      <c r="F29" s="1" t="s">
        <v>5904</v>
      </c>
      <c r="H29" s="1" t="s">
        <v>5905</v>
      </c>
      <c r="J29" s="1" t="s">
        <v>2018</v>
      </c>
      <c r="L29" s="1" t="s">
        <v>8683</v>
      </c>
      <c r="N29" s="1" t="s">
        <v>8684</v>
      </c>
      <c r="P29" s="1" t="s">
        <v>8685</v>
      </c>
      <c r="Q29" s="30" t="s">
        <v>2565</v>
      </c>
      <c r="R29" s="33" t="s">
        <v>3473</v>
      </c>
      <c r="S29">
        <v>37</v>
      </c>
      <c r="T29" s="1" t="s">
        <v>13873</v>
      </c>
      <c r="U29" s="1" t="str">
        <f>HYPERLINK("http://ictvonline.org/taxonomy/p/taxonomy-history?taxnode_id=202101541","ICTVonline=202101541")</f>
        <v>ICTVonline=202101541</v>
      </c>
    </row>
    <row r="30" spans="1:21" x14ac:dyDescent="0.2">
      <c r="A30" s="3">
        <v>29</v>
      </c>
      <c r="B30" s="1" t="s">
        <v>5902</v>
      </c>
      <c r="D30" s="1" t="s">
        <v>5903</v>
      </c>
      <c r="F30" s="1" t="s">
        <v>5904</v>
      </c>
      <c r="H30" s="1" t="s">
        <v>5905</v>
      </c>
      <c r="J30" s="1" t="s">
        <v>5932</v>
      </c>
      <c r="L30" s="1" t="s">
        <v>3138</v>
      </c>
      <c r="N30" s="1" t="s">
        <v>3139</v>
      </c>
      <c r="P30" s="1" t="s">
        <v>5933</v>
      </c>
      <c r="Q30" s="30" t="s">
        <v>2565</v>
      </c>
      <c r="R30" s="33" t="s">
        <v>8662</v>
      </c>
      <c r="S30">
        <v>36</v>
      </c>
      <c r="T30" s="1" t="s">
        <v>8664</v>
      </c>
      <c r="U30" s="1" t="str">
        <f>HYPERLINK("http://ictvonline.org/taxonomy/p/taxonomy-history?taxnode_id=202105323","ICTVonline=202105323")</f>
        <v>ICTVonline=202105323</v>
      </c>
    </row>
    <row r="31" spans="1:21" x14ac:dyDescent="0.2">
      <c r="A31" s="3">
        <v>30</v>
      </c>
      <c r="B31" s="1" t="s">
        <v>5902</v>
      </c>
      <c r="D31" s="1" t="s">
        <v>5903</v>
      </c>
      <c r="F31" s="1" t="s">
        <v>5904</v>
      </c>
      <c r="H31" s="1" t="s">
        <v>5905</v>
      </c>
      <c r="J31" s="1" t="s">
        <v>5932</v>
      </c>
      <c r="L31" s="1" t="s">
        <v>3138</v>
      </c>
      <c r="N31" s="1" t="s">
        <v>3139</v>
      </c>
      <c r="P31" s="1" t="s">
        <v>5935</v>
      </c>
      <c r="Q31" s="30" t="s">
        <v>2565</v>
      </c>
      <c r="R31" s="33" t="s">
        <v>3472</v>
      </c>
      <c r="S31">
        <v>36</v>
      </c>
      <c r="T31" s="1" t="s">
        <v>5934</v>
      </c>
      <c r="U31" s="1" t="str">
        <f>HYPERLINK("http://ictvonline.org/taxonomy/p/taxonomy-history?taxnode_id=202112054","ICTVonline=202112054")</f>
        <v>ICTVonline=202112054</v>
      </c>
    </row>
    <row r="32" spans="1:21" x14ac:dyDescent="0.2">
      <c r="A32" s="3">
        <v>31</v>
      </c>
      <c r="B32" s="1" t="s">
        <v>5902</v>
      </c>
      <c r="D32" s="1" t="s">
        <v>5903</v>
      </c>
      <c r="F32" s="1" t="s">
        <v>5904</v>
      </c>
      <c r="H32" s="1" t="s">
        <v>5905</v>
      </c>
      <c r="J32" s="1" t="s">
        <v>5932</v>
      </c>
      <c r="L32" s="1" t="s">
        <v>3138</v>
      </c>
      <c r="N32" s="1" t="s">
        <v>5936</v>
      </c>
      <c r="P32" s="1" t="s">
        <v>5937</v>
      </c>
      <c r="Q32" s="30" t="s">
        <v>2565</v>
      </c>
      <c r="R32" s="33" t="s">
        <v>3473</v>
      </c>
      <c r="S32">
        <v>36</v>
      </c>
      <c r="T32" s="1" t="s">
        <v>5934</v>
      </c>
      <c r="U32" s="1" t="str">
        <f>HYPERLINK("http://ictvonline.org/taxonomy/p/taxonomy-history?taxnode_id=202105324","ICTVonline=202105324")</f>
        <v>ICTVonline=202105324</v>
      </c>
    </row>
    <row r="33" spans="1:21" x14ac:dyDescent="0.2">
      <c r="A33" s="3">
        <v>32</v>
      </c>
      <c r="B33" s="1" t="s">
        <v>4875</v>
      </c>
      <c r="D33" s="1" t="s">
        <v>4876</v>
      </c>
      <c r="F33" s="1" t="s">
        <v>4877</v>
      </c>
      <c r="H33" s="1" t="s">
        <v>4878</v>
      </c>
      <c r="J33" s="1" t="s">
        <v>847</v>
      </c>
      <c r="L33" s="1" t="s">
        <v>848</v>
      </c>
      <c r="N33" s="1" t="s">
        <v>387</v>
      </c>
      <c r="P33" s="1" t="s">
        <v>388</v>
      </c>
      <c r="Q33" s="30" t="s">
        <v>2565</v>
      </c>
      <c r="R33" s="33" t="s">
        <v>8665</v>
      </c>
      <c r="S33">
        <v>36</v>
      </c>
      <c r="T33" s="1" t="s">
        <v>8661</v>
      </c>
      <c r="U33" s="1" t="str">
        <f>HYPERLINK("http://ictvonline.org/taxonomy/p/taxonomy-history?taxnode_id=202101396","ICTVonline=202101396")</f>
        <v>ICTVonline=202101396</v>
      </c>
    </row>
    <row r="34" spans="1:21" x14ac:dyDescent="0.2">
      <c r="A34" s="3">
        <v>33</v>
      </c>
      <c r="B34" s="1" t="s">
        <v>4875</v>
      </c>
      <c r="D34" s="1" t="s">
        <v>4876</v>
      </c>
      <c r="F34" s="1" t="s">
        <v>4877</v>
      </c>
      <c r="H34" s="1" t="s">
        <v>4878</v>
      </c>
      <c r="J34" s="1" t="s">
        <v>847</v>
      </c>
      <c r="L34" s="1" t="s">
        <v>848</v>
      </c>
      <c r="N34" s="1" t="s">
        <v>387</v>
      </c>
      <c r="P34" s="1" t="s">
        <v>1388</v>
      </c>
      <c r="Q34" s="30" t="s">
        <v>2565</v>
      </c>
      <c r="R34" s="33" t="s">
        <v>3474</v>
      </c>
      <c r="S34">
        <v>35</v>
      </c>
      <c r="T34" s="1" t="s">
        <v>4879</v>
      </c>
      <c r="U34" s="1" t="str">
        <f>HYPERLINK("http://ictvonline.org/taxonomy/p/taxonomy-history?taxnode_id=202101397","ICTVonline=202101397")</f>
        <v>ICTVonline=202101397</v>
      </c>
    </row>
    <row r="35" spans="1:21" x14ac:dyDescent="0.2">
      <c r="A35" s="3">
        <v>34</v>
      </c>
      <c r="B35" s="1" t="s">
        <v>4875</v>
      </c>
      <c r="D35" s="1" t="s">
        <v>4876</v>
      </c>
      <c r="F35" s="1" t="s">
        <v>4877</v>
      </c>
      <c r="H35" s="1" t="s">
        <v>4878</v>
      </c>
      <c r="J35" s="1" t="s">
        <v>847</v>
      </c>
      <c r="L35" s="1" t="s">
        <v>848</v>
      </c>
      <c r="N35" s="1" t="s">
        <v>387</v>
      </c>
      <c r="P35" s="1" t="s">
        <v>3554</v>
      </c>
      <c r="Q35" s="30" t="s">
        <v>2565</v>
      </c>
      <c r="R35" s="33" t="s">
        <v>3474</v>
      </c>
      <c r="S35">
        <v>35</v>
      </c>
      <c r="T35" s="1" t="s">
        <v>4879</v>
      </c>
      <c r="U35" s="1" t="str">
        <f>HYPERLINK("http://ictvonline.org/taxonomy/p/taxonomy-history?taxnode_id=202105570","ICTVonline=202105570")</f>
        <v>ICTVonline=202105570</v>
      </c>
    </row>
    <row r="36" spans="1:21" x14ac:dyDescent="0.2">
      <c r="A36" s="3">
        <v>35</v>
      </c>
      <c r="B36" s="1" t="s">
        <v>4875</v>
      </c>
      <c r="D36" s="1" t="s">
        <v>4876</v>
      </c>
      <c r="F36" s="1" t="s">
        <v>4877</v>
      </c>
      <c r="H36" s="1" t="s">
        <v>4878</v>
      </c>
      <c r="J36" s="1" t="s">
        <v>847</v>
      </c>
      <c r="L36" s="1" t="s">
        <v>848</v>
      </c>
      <c r="N36" s="1" t="s">
        <v>1389</v>
      </c>
      <c r="P36" s="1" t="s">
        <v>538</v>
      </c>
      <c r="Q36" s="30" t="s">
        <v>2565</v>
      </c>
      <c r="R36" s="33" t="s">
        <v>3474</v>
      </c>
      <c r="S36">
        <v>35</v>
      </c>
      <c r="T36" s="1" t="s">
        <v>4879</v>
      </c>
      <c r="U36" s="1" t="str">
        <f>HYPERLINK("http://ictvonline.org/taxonomy/p/taxonomy-history?taxnode_id=202101399","ICTVonline=202101399")</f>
        <v>ICTVonline=202101399</v>
      </c>
    </row>
    <row r="37" spans="1:21" x14ac:dyDescent="0.2">
      <c r="A37" s="3">
        <v>36</v>
      </c>
      <c r="B37" s="1" t="s">
        <v>4875</v>
      </c>
      <c r="D37" s="1" t="s">
        <v>4876</v>
      </c>
      <c r="F37" s="1" t="s">
        <v>4877</v>
      </c>
      <c r="H37" s="1" t="s">
        <v>4878</v>
      </c>
      <c r="J37" s="1" t="s">
        <v>847</v>
      </c>
      <c r="L37" s="1" t="s">
        <v>848</v>
      </c>
      <c r="N37" s="1" t="s">
        <v>1389</v>
      </c>
      <c r="P37" s="1" t="s">
        <v>1390</v>
      </c>
      <c r="Q37" s="30" t="s">
        <v>2565</v>
      </c>
      <c r="R37" s="33" t="s">
        <v>3474</v>
      </c>
      <c r="S37">
        <v>35</v>
      </c>
      <c r="T37" s="1" t="s">
        <v>4879</v>
      </c>
      <c r="U37" s="1" t="str">
        <f>HYPERLINK("http://ictvonline.org/taxonomy/p/taxonomy-history?taxnode_id=202101400","ICTVonline=202101400")</f>
        <v>ICTVonline=202101400</v>
      </c>
    </row>
    <row r="38" spans="1:21" x14ac:dyDescent="0.2">
      <c r="A38" s="3">
        <v>37</v>
      </c>
      <c r="B38" s="1" t="s">
        <v>4875</v>
      </c>
      <c r="D38" s="1" t="s">
        <v>4876</v>
      </c>
      <c r="F38" s="1" t="s">
        <v>4877</v>
      </c>
      <c r="H38" s="1" t="s">
        <v>4878</v>
      </c>
      <c r="J38" s="1" t="s">
        <v>847</v>
      </c>
      <c r="L38" s="1" t="s">
        <v>848</v>
      </c>
      <c r="N38" s="1" t="s">
        <v>1389</v>
      </c>
      <c r="P38" s="1" t="s">
        <v>1391</v>
      </c>
      <c r="Q38" s="30" t="s">
        <v>2565</v>
      </c>
      <c r="R38" s="33" t="s">
        <v>3474</v>
      </c>
      <c r="S38">
        <v>35</v>
      </c>
      <c r="T38" s="1" t="s">
        <v>4879</v>
      </c>
      <c r="U38" s="1" t="str">
        <f>HYPERLINK("http://ictvonline.org/taxonomy/p/taxonomy-history?taxnode_id=202101401","ICTVonline=202101401")</f>
        <v>ICTVonline=202101401</v>
      </c>
    </row>
    <row r="39" spans="1:21" x14ac:dyDescent="0.2">
      <c r="A39" s="3">
        <v>38</v>
      </c>
      <c r="B39" s="1" t="s">
        <v>4875</v>
      </c>
      <c r="D39" s="1" t="s">
        <v>4876</v>
      </c>
      <c r="F39" s="1" t="s">
        <v>4877</v>
      </c>
      <c r="H39" s="1" t="s">
        <v>4878</v>
      </c>
      <c r="J39" s="1" t="s">
        <v>847</v>
      </c>
      <c r="L39" s="1" t="s">
        <v>848</v>
      </c>
      <c r="N39" s="1" t="s">
        <v>1389</v>
      </c>
      <c r="P39" s="1" t="s">
        <v>850</v>
      </c>
      <c r="Q39" s="30" t="s">
        <v>2565</v>
      </c>
      <c r="R39" s="33" t="s">
        <v>8665</v>
      </c>
      <c r="S39">
        <v>36</v>
      </c>
      <c r="T39" s="1" t="s">
        <v>8661</v>
      </c>
      <c r="U39" s="1" t="str">
        <f>HYPERLINK("http://ictvonline.org/taxonomy/p/taxonomy-history?taxnode_id=202101402","ICTVonline=202101402")</f>
        <v>ICTVonline=202101402</v>
      </c>
    </row>
    <row r="40" spans="1:21" x14ac:dyDescent="0.2">
      <c r="A40" s="3">
        <v>39</v>
      </c>
      <c r="B40" s="1" t="s">
        <v>4875</v>
      </c>
      <c r="D40" s="1" t="s">
        <v>4876</v>
      </c>
      <c r="F40" s="1" t="s">
        <v>4877</v>
      </c>
      <c r="H40" s="1" t="s">
        <v>4878</v>
      </c>
      <c r="J40" s="1" t="s">
        <v>847</v>
      </c>
      <c r="L40" s="1" t="s">
        <v>848</v>
      </c>
      <c r="N40" s="1" t="s">
        <v>1246</v>
      </c>
      <c r="P40" s="1" t="s">
        <v>1409</v>
      </c>
      <c r="Q40" s="30" t="s">
        <v>2565</v>
      </c>
      <c r="R40" s="33" t="s">
        <v>3474</v>
      </c>
      <c r="S40">
        <v>35</v>
      </c>
      <c r="T40" s="1" t="s">
        <v>4879</v>
      </c>
      <c r="U40" s="1" t="str">
        <f>HYPERLINK("http://ictvonline.org/taxonomy/p/taxonomy-history?taxnode_id=202101404","ICTVonline=202101404")</f>
        <v>ICTVonline=202101404</v>
      </c>
    </row>
    <row r="41" spans="1:21" x14ac:dyDescent="0.2">
      <c r="A41" s="3">
        <v>40</v>
      </c>
      <c r="B41" s="1" t="s">
        <v>4875</v>
      </c>
      <c r="D41" s="1" t="s">
        <v>4876</v>
      </c>
      <c r="F41" s="1" t="s">
        <v>4877</v>
      </c>
      <c r="H41" s="1" t="s">
        <v>4878</v>
      </c>
      <c r="J41" s="1" t="s">
        <v>847</v>
      </c>
      <c r="L41" s="1" t="s">
        <v>848</v>
      </c>
      <c r="N41" s="1" t="s">
        <v>1246</v>
      </c>
      <c r="P41" s="1" t="s">
        <v>849</v>
      </c>
      <c r="Q41" s="30" t="s">
        <v>2565</v>
      </c>
      <c r="R41" s="33" t="s">
        <v>8665</v>
      </c>
      <c r="S41">
        <v>36</v>
      </c>
      <c r="T41" s="1" t="s">
        <v>8661</v>
      </c>
      <c r="U41" s="1" t="str">
        <f>HYPERLINK("http://ictvonline.org/taxonomy/p/taxonomy-history?taxnode_id=202101405","ICTVonline=202101405")</f>
        <v>ICTVonline=202101405</v>
      </c>
    </row>
    <row r="42" spans="1:21" x14ac:dyDescent="0.2">
      <c r="A42" s="3">
        <v>41</v>
      </c>
      <c r="B42" s="1" t="s">
        <v>4875</v>
      </c>
      <c r="D42" s="1" t="s">
        <v>4876</v>
      </c>
      <c r="F42" s="1" t="s">
        <v>4877</v>
      </c>
      <c r="H42" s="1" t="s">
        <v>4878</v>
      </c>
      <c r="J42" s="1" t="s">
        <v>847</v>
      </c>
      <c r="L42" s="1" t="s">
        <v>848</v>
      </c>
      <c r="N42" s="1" t="s">
        <v>1246</v>
      </c>
      <c r="P42" s="1" t="s">
        <v>1707</v>
      </c>
      <c r="Q42" s="30" t="s">
        <v>2565</v>
      </c>
      <c r="R42" s="33" t="s">
        <v>3474</v>
      </c>
      <c r="S42">
        <v>35</v>
      </c>
      <c r="T42" s="1" t="s">
        <v>4879</v>
      </c>
      <c r="U42" s="1" t="str">
        <f>HYPERLINK("http://ictvonline.org/taxonomy/p/taxonomy-history?taxnode_id=202101406","ICTVonline=202101406")</f>
        <v>ICTVonline=202101406</v>
      </c>
    </row>
    <row r="43" spans="1:21" x14ac:dyDescent="0.2">
      <c r="A43" s="3">
        <v>42</v>
      </c>
      <c r="B43" s="1" t="s">
        <v>4875</v>
      </c>
      <c r="D43" s="1" t="s">
        <v>4876</v>
      </c>
      <c r="F43" s="1" t="s">
        <v>4877</v>
      </c>
      <c r="H43" s="1" t="s">
        <v>4878</v>
      </c>
      <c r="J43" s="1" t="s">
        <v>847</v>
      </c>
      <c r="L43" s="1" t="s">
        <v>848</v>
      </c>
      <c r="N43" s="1" t="s">
        <v>1392</v>
      </c>
      <c r="P43" s="1" t="s">
        <v>1702</v>
      </c>
      <c r="Q43" s="30" t="s">
        <v>2565</v>
      </c>
      <c r="R43" s="33" t="s">
        <v>8665</v>
      </c>
      <c r="S43">
        <v>36</v>
      </c>
      <c r="T43" s="1" t="s">
        <v>8661</v>
      </c>
      <c r="U43" s="1" t="str">
        <f>HYPERLINK("http://ictvonline.org/taxonomy/p/taxonomy-history?taxnode_id=202101408","ICTVonline=202101408")</f>
        <v>ICTVonline=202101408</v>
      </c>
    </row>
    <row r="44" spans="1:21" x14ac:dyDescent="0.2">
      <c r="A44" s="3">
        <v>43</v>
      </c>
      <c r="B44" s="1" t="s">
        <v>4875</v>
      </c>
      <c r="D44" s="1" t="s">
        <v>4876</v>
      </c>
      <c r="F44" s="1" t="s">
        <v>4877</v>
      </c>
      <c r="H44" s="1" t="s">
        <v>4878</v>
      </c>
      <c r="J44" s="1" t="s">
        <v>847</v>
      </c>
      <c r="L44" s="1" t="s">
        <v>848</v>
      </c>
      <c r="N44" s="1" t="s">
        <v>1392</v>
      </c>
      <c r="P44" s="1" t="s">
        <v>1992</v>
      </c>
      <c r="Q44" s="30" t="s">
        <v>2565</v>
      </c>
      <c r="R44" s="33" t="s">
        <v>3474</v>
      </c>
      <c r="S44">
        <v>35</v>
      </c>
      <c r="T44" s="1" t="s">
        <v>4879</v>
      </c>
      <c r="U44" s="1" t="str">
        <f>HYPERLINK("http://ictvonline.org/taxonomy/p/taxonomy-history?taxnode_id=202101409","ICTVonline=202101409")</f>
        <v>ICTVonline=202101409</v>
      </c>
    </row>
    <row r="45" spans="1:21" x14ac:dyDescent="0.2">
      <c r="A45" s="3">
        <v>44</v>
      </c>
      <c r="B45" s="1" t="s">
        <v>4875</v>
      </c>
      <c r="D45" s="1" t="s">
        <v>4876</v>
      </c>
      <c r="F45" s="1" t="s">
        <v>4877</v>
      </c>
      <c r="H45" s="1" t="s">
        <v>4878</v>
      </c>
      <c r="J45" s="1" t="s">
        <v>847</v>
      </c>
      <c r="L45" s="1" t="s">
        <v>848</v>
      </c>
      <c r="N45" s="1" t="s">
        <v>1392</v>
      </c>
      <c r="P45" s="1" t="s">
        <v>1401</v>
      </c>
      <c r="Q45" s="30" t="s">
        <v>2565</v>
      </c>
      <c r="R45" s="33" t="s">
        <v>3474</v>
      </c>
      <c r="S45">
        <v>35</v>
      </c>
      <c r="T45" s="1" t="s">
        <v>4879</v>
      </c>
      <c r="U45" s="1" t="str">
        <f>HYPERLINK("http://ictvonline.org/taxonomy/p/taxonomy-history?taxnode_id=202101410","ICTVonline=202101410")</f>
        <v>ICTVonline=202101410</v>
      </c>
    </row>
    <row r="46" spans="1:21" x14ac:dyDescent="0.2">
      <c r="A46" s="3">
        <v>45</v>
      </c>
      <c r="B46" s="1" t="s">
        <v>4875</v>
      </c>
      <c r="D46" s="1" t="s">
        <v>4876</v>
      </c>
      <c r="F46" s="1" t="s">
        <v>4877</v>
      </c>
      <c r="H46" s="1" t="s">
        <v>4878</v>
      </c>
      <c r="J46" s="1" t="s">
        <v>847</v>
      </c>
      <c r="L46" s="1" t="s">
        <v>851</v>
      </c>
      <c r="M46" s="1" t="s">
        <v>852</v>
      </c>
      <c r="N46" s="1" t="s">
        <v>853</v>
      </c>
      <c r="P46" s="1" t="s">
        <v>2659</v>
      </c>
      <c r="Q46" s="30" t="s">
        <v>2565</v>
      </c>
      <c r="R46" s="33" t="s">
        <v>8665</v>
      </c>
      <c r="S46">
        <v>36</v>
      </c>
      <c r="T46" s="1" t="s">
        <v>8661</v>
      </c>
      <c r="U46" s="1" t="str">
        <f>HYPERLINK("http://ictvonline.org/taxonomy/p/taxonomy-history?taxnode_id=202101414","ICTVonline=202101414")</f>
        <v>ICTVonline=202101414</v>
      </c>
    </row>
    <row r="47" spans="1:21" x14ac:dyDescent="0.2">
      <c r="A47" s="3">
        <v>46</v>
      </c>
      <c r="B47" s="1" t="s">
        <v>4875</v>
      </c>
      <c r="D47" s="1" t="s">
        <v>4876</v>
      </c>
      <c r="F47" s="1" t="s">
        <v>4877</v>
      </c>
      <c r="H47" s="1" t="s">
        <v>4878</v>
      </c>
      <c r="J47" s="1" t="s">
        <v>847</v>
      </c>
      <c r="L47" s="1" t="s">
        <v>851</v>
      </c>
      <c r="M47" s="1" t="s">
        <v>852</v>
      </c>
      <c r="N47" s="1" t="s">
        <v>853</v>
      </c>
      <c r="P47" s="1" t="s">
        <v>2660</v>
      </c>
      <c r="Q47" s="30" t="s">
        <v>2565</v>
      </c>
      <c r="R47" s="33" t="s">
        <v>3474</v>
      </c>
      <c r="S47">
        <v>35</v>
      </c>
      <c r="T47" s="1" t="s">
        <v>4879</v>
      </c>
      <c r="U47" s="1" t="str">
        <f>HYPERLINK("http://ictvonline.org/taxonomy/p/taxonomy-history?taxnode_id=202101415","ICTVonline=202101415")</f>
        <v>ICTVonline=202101415</v>
      </c>
    </row>
    <row r="48" spans="1:21" x14ac:dyDescent="0.2">
      <c r="A48" s="3">
        <v>47</v>
      </c>
      <c r="B48" s="1" t="s">
        <v>4875</v>
      </c>
      <c r="D48" s="1" t="s">
        <v>4876</v>
      </c>
      <c r="F48" s="1" t="s">
        <v>4877</v>
      </c>
      <c r="H48" s="1" t="s">
        <v>4878</v>
      </c>
      <c r="J48" s="1" t="s">
        <v>847</v>
      </c>
      <c r="L48" s="1" t="s">
        <v>851</v>
      </c>
      <c r="M48" s="1" t="s">
        <v>852</v>
      </c>
      <c r="N48" s="1" t="s">
        <v>1276</v>
      </c>
      <c r="P48" s="1" t="s">
        <v>2661</v>
      </c>
      <c r="Q48" s="30" t="s">
        <v>2565</v>
      </c>
      <c r="R48" s="33" t="s">
        <v>3474</v>
      </c>
      <c r="S48">
        <v>35</v>
      </c>
      <c r="T48" s="1" t="s">
        <v>4879</v>
      </c>
      <c r="U48" s="1" t="str">
        <f>HYPERLINK("http://ictvonline.org/taxonomy/p/taxonomy-history?taxnode_id=202101417","ICTVonline=202101417")</f>
        <v>ICTVonline=202101417</v>
      </c>
    </row>
    <row r="49" spans="1:21" x14ac:dyDescent="0.2">
      <c r="A49" s="3">
        <v>48</v>
      </c>
      <c r="B49" s="1" t="s">
        <v>4875</v>
      </c>
      <c r="D49" s="1" t="s">
        <v>4876</v>
      </c>
      <c r="F49" s="1" t="s">
        <v>4877</v>
      </c>
      <c r="H49" s="1" t="s">
        <v>4878</v>
      </c>
      <c r="J49" s="1" t="s">
        <v>847</v>
      </c>
      <c r="L49" s="1" t="s">
        <v>851</v>
      </c>
      <c r="M49" s="1" t="s">
        <v>852</v>
      </c>
      <c r="N49" s="1" t="s">
        <v>1276</v>
      </c>
      <c r="P49" s="1" t="s">
        <v>2662</v>
      </c>
      <c r="Q49" s="30" t="s">
        <v>2565</v>
      </c>
      <c r="R49" s="33" t="s">
        <v>3474</v>
      </c>
      <c r="S49">
        <v>35</v>
      </c>
      <c r="T49" s="1" t="s">
        <v>4879</v>
      </c>
      <c r="U49" s="1" t="str">
        <f>HYPERLINK("http://ictvonline.org/taxonomy/p/taxonomy-history?taxnode_id=202101418","ICTVonline=202101418")</f>
        <v>ICTVonline=202101418</v>
      </c>
    </row>
    <row r="50" spans="1:21" x14ac:dyDescent="0.2">
      <c r="A50" s="3">
        <v>49</v>
      </c>
      <c r="B50" s="1" t="s">
        <v>4875</v>
      </c>
      <c r="D50" s="1" t="s">
        <v>4876</v>
      </c>
      <c r="F50" s="1" t="s">
        <v>4877</v>
      </c>
      <c r="H50" s="1" t="s">
        <v>4878</v>
      </c>
      <c r="J50" s="1" t="s">
        <v>847</v>
      </c>
      <c r="L50" s="1" t="s">
        <v>851</v>
      </c>
      <c r="M50" s="1" t="s">
        <v>852</v>
      </c>
      <c r="N50" s="1" t="s">
        <v>1276</v>
      </c>
      <c r="P50" s="1" t="s">
        <v>2663</v>
      </c>
      <c r="Q50" s="30" t="s">
        <v>2565</v>
      </c>
      <c r="R50" s="33" t="s">
        <v>8665</v>
      </c>
      <c r="S50">
        <v>36</v>
      </c>
      <c r="T50" s="1" t="s">
        <v>8661</v>
      </c>
      <c r="U50" s="1" t="str">
        <f>HYPERLINK("http://ictvonline.org/taxonomy/p/taxonomy-history?taxnode_id=202101419","ICTVonline=202101419")</f>
        <v>ICTVonline=202101419</v>
      </c>
    </row>
    <row r="51" spans="1:21" x14ac:dyDescent="0.2">
      <c r="A51" s="3">
        <v>50</v>
      </c>
      <c r="B51" s="1" t="s">
        <v>4875</v>
      </c>
      <c r="D51" s="1" t="s">
        <v>4876</v>
      </c>
      <c r="F51" s="1" t="s">
        <v>4877</v>
      </c>
      <c r="H51" s="1" t="s">
        <v>4878</v>
      </c>
      <c r="J51" s="1" t="s">
        <v>847</v>
      </c>
      <c r="L51" s="1" t="s">
        <v>851</v>
      </c>
      <c r="M51" s="1" t="s">
        <v>852</v>
      </c>
      <c r="N51" s="1" t="s">
        <v>1276</v>
      </c>
      <c r="P51" s="1" t="s">
        <v>2664</v>
      </c>
      <c r="Q51" s="30" t="s">
        <v>2565</v>
      </c>
      <c r="R51" s="33" t="s">
        <v>3474</v>
      </c>
      <c r="S51">
        <v>35</v>
      </c>
      <c r="T51" s="1" t="s">
        <v>4879</v>
      </c>
      <c r="U51" s="1" t="str">
        <f>HYPERLINK("http://ictvonline.org/taxonomy/p/taxonomy-history?taxnode_id=202101420","ICTVonline=202101420")</f>
        <v>ICTVonline=202101420</v>
      </c>
    </row>
    <row r="52" spans="1:21" x14ac:dyDescent="0.2">
      <c r="A52" s="3">
        <v>51</v>
      </c>
      <c r="B52" s="1" t="s">
        <v>4875</v>
      </c>
      <c r="D52" s="1" t="s">
        <v>4876</v>
      </c>
      <c r="F52" s="1" t="s">
        <v>4877</v>
      </c>
      <c r="H52" s="1" t="s">
        <v>4878</v>
      </c>
      <c r="J52" s="1" t="s">
        <v>847</v>
      </c>
      <c r="L52" s="1" t="s">
        <v>851</v>
      </c>
      <c r="M52" s="1" t="s">
        <v>852</v>
      </c>
      <c r="N52" s="1" t="s">
        <v>1276</v>
      </c>
      <c r="P52" s="1" t="s">
        <v>2665</v>
      </c>
      <c r="Q52" s="30" t="s">
        <v>2565</v>
      </c>
      <c r="R52" s="33" t="s">
        <v>3474</v>
      </c>
      <c r="S52">
        <v>35</v>
      </c>
      <c r="T52" s="1" t="s">
        <v>4879</v>
      </c>
      <c r="U52" s="1" t="str">
        <f>HYPERLINK("http://ictvonline.org/taxonomy/p/taxonomy-history?taxnode_id=202101421","ICTVonline=202101421")</f>
        <v>ICTVonline=202101421</v>
      </c>
    </row>
    <row r="53" spans="1:21" x14ac:dyDescent="0.2">
      <c r="A53" s="3">
        <v>52</v>
      </c>
      <c r="B53" s="1" t="s">
        <v>4875</v>
      </c>
      <c r="D53" s="1" t="s">
        <v>4876</v>
      </c>
      <c r="F53" s="1" t="s">
        <v>4877</v>
      </c>
      <c r="H53" s="1" t="s">
        <v>4878</v>
      </c>
      <c r="J53" s="1" t="s">
        <v>847</v>
      </c>
      <c r="L53" s="1" t="s">
        <v>851</v>
      </c>
      <c r="M53" s="1" t="s">
        <v>852</v>
      </c>
      <c r="N53" s="1" t="s">
        <v>1276</v>
      </c>
      <c r="P53" s="1" t="s">
        <v>4763</v>
      </c>
      <c r="Q53" s="30" t="s">
        <v>2565</v>
      </c>
      <c r="R53" s="33" t="s">
        <v>3474</v>
      </c>
      <c r="S53">
        <v>35</v>
      </c>
      <c r="T53" s="1" t="s">
        <v>4879</v>
      </c>
      <c r="U53" s="1" t="str">
        <f>HYPERLINK("http://ictvonline.org/taxonomy/p/taxonomy-history?taxnode_id=202106397","ICTVonline=202106397")</f>
        <v>ICTVonline=202106397</v>
      </c>
    </row>
    <row r="54" spans="1:21" x14ac:dyDescent="0.2">
      <c r="A54" s="3">
        <v>53</v>
      </c>
      <c r="B54" s="1" t="s">
        <v>4875</v>
      </c>
      <c r="D54" s="1" t="s">
        <v>4876</v>
      </c>
      <c r="F54" s="1" t="s">
        <v>4877</v>
      </c>
      <c r="H54" s="1" t="s">
        <v>4878</v>
      </c>
      <c r="J54" s="1" t="s">
        <v>847</v>
      </c>
      <c r="L54" s="1" t="s">
        <v>851</v>
      </c>
      <c r="M54" s="1" t="s">
        <v>852</v>
      </c>
      <c r="N54" s="1" t="s">
        <v>1241</v>
      </c>
      <c r="P54" s="1" t="s">
        <v>2666</v>
      </c>
      <c r="Q54" s="30" t="s">
        <v>2565</v>
      </c>
      <c r="R54" s="33" t="s">
        <v>8665</v>
      </c>
      <c r="S54">
        <v>36</v>
      </c>
      <c r="T54" s="1" t="s">
        <v>8661</v>
      </c>
      <c r="U54" s="1" t="str">
        <f>HYPERLINK("http://ictvonline.org/taxonomy/p/taxonomy-history?taxnode_id=202101423","ICTVonline=202101423")</f>
        <v>ICTVonline=202101423</v>
      </c>
    </row>
    <row r="55" spans="1:21" x14ac:dyDescent="0.2">
      <c r="A55" s="3">
        <v>54</v>
      </c>
      <c r="B55" s="1" t="s">
        <v>4875</v>
      </c>
      <c r="D55" s="1" t="s">
        <v>4876</v>
      </c>
      <c r="F55" s="1" t="s">
        <v>4877</v>
      </c>
      <c r="H55" s="1" t="s">
        <v>4878</v>
      </c>
      <c r="J55" s="1" t="s">
        <v>847</v>
      </c>
      <c r="L55" s="1" t="s">
        <v>851</v>
      </c>
      <c r="M55" s="1" t="s">
        <v>852</v>
      </c>
      <c r="N55" s="1" t="s">
        <v>1241</v>
      </c>
      <c r="P55" s="1" t="s">
        <v>4764</v>
      </c>
      <c r="Q55" s="30" t="s">
        <v>2565</v>
      </c>
      <c r="R55" s="33" t="s">
        <v>3474</v>
      </c>
      <c r="S55">
        <v>35</v>
      </c>
      <c r="T55" s="1" t="s">
        <v>4879</v>
      </c>
      <c r="U55" s="1" t="str">
        <f>HYPERLINK("http://ictvonline.org/taxonomy/p/taxonomy-history?taxnode_id=202106398","ICTVonline=202106398")</f>
        <v>ICTVonline=202106398</v>
      </c>
    </row>
    <row r="56" spans="1:21" x14ac:dyDescent="0.2">
      <c r="A56" s="3">
        <v>55</v>
      </c>
      <c r="B56" s="1" t="s">
        <v>4875</v>
      </c>
      <c r="D56" s="1" t="s">
        <v>4876</v>
      </c>
      <c r="F56" s="1" t="s">
        <v>4877</v>
      </c>
      <c r="H56" s="1" t="s">
        <v>4878</v>
      </c>
      <c r="J56" s="1" t="s">
        <v>847</v>
      </c>
      <c r="L56" s="1" t="s">
        <v>851</v>
      </c>
      <c r="M56" s="1" t="s">
        <v>852</v>
      </c>
      <c r="N56" s="1" t="s">
        <v>1195</v>
      </c>
      <c r="P56" s="1" t="s">
        <v>2667</v>
      </c>
      <c r="Q56" s="30" t="s">
        <v>2565</v>
      </c>
      <c r="R56" s="33" t="s">
        <v>3474</v>
      </c>
      <c r="S56">
        <v>35</v>
      </c>
      <c r="T56" s="1" t="s">
        <v>4879</v>
      </c>
      <c r="U56" s="1" t="str">
        <f>HYPERLINK("http://ictvonline.org/taxonomy/p/taxonomy-history?taxnode_id=202101425","ICTVonline=202101425")</f>
        <v>ICTVonline=202101425</v>
      </c>
    </row>
    <row r="57" spans="1:21" x14ac:dyDescent="0.2">
      <c r="A57" s="3">
        <v>56</v>
      </c>
      <c r="B57" s="1" t="s">
        <v>4875</v>
      </c>
      <c r="D57" s="1" t="s">
        <v>4876</v>
      </c>
      <c r="F57" s="1" t="s">
        <v>4877</v>
      </c>
      <c r="H57" s="1" t="s">
        <v>4878</v>
      </c>
      <c r="J57" s="1" t="s">
        <v>847</v>
      </c>
      <c r="L57" s="1" t="s">
        <v>851</v>
      </c>
      <c r="M57" s="1" t="s">
        <v>852</v>
      </c>
      <c r="N57" s="1" t="s">
        <v>1195</v>
      </c>
      <c r="P57" s="1" t="s">
        <v>2668</v>
      </c>
      <c r="Q57" s="30" t="s">
        <v>2565</v>
      </c>
      <c r="R57" s="33" t="s">
        <v>3474</v>
      </c>
      <c r="S57">
        <v>35</v>
      </c>
      <c r="T57" s="1" t="s">
        <v>4879</v>
      </c>
      <c r="U57" s="1" t="str">
        <f>HYPERLINK("http://ictvonline.org/taxonomy/p/taxonomy-history?taxnode_id=202101426","ICTVonline=202101426")</f>
        <v>ICTVonline=202101426</v>
      </c>
    </row>
    <row r="58" spans="1:21" x14ac:dyDescent="0.2">
      <c r="A58" s="3">
        <v>57</v>
      </c>
      <c r="B58" s="1" t="s">
        <v>4875</v>
      </c>
      <c r="D58" s="1" t="s">
        <v>4876</v>
      </c>
      <c r="F58" s="1" t="s">
        <v>4877</v>
      </c>
      <c r="H58" s="1" t="s">
        <v>4878</v>
      </c>
      <c r="J58" s="1" t="s">
        <v>847</v>
      </c>
      <c r="L58" s="1" t="s">
        <v>851</v>
      </c>
      <c r="M58" s="1" t="s">
        <v>852</v>
      </c>
      <c r="N58" s="1" t="s">
        <v>1195</v>
      </c>
      <c r="P58" s="1" t="s">
        <v>2669</v>
      </c>
      <c r="Q58" s="30" t="s">
        <v>2565</v>
      </c>
      <c r="R58" s="33" t="s">
        <v>3474</v>
      </c>
      <c r="S58">
        <v>35</v>
      </c>
      <c r="T58" s="1" t="s">
        <v>4879</v>
      </c>
      <c r="U58" s="1" t="str">
        <f>HYPERLINK("http://ictvonline.org/taxonomy/p/taxonomy-history?taxnode_id=202101427","ICTVonline=202101427")</f>
        <v>ICTVonline=202101427</v>
      </c>
    </row>
    <row r="59" spans="1:21" x14ac:dyDescent="0.2">
      <c r="A59" s="3">
        <v>58</v>
      </c>
      <c r="B59" s="1" t="s">
        <v>4875</v>
      </c>
      <c r="D59" s="1" t="s">
        <v>4876</v>
      </c>
      <c r="F59" s="1" t="s">
        <v>4877</v>
      </c>
      <c r="H59" s="1" t="s">
        <v>4878</v>
      </c>
      <c r="J59" s="1" t="s">
        <v>847</v>
      </c>
      <c r="L59" s="1" t="s">
        <v>851</v>
      </c>
      <c r="M59" s="1" t="s">
        <v>852</v>
      </c>
      <c r="N59" s="1" t="s">
        <v>1195</v>
      </c>
      <c r="P59" s="1" t="s">
        <v>2670</v>
      </c>
      <c r="Q59" s="30" t="s">
        <v>2565</v>
      </c>
      <c r="R59" s="33" t="s">
        <v>8665</v>
      </c>
      <c r="S59">
        <v>36</v>
      </c>
      <c r="T59" s="1" t="s">
        <v>8661</v>
      </c>
      <c r="U59" s="1" t="str">
        <f>HYPERLINK("http://ictvonline.org/taxonomy/p/taxonomy-history?taxnode_id=202101428","ICTVonline=202101428")</f>
        <v>ICTVonline=202101428</v>
      </c>
    </row>
    <row r="60" spans="1:21" x14ac:dyDescent="0.2">
      <c r="A60" s="3">
        <v>59</v>
      </c>
      <c r="B60" s="1" t="s">
        <v>4875</v>
      </c>
      <c r="D60" s="1" t="s">
        <v>4876</v>
      </c>
      <c r="F60" s="1" t="s">
        <v>4877</v>
      </c>
      <c r="H60" s="1" t="s">
        <v>4878</v>
      </c>
      <c r="J60" s="1" t="s">
        <v>847</v>
      </c>
      <c r="L60" s="1" t="s">
        <v>851</v>
      </c>
      <c r="M60" s="1" t="s">
        <v>852</v>
      </c>
      <c r="N60" s="1" t="s">
        <v>1195</v>
      </c>
      <c r="P60" s="1" t="s">
        <v>2671</v>
      </c>
      <c r="Q60" s="30" t="s">
        <v>2565</v>
      </c>
      <c r="R60" s="33" t="s">
        <v>3474</v>
      </c>
      <c r="S60">
        <v>35</v>
      </c>
      <c r="T60" s="1" t="s">
        <v>4879</v>
      </c>
      <c r="U60" s="1" t="str">
        <f>HYPERLINK("http://ictvonline.org/taxonomy/p/taxonomy-history?taxnode_id=202101429","ICTVonline=202101429")</f>
        <v>ICTVonline=202101429</v>
      </c>
    </row>
    <row r="61" spans="1:21" x14ac:dyDescent="0.2">
      <c r="A61" s="3">
        <v>60</v>
      </c>
      <c r="B61" s="1" t="s">
        <v>4875</v>
      </c>
      <c r="D61" s="1" t="s">
        <v>4876</v>
      </c>
      <c r="F61" s="1" t="s">
        <v>4877</v>
      </c>
      <c r="H61" s="1" t="s">
        <v>4878</v>
      </c>
      <c r="J61" s="1" t="s">
        <v>847</v>
      </c>
      <c r="L61" s="1" t="s">
        <v>851</v>
      </c>
      <c r="M61" s="1" t="s">
        <v>852</v>
      </c>
      <c r="N61" s="1" t="s">
        <v>1195</v>
      </c>
      <c r="P61" s="1" t="s">
        <v>2672</v>
      </c>
      <c r="Q61" s="30" t="s">
        <v>2565</v>
      </c>
      <c r="R61" s="33" t="s">
        <v>3474</v>
      </c>
      <c r="S61">
        <v>35</v>
      </c>
      <c r="T61" s="1" t="s">
        <v>4879</v>
      </c>
      <c r="U61" s="1" t="str">
        <f>HYPERLINK("http://ictvonline.org/taxonomy/p/taxonomy-history?taxnode_id=202101430","ICTVonline=202101430")</f>
        <v>ICTVonline=202101430</v>
      </c>
    </row>
    <row r="62" spans="1:21" x14ac:dyDescent="0.2">
      <c r="A62" s="3">
        <v>61</v>
      </c>
      <c r="B62" s="1" t="s">
        <v>4875</v>
      </c>
      <c r="D62" s="1" t="s">
        <v>4876</v>
      </c>
      <c r="F62" s="1" t="s">
        <v>4877</v>
      </c>
      <c r="H62" s="1" t="s">
        <v>4878</v>
      </c>
      <c r="J62" s="1" t="s">
        <v>847</v>
      </c>
      <c r="L62" s="1" t="s">
        <v>851</v>
      </c>
      <c r="M62" s="1" t="s">
        <v>852</v>
      </c>
      <c r="N62" s="1" t="s">
        <v>1195</v>
      </c>
      <c r="P62" s="1" t="s">
        <v>2673</v>
      </c>
      <c r="Q62" s="30" t="s">
        <v>2565</v>
      </c>
      <c r="R62" s="33" t="s">
        <v>3474</v>
      </c>
      <c r="S62">
        <v>35</v>
      </c>
      <c r="T62" s="1" t="s">
        <v>4879</v>
      </c>
      <c r="U62" s="1" t="str">
        <f>HYPERLINK("http://ictvonline.org/taxonomy/p/taxonomy-history?taxnode_id=202101431","ICTVonline=202101431")</f>
        <v>ICTVonline=202101431</v>
      </c>
    </row>
    <row r="63" spans="1:21" x14ac:dyDescent="0.2">
      <c r="A63" s="3">
        <v>62</v>
      </c>
      <c r="B63" s="1" t="s">
        <v>4875</v>
      </c>
      <c r="D63" s="1" t="s">
        <v>4876</v>
      </c>
      <c r="F63" s="1" t="s">
        <v>4877</v>
      </c>
      <c r="H63" s="1" t="s">
        <v>4878</v>
      </c>
      <c r="J63" s="1" t="s">
        <v>847</v>
      </c>
      <c r="L63" s="1" t="s">
        <v>851</v>
      </c>
      <c r="M63" s="1" t="s">
        <v>852</v>
      </c>
      <c r="N63" s="1" t="s">
        <v>1195</v>
      </c>
      <c r="P63" s="1" t="s">
        <v>5938</v>
      </c>
      <c r="Q63" s="30" t="s">
        <v>2565</v>
      </c>
      <c r="R63" s="33" t="s">
        <v>3472</v>
      </c>
      <c r="S63">
        <v>36</v>
      </c>
      <c r="T63" s="1" t="s">
        <v>5939</v>
      </c>
      <c r="U63" s="1" t="str">
        <f>HYPERLINK("http://ictvonline.org/taxonomy/p/taxonomy-history?taxnode_id=202108779","ICTVonline=202108779")</f>
        <v>ICTVonline=202108779</v>
      </c>
    </row>
    <row r="64" spans="1:21" x14ac:dyDescent="0.2">
      <c r="A64" s="3">
        <v>63</v>
      </c>
      <c r="B64" s="1" t="s">
        <v>4875</v>
      </c>
      <c r="D64" s="1" t="s">
        <v>4876</v>
      </c>
      <c r="F64" s="1" t="s">
        <v>4877</v>
      </c>
      <c r="H64" s="1" t="s">
        <v>4878</v>
      </c>
      <c r="J64" s="1" t="s">
        <v>847</v>
      </c>
      <c r="L64" s="1" t="s">
        <v>851</v>
      </c>
      <c r="M64" s="1" t="s">
        <v>852</v>
      </c>
      <c r="N64" s="1" t="s">
        <v>1195</v>
      </c>
      <c r="P64" s="1" t="s">
        <v>5940</v>
      </c>
      <c r="Q64" s="30" t="s">
        <v>2565</v>
      </c>
      <c r="R64" s="33" t="s">
        <v>3472</v>
      </c>
      <c r="S64">
        <v>36</v>
      </c>
      <c r="T64" s="1" t="s">
        <v>5939</v>
      </c>
      <c r="U64" s="1" t="str">
        <f>HYPERLINK("http://ictvonline.org/taxonomy/p/taxonomy-history?taxnode_id=202108780","ICTVonline=202108780")</f>
        <v>ICTVonline=202108780</v>
      </c>
    </row>
    <row r="65" spans="1:21" x14ac:dyDescent="0.2">
      <c r="A65" s="3">
        <v>64</v>
      </c>
      <c r="B65" s="1" t="s">
        <v>4875</v>
      </c>
      <c r="D65" s="1" t="s">
        <v>4876</v>
      </c>
      <c r="F65" s="1" t="s">
        <v>4877</v>
      </c>
      <c r="H65" s="1" t="s">
        <v>4878</v>
      </c>
      <c r="J65" s="1" t="s">
        <v>847</v>
      </c>
      <c r="L65" s="1" t="s">
        <v>851</v>
      </c>
      <c r="M65" s="1" t="s">
        <v>852</v>
      </c>
      <c r="N65" s="1" t="s">
        <v>1195</v>
      </c>
      <c r="P65" s="1" t="s">
        <v>2674</v>
      </c>
      <c r="Q65" s="30" t="s">
        <v>2565</v>
      </c>
      <c r="R65" s="33" t="s">
        <v>3474</v>
      </c>
      <c r="S65">
        <v>35</v>
      </c>
      <c r="T65" s="1" t="s">
        <v>4879</v>
      </c>
      <c r="U65" s="1" t="str">
        <f>HYPERLINK("http://ictvonline.org/taxonomy/p/taxonomy-history?taxnode_id=202101432","ICTVonline=202101432")</f>
        <v>ICTVonline=202101432</v>
      </c>
    </row>
    <row r="66" spans="1:21" x14ac:dyDescent="0.2">
      <c r="A66" s="3">
        <v>65</v>
      </c>
      <c r="B66" s="1" t="s">
        <v>4875</v>
      </c>
      <c r="D66" s="1" t="s">
        <v>4876</v>
      </c>
      <c r="F66" s="1" t="s">
        <v>4877</v>
      </c>
      <c r="H66" s="1" t="s">
        <v>4878</v>
      </c>
      <c r="J66" s="1" t="s">
        <v>847</v>
      </c>
      <c r="L66" s="1" t="s">
        <v>851</v>
      </c>
      <c r="M66" s="1" t="s">
        <v>852</v>
      </c>
      <c r="N66" s="1" t="s">
        <v>1195</v>
      </c>
      <c r="P66" s="1" t="s">
        <v>2675</v>
      </c>
      <c r="Q66" s="30" t="s">
        <v>2565</v>
      </c>
      <c r="R66" s="33" t="s">
        <v>3474</v>
      </c>
      <c r="S66">
        <v>35</v>
      </c>
      <c r="T66" s="1" t="s">
        <v>4879</v>
      </c>
      <c r="U66" s="1" t="str">
        <f>HYPERLINK("http://ictvonline.org/taxonomy/p/taxonomy-history?taxnode_id=202101433","ICTVonline=202101433")</f>
        <v>ICTVonline=202101433</v>
      </c>
    </row>
    <row r="67" spans="1:21" x14ac:dyDescent="0.2">
      <c r="A67" s="3">
        <v>66</v>
      </c>
      <c r="B67" s="1" t="s">
        <v>4875</v>
      </c>
      <c r="D67" s="1" t="s">
        <v>4876</v>
      </c>
      <c r="F67" s="1" t="s">
        <v>4877</v>
      </c>
      <c r="H67" s="1" t="s">
        <v>4878</v>
      </c>
      <c r="J67" s="1" t="s">
        <v>847</v>
      </c>
      <c r="L67" s="1" t="s">
        <v>851</v>
      </c>
      <c r="M67" s="1" t="s">
        <v>852</v>
      </c>
      <c r="N67" s="1" t="s">
        <v>1195</v>
      </c>
      <c r="P67" s="1" t="s">
        <v>2676</v>
      </c>
      <c r="Q67" s="30" t="s">
        <v>2565</v>
      </c>
      <c r="R67" s="33" t="s">
        <v>3474</v>
      </c>
      <c r="S67">
        <v>35</v>
      </c>
      <c r="T67" s="1" t="s">
        <v>4879</v>
      </c>
      <c r="U67" s="1" t="str">
        <f>HYPERLINK("http://ictvonline.org/taxonomy/p/taxonomy-history?taxnode_id=202101434","ICTVonline=202101434")</f>
        <v>ICTVonline=202101434</v>
      </c>
    </row>
    <row r="68" spans="1:21" x14ac:dyDescent="0.2">
      <c r="A68" s="3">
        <v>67</v>
      </c>
      <c r="B68" s="1" t="s">
        <v>4875</v>
      </c>
      <c r="D68" s="1" t="s">
        <v>4876</v>
      </c>
      <c r="F68" s="1" t="s">
        <v>4877</v>
      </c>
      <c r="H68" s="1" t="s">
        <v>4878</v>
      </c>
      <c r="J68" s="1" t="s">
        <v>847</v>
      </c>
      <c r="L68" s="1" t="s">
        <v>851</v>
      </c>
      <c r="M68" s="1" t="s">
        <v>852</v>
      </c>
      <c r="N68" s="1" t="s">
        <v>1195</v>
      </c>
      <c r="P68" s="1" t="s">
        <v>2677</v>
      </c>
      <c r="Q68" s="30" t="s">
        <v>2565</v>
      </c>
      <c r="R68" s="33" t="s">
        <v>3474</v>
      </c>
      <c r="S68">
        <v>35</v>
      </c>
      <c r="T68" s="1" t="s">
        <v>4879</v>
      </c>
      <c r="U68" s="1" t="str">
        <f>HYPERLINK("http://ictvonline.org/taxonomy/p/taxonomy-history?taxnode_id=202101435","ICTVonline=202101435")</f>
        <v>ICTVonline=202101435</v>
      </c>
    </row>
    <row r="69" spans="1:21" x14ac:dyDescent="0.2">
      <c r="A69" s="3">
        <v>68</v>
      </c>
      <c r="B69" s="1" t="s">
        <v>4875</v>
      </c>
      <c r="D69" s="1" t="s">
        <v>4876</v>
      </c>
      <c r="F69" s="1" t="s">
        <v>4877</v>
      </c>
      <c r="H69" s="1" t="s">
        <v>4878</v>
      </c>
      <c r="J69" s="1" t="s">
        <v>847</v>
      </c>
      <c r="L69" s="1" t="s">
        <v>851</v>
      </c>
      <c r="M69" s="1" t="s">
        <v>852</v>
      </c>
      <c r="N69" s="1" t="s">
        <v>1195</v>
      </c>
      <c r="P69" s="1" t="s">
        <v>4765</v>
      </c>
      <c r="Q69" s="30" t="s">
        <v>2565</v>
      </c>
      <c r="R69" s="33" t="s">
        <v>3474</v>
      </c>
      <c r="S69">
        <v>35</v>
      </c>
      <c r="T69" s="1" t="s">
        <v>4879</v>
      </c>
      <c r="U69" s="1" t="str">
        <f>HYPERLINK("http://ictvonline.org/taxonomy/p/taxonomy-history?taxnode_id=202106395","ICTVonline=202106395")</f>
        <v>ICTVonline=202106395</v>
      </c>
    </row>
    <row r="70" spans="1:21" x14ac:dyDescent="0.2">
      <c r="A70" s="3">
        <v>69</v>
      </c>
      <c r="B70" s="1" t="s">
        <v>4875</v>
      </c>
      <c r="D70" s="1" t="s">
        <v>4876</v>
      </c>
      <c r="F70" s="1" t="s">
        <v>4877</v>
      </c>
      <c r="H70" s="1" t="s">
        <v>4878</v>
      </c>
      <c r="J70" s="1" t="s">
        <v>847</v>
      </c>
      <c r="L70" s="1" t="s">
        <v>851</v>
      </c>
      <c r="M70" s="1" t="s">
        <v>852</v>
      </c>
      <c r="N70" s="1" t="s">
        <v>1195</v>
      </c>
      <c r="P70" s="1" t="s">
        <v>2678</v>
      </c>
      <c r="Q70" s="30" t="s">
        <v>2565</v>
      </c>
      <c r="R70" s="33" t="s">
        <v>3474</v>
      </c>
      <c r="S70">
        <v>35</v>
      </c>
      <c r="T70" s="1" t="s">
        <v>4879</v>
      </c>
      <c r="U70" s="1" t="str">
        <f>HYPERLINK("http://ictvonline.org/taxonomy/p/taxonomy-history?taxnode_id=202101436","ICTVonline=202101436")</f>
        <v>ICTVonline=202101436</v>
      </c>
    </row>
    <row r="71" spans="1:21" x14ac:dyDescent="0.2">
      <c r="A71" s="3">
        <v>70</v>
      </c>
      <c r="B71" s="1" t="s">
        <v>4875</v>
      </c>
      <c r="D71" s="1" t="s">
        <v>4876</v>
      </c>
      <c r="F71" s="1" t="s">
        <v>4877</v>
      </c>
      <c r="H71" s="1" t="s">
        <v>4878</v>
      </c>
      <c r="J71" s="1" t="s">
        <v>847</v>
      </c>
      <c r="L71" s="1" t="s">
        <v>851</v>
      </c>
      <c r="M71" s="1" t="s">
        <v>852</v>
      </c>
      <c r="N71" s="1" t="s">
        <v>1196</v>
      </c>
      <c r="P71" s="1" t="s">
        <v>2680</v>
      </c>
      <c r="Q71" s="30" t="s">
        <v>2565</v>
      </c>
      <c r="R71" s="33" t="s">
        <v>3474</v>
      </c>
      <c r="S71">
        <v>35</v>
      </c>
      <c r="T71" s="1" t="s">
        <v>4879</v>
      </c>
      <c r="U71" s="1" t="str">
        <f>HYPERLINK("http://ictvonline.org/taxonomy/p/taxonomy-history?taxnode_id=202101440","ICTVonline=202101440")</f>
        <v>ICTVonline=202101440</v>
      </c>
    </row>
    <row r="72" spans="1:21" x14ac:dyDescent="0.2">
      <c r="A72" s="3">
        <v>71</v>
      </c>
      <c r="B72" s="1" t="s">
        <v>4875</v>
      </c>
      <c r="D72" s="1" t="s">
        <v>4876</v>
      </c>
      <c r="F72" s="1" t="s">
        <v>4877</v>
      </c>
      <c r="H72" s="1" t="s">
        <v>4878</v>
      </c>
      <c r="J72" s="1" t="s">
        <v>847</v>
      </c>
      <c r="L72" s="1" t="s">
        <v>851</v>
      </c>
      <c r="M72" s="1" t="s">
        <v>852</v>
      </c>
      <c r="N72" s="1" t="s">
        <v>1196</v>
      </c>
      <c r="P72" s="1" t="s">
        <v>2681</v>
      </c>
      <c r="Q72" s="30" t="s">
        <v>2565</v>
      </c>
      <c r="R72" s="33" t="s">
        <v>3474</v>
      </c>
      <c r="S72">
        <v>35</v>
      </c>
      <c r="T72" s="1" t="s">
        <v>4879</v>
      </c>
      <c r="U72" s="1" t="str">
        <f>HYPERLINK("http://ictvonline.org/taxonomy/p/taxonomy-history?taxnode_id=202101441","ICTVonline=202101441")</f>
        <v>ICTVonline=202101441</v>
      </c>
    </row>
    <row r="73" spans="1:21" x14ac:dyDescent="0.2">
      <c r="A73" s="3">
        <v>72</v>
      </c>
      <c r="B73" s="1" t="s">
        <v>4875</v>
      </c>
      <c r="D73" s="1" t="s">
        <v>4876</v>
      </c>
      <c r="F73" s="1" t="s">
        <v>4877</v>
      </c>
      <c r="H73" s="1" t="s">
        <v>4878</v>
      </c>
      <c r="J73" s="1" t="s">
        <v>847</v>
      </c>
      <c r="L73" s="1" t="s">
        <v>851</v>
      </c>
      <c r="M73" s="1" t="s">
        <v>852</v>
      </c>
      <c r="N73" s="1" t="s">
        <v>1196</v>
      </c>
      <c r="P73" s="1" t="s">
        <v>2682</v>
      </c>
      <c r="Q73" s="30" t="s">
        <v>2565</v>
      </c>
      <c r="R73" s="33" t="s">
        <v>3474</v>
      </c>
      <c r="S73">
        <v>35</v>
      </c>
      <c r="T73" s="1" t="s">
        <v>4879</v>
      </c>
      <c r="U73" s="1" t="str">
        <f>HYPERLINK("http://ictvonline.org/taxonomy/p/taxonomy-history?taxnode_id=202101442","ICTVonline=202101442")</f>
        <v>ICTVonline=202101442</v>
      </c>
    </row>
    <row r="74" spans="1:21" x14ac:dyDescent="0.2">
      <c r="A74" s="3">
        <v>73</v>
      </c>
      <c r="B74" s="1" t="s">
        <v>4875</v>
      </c>
      <c r="D74" s="1" t="s">
        <v>4876</v>
      </c>
      <c r="F74" s="1" t="s">
        <v>4877</v>
      </c>
      <c r="H74" s="1" t="s">
        <v>4878</v>
      </c>
      <c r="J74" s="1" t="s">
        <v>847</v>
      </c>
      <c r="L74" s="1" t="s">
        <v>851</v>
      </c>
      <c r="M74" s="1" t="s">
        <v>852</v>
      </c>
      <c r="N74" s="1" t="s">
        <v>1196</v>
      </c>
      <c r="P74" s="1" t="s">
        <v>2683</v>
      </c>
      <c r="Q74" s="30" t="s">
        <v>2565</v>
      </c>
      <c r="R74" s="33" t="s">
        <v>3474</v>
      </c>
      <c r="S74">
        <v>35</v>
      </c>
      <c r="T74" s="1" t="s">
        <v>4879</v>
      </c>
      <c r="U74" s="1" t="str">
        <f>HYPERLINK("http://ictvonline.org/taxonomy/p/taxonomy-history?taxnode_id=202101443","ICTVonline=202101443")</f>
        <v>ICTVonline=202101443</v>
      </c>
    </row>
    <row r="75" spans="1:21" x14ac:dyDescent="0.2">
      <c r="A75" s="3">
        <v>74</v>
      </c>
      <c r="B75" s="1" t="s">
        <v>4875</v>
      </c>
      <c r="D75" s="1" t="s">
        <v>4876</v>
      </c>
      <c r="F75" s="1" t="s">
        <v>4877</v>
      </c>
      <c r="H75" s="1" t="s">
        <v>4878</v>
      </c>
      <c r="J75" s="1" t="s">
        <v>847</v>
      </c>
      <c r="L75" s="1" t="s">
        <v>851</v>
      </c>
      <c r="M75" s="1" t="s">
        <v>852</v>
      </c>
      <c r="N75" s="1" t="s">
        <v>1196</v>
      </c>
      <c r="P75" s="1" t="s">
        <v>2684</v>
      </c>
      <c r="Q75" s="30" t="s">
        <v>2565</v>
      </c>
      <c r="R75" s="33" t="s">
        <v>3474</v>
      </c>
      <c r="S75">
        <v>35</v>
      </c>
      <c r="T75" s="1" t="s">
        <v>4879</v>
      </c>
      <c r="U75" s="1" t="str">
        <f>HYPERLINK("http://ictvonline.org/taxonomy/p/taxonomy-history?taxnode_id=202101444","ICTVonline=202101444")</f>
        <v>ICTVonline=202101444</v>
      </c>
    </row>
    <row r="76" spans="1:21" x14ac:dyDescent="0.2">
      <c r="A76" s="3">
        <v>75</v>
      </c>
      <c r="B76" s="1" t="s">
        <v>4875</v>
      </c>
      <c r="D76" s="1" t="s">
        <v>4876</v>
      </c>
      <c r="F76" s="1" t="s">
        <v>4877</v>
      </c>
      <c r="H76" s="1" t="s">
        <v>4878</v>
      </c>
      <c r="J76" s="1" t="s">
        <v>847</v>
      </c>
      <c r="L76" s="1" t="s">
        <v>851</v>
      </c>
      <c r="M76" s="1" t="s">
        <v>852</v>
      </c>
      <c r="N76" s="1" t="s">
        <v>1196</v>
      </c>
      <c r="P76" s="1" t="s">
        <v>2685</v>
      </c>
      <c r="Q76" s="30" t="s">
        <v>2565</v>
      </c>
      <c r="R76" s="33" t="s">
        <v>3474</v>
      </c>
      <c r="S76">
        <v>35</v>
      </c>
      <c r="T76" s="1" t="s">
        <v>4879</v>
      </c>
      <c r="U76" s="1" t="str">
        <f>HYPERLINK("http://ictvonline.org/taxonomy/p/taxonomy-history?taxnode_id=202101445","ICTVonline=202101445")</f>
        <v>ICTVonline=202101445</v>
      </c>
    </row>
    <row r="77" spans="1:21" x14ac:dyDescent="0.2">
      <c r="A77" s="3">
        <v>76</v>
      </c>
      <c r="B77" s="1" t="s">
        <v>4875</v>
      </c>
      <c r="D77" s="1" t="s">
        <v>4876</v>
      </c>
      <c r="F77" s="1" t="s">
        <v>4877</v>
      </c>
      <c r="H77" s="1" t="s">
        <v>4878</v>
      </c>
      <c r="J77" s="1" t="s">
        <v>847</v>
      </c>
      <c r="L77" s="1" t="s">
        <v>851</v>
      </c>
      <c r="M77" s="1" t="s">
        <v>852</v>
      </c>
      <c r="N77" s="1" t="s">
        <v>1196</v>
      </c>
      <c r="P77" s="1" t="s">
        <v>2686</v>
      </c>
      <c r="Q77" s="30" t="s">
        <v>2565</v>
      </c>
      <c r="R77" s="33" t="s">
        <v>3474</v>
      </c>
      <c r="S77">
        <v>35</v>
      </c>
      <c r="T77" s="1" t="s">
        <v>4879</v>
      </c>
      <c r="U77" s="1" t="str">
        <f>HYPERLINK("http://ictvonline.org/taxonomy/p/taxonomy-history?taxnode_id=202101446","ICTVonline=202101446")</f>
        <v>ICTVonline=202101446</v>
      </c>
    </row>
    <row r="78" spans="1:21" x14ac:dyDescent="0.2">
      <c r="A78" s="3">
        <v>77</v>
      </c>
      <c r="B78" s="1" t="s">
        <v>4875</v>
      </c>
      <c r="D78" s="1" t="s">
        <v>4876</v>
      </c>
      <c r="F78" s="1" t="s">
        <v>4877</v>
      </c>
      <c r="H78" s="1" t="s">
        <v>4878</v>
      </c>
      <c r="J78" s="1" t="s">
        <v>847</v>
      </c>
      <c r="L78" s="1" t="s">
        <v>851</v>
      </c>
      <c r="M78" s="1" t="s">
        <v>852</v>
      </c>
      <c r="N78" s="1" t="s">
        <v>1196</v>
      </c>
      <c r="P78" s="1" t="s">
        <v>2687</v>
      </c>
      <c r="Q78" s="30" t="s">
        <v>2565</v>
      </c>
      <c r="R78" s="33" t="s">
        <v>3474</v>
      </c>
      <c r="S78">
        <v>35</v>
      </c>
      <c r="T78" s="1" t="s">
        <v>4879</v>
      </c>
      <c r="U78" s="1" t="str">
        <f>HYPERLINK("http://ictvonline.org/taxonomy/p/taxonomy-history?taxnode_id=202101447","ICTVonline=202101447")</f>
        <v>ICTVonline=202101447</v>
      </c>
    </row>
    <row r="79" spans="1:21" x14ac:dyDescent="0.2">
      <c r="A79" s="3">
        <v>78</v>
      </c>
      <c r="B79" s="1" t="s">
        <v>4875</v>
      </c>
      <c r="D79" s="1" t="s">
        <v>4876</v>
      </c>
      <c r="F79" s="1" t="s">
        <v>4877</v>
      </c>
      <c r="H79" s="1" t="s">
        <v>4878</v>
      </c>
      <c r="J79" s="1" t="s">
        <v>847</v>
      </c>
      <c r="L79" s="1" t="s">
        <v>851</v>
      </c>
      <c r="M79" s="1" t="s">
        <v>852</v>
      </c>
      <c r="N79" s="1" t="s">
        <v>1196</v>
      </c>
      <c r="P79" s="1" t="s">
        <v>5941</v>
      </c>
      <c r="Q79" s="30" t="s">
        <v>2565</v>
      </c>
      <c r="R79" s="33" t="s">
        <v>3472</v>
      </c>
      <c r="S79">
        <v>36</v>
      </c>
      <c r="T79" s="1" t="s">
        <v>5942</v>
      </c>
      <c r="U79" s="1" t="str">
        <f>HYPERLINK("http://ictvonline.org/taxonomy/p/taxonomy-history?taxnode_id=202109143","ICTVonline=202109143")</f>
        <v>ICTVonline=202109143</v>
      </c>
    </row>
    <row r="80" spans="1:21" x14ac:dyDescent="0.2">
      <c r="A80" s="3">
        <v>79</v>
      </c>
      <c r="B80" s="1" t="s">
        <v>4875</v>
      </c>
      <c r="D80" s="1" t="s">
        <v>4876</v>
      </c>
      <c r="F80" s="1" t="s">
        <v>4877</v>
      </c>
      <c r="H80" s="1" t="s">
        <v>4878</v>
      </c>
      <c r="J80" s="1" t="s">
        <v>847</v>
      </c>
      <c r="L80" s="1" t="s">
        <v>851</v>
      </c>
      <c r="M80" s="1" t="s">
        <v>852</v>
      </c>
      <c r="N80" s="1" t="s">
        <v>1196</v>
      </c>
      <c r="P80" s="1" t="s">
        <v>2688</v>
      </c>
      <c r="Q80" s="30" t="s">
        <v>2565</v>
      </c>
      <c r="R80" s="33" t="s">
        <v>3474</v>
      </c>
      <c r="S80">
        <v>35</v>
      </c>
      <c r="T80" s="1" t="s">
        <v>4879</v>
      </c>
      <c r="U80" s="1" t="str">
        <f>HYPERLINK("http://ictvonline.org/taxonomy/p/taxonomy-history?taxnode_id=202101448","ICTVonline=202101448")</f>
        <v>ICTVonline=202101448</v>
      </c>
    </row>
    <row r="81" spans="1:21" x14ac:dyDescent="0.2">
      <c r="A81" s="3">
        <v>80</v>
      </c>
      <c r="B81" s="1" t="s">
        <v>4875</v>
      </c>
      <c r="D81" s="1" t="s">
        <v>4876</v>
      </c>
      <c r="F81" s="1" t="s">
        <v>4877</v>
      </c>
      <c r="H81" s="1" t="s">
        <v>4878</v>
      </c>
      <c r="J81" s="1" t="s">
        <v>847</v>
      </c>
      <c r="L81" s="1" t="s">
        <v>851</v>
      </c>
      <c r="M81" s="1" t="s">
        <v>852</v>
      </c>
      <c r="N81" s="1" t="s">
        <v>1196</v>
      </c>
      <c r="P81" s="1" t="s">
        <v>2689</v>
      </c>
      <c r="Q81" s="30" t="s">
        <v>2565</v>
      </c>
      <c r="R81" s="33" t="s">
        <v>3474</v>
      </c>
      <c r="S81">
        <v>35</v>
      </c>
      <c r="T81" s="1" t="s">
        <v>4879</v>
      </c>
      <c r="U81" s="1" t="str">
        <f>HYPERLINK("http://ictvonline.org/taxonomy/p/taxonomy-history?taxnode_id=202101449","ICTVonline=202101449")</f>
        <v>ICTVonline=202101449</v>
      </c>
    </row>
    <row r="82" spans="1:21" x14ac:dyDescent="0.2">
      <c r="A82" s="3">
        <v>81</v>
      </c>
      <c r="B82" s="1" t="s">
        <v>4875</v>
      </c>
      <c r="D82" s="1" t="s">
        <v>4876</v>
      </c>
      <c r="F82" s="1" t="s">
        <v>4877</v>
      </c>
      <c r="H82" s="1" t="s">
        <v>4878</v>
      </c>
      <c r="J82" s="1" t="s">
        <v>847</v>
      </c>
      <c r="L82" s="1" t="s">
        <v>851</v>
      </c>
      <c r="M82" s="1" t="s">
        <v>852</v>
      </c>
      <c r="N82" s="1" t="s">
        <v>1196</v>
      </c>
      <c r="P82" s="1" t="s">
        <v>2690</v>
      </c>
      <c r="Q82" s="30" t="s">
        <v>2565</v>
      </c>
      <c r="R82" s="33" t="s">
        <v>3474</v>
      </c>
      <c r="S82">
        <v>35</v>
      </c>
      <c r="T82" s="1" t="s">
        <v>4879</v>
      </c>
      <c r="U82" s="1" t="str">
        <f>HYPERLINK("http://ictvonline.org/taxonomy/p/taxonomy-history?taxnode_id=202101450","ICTVonline=202101450")</f>
        <v>ICTVonline=202101450</v>
      </c>
    </row>
    <row r="83" spans="1:21" x14ac:dyDescent="0.2">
      <c r="A83" s="3">
        <v>82</v>
      </c>
      <c r="B83" s="1" t="s">
        <v>4875</v>
      </c>
      <c r="D83" s="1" t="s">
        <v>4876</v>
      </c>
      <c r="F83" s="1" t="s">
        <v>4877</v>
      </c>
      <c r="H83" s="1" t="s">
        <v>4878</v>
      </c>
      <c r="J83" s="1" t="s">
        <v>847</v>
      </c>
      <c r="L83" s="1" t="s">
        <v>851</v>
      </c>
      <c r="M83" s="1" t="s">
        <v>852</v>
      </c>
      <c r="N83" s="1" t="s">
        <v>1196</v>
      </c>
      <c r="P83" s="1" t="s">
        <v>2691</v>
      </c>
      <c r="Q83" s="30" t="s">
        <v>2565</v>
      </c>
      <c r="R83" s="33" t="s">
        <v>3474</v>
      </c>
      <c r="S83">
        <v>35</v>
      </c>
      <c r="T83" s="1" t="s">
        <v>4879</v>
      </c>
      <c r="U83" s="1" t="str">
        <f>HYPERLINK("http://ictvonline.org/taxonomy/p/taxonomy-history?taxnode_id=202101451","ICTVonline=202101451")</f>
        <v>ICTVonline=202101451</v>
      </c>
    </row>
    <row r="84" spans="1:21" x14ac:dyDescent="0.2">
      <c r="A84" s="3">
        <v>83</v>
      </c>
      <c r="B84" s="1" t="s">
        <v>4875</v>
      </c>
      <c r="D84" s="1" t="s">
        <v>4876</v>
      </c>
      <c r="F84" s="1" t="s">
        <v>4877</v>
      </c>
      <c r="H84" s="1" t="s">
        <v>4878</v>
      </c>
      <c r="J84" s="1" t="s">
        <v>847</v>
      </c>
      <c r="L84" s="1" t="s">
        <v>851</v>
      </c>
      <c r="M84" s="1" t="s">
        <v>852</v>
      </c>
      <c r="N84" s="1" t="s">
        <v>1196</v>
      </c>
      <c r="P84" s="1" t="s">
        <v>2692</v>
      </c>
      <c r="Q84" s="30" t="s">
        <v>2565</v>
      </c>
      <c r="R84" s="33" t="s">
        <v>3474</v>
      </c>
      <c r="S84">
        <v>35</v>
      </c>
      <c r="T84" s="1" t="s">
        <v>4879</v>
      </c>
      <c r="U84" s="1" t="str">
        <f>HYPERLINK("http://ictvonline.org/taxonomy/p/taxonomy-history?taxnode_id=202101452","ICTVonline=202101452")</f>
        <v>ICTVonline=202101452</v>
      </c>
    </row>
    <row r="85" spans="1:21" x14ac:dyDescent="0.2">
      <c r="A85" s="3">
        <v>84</v>
      </c>
      <c r="B85" s="1" t="s">
        <v>4875</v>
      </c>
      <c r="D85" s="1" t="s">
        <v>4876</v>
      </c>
      <c r="F85" s="1" t="s">
        <v>4877</v>
      </c>
      <c r="H85" s="1" t="s">
        <v>4878</v>
      </c>
      <c r="J85" s="1" t="s">
        <v>847</v>
      </c>
      <c r="L85" s="1" t="s">
        <v>851</v>
      </c>
      <c r="M85" s="1" t="s">
        <v>852</v>
      </c>
      <c r="N85" s="1" t="s">
        <v>1196</v>
      </c>
      <c r="P85" s="1" t="s">
        <v>2693</v>
      </c>
      <c r="Q85" s="30" t="s">
        <v>2565</v>
      </c>
      <c r="R85" s="33" t="s">
        <v>3474</v>
      </c>
      <c r="S85">
        <v>35</v>
      </c>
      <c r="T85" s="1" t="s">
        <v>4879</v>
      </c>
      <c r="U85" s="1" t="str">
        <f>HYPERLINK("http://ictvonline.org/taxonomy/p/taxonomy-history?taxnode_id=202101453","ICTVonline=202101453")</f>
        <v>ICTVonline=202101453</v>
      </c>
    </row>
    <row r="86" spans="1:21" x14ac:dyDescent="0.2">
      <c r="A86" s="3">
        <v>85</v>
      </c>
      <c r="B86" s="1" t="s">
        <v>4875</v>
      </c>
      <c r="D86" s="1" t="s">
        <v>4876</v>
      </c>
      <c r="F86" s="1" t="s">
        <v>4877</v>
      </c>
      <c r="H86" s="1" t="s">
        <v>4878</v>
      </c>
      <c r="J86" s="1" t="s">
        <v>847</v>
      </c>
      <c r="L86" s="1" t="s">
        <v>851</v>
      </c>
      <c r="M86" s="1" t="s">
        <v>852</v>
      </c>
      <c r="N86" s="1" t="s">
        <v>1196</v>
      </c>
      <c r="P86" s="1" t="s">
        <v>2694</v>
      </c>
      <c r="Q86" s="30" t="s">
        <v>2565</v>
      </c>
      <c r="R86" s="33" t="s">
        <v>8665</v>
      </c>
      <c r="S86">
        <v>36</v>
      </c>
      <c r="T86" s="1" t="s">
        <v>8661</v>
      </c>
      <c r="U86" s="1" t="str">
        <f>HYPERLINK("http://ictvonline.org/taxonomy/p/taxonomy-history?taxnode_id=202101454","ICTVonline=202101454")</f>
        <v>ICTVonline=202101454</v>
      </c>
    </row>
    <row r="87" spans="1:21" x14ac:dyDescent="0.2">
      <c r="A87" s="3">
        <v>86</v>
      </c>
      <c r="B87" s="1" t="s">
        <v>4875</v>
      </c>
      <c r="D87" s="1" t="s">
        <v>4876</v>
      </c>
      <c r="F87" s="1" t="s">
        <v>4877</v>
      </c>
      <c r="H87" s="1" t="s">
        <v>4878</v>
      </c>
      <c r="J87" s="1" t="s">
        <v>847</v>
      </c>
      <c r="L87" s="1" t="s">
        <v>851</v>
      </c>
      <c r="M87" s="1" t="s">
        <v>852</v>
      </c>
      <c r="N87" s="1" t="s">
        <v>1196</v>
      </c>
      <c r="P87" s="1" t="s">
        <v>4766</v>
      </c>
      <c r="Q87" s="30" t="s">
        <v>2565</v>
      </c>
      <c r="R87" s="33" t="s">
        <v>3474</v>
      </c>
      <c r="S87">
        <v>35</v>
      </c>
      <c r="T87" s="1" t="s">
        <v>4879</v>
      </c>
      <c r="U87" s="1" t="str">
        <f>HYPERLINK("http://ictvonline.org/taxonomy/p/taxonomy-history?taxnode_id=202106396","ICTVonline=202106396")</f>
        <v>ICTVonline=202106396</v>
      </c>
    </row>
    <row r="88" spans="1:21" x14ac:dyDescent="0.2">
      <c r="A88" s="3">
        <v>87</v>
      </c>
      <c r="B88" s="1" t="s">
        <v>4875</v>
      </c>
      <c r="D88" s="1" t="s">
        <v>4876</v>
      </c>
      <c r="F88" s="1" t="s">
        <v>4877</v>
      </c>
      <c r="H88" s="1" t="s">
        <v>4878</v>
      </c>
      <c r="J88" s="1" t="s">
        <v>847</v>
      </c>
      <c r="L88" s="1" t="s">
        <v>851</v>
      </c>
      <c r="M88" s="1" t="s">
        <v>852</v>
      </c>
      <c r="N88" s="1" t="s">
        <v>1196</v>
      </c>
      <c r="P88" s="1" t="s">
        <v>2695</v>
      </c>
      <c r="Q88" s="30" t="s">
        <v>2565</v>
      </c>
      <c r="R88" s="33" t="s">
        <v>3474</v>
      </c>
      <c r="S88">
        <v>35</v>
      </c>
      <c r="T88" s="1" t="s">
        <v>4879</v>
      </c>
      <c r="U88" s="1" t="str">
        <f>HYPERLINK("http://ictvonline.org/taxonomy/p/taxonomy-history?taxnode_id=202101455","ICTVonline=202101455")</f>
        <v>ICTVonline=202101455</v>
      </c>
    </row>
    <row r="89" spans="1:21" x14ac:dyDescent="0.2">
      <c r="A89" s="3">
        <v>88</v>
      </c>
      <c r="B89" s="1" t="s">
        <v>4875</v>
      </c>
      <c r="D89" s="1" t="s">
        <v>4876</v>
      </c>
      <c r="F89" s="1" t="s">
        <v>4877</v>
      </c>
      <c r="H89" s="1" t="s">
        <v>4878</v>
      </c>
      <c r="J89" s="1" t="s">
        <v>847</v>
      </c>
      <c r="L89" s="1" t="s">
        <v>851</v>
      </c>
      <c r="M89" s="1" t="s">
        <v>852</v>
      </c>
      <c r="N89" s="1" t="s">
        <v>1196</v>
      </c>
      <c r="P89" s="1" t="s">
        <v>2696</v>
      </c>
      <c r="Q89" s="30" t="s">
        <v>2565</v>
      </c>
      <c r="R89" s="33" t="s">
        <v>3474</v>
      </c>
      <c r="S89">
        <v>35</v>
      </c>
      <c r="T89" s="1" t="s">
        <v>4879</v>
      </c>
      <c r="U89" s="1" t="str">
        <f>HYPERLINK("http://ictvonline.org/taxonomy/p/taxonomy-history?taxnode_id=202101456","ICTVonline=202101456")</f>
        <v>ICTVonline=202101456</v>
      </c>
    </row>
    <row r="90" spans="1:21" x14ac:dyDescent="0.2">
      <c r="A90" s="3">
        <v>89</v>
      </c>
      <c r="B90" s="1" t="s">
        <v>4875</v>
      </c>
      <c r="D90" s="1" t="s">
        <v>4876</v>
      </c>
      <c r="F90" s="1" t="s">
        <v>4877</v>
      </c>
      <c r="H90" s="1" t="s">
        <v>4878</v>
      </c>
      <c r="J90" s="1" t="s">
        <v>847</v>
      </c>
      <c r="L90" s="1" t="s">
        <v>851</v>
      </c>
      <c r="M90" s="1" t="s">
        <v>852</v>
      </c>
      <c r="P90" s="1" t="s">
        <v>2679</v>
      </c>
      <c r="Q90" s="30" t="s">
        <v>2565</v>
      </c>
      <c r="R90" s="33" t="s">
        <v>3474</v>
      </c>
      <c r="S90">
        <v>35</v>
      </c>
      <c r="T90" s="1" t="s">
        <v>4879</v>
      </c>
      <c r="U90" s="1" t="str">
        <f>HYPERLINK("http://ictvonline.org/taxonomy/p/taxonomy-history?taxnode_id=202101438","ICTVonline=202101438")</f>
        <v>ICTVonline=202101438</v>
      </c>
    </row>
    <row r="91" spans="1:21" x14ac:dyDescent="0.2">
      <c r="A91" s="3">
        <v>90</v>
      </c>
      <c r="B91" s="1" t="s">
        <v>4875</v>
      </c>
      <c r="D91" s="1" t="s">
        <v>4876</v>
      </c>
      <c r="F91" s="1" t="s">
        <v>4877</v>
      </c>
      <c r="H91" s="1" t="s">
        <v>4878</v>
      </c>
      <c r="J91" s="1" t="s">
        <v>847</v>
      </c>
      <c r="L91" s="1" t="s">
        <v>851</v>
      </c>
      <c r="M91" s="1" t="s">
        <v>1290</v>
      </c>
      <c r="N91" s="1" t="s">
        <v>648</v>
      </c>
      <c r="P91" s="1" t="s">
        <v>2697</v>
      </c>
      <c r="Q91" s="30" t="s">
        <v>2565</v>
      </c>
      <c r="R91" s="33" t="s">
        <v>3474</v>
      </c>
      <c r="S91">
        <v>35</v>
      </c>
      <c r="T91" s="1" t="s">
        <v>4879</v>
      </c>
      <c r="U91" s="1" t="str">
        <f>HYPERLINK("http://ictvonline.org/taxonomy/p/taxonomy-history?taxnode_id=202101459","ICTVonline=202101459")</f>
        <v>ICTVonline=202101459</v>
      </c>
    </row>
    <row r="92" spans="1:21" x14ac:dyDescent="0.2">
      <c r="A92" s="3">
        <v>91</v>
      </c>
      <c r="B92" s="1" t="s">
        <v>4875</v>
      </c>
      <c r="D92" s="1" t="s">
        <v>4876</v>
      </c>
      <c r="F92" s="1" t="s">
        <v>4877</v>
      </c>
      <c r="H92" s="1" t="s">
        <v>4878</v>
      </c>
      <c r="J92" s="1" t="s">
        <v>847</v>
      </c>
      <c r="L92" s="1" t="s">
        <v>851</v>
      </c>
      <c r="M92" s="1" t="s">
        <v>1290</v>
      </c>
      <c r="N92" s="1" t="s">
        <v>648</v>
      </c>
      <c r="P92" s="1" t="s">
        <v>2698</v>
      </c>
      <c r="Q92" s="30" t="s">
        <v>2565</v>
      </c>
      <c r="R92" s="33" t="s">
        <v>3474</v>
      </c>
      <c r="S92">
        <v>35</v>
      </c>
      <c r="T92" s="1" t="s">
        <v>4879</v>
      </c>
      <c r="U92" s="1" t="str">
        <f>HYPERLINK("http://ictvonline.org/taxonomy/p/taxonomy-history?taxnode_id=202101460","ICTVonline=202101460")</f>
        <v>ICTVonline=202101460</v>
      </c>
    </row>
    <row r="93" spans="1:21" x14ac:dyDescent="0.2">
      <c r="A93" s="3">
        <v>92</v>
      </c>
      <c r="B93" s="1" t="s">
        <v>4875</v>
      </c>
      <c r="D93" s="1" t="s">
        <v>4876</v>
      </c>
      <c r="F93" s="1" t="s">
        <v>4877</v>
      </c>
      <c r="H93" s="1" t="s">
        <v>4878</v>
      </c>
      <c r="J93" s="1" t="s">
        <v>847</v>
      </c>
      <c r="L93" s="1" t="s">
        <v>851</v>
      </c>
      <c r="M93" s="1" t="s">
        <v>1290</v>
      </c>
      <c r="N93" s="1" t="s">
        <v>648</v>
      </c>
      <c r="P93" s="1" t="s">
        <v>2699</v>
      </c>
      <c r="Q93" s="30" t="s">
        <v>2565</v>
      </c>
      <c r="R93" s="33" t="s">
        <v>3474</v>
      </c>
      <c r="S93">
        <v>35</v>
      </c>
      <c r="T93" s="1" t="s">
        <v>4879</v>
      </c>
      <c r="U93" s="1" t="str">
        <f>HYPERLINK("http://ictvonline.org/taxonomy/p/taxonomy-history?taxnode_id=202101461","ICTVonline=202101461")</f>
        <v>ICTVonline=202101461</v>
      </c>
    </row>
    <row r="94" spans="1:21" x14ac:dyDescent="0.2">
      <c r="A94" s="3">
        <v>93</v>
      </c>
      <c r="B94" s="1" t="s">
        <v>4875</v>
      </c>
      <c r="D94" s="1" t="s">
        <v>4876</v>
      </c>
      <c r="F94" s="1" t="s">
        <v>4877</v>
      </c>
      <c r="H94" s="1" t="s">
        <v>4878</v>
      </c>
      <c r="J94" s="1" t="s">
        <v>847</v>
      </c>
      <c r="L94" s="1" t="s">
        <v>851</v>
      </c>
      <c r="M94" s="1" t="s">
        <v>1290</v>
      </c>
      <c r="N94" s="1" t="s">
        <v>648</v>
      </c>
      <c r="P94" s="1" t="s">
        <v>2700</v>
      </c>
      <c r="Q94" s="30" t="s">
        <v>2565</v>
      </c>
      <c r="R94" s="33" t="s">
        <v>8665</v>
      </c>
      <c r="S94">
        <v>36</v>
      </c>
      <c r="T94" s="1" t="s">
        <v>8661</v>
      </c>
      <c r="U94" s="1" t="str">
        <f>HYPERLINK("http://ictvonline.org/taxonomy/p/taxonomy-history?taxnode_id=202101462","ICTVonline=202101462")</f>
        <v>ICTVonline=202101462</v>
      </c>
    </row>
    <row r="95" spans="1:21" x14ac:dyDescent="0.2">
      <c r="A95" s="3">
        <v>94</v>
      </c>
      <c r="B95" s="1" t="s">
        <v>4875</v>
      </c>
      <c r="D95" s="1" t="s">
        <v>4876</v>
      </c>
      <c r="F95" s="1" t="s">
        <v>4877</v>
      </c>
      <c r="H95" s="1" t="s">
        <v>4878</v>
      </c>
      <c r="J95" s="1" t="s">
        <v>847</v>
      </c>
      <c r="L95" s="1" t="s">
        <v>851</v>
      </c>
      <c r="M95" s="1" t="s">
        <v>1290</v>
      </c>
      <c r="N95" s="1" t="s">
        <v>648</v>
      </c>
      <c r="P95" s="1" t="s">
        <v>2701</v>
      </c>
      <c r="Q95" s="30" t="s">
        <v>2565</v>
      </c>
      <c r="R95" s="33" t="s">
        <v>3474</v>
      </c>
      <c r="S95">
        <v>35</v>
      </c>
      <c r="T95" s="1" t="s">
        <v>4879</v>
      </c>
      <c r="U95" s="1" t="str">
        <f>HYPERLINK("http://ictvonline.org/taxonomy/p/taxonomy-history?taxnode_id=202101463","ICTVonline=202101463")</f>
        <v>ICTVonline=202101463</v>
      </c>
    </row>
    <row r="96" spans="1:21" x14ac:dyDescent="0.2">
      <c r="A96" s="3">
        <v>95</v>
      </c>
      <c r="B96" s="1" t="s">
        <v>4875</v>
      </c>
      <c r="D96" s="1" t="s">
        <v>4876</v>
      </c>
      <c r="F96" s="1" t="s">
        <v>4877</v>
      </c>
      <c r="H96" s="1" t="s">
        <v>4878</v>
      </c>
      <c r="J96" s="1" t="s">
        <v>847</v>
      </c>
      <c r="L96" s="1" t="s">
        <v>851</v>
      </c>
      <c r="M96" s="1" t="s">
        <v>1290</v>
      </c>
      <c r="N96" s="1" t="s">
        <v>648</v>
      </c>
      <c r="P96" s="1" t="s">
        <v>4767</v>
      </c>
      <c r="Q96" s="30" t="s">
        <v>2565</v>
      </c>
      <c r="R96" s="33" t="s">
        <v>3474</v>
      </c>
      <c r="S96">
        <v>35</v>
      </c>
      <c r="T96" s="1" t="s">
        <v>4879</v>
      </c>
      <c r="U96" s="1" t="str">
        <f>HYPERLINK("http://ictvonline.org/taxonomy/p/taxonomy-history?taxnode_id=202106399","ICTVonline=202106399")</f>
        <v>ICTVonline=202106399</v>
      </c>
    </row>
    <row r="97" spans="1:21" x14ac:dyDescent="0.2">
      <c r="A97" s="3">
        <v>96</v>
      </c>
      <c r="B97" s="1" t="s">
        <v>4875</v>
      </c>
      <c r="D97" s="1" t="s">
        <v>4876</v>
      </c>
      <c r="F97" s="1" t="s">
        <v>4877</v>
      </c>
      <c r="H97" s="1" t="s">
        <v>4878</v>
      </c>
      <c r="J97" s="1" t="s">
        <v>847</v>
      </c>
      <c r="L97" s="1" t="s">
        <v>851</v>
      </c>
      <c r="M97" s="1" t="s">
        <v>1290</v>
      </c>
      <c r="N97" s="1" t="s">
        <v>648</v>
      </c>
      <c r="P97" s="1" t="s">
        <v>4768</v>
      </c>
      <c r="Q97" s="30" t="s">
        <v>2565</v>
      </c>
      <c r="R97" s="33" t="s">
        <v>3474</v>
      </c>
      <c r="S97">
        <v>35</v>
      </c>
      <c r="T97" s="1" t="s">
        <v>4879</v>
      </c>
      <c r="U97" s="1" t="str">
        <f>HYPERLINK("http://ictvonline.org/taxonomy/p/taxonomy-history?taxnode_id=202106400","ICTVonline=202106400")</f>
        <v>ICTVonline=202106400</v>
      </c>
    </row>
    <row r="98" spans="1:21" x14ac:dyDescent="0.2">
      <c r="A98" s="3">
        <v>97</v>
      </c>
      <c r="B98" s="1" t="s">
        <v>4875</v>
      </c>
      <c r="D98" s="1" t="s">
        <v>4876</v>
      </c>
      <c r="F98" s="1" t="s">
        <v>4877</v>
      </c>
      <c r="H98" s="1" t="s">
        <v>4878</v>
      </c>
      <c r="J98" s="1" t="s">
        <v>847</v>
      </c>
      <c r="L98" s="1" t="s">
        <v>851</v>
      </c>
      <c r="M98" s="1" t="s">
        <v>1290</v>
      </c>
      <c r="N98" s="1" t="s">
        <v>648</v>
      </c>
      <c r="P98" s="1" t="s">
        <v>2702</v>
      </c>
      <c r="Q98" s="30" t="s">
        <v>2565</v>
      </c>
      <c r="R98" s="33" t="s">
        <v>3474</v>
      </c>
      <c r="S98">
        <v>35</v>
      </c>
      <c r="T98" s="1" t="s">
        <v>4879</v>
      </c>
      <c r="U98" s="1" t="str">
        <f>HYPERLINK("http://ictvonline.org/taxonomy/p/taxonomy-history?taxnode_id=202101464","ICTVonline=202101464")</f>
        <v>ICTVonline=202101464</v>
      </c>
    </row>
    <row r="99" spans="1:21" x14ac:dyDescent="0.2">
      <c r="A99" s="3">
        <v>98</v>
      </c>
      <c r="B99" s="1" t="s">
        <v>4875</v>
      </c>
      <c r="D99" s="1" t="s">
        <v>4876</v>
      </c>
      <c r="F99" s="1" t="s">
        <v>4877</v>
      </c>
      <c r="H99" s="1" t="s">
        <v>4878</v>
      </c>
      <c r="J99" s="1" t="s">
        <v>847</v>
      </c>
      <c r="L99" s="1" t="s">
        <v>851</v>
      </c>
      <c r="M99" s="1" t="s">
        <v>1290</v>
      </c>
      <c r="N99" s="1" t="s">
        <v>648</v>
      </c>
      <c r="P99" s="1" t="s">
        <v>2703</v>
      </c>
      <c r="Q99" s="30" t="s">
        <v>2565</v>
      </c>
      <c r="R99" s="33" t="s">
        <v>3474</v>
      </c>
      <c r="S99">
        <v>35</v>
      </c>
      <c r="T99" s="1" t="s">
        <v>4879</v>
      </c>
      <c r="U99" s="1" t="str">
        <f>HYPERLINK("http://ictvonline.org/taxonomy/p/taxonomy-history?taxnode_id=202101465","ICTVonline=202101465")</f>
        <v>ICTVonline=202101465</v>
      </c>
    </row>
    <row r="100" spans="1:21" x14ac:dyDescent="0.2">
      <c r="A100" s="3">
        <v>99</v>
      </c>
      <c r="B100" s="1" t="s">
        <v>4875</v>
      </c>
      <c r="D100" s="1" t="s">
        <v>4876</v>
      </c>
      <c r="F100" s="1" t="s">
        <v>4877</v>
      </c>
      <c r="H100" s="1" t="s">
        <v>4878</v>
      </c>
      <c r="J100" s="1" t="s">
        <v>847</v>
      </c>
      <c r="L100" s="1" t="s">
        <v>851</v>
      </c>
      <c r="M100" s="1" t="s">
        <v>1290</v>
      </c>
      <c r="N100" s="1" t="s">
        <v>648</v>
      </c>
      <c r="P100" s="1" t="s">
        <v>4769</v>
      </c>
      <c r="Q100" s="30" t="s">
        <v>2565</v>
      </c>
      <c r="R100" s="33" t="s">
        <v>3474</v>
      </c>
      <c r="S100">
        <v>35</v>
      </c>
      <c r="T100" s="1" t="s">
        <v>4879</v>
      </c>
      <c r="U100" s="1" t="str">
        <f>HYPERLINK("http://ictvonline.org/taxonomy/p/taxonomy-history?taxnode_id=202106401","ICTVonline=202106401")</f>
        <v>ICTVonline=202106401</v>
      </c>
    </row>
    <row r="101" spans="1:21" x14ac:dyDescent="0.2">
      <c r="A101" s="3">
        <v>100</v>
      </c>
      <c r="B101" s="1" t="s">
        <v>4875</v>
      </c>
      <c r="D101" s="1" t="s">
        <v>4876</v>
      </c>
      <c r="F101" s="1" t="s">
        <v>4877</v>
      </c>
      <c r="H101" s="1" t="s">
        <v>4878</v>
      </c>
      <c r="J101" s="1" t="s">
        <v>847</v>
      </c>
      <c r="L101" s="1" t="s">
        <v>851</v>
      </c>
      <c r="M101" s="1" t="s">
        <v>1290</v>
      </c>
      <c r="N101" s="1" t="s">
        <v>648</v>
      </c>
      <c r="P101" s="1" t="s">
        <v>2704</v>
      </c>
      <c r="Q101" s="30" t="s">
        <v>2565</v>
      </c>
      <c r="R101" s="33" t="s">
        <v>3474</v>
      </c>
      <c r="S101">
        <v>35</v>
      </c>
      <c r="T101" s="1" t="s">
        <v>4879</v>
      </c>
      <c r="U101" s="1" t="str">
        <f>HYPERLINK("http://ictvonline.org/taxonomy/p/taxonomy-history?taxnode_id=202101466","ICTVonline=202101466")</f>
        <v>ICTVonline=202101466</v>
      </c>
    </row>
    <row r="102" spans="1:21" x14ac:dyDescent="0.2">
      <c r="A102" s="3">
        <v>101</v>
      </c>
      <c r="B102" s="1" t="s">
        <v>4875</v>
      </c>
      <c r="D102" s="1" t="s">
        <v>4876</v>
      </c>
      <c r="F102" s="1" t="s">
        <v>4877</v>
      </c>
      <c r="H102" s="1" t="s">
        <v>4878</v>
      </c>
      <c r="J102" s="1" t="s">
        <v>847</v>
      </c>
      <c r="L102" s="1" t="s">
        <v>851</v>
      </c>
      <c r="M102" s="1" t="s">
        <v>1290</v>
      </c>
      <c r="N102" s="1" t="s">
        <v>649</v>
      </c>
      <c r="P102" s="1" t="s">
        <v>2705</v>
      </c>
      <c r="Q102" s="30" t="s">
        <v>2565</v>
      </c>
      <c r="R102" s="33" t="s">
        <v>8665</v>
      </c>
      <c r="S102">
        <v>36</v>
      </c>
      <c r="T102" s="1" t="s">
        <v>8661</v>
      </c>
      <c r="U102" s="1" t="str">
        <f>HYPERLINK("http://ictvonline.org/taxonomy/p/taxonomy-history?taxnode_id=202101468","ICTVonline=202101468")</f>
        <v>ICTVonline=202101468</v>
      </c>
    </row>
    <row r="103" spans="1:21" x14ac:dyDescent="0.2">
      <c r="A103" s="3">
        <v>102</v>
      </c>
      <c r="B103" s="1" t="s">
        <v>4875</v>
      </c>
      <c r="D103" s="1" t="s">
        <v>4876</v>
      </c>
      <c r="F103" s="1" t="s">
        <v>4877</v>
      </c>
      <c r="H103" s="1" t="s">
        <v>4878</v>
      </c>
      <c r="J103" s="1" t="s">
        <v>847</v>
      </c>
      <c r="L103" s="1" t="s">
        <v>851</v>
      </c>
      <c r="M103" s="1" t="s">
        <v>1290</v>
      </c>
      <c r="N103" s="1" t="s">
        <v>649</v>
      </c>
      <c r="P103" s="1" t="s">
        <v>2706</v>
      </c>
      <c r="Q103" s="30" t="s">
        <v>2565</v>
      </c>
      <c r="R103" s="33" t="s">
        <v>3474</v>
      </c>
      <c r="S103">
        <v>35</v>
      </c>
      <c r="T103" s="1" t="s">
        <v>4879</v>
      </c>
      <c r="U103" s="1" t="str">
        <f>HYPERLINK("http://ictvonline.org/taxonomy/p/taxonomy-history?taxnode_id=202101469","ICTVonline=202101469")</f>
        <v>ICTVonline=202101469</v>
      </c>
    </row>
    <row r="104" spans="1:21" x14ac:dyDescent="0.2">
      <c r="A104" s="3">
        <v>103</v>
      </c>
      <c r="B104" s="1" t="s">
        <v>4875</v>
      </c>
      <c r="D104" s="1" t="s">
        <v>4876</v>
      </c>
      <c r="F104" s="1" t="s">
        <v>4877</v>
      </c>
      <c r="H104" s="1" t="s">
        <v>4878</v>
      </c>
      <c r="J104" s="1" t="s">
        <v>847</v>
      </c>
      <c r="L104" s="1" t="s">
        <v>851</v>
      </c>
      <c r="M104" s="1" t="s">
        <v>1290</v>
      </c>
      <c r="N104" s="1" t="s">
        <v>649</v>
      </c>
      <c r="P104" s="1" t="s">
        <v>2707</v>
      </c>
      <c r="Q104" s="30" t="s">
        <v>2565</v>
      </c>
      <c r="R104" s="33" t="s">
        <v>3474</v>
      </c>
      <c r="S104">
        <v>35</v>
      </c>
      <c r="T104" s="1" t="s">
        <v>4879</v>
      </c>
      <c r="U104" s="1" t="str">
        <f>HYPERLINK("http://ictvonline.org/taxonomy/p/taxonomy-history?taxnode_id=202101470","ICTVonline=202101470")</f>
        <v>ICTVonline=202101470</v>
      </c>
    </row>
    <row r="105" spans="1:21" x14ac:dyDescent="0.2">
      <c r="A105" s="3">
        <v>104</v>
      </c>
      <c r="B105" s="1" t="s">
        <v>4875</v>
      </c>
      <c r="D105" s="1" t="s">
        <v>4876</v>
      </c>
      <c r="F105" s="1" t="s">
        <v>4877</v>
      </c>
      <c r="H105" s="1" t="s">
        <v>4878</v>
      </c>
      <c r="J105" s="1" t="s">
        <v>847</v>
      </c>
      <c r="L105" s="1" t="s">
        <v>851</v>
      </c>
      <c r="M105" s="1" t="s">
        <v>1290</v>
      </c>
      <c r="N105" s="1" t="s">
        <v>1292</v>
      </c>
      <c r="P105" s="1" t="s">
        <v>2708</v>
      </c>
      <c r="Q105" s="30" t="s">
        <v>2565</v>
      </c>
      <c r="R105" s="33" t="s">
        <v>8665</v>
      </c>
      <c r="S105">
        <v>36</v>
      </c>
      <c r="T105" s="1" t="s">
        <v>8661</v>
      </c>
      <c r="U105" s="1" t="str">
        <f>HYPERLINK("http://ictvonline.org/taxonomy/p/taxonomy-history?taxnode_id=202101472","ICTVonline=202101472")</f>
        <v>ICTVonline=202101472</v>
      </c>
    </row>
    <row r="106" spans="1:21" x14ac:dyDescent="0.2">
      <c r="A106" s="3">
        <v>105</v>
      </c>
      <c r="B106" s="1" t="s">
        <v>4875</v>
      </c>
      <c r="D106" s="1" t="s">
        <v>4876</v>
      </c>
      <c r="F106" s="1" t="s">
        <v>4877</v>
      </c>
      <c r="H106" s="1" t="s">
        <v>4878</v>
      </c>
      <c r="J106" s="1" t="s">
        <v>847</v>
      </c>
      <c r="L106" s="1" t="s">
        <v>851</v>
      </c>
      <c r="M106" s="1" t="s">
        <v>1290</v>
      </c>
      <c r="N106" s="1" t="s">
        <v>1292</v>
      </c>
      <c r="P106" s="1" t="s">
        <v>4770</v>
      </c>
      <c r="Q106" s="30" t="s">
        <v>2565</v>
      </c>
      <c r="R106" s="33" t="s">
        <v>3474</v>
      </c>
      <c r="S106">
        <v>35</v>
      </c>
      <c r="T106" s="1" t="s">
        <v>4879</v>
      </c>
      <c r="U106" s="1" t="str">
        <f>HYPERLINK("http://ictvonline.org/taxonomy/p/taxonomy-history?taxnode_id=202106404","ICTVonline=202106404")</f>
        <v>ICTVonline=202106404</v>
      </c>
    </row>
    <row r="107" spans="1:21" x14ac:dyDescent="0.2">
      <c r="A107" s="3">
        <v>106</v>
      </c>
      <c r="B107" s="1" t="s">
        <v>4875</v>
      </c>
      <c r="D107" s="1" t="s">
        <v>4876</v>
      </c>
      <c r="F107" s="1" t="s">
        <v>4877</v>
      </c>
      <c r="H107" s="1" t="s">
        <v>4878</v>
      </c>
      <c r="J107" s="1" t="s">
        <v>847</v>
      </c>
      <c r="L107" s="1" t="s">
        <v>851</v>
      </c>
      <c r="M107" s="1" t="s">
        <v>1290</v>
      </c>
      <c r="N107" s="1" t="s">
        <v>1292</v>
      </c>
      <c r="P107" s="1" t="s">
        <v>4771</v>
      </c>
      <c r="Q107" s="30" t="s">
        <v>2565</v>
      </c>
      <c r="R107" s="33" t="s">
        <v>3474</v>
      </c>
      <c r="S107">
        <v>35</v>
      </c>
      <c r="T107" s="1" t="s">
        <v>4879</v>
      </c>
      <c r="U107" s="1" t="str">
        <f>HYPERLINK("http://ictvonline.org/taxonomy/p/taxonomy-history?taxnode_id=202106405","ICTVonline=202106405")</f>
        <v>ICTVonline=202106405</v>
      </c>
    </row>
    <row r="108" spans="1:21" x14ac:dyDescent="0.2">
      <c r="A108" s="3">
        <v>107</v>
      </c>
      <c r="B108" s="1" t="s">
        <v>4875</v>
      </c>
      <c r="D108" s="1" t="s">
        <v>4876</v>
      </c>
      <c r="F108" s="1" t="s">
        <v>4877</v>
      </c>
      <c r="H108" s="1" t="s">
        <v>4878</v>
      </c>
      <c r="J108" s="1" t="s">
        <v>847</v>
      </c>
      <c r="L108" s="1" t="s">
        <v>851</v>
      </c>
      <c r="M108" s="1" t="s">
        <v>1290</v>
      </c>
      <c r="N108" s="1" t="s">
        <v>5943</v>
      </c>
      <c r="P108" s="1" t="s">
        <v>2712</v>
      </c>
      <c r="Q108" s="30" t="s">
        <v>2565</v>
      </c>
      <c r="R108" s="33" t="s">
        <v>3474</v>
      </c>
      <c r="S108">
        <v>36</v>
      </c>
      <c r="T108" s="1" t="s">
        <v>5942</v>
      </c>
      <c r="U108" s="1" t="str">
        <f>HYPERLINK("http://ictvonline.org/taxonomy/p/taxonomy-history?taxnode_id=202101478","ICTVonline=202101478")</f>
        <v>ICTVonline=202101478</v>
      </c>
    </row>
    <row r="109" spans="1:21" x14ac:dyDescent="0.2">
      <c r="A109" s="3">
        <v>108</v>
      </c>
      <c r="B109" s="1" t="s">
        <v>4875</v>
      </c>
      <c r="D109" s="1" t="s">
        <v>4876</v>
      </c>
      <c r="F109" s="1" t="s">
        <v>4877</v>
      </c>
      <c r="H109" s="1" t="s">
        <v>4878</v>
      </c>
      <c r="J109" s="1" t="s">
        <v>847</v>
      </c>
      <c r="L109" s="1" t="s">
        <v>851</v>
      </c>
      <c r="M109" s="1" t="s">
        <v>1290</v>
      </c>
      <c r="N109" s="1" t="s">
        <v>5943</v>
      </c>
      <c r="P109" s="1" t="s">
        <v>5944</v>
      </c>
      <c r="Q109" s="30" t="s">
        <v>2565</v>
      </c>
      <c r="R109" s="33" t="s">
        <v>3472</v>
      </c>
      <c r="S109">
        <v>36</v>
      </c>
      <c r="T109" s="1" t="s">
        <v>5942</v>
      </c>
      <c r="U109" s="1" t="str">
        <f>HYPERLINK("http://ictvonline.org/taxonomy/p/taxonomy-history?taxnode_id=202109145","ICTVonline=202109145")</f>
        <v>ICTVonline=202109145</v>
      </c>
    </row>
    <row r="110" spans="1:21" x14ac:dyDescent="0.2">
      <c r="A110" s="3">
        <v>109</v>
      </c>
      <c r="B110" s="1" t="s">
        <v>4875</v>
      </c>
      <c r="D110" s="1" t="s">
        <v>4876</v>
      </c>
      <c r="F110" s="1" t="s">
        <v>4877</v>
      </c>
      <c r="H110" s="1" t="s">
        <v>4878</v>
      </c>
      <c r="J110" s="1" t="s">
        <v>847</v>
      </c>
      <c r="L110" s="1" t="s">
        <v>851</v>
      </c>
      <c r="M110" s="1" t="s">
        <v>1290</v>
      </c>
      <c r="N110" s="1" t="s">
        <v>5943</v>
      </c>
      <c r="P110" s="1" t="s">
        <v>2714</v>
      </c>
      <c r="Q110" s="30" t="s">
        <v>2565</v>
      </c>
      <c r="R110" s="33" t="s">
        <v>3474</v>
      </c>
      <c r="S110">
        <v>36</v>
      </c>
      <c r="T110" s="1" t="s">
        <v>5942</v>
      </c>
      <c r="U110" s="1" t="str">
        <f>HYPERLINK("http://ictvonline.org/taxonomy/p/taxonomy-history?taxnode_id=202101480","ICTVonline=202101480")</f>
        <v>ICTVonline=202101480</v>
      </c>
    </row>
    <row r="111" spans="1:21" x14ac:dyDescent="0.2">
      <c r="A111" s="3">
        <v>110</v>
      </c>
      <c r="B111" s="1" t="s">
        <v>4875</v>
      </c>
      <c r="D111" s="1" t="s">
        <v>4876</v>
      </c>
      <c r="F111" s="1" t="s">
        <v>4877</v>
      </c>
      <c r="H111" s="1" t="s">
        <v>4878</v>
      </c>
      <c r="J111" s="1" t="s">
        <v>847</v>
      </c>
      <c r="L111" s="1" t="s">
        <v>851</v>
      </c>
      <c r="M111" s="1" t="s">
        <v>1290</v>
      </c>
      <c r="N111" s="1" t="s">
        <v>1293</v>
      </c>
      <c r="P111" s="1" t="s">
        <v>2709</v>
      </c>
      <c r="Q111" s="30" t="s">
        <v>2565</v>
      </c>
      <c r="R111" s="33" t="s">
        <v>3474</v>
      </c>
      <c r="S111">
        <v>35</v>
      </c>
      <c r="T111" s="1" t="s">
        <v>4879</v>
      </c>
      <c r="U111" s="1" t="str">
        <f>HYPERLINK("http://ictvonline.org/taxonomy/p/taxonomy-history?taxnode_id=202101474","ICTVonline=202101474")</f>
        <v>ICTVonline=202101474</v>
      </c>
    </row>
    <row r="112" spans="1:21" x14ac:dyDescent="0.2">
      <c r="A112" s="3">
        <v>111</v>
      </c>
      <c r="B112" s="1" t="s">
        <v>4875</v>
      </c>
      <c r="D112" s="1" t="s">
        <v>4876</v>
      </c>
      <c r="F112" s="1" t="s">
        <v>4877</v>
      </c>
      <c r="H112" s="1" t="s">
        <v>4878</v>
      </c>
      <c r="J112" s="1" t="s">
        <v>847</v>
      </c>
      <c r="L112" s="1" t="s">
        <v>851</v>
      </c>
      <c r="M112" s="1" t="s">
        <v>1290</v>
      </c>
      <c r="N112" s="1" t="s">
        <v>1293</v>
      </c>
      <c r="P112" s="4" t="s">
        <v>2710</v>
      </c>
      <c r="Q112" s="30" t="s">
        <v>2565</v>
      </c>
      <c r="R112" s="33" t="s">
        <v>8665</v>
      </c>
      <c r="S112">
        <v>36</v>
      </c>
      <c r="T112" s="1" t="s">
        <v>8661</v>
      </c>
      <c r="U112" s="1" t="str">
        <f>HYPERLINK("http://ictvonline.org/taxonomy/p/taxonomy-history?taxnode_id=202101475","ICTVonline=202101475")</f>
        <v>ICTVonline=202101475</v>
      </c>
    </row>
    <row r="113" spans="1:21" x14ac:dyDescent="0.2">
      <c r="A113" s="3">
        <v>112</v>
      </c>
      <c r="B113" s="1" t="s">
        <v>4875</v>
      </c>
      <c r="D113" s="1" t="s">
        <v>4876</v>
      </c>
      <c r="F113" s="1" t="s">
        <v>4877</v>
      </c>
      <c r="H113" s="1" t="s">
        <v>4878</v>
      </c>
      <c r="J113" s="1" t="s">
        <v>847</v>
      </c>
      <c r="L113" s="1" t="s">
        <v>851</v>
      </c>
      <c r="M113" s="1" t="s">
        <v>1290</v>
      </c>
      <c r="N113" s="1" t="s">
        <v>1293</v>
      </c>
      <c r="P113" s="1" t="s">
        <v>2711</v>
      </c>
      <c r="Q113" s="30" t="s">
        <v>2565</v>
      </c>
      <c r="R113" s="33" t="s">
        <v>3474</v>
      </c>
      <c r="S113">
        <v>35</v>
      </c>
      <c r="T113" s="1" t="s">
        <v>4879</v>
      </c>
      <c r="U113" s="1" t="str">
        <f>HYPERLINK("http://ictvonline.org/taxonomy/p/taxonomy-history?taxnode_id=202101476","ICTVonline=202101476")</f>
        <v>ICTVonline=202101476</v>
      </c>
    </row>
    <row r="114" spans="1:21" x14ac:dyDescent="0.2">
      <c r="A114" s="3">
        <v>113</v>
      </c>
      <c r="B114" s="1" t="s">
        <v>4875</v>
      </c>
      <c r="D114" s="1" t="s">
        <v>4876</v>
      </c>
      <c r="F114" s="1" t="s">
        <v>4877</v>
      </c>
      <c r="H114" s="1" t="s">
        <v>4878</v>
      </c>
      <c r="J114" s="1" t="s">
        <v>847</v>
      </c>
      <c r="L114" s="1" t="s">
        <v>851</v>
      </c>
      <c r="M114" s="1" t="s">
        <v>1290</v>
      </c>
      <c r="N114" s="1" t="s">
        <v>1293</v>
      </c>
      <c r="P114" s="1" t="s">
        <v>4772</v>
      </c>
      <c r="Q114" s="30" t="s">
        <v>2565</v>
      </c>
      <c r="R114" s="33" t="s">
        <v>3474</v>
      </c>
      <c r="S114">
        <v>35</v>
      </c>
      <c r="T114" s="1" t="s">
        <v>4879</v>
      </c>
      <c r="U114" s="1" t="str">
        <f>HYPERLINK("http://ictvonline.org/taxonomy/p/taxonomy-history?taxnode_id=202106402","ICTVonline=202106402")</f>
        <v>ICTVonline=202106402</v>
      </c>
    </row>
    <row r="115" spans="1:21" x14ac:dyDescent="0.2">
      <c r="A115" s="3">
        <v>114</v>
      </c>
      <c r="B115" s="1" t="s">
        <v>4875</v>
      </c>
      <c r="D115" s="1" t="s">
        <v>4876</v>
      </c>
      <c r="F115" s="1" t="s">
        <v>4877</v>
      </c>
      <c r="H115" s="1" t="s">
        <v>4878</v>
      </c>
      <c r="J115" s="1" t="s">
        <v>847</v>
      </c>
      <c r="L115" s="1" t="s">
        <v>851</v>
      </c>
      <c r="M115" s="1" t="s">
        <v>1290</v>
      </c>
      <c r="N115" s="1" t="s">
        <v>1293</v>
      </c>
      <c r="P115" s="1" t="s">
        <v>4773</v>
      </c>
      <c r="Q115" s="30" t="s">
        <v>2565</v>
      </c>
      <c r="R115" s="33" t="s">
        <v>3474</v>
      </c>
      <c r="S115">
        <v>35</v>
      </c>
      <c r="T115" s="1" t="s">
        <v>4879</v>
      </c>
      <c r="U115" s="1" t="str">
        <f>HYPERLINK("http://ictvonline.org/taxonomy/p/taxonomy-history?taxnode_id=202106403","ICTVonline=202106403")</f>
        <v>ICTVonline=202106403</v>
      </c>
    </row>
    <row r="116" spans="1:21" x14ac:dyDescent="0.2">
      <c r="A116" s="3">
        <v>115</v>
      </c>
      <c r="B116" s="1" t="s">
        <v>4875</v>
      </c>
      <c r="D116" s="1" t="s">
        <v>4876</v>
      </c>
      <c r="F116" s="1" t="s">
        <v>4877</v>
      </c>
      <c r="H116" s="1" t="s">
        <v>4878</v>
      </c>
      <c r="J116" s="1" t="s">
        <v>847</v>
      </c>
      <c r="L116" s="1" t="s">
        <v>851</v>
      </c>
      <c r="M116" s="1" t="s">
        <v>1290</v>
      </c>
      <c r="N116" s="1" t="s">
        <v>1293</v>
      </c>
      <c r="P116" s="1" t="s">
        <v>2713</v>
      </c>
      <c r="Q116" s="30" t="s">
        <v>2565</v>
      </c>
      <c r="R116" s="33" t="s">
        <v>3474</v>
      </c>
      <c r="S116">
        <v>35</v>
      </c>
      <c r="T116" s="1" t="s">
        <v>4879</v>
      </c>
      <c r="U116" s="1" t="str">
        <f>HYPERLINK("http://ictvonline.org/taxonomy/p/taxonomy-history?taxnode_id=202101479","ICTVonline=202101479")</f>
        <v>ICTVonline=202101479</v>
      </c>
    </row>
    <row r="117" spans="1:21" x14ac:dyDescent="0.2">
      <c r="A117" s="3">
        <v>116</v>
      </c>
      <c r="B117" s="1" t="s">
        <v>4875</v>
      </c>
      <c r="D117" s="1" t="s">
        <v>4876</v>
      </c>
      <c r="F117" s="1" t="s">
        <v>4877</v>
      </c>
      <c r="H117" s="1" t="s">
        <v>4878</v>
      </c>
      <c r="J117" s="1" t="s">
        <v>847</v>
      </c>
      <c r="L117" s="1" t="s">
        <v>851</v>
      </c>
      <c r="M117" s="1" t="s">
        <v>1297</v>
      </c>
      <c r="N117" s="1" t="s">
        <v>5945</v>
      </c>
      <c r="P117" s="1" t="s">
        <v>5946</v>
      </c>
      <c r="Q117" s="30" t="s">
        <v>2565</v>
      </c>
      <c r="R117" s="33" t="s">
        <v>3472</v>
      </c>
      <c r="S117">
        <v>36</v>
      </c>
      <c r="T117" s="1" t="s">
        <v>5942</v>
      </c>
      <c r="U117" s="1" t="str">
        <f>HYPERLINK("http://ictvonline.org/taxonomy/p/taxonomy-history?taxnode_id=202109147","ICTVonline=202109147")</f>
        <v>ICTVonline=202109147</v>
      </c>
    </row>
    <row r="118" spans="1:21" x14ac:dyDescent="0.2">
      <c r="A118" s="3">
        <v>117</v>
      </c>
      <c r="B118" s="1" t="s">
        <v>4875</v>
      </c>
      <c r="D118" s="1" t="s">
        <v>4876</v>
      </c>
      <c r="F118" s="1" t="s">
        <v>4877</v>
      </c>
      <c r="H118" s="1" t="s">
        <v>4878</v>
      </c>
      <c r="J118" s="1" t="s">
        <v>847</v>
      </c>
      <c r="L118" s="1" t="s">
        <v>851</v>
      </c>
      <c r="M118" s="1" t="s">
        <v>1297</v>
      </c>
      <c r="N118" s="1" t="s">
        <v>1199</v>
      </c>
      <c r="P118" s="1" t="s">
        <v>2715</v>
      </c>
      <c r="Q118" s="30" t="s">
        <v>2565</v>
      </c>
      <c r="R118" s="33" t="s">
        <v>3474</v>
      </c>
      <c r="S118">
        <v>35</v>
      </c>
      <c r="T118" s="1" t="s">
        <v>4879</v>
      </c>
      <c r="U118" s="1" t="str">
        <f>HYPERLINK("http://ictvonline.org/taxonomy/p/taxonomy-history?taxnode_id=202101483","ICTVonline=202101483")</f>
        <v>ICTVonline=202101483</v>
      </c>
    </row>
    <row r="119" spans="1:21" x14ac:dyDescent="0.2">
      <c r="A119" s="3">
        <v>118</v>
      </c>
      <c r="B119" s="1" t="s">
        <v>4875</v>
      </c>
      <c r="D119" s="1" t="s">
        <v>4876</v>
      </c>
      <c r="F119" s="1" t="s">
        <v>4877</v>
      </c>
      <c r="H119" s="1" t="s">
        <v>4878</v>
      </c>
      <c r="J119" s="1" t="s">
        <v>847</v>
      </c>
      <c r="L119" s="1" t="s">
        <v>851</v>
      </c>
      <c r="M119" s="1" t="s">
        <v>1297</v>
      </c>
      <c r="N119" s="1" t="s">
        <v>1199</v>
      </c>
      <c r="P119" s="1" t="s">
        <v>2716</v>
      </c>
      <c r="Q119" s="30" t="s">
        <v>2565</v>
      </c>
      <c r="R119" s="33" t="s">
        <v>3474</v>
      </c>
      <c r="S119">
        <v>35</v>
      </c>
      <c r="T119" s="1" t="s">
        <v>4879</v>
      </c>
      <c r="U119" s="1" t="str">
        <f>HYPERLINK("http://ictvonline.org/taxonomy/p/taxonomy-history?taxnode_id=202101484","ICTVonline=202101484")</f>
        <v>ICTVonline=202101484</v>
      </c>
    </row>
    <row r="120" spans="1:21" x14ac:dyDescent="0.2">
      <c r="A120" s="3">
        <v>119</v>
      </c>
      <c r="B120" s="1" t="s">
        <v>4875</v>
      </c>
      <c r="D120" s="1" t="s">
        <v>4876</v>
      </c>
      <c r="F120" s="1" t="s">
        <v>4877</v>
      </c>
      <c r="H120" s="1" t="s">
        <v>4878</v>
      </c>
      <c r="J120" s="1" t="s">
        <v>847</v>
      </c>
      <c r="L120" s="1" t="s">
        <v>851</v>
      </c>
      <c r="M120" s="1" t="s">
        <v>1297</v>
      </c>
      <c r="N120" s="1" t="s">
        <v>1199</v>
      </c>
      <c r="P120" s="1" t="s">
        <v>2717</v>
      </c>
      <c r="Q120" s="30" t="s">
        <v>2565</v>
      </c>
      <c r="R120" s="33" t="s">
        <v>3474</v>
      </c>
      <c r="S120">
        <v>35</v>
      </c>
      <c r="T120" s="1" t="s">
        <v>4879</v>
      </c>
      <c r="U120" s="1" t="str">
        <f>HYPERLINK("http://ictvonline.org/taxonomy/p/taxonomy-history?taxnode_id=202101485","ICTVonline=202101485")</f>
        <v>ICTVonline=202101485</v>
      </c>
    </row>
    <row r="121" spans="1:21" x14ac:dyDescent="0.2">
      <c r="A121" s="3">
        <v>120</v>
      </c>
      <c r="B121" s="1" t="s">
        <v>4875</v>
      </c>
      <c r="D121" s="1" t="s">
        <v>4876</v>
      </c>
      <c r="F121" s="1" t="s">
        <v>4877</v>
      </c>
      <c r="H121" s="1" t="s">
        <v>4878</v>
      </c>
      <c r="J121" s="1" t="s">
        <v>847</v>
      </c>
      <c r="L121" s="1" t="s">
        <v>851</v>
      </c>
      <c r="M121" s="1" t="s">
        <v>1297</v>
      </c>
      <c r="N121" s="1" t="s">
        <v>1199</v>
      </c>
      <c r="P121" s="1" t="s">
        <v>2718</v>
      </c>
      <c r="Q121" s="30" t="s">
        <v>2565</v>
      </c>
      <c r="R121" s="33" t="s">
        <v>8665</v>
      </c>
      <c r="S121">
        <v>36</v>
      </c>
      <c r="T121" s="1" t="s">
        <v>8661</v>
      </c>
      <c r="U121" s="1" t="str">
        <f>HYPERLINK("http://ictvonline.org/taxonomy/p/taxonomy-history?taxnode_id=202101486","ICTVonline=202101486")</f>
        <v>ICTVonline=202101486</v>
      </c>
    </row>
    <row r="122" spans="1:21" x14ac:dyDescent="0.2">
      <c r="A122" s="3">
        <v>121</v>
      </c>
      <c r="B122" s="1" t="s">
        <v>4875</v>
      </c>
      <c r="D122" s="1" t="s">
        <v>4876</v>
      </c>
      <c r="F122" s="1" t="s">
        <v>4877</v>
      </c>
      <c r="H122" s="1" t="s">
        <v>4878</v>
      </c>
      <c r="J122" s="1" t="s">
        <v>847</v>
      </c>
      <c r="L122" s="1" t="s">
        <v>851</v>
      </c>
      <c r="M122" s="1" t="s">
        <v>1297</v>
      </c>
      <c r="N122" s="1" t="s">
        <v>1199</v>
      </c>
      <c r="P122" s="1" t="s">
        <v>2719</v>
      </c>
      <c r="Q122" s="30" t="s">
        <v>2565</v>
      </c>
      <c r="R122" s="33" t="s">
        <v>3474</v>
      </c>
      <c r="S122">
        <v>35</v>
      </c>
      <c r="T122" s="1" t="s">
        <v>4879</v>
      </c>
      <c r="U122" s="1" t="str">
        <f>HYPERLINK("http://ictvonline.org/taxonomy/p/taxonomy-history?taxnode_id=202101487","ICTVonline=202101487")</f>
        <v>ICTVonline=202101487</v>
      </c>
    </row>
    <row r="123" spans="1:21" x14ac:dyDescent="0.2">
      <c r="A123" s="3">
        <v>122</v>
      </c>
      <c r="B123" s="1" t="s">
        <v>4875</v>
      </c>
      <c r="D123" s="1" t="s">
        <v>4876</v>
      </c>
      <c r="F123" s="1" t="s">
        <v>4877</v>
      </c>
      <c r="H123" s="1" t="s">
        <v>4878</v>
      </c>
      <c r="J123" s="1" t="s">
        <v>847</v>
      </c>
      <c r="L123" s="1" t="s">
        <v>851</v>
      </c>
      <c r="M123" s="1" t="s">
        <v>1297</v>
      </c>
      <c r="N123" s="1" t="s">
        <v>1199</v>
      </c>
      <c r="P123" s="1" t="s">
        <v>4774</v>
      </c>
      <c r="Q123" s="30" t="s">
        <v>2565</v>
      </c>
      <c r="R123" s="33" t="s">
        <v>3474</v>
      </c>
      <c r="S123">
        <v>35</v>
      </c>
      <c r="T123" s="1" t="s">
        <v>4879</v>
      </c>
      <c r="U123" s="1" t="str">
        <f>HYPERLINK("http://ictvonline.org/taxonomy/p/taxonomy-history?taxnode_id=202106406","ICTVonline=202106406")</f>
        <v>ICTVonline=202106406</v>
      </c>
    </row>
    <row r="124" spans="1:21" x14ac:dyDescent="0.2">
      <c r="A124" s="3">
        <v>123</v>
      </c>
      <c r="B124" s="1" t="s">
        <v>4875</v>
      </c>
      <c r="D124" s="1" t="s">
        <v>4876</v>
      </c>
      <c r="F124" s="1" t="s">
        <v>4877</v>
      </c>
      <c r="H124" s="1" t="s">
        <v>4878</v>
      </c>
      <c r="J124" s="1" t="s">
        <v>847</v>
      </c>
      <c r="L124" s="1" t="s">
        <v>851</v>
      </c>
      <c r="M124" s="1" t="s">
        <v>1297</v>
      </c>
      <c r="N124" s="1" t="s">
        <v>1199</v>
      </c>
      <c r="P124" s="1" t="s">
        <v>2720</v>
      </c>
      <c r="Q124" s="30" t="s">
        <v>2565</v>
      </c>
      <c r="R124" s="33" t="s">
        <v>3474</v>
      </c>
      <c r="S124">
        <v>35</v>
      </c>
      <c r="T124" s="1" t="s">
        <v>4879</v>
      </c>
      <c r="U124" s="1" t="str">
        <f>HYPERLINK("http://ictvonline.org/taxonomy/p/taxonomy-history?taxnode_id=202101488","ICTVonline=202101488")</f>
        <v>ICTVonline=202101488</v>
      </c>
    </row>
    <row r="125" spans="1:21" x14ac:dyDescent="0.2">
      <c r="A125" s="3">
        <v>124</v>
      </c>
      <c r="B125" s="1" t="s">
        <v>4875</v>
      </c>
      <c r="D125" s="1" t="s">
        <v>4876</v>
      </c>
      <c r="F125" s="1" t="s">
        <v>4877</v>
      </c>
      <c r="H125" s="1" t="s">
        <v>4878</v>
      </c>
      <c r="J125" s="1" t="s">
        <v>847</v>
      </c>
      <c r="L125" s="1" t="s">
        <v>851</v>
      </c>
      <c r="M125" s="1" t="s">
        <v>1297</v>
      </c>
      <c r="N125" s="1" t="s">
        <v>1199</v>
      </c>
      <c r="P125" s="1" t="s">
        <v>2721</v>
      </c>
      <c r="Q125" s="30" t="s">
        <v>2565</v>
      </c>
      <c r="R125" s="33" t="s">
        <v>3474</v>
      </c>
      <c r="S125">
        <v>35</v>
      </c>
      <c r="T125" s="1" t="s">
        <v>4879</v>
      </c>
      <c r="U125" s="1" t="str">
        <f>HYPERLINK("http://ictvonline.org/taxonomy/p/taxonomy-history?taxnode_id=202101489","ICTVonline=202101489")</f>
        <v>ICTVonline=202101489</v>
      </c>
    </row>
    <row r="126" spans="1:21" x14ac:dyDescent="0.2">
      <c r="A126" s="3">
        <v>125</v>
      </c>
      <c r="B126" s="1" t="s">
        <v>4875</v>
      </c>
      <c r="D126" s="1" t="s">
        <v>4876</v>
      </c>
      <c r="F126" s="1" t="s">
        <v>4877</v>
      </c>
      <c r="H126" s="1" t="s">
        <v>4878</v>
      </c>
      <c r="J126" s="1" t="s">
        <v>847</v>
      </c>
      <c r="L126" s="1" t="s">
        <v>851</v>
      </c>
      <c r="M126" s="1" t="s">
        <v>1297</v>
      </c>
      <c r="N126" s="1" t="s">
        <v>1199</v>
      </c>
      <c r="P126" s="1" t="s">
        <v>2722</v>
      </c>
      <c r="Q126" s="30" t="s">
        <v>2565</v>
      </c>
      <c r="R126" s="33" t="s">
        <v>3474</v>
      </c>
      <c r="S126">
        <v>35</v>
      </c>
      <c r="T126" s="1" t="s">
        <v>4879</v>
      </c>
      <c r="U126" s="1" t="str">
        <f>HYPERLINK("http://ictvonline.org/taxonomy/p/taxonomy-history?taxnode_id=202101490","ICTVonline=202101490")</f>
        <v>ICTVonline=202101490</v>
      </c>
    </row>
    <row r="127" spans="1:21" x14ac:dyDescent="0.2">
      <c r="A127" s="3">
        <v>126</v>
      </c>
      <c r="B127" s="1" t="s">
        <v>4875</v>
      </c>
      <c r="D127" s="1" t="s">
        <v>4876</v>
      </c>
      <c r="F127" s="1" t="s">
        <v>4877</v>
      </c>
      <c r="H127" s="1" t="s">
        <v>4878</v>
      </c>
      <c r="J127" s="1" t="s">
        <v>847</v>
      </c>
      <c r="L127" s="1" t="s">
        <v>851</v>
      </c>
      <c r="M127" s="1" t="s">
        <v>1297</v>
      </c>
      <c r="N127" s="1" t="s">
        <v>1223</v>
      </c>
      <c r="P127" s="1" t="s">
        <v>2723</v>
      </c>
      <c r="Q127" s="30" t="s">
        <v>2565</v>
      </c>
      <c r="R127" s="33" t="s">
        <v>8665</v>
      </c>
      <c r="S127">
        <v>36</v>
      </c>
      <c r="T127" s="1" t="s">
        <v>8661</v>
      </c>
      <c r="U127" s="1" t="str">
        <f>HYPERLINK("http://ictvonline.org/taxonomy/p/taxonomy-history?taxnode_id=202101492","ICTVonline=202101492")</f>
        <v>ICTVonline=202101492</v>
      </c>
    </row>
    <row r="128" spans="1:21" x14ac:dyDescent="0.2">
      <c r="A128" s="3">
        <v>127</v>
      </c>
      <c r="B128" s="1" t="s">
        <v>4875</v>
      </c>
      <c r="D128" s="1" t="s">
        <v>4876</v>
      </c>
      <c r="F128" s="1" t="s">
        <v>4877</v>
      </c>
      <c r="H128" s="1" t="s">
        <v>4878</v>
      </c>
      <c r="J128" s="1" t="s">
        <v>847</v>
      </c>
      <c r="L128" s="1" t="s">
        <v>851</v>
      </c>
      <c r="M128" s="1" t="s">
        <v>1297</v>
      </c>
      <c r="N128" s="1" t="s">
        <v>1223</v>
      </c>
      <c r="P128" s="1" t="s">
        <v>2724</v>
      </c>
      <c r="Q128" s="30" t="s">
        <v>2565</v>
      </c>
      <c r="R128" s="33" t="s">
        <v>3474</v>
      </c>
      <c r="S128">
        <v>35</v>
      </c>
      <c r="T128" s="1" t="s">
        <v>4879</v>
      </c>
      <c r="U128" s="1" t="str">
        <f>HYPERLINK("http://ictvonline.org/taxonomy/p/taxonomy-history?taxnode_id=202101493","ICTVonline=202101493")</f>
        <v>ICTVonline=202101493</v>
      </c>
    </row>
    <row r="129" spans="1:21" x14ac:dyDescent="0.2">
      <c r="A129" s="3">
        <v>128</v>
      </c>
      <c r="B129" s="1" t="s">
        <v>4875</v>
      </c>
      <c r="D129" s="1" t="s">
        <v>4876</v>
      </c>
      <c r="F129" s="1" t="s">
        <v>4877</v>
      </c>
      <c r="H129" s="1" t="s">
        <v>4878</v>
      </c>
      <c r="J129" s="1" t="s">
        <v>847</v>
      </c>
      <c r="L129" s="1" t="s">
        <v>851</v>
      </c>
      <c r="M129" s="1" t="s">
        <v>1297</v>
      </c>
      <c r="N129" s="1" t="s">
        <v>1223</v>
      </c>
      <c r="P129" s="1" t="s">
        <v>2725</v>
      </c>
      <c r="Q129" s="30" t="s">
        <v>2565</v>
      </c>
      <c r="R129" s="33" t="s">
        <v>3474</v>
      </c>
      <c r="S129">
        <v>35</v>
      </c>
      <c r="T129" s="1" t="s">
        <v>4879</v>
      </c>
      <c r="U129" s="1" t="str">
        <f>HYPERLINK("http://ictvonline.org/taxonomy/p/taxonomy-history?taxnode_id=202101494","ICTVonline=202101494")</f>
        <v>ICTVonline=202101494</v>
      </c>
    </row>
    <row r="130" spans="1:21" x14ac:dyDescent="0.2">
      <c r="A130" s="3">
        <v>129</v>
      </c>
      <c r="B130" s="1" t="s">
        <v>4875</v>
      </c>
      <c r="D130" s="1" t="s">
        <v>4876</v>
      </c>
      <c r="F130" s="1" t="s">
        <v>4877</v>
      </c>
      <c r="H130" s="1" t="s">
        <v>4878</v>
      </c>
      <c r="J130" s="1" t="s">
        <v>847</v>
      </c>
      <c r="L130" s="1" t="s">
        <v>851</v>
      </c>
      <c r="M130" s="1" t="s">
        <v>1297</v>
      </c>
      <c r="N130" s="1" t="s">
        <v>1223</v>
      </c>
      <c r="P130" s="1" t="s">
        <v>2726</v>
      </c>
      <c r="Q130" s="30" t="s">
        <v>2565</v>
      </c>
      <c r="R130" s="33" t="s">
        <v>3474</v>
      </c>
      <c r="S130">
        <v>35</v>
      </c>
      <c r="T130" s="1" t="s">
        <v>4879</v>
      </c>
      <c r="U130" s="1" t="str">
        <f>HYPERLINK("http://ictvonline.org/taxonomy/p/taxonomy-history?taxnode_id=202101495","ICTVonline=202101495")</f>
        <v>ICTVonline=202101495</v>
      </c>
    </row>
    <row r="131" spans="1:21" x14ac:dyDescent="0.2">
      <c r="A131" s="3">
        <v>130</v>
      </c>
      <c r="B131" s="1" t="s">
        <v>4875</v>
      </c>
      <c r="D131" s="1" t="s">
        <v>4876</v>
      </c>
      <c r="F131" s="1" t="s">
        <v>4877</v>
      </c>
      <c r="H131" s="1" t="s">
        <v>4878</v>
      </c>
      <c r="J131" s="1" t="s">
        <v>847</v>
      </c>
      <c r="L131" s="1" t="s">
        <v>851</v>
      </c>
      <c r="M131" s="1" t="s">
        <v>1297</v>
      </c>
      <c r="N131" s="1" t="s">
        <v>1223</v>
      </c>
      <c r="P131" s="1" t="s">
        <v>2727</v>
      </c>
      <c r="Q131" s="30" t="s">
        <v>2565</v>
      </c>
      <c r="R131" s="33" t="s">
        <v>3474</v>
      </c>
      <c r="S131">
        <v>35</v>
      </c>
      <c r="T131" s="1" t="s">
        <v>4879</v>
      </c>
      <c r="U131" s="1" t="str">
        <f>HYPERLINK("http://ictvonline.org/taxonomy/p/taxonomy-history?taxnode_id=202101496","ICTVonline=202101496")</f>
        <v>ICTVonline=202101496</v>
      </c>
    </row>
    <row r="132" spans="1:21" x14ac:dyDescent="0.2">
      <c r="A132" s="3">
        <v>131</v>
      </c>
      <c r="B132" s="1" t="s">
        <v>4875</v>
      </c>
      <c r="D132" s="1" t="s">
        <v>4876</v>
      </c>
      <c r="F132" s="1" t="s">
        <v>4877</v>
      </c>
      <c r="H132" s="1" t="s">
        <v>4878</v>
      </c>
      <c r="J132" s="1" t="s">
        <v>847</v>
      </c>
      <c r="L132" s="1" t="s">
        <v>851</v>
      </c>
      <c r="M132" s="1" t="s">
        <v>1297</v>
      </c>
      <c r="N132" s="1" t="s">
        <v>1223</v>
      </c>
      <c r="P132" s="1" t="s">
        <v>2728</v>
      </c>
      <c r="Q132" s="30" t="s">
        <v>2565</v>
      </c>
      <c r="R132" s="33" t="s">
        <v>3474</v>
      </c>
      <c r="S132">
        <v>35</v>
      </c>
      <c r="T132" s="1" t="s">
        <v>4879</v>
      </c>
      <c r="U132" s="1" t="str">
        <f>HYPERLINK("http://ictvonline.org/taxonomy/p/taxonomy-history?taxnode_id=202101497","ICTVonline=202101497")</f>
        <v>ICTVonline=202101497</v>
      </c>
    </row>
    <row r="133" spans="1:21" x14ac:dyDescent="0.2">
      <c r="A133" s="3">
        <v>132</v>
      </c>
      <c r="B133" s="1" t="s">
        <v>4875</v>
      </c>
      <c r="D133" s="1" t="s">
        <v>4876</v>
      </c>
      <c r="F133" s="1" t="s">
        <v>4877</v>
      </c>
      <c r="H133" s="1" t="s">
        <v>4878</v>
      </c>
      <c r="J133" s="1" t="s">
        <v>847</v>
      </c>
      <c r="L133" s="1" t="s">
        <v>851</v>
      </c>
      <c r="M133" s="1" t="s">
        <v>1297</v>
      </c>
      <c r="N133" s="1" t="s">
        <v>1223</v>
      </c>
      <c r="P133" s="1" t="s">
        <v>2729</v>
      </c>
      <c r="Q133" s="30" t="s">
        <v>2565</v>
      </c>
      <c r="R133" s="33" t="s">
        <v>3474</v>
      </c>
      <c r="S133">
        <v>35</v>
      </c>
      <c r="T133" s="1" t="s">
        <v>4879</v>
      </c>
      <c r="U133" s="1" t="str">
        <f>HYPERLINK("http://ictvonline.org/taxonomy/p/taxonomy-history?taxnode_id=202101498","ICTVonline=202101498")</f>
        <v>ICTVonline=202101498</v>
      </c>
    </row>
    <row r="134" spans="1:21" x14ac:dyDescent="0.2">
      <c r="A134" s="3">
        <v>133</v>
      </c>
      <c r="B134" s="1" t="s">
        <v>4875</v>
      </c>
      <c r="D134" s="1" t="s">
        <v>4876</v>
      </c>
      <c r="F134" s="1" t="s">
        <v>4877</v>
      </c>
      <c r="H134" s="1" t="s">
        <v>4878</v>
      </c>
      <c r="J134" s="1" t="s">
        <v>847</v>
      </c>
      <c r="L134" s="1" t="s">
        <v>851</v>
      </c>
      <c r="M134" s="1" t="s">
        <v>1297</v>
      </c>
      <c r="N134" s="1" t="s">
        <v>1223</v>
      </c>
      <c r="P134" s="1" t="s">
        <v>2730</v>
      </c>
      <c r="Q134" s="30" t="s">
        <v>2565</v>
      </c>
      <c r="R134" s="33" t="s">
        <v>3474</v>
      </c>
      <c r="S134">
        <v>35</v>
      </c>
      <c r="T134" s="1" t="s">
        <v>4879</v>
      </c>
      <c r="U134" s="1" t="str">
        <f>HYPERLINK("http://ictvonline.org/taxonomy/p/taxonomy-history?taxnode_id=202101499","ICTVonline=202101499")</f>
        <v>ICTVonline=202101499</v>
      </c>
    </row>
    <row r="135" spans="1:21" x14ac:dyDescent="0.2">
      <c r="A135" s="3">
        <v>134</v>
      </c>
      <c r="B135" s="1" t="s">
        <v>4875</v>
      </c>
      <c r="D135" s="1" t="s">
        <v>4876</v>
      </c>
      <c r="F135" s="1" t="s">
        <v>4877</v>
      </c>
      <c r="H135" s="1" t="s">
        <v>4878</v>
      </c>
      <c r="J135" s="1" t="s">
        <v>847</v>
      </c>
      <c r="L135" s="1" t="s">
        <v>851</v>
      </c>
      <c r="M135" s="1" t="s">
        <v>1297</v>
      </c>
      <c r="N135" s="1" t="s">
        <v>1223</v>
      </c>
      <c r="P135" s="1" t="s">
        <v>2731</v>
      </c>
      <c r="Q135" s="30" t="s">
        <v>2565</v>
      </c>
      <c r="R135" s="33" t="s">
        <v>3474</v>
      </c>
      <c r="S135">
        <v>35</v>
      </c>
      <c r="T135" s="1" t="s">
        <v>4879</v>
      </c>
      <c r="U135" s="1" t="str">
        <f>HYPERLINK("http://ictvonline.org/taxonomy/p/taxonomy-history?taxnode_id=202101500","ICTVonline=202101500")</f>
        <v>ICTVonline=202101500</v>
      </c>
    </row>
    <row r="136" spans="1:21" x14ac:dyDescent="0.2">
      <c r="A136" s="3">
        <v>135</v>
      </c>
      <c r="B136" s="1" t="s">
        <v>4875</v>
      </c>
      <c r="D136" s="1" t="s">
        <v>4876</v>
      </c>
      <c r="F136" s="1" t="s">
        <v>4877</v>
      </c>
      <c r="H136" s="1" t="s">
        <v>4878</v>
      </c>
      <c r="J136" s="1" t="s">
        <v>847</v>
      </c>
      <c r="L136" s="1" t="s">
        <v>851</v>
      </c>
      <c r="M136" s="1" t="s">
        <v>1297</v>
      </c>
      <c r="N136" s="1" t="s">
        <v>5947</v>
      </c>
      <c r="P136" s="1" t="s">
        <v>5948</v>
      </c>
      <c r="Q136" s="30" t="s">
        <v>2565</v>
      </c>
      <c r="R136" s="33" t="s">
        <v>3472</v>
      </c>
      <c r="S136">
        <v>36</v>
      </c>
      <c r="T136" s="1" t="s">
        <v>5942</v>
      </c>
      <c r="U136" s="1" t="str">
        <f>HYPERLINK("http://ictvonline.org/taxonomy/p/taxonomy-history?taxnode_id=202109151","ICTVonline=202109151")</f>
        <v>ICTVonline=202109151</v>
      </c>
    </row>
    <row r="137" spans="1:21" x14ac:dyDescent="0.2">
      <c r="A137" s="3">
        <v>136</v>
      </c>
      <c r="B137" s="1" t="s">
        <v>4875</v>
      </c>
      <c r="D137" s="1" t="s">
        <v>4876</v>
      </c>
      <c r="F137" s="1" t="s">
        <v>4877</v>
      </c>
      <c r="H137" s="1" t="s">
        <v>4878</v>
      </c>
      <c r="J137" s="1" t="s">
        <v>847</v>
      </c>
      <c r="L137" s="1" t="s">
        <v>851</v>
      </c>
      <c r="M137" s="1" t="s">
        <v>1297</v>
      </c>
      <c r="N137" s="1" t="s">
        <v>5947</v>
      </c>
      <c r="P137" s="1" t="s">
        <v>5949</v>
      </c>
      <c r="Q137" s="30" t="s">
        <v>2565</v>
      </c>
      <c r="R137" s="33" t="s">
        <v>3472</v>
      </c>
      <c r="S137">
        <v>36</v>
      </c>
      <c r="T137" s="1" t="s">
        <v>5942</v>
      </c>
      <c r="U137" s="1" t="str">
        <f>HYPERLINK("http://ictvonline.org/taxonomy/p/taxonomy-history?taxnode_id=202109152","ICTVonline=202109152")</f>
        <v>ICTVonline=202109152</v>
      </c>
    </row>
    <row r="138" spans="1:21" x14ac:dyDescent="0.2">
      <c r="A138" s="3">
        <v>137</v>
      </c>
      <c r="B138" s="1" t="s">
        <v>4875</v>
      </c>
      <c r="D138" s="1" t="s">
        <v>4876</v>
      </c>
      <c r="F138" s="1" t="s">
        <v>4877</v>
      </c>
      <c r="H138" s="1" t="s">
        <v>4878</v>
      </c>
      <c r="J138" s="1" t="s">
        <v>847</v>
      </c>
      <c r="L138" s="1" t="s">
        <v>851</v>
      </c>
      <c r="M138" s="1" t="s">
        <v>1297</v>
      </c>
      <c r="N138" s="1" t="s">
        <v>5950</v>
      </c>
      <c r="P138" s="1" t="s">
        <v>5951</v>
      </c>
      <c r="Q138" s="30" t="s">
        <v>2565</v>
      </c>
      <c r="R138" s="33" t="s">
        <v>3472</v>
      </c>
      <c r="S138">
        <v>36</v>
      </c>
      <c r="T138" s="1" t="s">
        <v>5942</v>
      </c>
      <c r="U138" s="1" t="str">
        <f>HYPERLINK("http://ictvonline.org/taxonomy/p/taxonomy-history?taxnode_id=202109149","ICTVonline=202109149")</f>
        <v>ICTVonline=202109149</v>
      </c>
    </row>
    <row r="139" spans="1:21" x14ac:dyDescent="0.2">
      <c r="A139" s="3">
        <v>138</v>
      </c>
      <c r="B139" s="1" t="s">
        <v>4875</v>
      </c>
      <c r="D139" s="1" t="s">
        <v>4876</v>
      </c>
      <c r="F139" s="1" t="s">
        <v>4877</v>
      </c>
      <c r="H139" s="1" t="s">
        <v>4878</v>
      </c>
      <c r="J139" s="1" t="s">
        <v>847</v>
      </c>
      <c r="L139" s="1" t="s">
        <v>851</v>
      </c>
      <c r="M139" s="1" t="s">
        <v>1297</v>
      </c>
      <c r="N139" s="1" t="s">
        <v>1193</v>
      </c>
      <c r="P139" s="1" t="s">
        <v>2732</v>
      </c>
      <c r="Q139" s="30" t="s">
        <v>2565</v>
      </c>
      <c r="R139" s="33" t="s">
        <v>8665</v>
      </c>
      <c r="S139">
        <v>36</v>
      </c>
      <c r="T139" s="1" t="s">
        <v>8661</v>
      </c>
      <c r="U139" s="1" t="str">
        <f>HYPERLINK("http://ictvonline.org/taxonomy/p/taxonomy-history?taxnode_id=202101502","ICTVonline=202101502")</f>
        <v>ICTVonline=202101502</v>
      </c>
    </row>
    <row r="140" spans="1:21" x14ac:dyDescent="0.2">
      <c r="A140" s="3">
        <v>139</v>
      </c>
      <c r="B140" s="1" t="s">
        <v>4875</v>
      </c>
      <c r="D140" s="1" t="s">
        <v>4876</v>
      </c>
      <c r="F140" s="1" t="s">
        <v>4877</v>
      </c>
      <c r="H140" s="1" t="s">
        <v>4878</v>
      </c>
      <c r="J140" s="1" t="s">
        <v>847</v>
      </c>
      <c r="L140" s="1" t="s">
        <v>851</v>
      </c>
      <c r="M140" s="1" t="s">
        <v>1297</v>
      </c>
      <c r="N140" s="1" t="s">
        <v>1193</v>
      </c>
      <c r="P140" s="1" t="s">
        <v>2733</v>
      </c>
      <c r="Q140" s="30" t="s">
        <v>2565</v>
      </c>
      <c r="R140" s="33" t="s">
        <v>3474</v>
      </c>
      <c r="S140">
        <v>35</v>
      </c>
      <c r="T140" s="1" t="s">
        <v>4879</v>
      </c>
      <c r="U140" s="1" t="str">
        <f>HYPERLINK("http://ictvonline.org/taxonomy/p/taxonomy-history?taxnode_id=202101503","ICTVonline=202101503")</f>
        <v>ICTVonline=202101503</v>
      </c>
    </row>
    <row r="141" spans="1:21" x14ac:dyDescent="0.2">
      <c r="A141" s="3">
        <v>140</v>
      </c>
      <c r="B141" s="1" t="s">
        <v>4875</v>
      </c>
      <c r="D141" s="1" t="s">
        <v>4876</v>
      </c>
      <c r="F141" s="1" t="s">
        <v>4877</v>
      </c>
      <c r="H141" s="1" t="s">
        <v>4878</v>
      </c>
      <c r="J141" s="1" t="s">
        <v>847</v>
      </c>
      <c r="L141" s="1" t="s">
        <v>851</v>
      </c>
      <c r="M141" s="1" t="s">
        <v>1297</v>
      </c>
      <c r="N141" s="1" t="s">
        <v>1193</v>
      </c>
      <c r="P141" s="1" t="s">
        <v>4775</v>
      </c>
      <c r="Q141" s="30" t="s">
        <v>2565</v>
      </c>
      <c r="R141" s="33" t="s">
        <v>3474</v>
      </c>
      <c r="S141">
        <v>35</v>
      </c>
      <c r="T141" s="1" t="s">
        <v>4879</v>
      </c>
      <c r="U141" s="1" t="str">
        <f>HYPERLINK("http://ictvonline.org/taxonomy/p/taxonomy-history?taxnode_id=202106410","ICTVonline=202106410")</f>
        <v>ICTVonline=202106410</v>
      </c>
    </row>
    <row r="142" spans="1:21" x14ac:dyDescent="0.2">
      <c r="A142" s="3">
        <v>141</v>
      </c>
      <c r="B142" s="1" t="s">
        <v>4875</v>
      </c>
      <c r="D142" s="1" t="s">
        <v>4876</v>
      </c>
      <c r="F142" s="1" t="s">
        <v>4877</v>
      </c>
      <c r="H142" s="1" t="s">
        <v>4878</v>
      </c>
      <c r="J142" s="1" t="s">
        <v>847</v>
      </c>
      <c r="L142" s="1" t="s">
        <v>851</v>
      </c>
      <c r="M142" s="1" t="s">
        <v>1297</v>
      </c>
      <c r="N142" s="1" t="s">
        <v>1193</v>
      </c>
      <c r="P142" s="1" t="s">
        <v>2734</v>
      </c>
      <c r="Q142" s="30" t="s">
        <v>2565</v>
      </c>
      <c r="R142" s="33" t="s">
        <v>3474</v>
      </c>
      <c r="S142">
        <v>35</v>
      </c>
      <c r="T142" s="1" t="s">
        <v>4879</v>
      </c>
      <c r="U142" s="1" t="str">
        <f>HYPERLINK("http://ictvonline.org/taxonomy/p/taxonomy-history?taxnode_id=202101504","ICTVonline=202101504")</f>
        <v>ICTVonline=202101504</v>
      </c>
    </row>
    <row r="143" spans="1:21" x14ac:dyDescent="0.2">
      <c r="A143" s="3">
        <v>142</v>
      </c>
      <c r="B143" s="1" t="s">
        <v>4875</v>
      </c>
      <c r="D143" s="1" t="s">
        <v>4876</v>
      </c>
      <c r="F143" s="1" t="s">
        <v>4877</v>
      </c>
      <c r="H143" s="1" t="s">
        <v>4878</v>
      </c>
      <c r="J143" s="1" t="s">
        <v>847</v>
      </c>
      <c r="L143" s="1" t="s">
        <v>851</v>
      </c>
      <c r="M143" s="1" t="s">
        <v>1297</v>
      </c>
      <c r="N143" s="1" t="s">
        <v>1193</v>
      </c>
      <c r="P143" s="1" t="s">
        <v>4776</v>
      </c>
      <c r="Q143" s="30" t="s">
        <v>2565</v>
      </c>
      <c r="R143" s="33" t="s">
        <v>3474</v>
      </c>
      <c r="S143">
        <v>35</v>
      </c>
      <c r="T143" s="1" t="s">
        <v>4879</v>
      </c>
      <c r="U143" s="1" t="str">
        <f>HYPERLINK("http://ictvonline.org/taxonomy/p/taxonomy-history?taxnode_id=202106411","ICTVonline=202106411")</f>
        <v>ICTVonline=202106411</v>
      </c>
    </row>
    <row r="144" spans="1:21" x14ac:dyDescent="0.2">
      <c r="A144" s="3">
        <v>143</v>
      </c>
      <c r="B144" s="1" t="s">
        <v>4875</v>
      </c>
      <c r="D144" s="1" t="s">
        <v>4876</v>
      </c>
      <c r="F144" s="1" t="s">
        <v>4877</v>
      </c>
      <c r="H144" s="1" t="s">
        <v>4878</v>
      </c>
      <c r="J144" s="1" t="s">
        <v>847</v>
      </c>
      <c r="L144" s="1" t="s">
        <v>851</v>
      </c>
      <c r="M144" s="1" t="s">
        <v>1297</v>
      </c>
      <c r="N144" s="1" t="s">
        <v>1193</v>
      </c>
      <c r="P144" s="1" t="s">
        <v>4777</v>
      </c>
      <c r="Q144" s="30" t="s">
        <v>2565</v>
      </c>
      <c r="R144" s="33" t="s">
        <v>3474</v>
      </c>
      <c r="S144">
        <v>35</v>
      </c>
      <c r="T144" s="1" t="s">
        <v>4879</v>
      </c>
      <c r="U144" s="1" t="str">
        <f>HYPERLINK("http://ictvonline.org/taxonomy/p/taxonomy-history?taxnode_id=202106412","ICTVonline=202106412")</f>
        <v>ICTVonline=202106412</v>
      </c>
    </row>
    <row r="145" spans="1:21" x14ac:dyDescent="0.2">
      <c r="A145" s="3">
        <v>144</v>
      </c>
      <c r="B145" s="1" t="s">
        <v>4875</v>
      </c>
      <c r="D145" s="1" t="s">
        <v>4876</v>
      </c>
      <c r="F145" s="1" t="s">
        <v>4877</v>
      </c>
      <c r="H145" s="1" t="s">
        <v>4878</v>
      </c>
      <c r="J145" s="1" t="s">
        <v>847</v>
      </c>
      <c r="L145" s="1" t="s">
        <v>851</v>
      </c>
      <c r="M145" s="1" t="s">
        <v>1297</v>
      </c>
      <c r="N145" s="1" t="s">
        <v>1194</v>
      </c>
      <c r="P145" s="1" t="s">
        <v>2735</v>
      </c>
      <c r="Q145" s="30" t="s">
        <v>2565</v>
      </c>
      <c r="R145" s="33" t="s">
        <v>3474</v>
      </c>
      <c r="S145">
        <v>35</v>
      </c>
      <c r="T145" s="1" t="s">
        <v>4879</v>
      </c>
      <c r="U145" s="1" t="str">
        <f>HYPERLINK("http://ictvonline.org/taxonomy/p/taxonomy-history?taxnode_id=202101506","ICTVonline=202101506")</f>
        <v>ICTVonline=202101506</v>
      </c>
    </row>
    <row r="146" spans="1:21" x14ac:dyDescent="0.2">
      <c r="A146" s="3">
        <v>145</v>
      </c>
      <c r="B146" s="1" t="s">
        <v>4875</v>
      </c>
      <c r="D146" s="1" t="s">
        <v>4876</v>
      </c>
      <c r="F146" s="1" t="s">
        <v>4877</v>
      </c>
      <c r="H146" s="1" t="s">
        <v>4878</v>
      </c>
      <c r="J146" s="1" t="s">
        <v>847</v>
      </c>
      <c r="L146" s="1" t="s">
        <v>851</v>
      </c>
      <c r="M146" s="1" t="s">
        <v>1297</v>
      </c>
      <c r="N146" s="1" t="s">
        <v>1194</v>
      </c>
      <c r="P146" s="1" t="s">
        <v>2736</v>
      </c>
      <c r="Q146" s="30" t="s">
        <v>2565</v>
      </c>
      <c r="R146" s="33" t="s">
        <v>3474</v>
      </c>
      <c r="S146">
        <v>35</v>
      </c>
      <c r="T146" s="1" t="s">
        <v>4879</v>
      </c>
      <c r="U146" s="1" t="str">
        <f>HYPERLINK("http://ictvonline.org/taxonomy/p/taxonomy-history?taxnode_id=202101507","ICTVonline=202101507")</f>
        <v>ICTVonline=202101507</v>
      </c>
    </row>
    <row r="147" spans="1:21" x14ac:dyDescent="0.2">
      <c r="A147" s="3">
        <v>146</v>
      </c>
      <c r="B147" s="1" t="s">
        <v>4875</v>
      </c>
      <c r="D147" s="1" t="s">
        <v>4876</v>
      </c>
      <c r="F147" s="1" t="s">
        <v>4877</v>
      </c>
      <c r="H147" s="1" t="s">
        <v>4878</v>
      </c>
      <c r="J147" s="1" t="s">
        <v>847</v>
      </c>
      <c r="L147" s="1" t="s">
        <v>851</v>
      </c>
      <c r="M147" s="1" t="s">
        <v>1297</v>
      </c>
      <c r="N147" s="1" t="s">
        <v>1194</v>
      </c>
      <c r="P147" s="1" t="s">
        <v>2737</v>
      </c>
      <c r="Q147" s="30" t="s">
        <v>2565</v>
      </c>
      <c r="R147" s="33" t="s">
        <v>3474</v>
      </c>
      <c r="S147">
        <v>35</v>
      </c>
      <c r="T147" s="1" t="s">
        <v>4879</v>
      </c>
      <c r="U147" s="1" t="str">
        <f>HYPERLINK("http://ictvonline.org/taxonomy/p/taxonomy-history?taxnode_id=202101508","ICTVonline=202101508")</f>
        <v>ICTVonline=202101508</v>
      </c>
    </row>
    <row r="148" spans="1:21" x14ac:dyDescent="0.2">
      <c r="A148" s="3">
        <v>147</v>
      </c>
      <c r="B148" s="1" t="s">
        <v>4875</v>
      </c>
      <c r="D148" s="1" t="s">
        <v>4876</v>
      </c>
      <c r="F148" s="1" t="s">
        <v>4877</v>
      </c>
      <c r="H148" s="1" t="s">
        <v>4878</v>
      </c>
      <c r="J148" s="1" t="s">
        <v>847</v>
      </c>
      <c r="L148" s="1" t="s">
        <v>851</v>
      </c>
      <c r="M148" s="1" t="s">
        <v>1297</v>
      </c>
      <c r="N148" s="1" t="s">
        <v>1194</v>
      </c>
      <c r="P148" s="1" t="s">
        <v>2738</v>
      </c>
      <c r="Q148" s="30" t="s">
        <v>2565</v>
      </c>
      <c r="R148" s="33" t="s">
        <v>3474</v>
      </c>
      <c r="S148">
        <v>35</v>
      </c>
      <c r="T148" s="1" t="s">
        <v>4879</v>
      </c>
      <c r="U148" s="1" t="str">
        <f>HYPERLINK("http://ictvonline.org/taxonomy/p/taxonomy-history?taxnode_id=202101509","ICTVonline=202101509")</f>
        <v>ICTVonline=202101509</v>
      </c>
    </row>
    <row r="149" spans="1:21" x14ac:dyDescent="0.2">
      <c r="A149" s="3">
        <v>148</v>
      </c>
      <c r="B149" s="1" t="s">
        <v>4875</v>
      </c>
      <c r="D149" s="1" t="s">
        <v>4876</v>
      </c>
      <c r="F149" s="1" t="s">
        <v>4877</v>
      </c>
      <c r="H149" s="1" t="s">
        <v>4878</v>
      </c>
      <c r="J149" s="1" t="s">
        <v>847</v>
      </c>
      <c r="L149" s="1" t="s">
        <v>851</v>
      </c>
      <c r="M149" s="1" t="s">
        <v>1297</v>
      </c>
      <c r="N149" s="1" t="s">
        <v>1194</v>
      </c>
      <c r="P149" s="1" t="s">
        <v>2739</v>
      </c>
      <c r="Q149" s="30" t="s">
        <v>2565</v>
      </c>
      <c r="R149" s="33" t="s">
        <v>3474</v>
      </c>
      <c r="S149">
        <v>35</v>
      </c>
      <c r="T149" s="1" t="s">
        <v>4879</v>
      </c>
      <c r="U149" s="1" t="str">
        <f>HYPERLINK("http://ictvonline.org/taxonomy/p/taxonomy-history?taxnode_id=202101510","ICTVonline=202101510")</f>
        <v>ICTVonline=202101510</v>
      </c>
    </row>
    <row r="150" spans="1:21" x14ac:dyDescent="0.2">
      <c r="A150" s="3">
        <v>149</v>
      </c>
      <c r="B150" s="1" t="s">
        <v>4875</v>
      </c>
      <c r="D150" s="1" t="s">
        <v>4876</v>
      </c>
      <c r="F150" s="1" t="s">
        <v>4877</v>
      </c>
      <c r="H150" s="1" t="s">
        <v>4878</v>
      </c>
      <c r="J150" s="1" t="s">
        <v>847</v>
      </c>
      <c r="L150" s="1" t="s">
        <v>851</v>
      </c>
      <c r="M150" s="1" t="s">
        <v>1297</v>
      </c>
      <c r="N150" s="1" t="s">
        <v>1194</v>
      </c>
      <c r="P150" s="1" t="s">
        <v>2740</v>
      </c>
      <c r="Q150" s="30" t="s">
        <v>2565</v>
      </c>
      <c r="R150" s="33" t="s">
        <v>3474</v>
      </c>
      <c r="S150">
        <v>35</v>
      </c>
      <c r="T150" s="1" t="s">
        <v>4879</v>
      </c>
      <c r="U150" s="1" t="str">
        <f>HYPERLINK("http://ictvonline.org/taxonomy/p/taxonomy-history?taxnode_id=202101511","ICTVonline=202101511")</f>
        <v>ICTVonline=202101511</v>
      </c>
    </row>
    <row r="151" spans="1:21" x14ac:dyDescent="0.2">
      <c r="A151" s="3">
        <v>150</v>
      </c>
      <c r="B151" s="1" t="s">
        <v>4875</v>
      </c>
      <c r="D151" s="1" t="s">
        <v>4876</v>
      </c>
      <c r="F151" s="1" t="s">
        <v>4877</v>
      </c>
      <c r="H151" s="1" t="s">
        <v>4878</v>
      </c>
      <c r="J151" s="1" t="s">
        <v>847</v>
      </c>
      <c r="L151" s="1" t="s">
        <v>851</v>
      </c>
      <c r="M151" s="1" t="s">
        <v>1297</v>
      </c>
      <c r="N151" s="1" t="s">
        <v>1194</v>
      </c>
      <c r="P151" s="1" t="s">
        <v>4778</v>
      </c>
      <c r="Q151" s="30" t="s">
        <v>2565</v>
      </c>
      <c r="R151" s="33" t="s">
        <v>3474</v>
      </c>
      <c r="S151">
        <v>35</v>
      </c>
      <c r="T151" s="1" t="s">
        <v>4879</v>
      </c>
      <c r="U151" s="1" t="str">
        <f>HYPERLINK("http://ictvonline.org/taxonomy/p/taxonomy-history?taxnode_id=202106407","ICTVonline=202106407")</f>
        <v>ICTVonline=202106407</v>
      </c>
    </row>
    <row r="152" spans="1:21" x14ac:dyDescent="0.2">
      <c r="A152" s="3">
        <v>151</v>
      </c>
      <c r="B152" s="1" t="s">
        <v>4875</v>
      </c>
      <c r="D152" s="1" t="s">
        <v>4876</v>
      </c>
      <c r="F152" s="1" t="s">
        <v>4877</v>
      </c>
      <c r="H152" s="1" t="s">
        <v>4878</v>
      </c>
      <c r="J152" s="1" t="s">
        <v>847</v>
      </c>
      <c r="L152" s="1" t="s">
        <v>851</v>
      </c>
      <c r="M152" s="1" t="s">
        <v>1297</v>
      </c>
      <c r="N152" s="1" t="s">
        <v>1194</v>
      </c>
      <c r="P152" s="1" t="s">
        <v>4779</v>
      </c>
      <c r="Q152" s="30" t="s">
        <v>2565</v>
      </c>
      <c r="R152" s="33" t="s">
        <v>3474</v>
      </c>
      <c r="S152">
        <v>35</v>
      </c>
      <c r="T152" s="1" t="s">
        <v>4879</v>
      </c>
      <c r="U152" s="1" t="str">
        <f>HYPERLINK("http://ictvonline.org/taxonomy/p/taxonomy-history?taxnode_id=202106408","ICTVonline=202106408")</f>
        <v>ICTVonline=202106408</v>
      </c>
    </row>
    <row r="153" spans="1:21" x14ac:dyDescent="0.2">
      <c r="A153" s="3">
        <v>152</v>
      </c>
      <c r="B153" s="1" t="s">
        <v>4875</v>
      </c>
      <c r="D153" s="1" t="s">
        <v>4876</v>
      </c>
      <c r="F153" s="1" t="s">
        <v>4877</v>
      </c>
      <c r="H153" s="1" t="s">
        <v>4878</v>
      </c>
      <c r="J153" s="1" t="s">
        <v>847</v>
      </c>
      <c r="L153" s="1" t="s">
        <v>851</v>
      </c>
      <c r="M153" s="1" t="s">
        <v>1297</v>
      </c>
      <c r="N153" s="1" t="s">
        <v>1194</v>
      </c>
      <c r="P153" s="1" t="s">
        <v>4780</v>
      </c>
      <c r="Q153" s="30" t="s">
        <v>2565</v>
      </c>
      <c r="R153" s="33" t="s">
        <v>3474</v>
      </c>
      <c r="S153">
        <v>35</v>
      </c>
      <c r="T153" s="1" t="s">
        <v>4879</v>
      </c>
      <c r="U153" s="1" t="str">
        <f>HYPERLINK("http://ictvonline.org/taxonomy/p/taxonomy-history?taxnode_id=202106409","ICTVonline=202106409")</f>
        <v>ICTVonline=202106409</v>
      </c>
    </row>
    <row r="154" spans="1:21" x14ac:dyDescent="0.2">
      <c r="A154" s="3">
        <v>153</v>
      </c>
      <c r="B154" s="1" t="s">
        <v>4875</v>
      </c>
      <c r="D154" s="1" t="s">
        <v>4876</v>
      </c>
      <c r="F154" s="1" t="s">
        <v>4877</v>
      </c>
      <c r="H154" s="1" t="s">
        <v>4878</v>
      </c>
      <c r="J154" s="1" t="s">
        <v>847</v>
      </c>
      <c r="L154" s="1" t="s">
        <v>851</v>
      </c>
      <c r="M154" s="1" t="s">
        <v>1297</v>
      </c>
      <c r="N154" s="1" t="s">
        <v>1194</v>
      </c>
      <c r="P154" s="1" t="s">
        <v>2741</v>
      </c>
      <c r="Q154" s="30" t="s">
        <v>2565</v>
      </c>
      <c r="R154" s="33" t="s">
        <v>3474</v>
      </c>
      <c r="S154">
        <v>35</v>
      </c>
      <c r="T154" s="1" t="s">
        <v>4879</v>
      </c>
      <c r="U154" s="1" t="str">
        <f>HYPERLINK("http://ictvonline.org/taxonomy/p/taxonomy-history?taxnode_id=202101512","ICTVonline=202101512")</f>
        <v>ICTVonline=202101512</v>
      </c>
    </row>
    <row r="155" spans="1:21" x14ac:dyDescent="0.2">
      <c r="A155" s="3">
        <v>154</v>
      </c>
      <c r="B155" s="1" t="s">
        <v>4875</v>
      </c>
      <c r="D155" s="1" t="s">
        <v>4876</v>
      </c>
      <c r="F155" s="1" t="s">
        <v>4877</v>
      </c>
      <c r="H155" s="1" t="s">
        <v>4878</v>
      </c>
      <c r="J155" s="1" t="s">
        <v>847</v>
      </c>
      <c r="L155" s="1" t="s">
        <v>851</v>
      </c>
      <c r="M155" s="1" t="s">
        <v>1297</v>
      </c>
      <c r="N155" s="1" t="s">
        <v>1194</v>
      </c>
      <c r="P155" s="1" t="s">
        <v>2742</v>
      </c>
      <c r="Q155" s="30" t="s">
        <v>2565</v>
      </c>
      <c r="R155" s="33" t="s">
        <v>3474</v>
      </c>
      <c r="S155">
        <v>35</v>
      </c>
      <c r="T155" s="1" t="s">
        <v>4879</v>
      </c>
      <c r="U155" s="1" t="str">
        <f>HYPERLINK("http://ictvonline.org/taxonomy/p/taxonomy-history?taxnode_id=202101513","ICTVonline=202101513")</f>
        <v>ICTVonline=202101513</v>
      </c>
    </row>
    <row r="156" spans="1:21" x14ac:dyDescent="0.2">
      <c r="A156" s="3">
        <v>155</v>
      </c>
      <c r="B156" s="1" t="s">
        <v>4875</v>
      </c>
      <c r="D156" s="1" t="s">
        <v>4876</v>
      </c>
      <c r="F156" s="1" t="s">
        <v>4877</v>
      </c>
      <c r="H156" s="1" t="s">
        <v>4878</v>
      </c>
      <c r="J156" s="1" t="s">
        <v>847</v>
      </c>
      <c r="L156" s="1" t="s">
        <v>851</v>
      </c>
      <c r="M156" s="1" t="s">
        <v>1297</v>
      </c>
      <c r="N156" s="1" t="s">
        <v>1194</v>
      </c>
      <c r="P156" s="1" t="s">
        <v>2743</v>
      </c>
      <c r="Q156" s="30" t="s">
        <v>2565</v>
      </c>
      <c r="R156" s="33" t="s">
        <v>8665</v>
      </c>
      <c r="S156">
        <v>36</v>
      </c>
      <c r="T156" s="1" t="s">
        <v>8661</v>
      </c>
      <c r="U156" s="1" t="str">
        <f>HYPERLINK("http://ictvonline.org/taxonomy/p/taxonomy-history?taxnode_id=202101514","ICTVonline=202101514")</f>
        <v>ICTVonline=202101514</v>
      </c>
    </row>
    <row r="157" spans="1:21" x14ac:dyDescent="0.2">
      <c r="A157" s="3">
        <v>156</v>
      </c>
      <c r="B157" s="1" t="s">
        <v>4875</v>
      </c>
      <c r="D157" s="1" t="s">
        <v>4876</v>
      </c>
      <c r="F157" s="1" t="s">
        <v>4877</v>
      </c>
      <c r="H157" s="1" t="s">
        <v>4878</v>
      </c>
      <c r="J157" s="1" t="s">
        <v>847</v>
      </c>
      <c r="L157" s="1" t="s">
        <v>851</v>
      </c>
      <c r="M157" s="1" t="s">
        <v>1297</v>
      </c>
      <c r="P157" s="1" t="s">
        <v>2744</v>
      </c>
      <c r="Q157" s="30" t="s">
        <v>2565</v>
      </c>
      <c r="R157" s="33" t="s">
        <v>3474</v>
      </c>
      <c r="S157">
        <v>35</v>
      </c>
      <c r="T157" s="1" t="s">
        <v>4879</v>
      </c>
      <c r="U157" s="1" t="str">
        <f>HYPERLINK("http://ictvonline.org/taxonomy/p/taxonomy-history?taxnode_id=202101516","ICTVonline=202101516")</f>
        <v>ICTVonline=202101516</v>
      </c>
    </row>
    <row r="158" spans="1:21" x14ac:dyDescent="0.2">
      <c r="A158" s="3">
        <v>157</v>
      </c>
      <c r="B158" s="1" t="s">
        <v>4875</v>
      </c>
      <c r="D158" s="1" t="s">
        <v>4876</v>
      </c>
      <c r="F158" s="1" t="s">
        <v>4877</v>
      </c>
      <c r="H158" s="1" t="s">
        <v>4878</v>
      </c>
      <c r="J158" s="1" t="s">
        <v>847</v>
      </c>
      <c r="L158" s="1" t="s">
        <v>851</v>
      </c>
      <c r="M158" s="1" t="s">
        <v>1297</v>
      </c>
      <c r="P158" s="1" t="s">
        <v>2745</v>
      </c>
      <c r="Q158" s="30" t="s">
        <v>2565</v>
      </c>
      <c r="R158" s="33" t="s">
        <v>3474</v>
      </c>
      <c r="S158">
        <v>35</v>
      </c>
      <c r="T158" s="1" t="s">
        <v>4879</v>
      </c>
      <c r="U158" s="1" t="str">
        <f>HYPERLINK("http://ictvonline.org/taxonomy/p/taxonomy-history?taxnode_id=202101517","ICTVonline=202101517")</f>
        <v>ICTVonline=202101517</v>
      </c>
    </row>
    <row r="159" spans="1:21" x14ac:dyDescent="0.2">
      <c r="A159" s="3">
        <v>158</v>
      </c>
      <c r="B159" s="1" t="s">
        <v>4875</v>
      </c>
      <c r="D159" s="1" t="s">
        <v>4876</v>
      </c>
      <c r="F159" s="1" t="s">
        <v>4877</v>
      </c>
      <c r="H159" s="1" t="s">
        <v>4878</v>
      </c>
      <c r="J159" s="1" t="s">
        <v>847</v>
      </c>
      <c r="L159" s="1" t="s">
        <v>851</v>
      </c>
      <c r="M159" s="1" t="s">
        <v>1297</v>
      </c>
      <c r="P159" s="1" t="s">
        <v>2746</v>
      </c>
      <c r="Q159" s="30" t="s">
        <v>2565</v>
      </c>
      <c r="R159" s="33" t="s">
        <v>3474</v>
      </c>
      <c r="S159">
        <v>35</v>
      </c>
      <c r="T159" s="1" t="s">
        <v>4879</v>
      </c>
      <c r="U159" s="1" t="str">
        <f>HYPERLINK("http://ictvonline.org/taxonomy/p/taxonomy-history?taxnode_id=202101518","ICTVonline=202101518")</f>
        <v>ICTVonline=202101518</v>
      </c>
    </row>
    <row r="160" spans="1:21" x14ac:dyDescent="0.2">
      <c r="A160" s="3">
        <v>159</v>
      </c>
      <c r="B160" s="1" t="s">
        <v>4875</v>
      </c>
      <c r="D160" s="1" t="s">
        <v>4876</v>
      </c>
      <c r="F160" s="1" t="s">
        <v>4877</v>
      </c>
      <c r="H160" s="1" t="s">
        <v>4878</v>
      </c>
      <c r="J160" s="1" t="s">
        <v>847</v>
      </c>
      <c r="L160" s="1" t="s">
        <v>851</v>
      </c>
      <c r="P160" s="1" t="s">
        <v>918</v>
      </c>
      <c r="Q160" s="30" t="s">
        <v>2565</v>
      </c>
      <c r="R160" s="33" t="s">
        <v>3474</v>
      </c>
      <c r="S160">
        <v>35</v>
      </c>
      <c r="T160" s="1" t="s">
        <v>4879</v>
      </c>
      <c r="U160" s="1" t="str">
        <f>HYPERLINK("http://ictvonline.org/taxonomy/p/taxonomy-history?taxnode_id=202101521","ICTVonline=202101521")</f>
        <v>ICTVonline=202101521</v>
      </c>
    </row>
    <row r="161" spans="1:21" x14ac:dyDescent="0.2">
      <c r="A161" s="3">
        <v>160</v>
      </c>
      <c r="B161" s="1" t="s">
        <v>4875</v>
      </c>
      <c r="D161" s="1" t="s">
        <v>4876</v>
      </c>
      <c r="F161" s="1" t="s">
        <v>4877</v>
      </c>
      <c r="H161" s="1" t="s">
        <v>4878</v>
      </c>
      <c r="J161" s="1" t="s">
        <v>847</v>
      </c>
      <c r="L161" s="1" t="s">
        <v>986</v>
      </c>
      <c r="N161" s="1" t="s">
        <v>2016</v>
      </c>
      <c r="P161" s="1" t="s">
        <v>2017</v>
      </c>
      <c r="Q161" s="30" t="s">
        <v>2565</v>
      </c>
      <c r="R161" s="33" t="s">
        <v>8665</v>
      </c>
      <c r="S161">
        <v>36</v>
      </c>
      <c r="T161" s="1" t="s">
        <v>8661</v>
      </c>
      <c r="U161" s="1" t="str">
        <f>HYPERLINK("http://ictvonline.org/taxonomy/p/taxonomy-history?taxnode_id=202101525","ICTVonline=202101525")</f>
        <v>ICTVonline=202101525</v>
      </c>
    </row>
    <row r="162" spans="1:21" x14ac:dyDescent="0.2">
      <c r="A162" s="3">
        <v>161</v>
      </c>
      <c r="B162" s="1" t="s">
        <v>4875</v>
      </c>
      <c r="D162" s="1" t="s">
        <v>4876</v>
      </c>
      <c r="F162" s="1" t="s">
        <v>4877</v>
      </c>
      <c r="H162" s="1" t="s">
        <v>4878</v>
      </c>
      <c r="J162" s="1" t="s">
        <v>847</v>
      </c>
      <c r="L162" s="1" t="s">
        <v>986</v>
      </c>
      <c r="N162" s="1" t="s">
        <v>919</v>
      </c>
      <c r="P162" s="1" t="s">
        <v>920</v>
      </c>
      <c r="Q162" s="30" t="s">
        <v>2565</v>
      </c>
      <c r="R162" s="33" t="s">
        <v>8665</v>
      </c>
      <c r="S162">
        <v>36</v>
      </c>
      <c r="T162" s="1" t="s">
        <v>8661</v>
      </c>
      <c r="U162" s="1" t="str">
        <f>HYPERLINK("http://ictvonline.org/taxonomy/p/taxonomy-history?taxnode_id=202101527","ICTVonline=202101527")</f>
        <v>ICTVonline=202101527</v>
      </c>
    </row>
    <row r="163" spans="1:21" x14ac:dyDescent="0.2">
      <c r="A163" s="3">
        <v>162</v>
      </c>
      <c r="B163" s="1" t="s">
        <v>4875</v>
      </c>
      <c r="D163" s="1" t="s">
        <v>4876</v>
      </c>
      <c r="F163" s="1" t="s">
        <v>4880</v>
      </c>
      <c r="H163" s="1" t="s">
        <v>4881</v>
      </c>
      <c r="J163" s="1" t="s">
        <v>8686</v>
      </c>
      <c r="L163" s="1" t="s">
        <v>8687</v>
      </c>
      <c r="M163" s="1" t="s">
        <v>8688</v>
      </c>
      <c r="N163" s="1" t="s">
        <v>8689</v>
      </c>
      <c r="P163" s="1" t="s">
        <v>8690</v>
      </c>
      <c r="Q163" s="30" t="s">
        <v>2565</v>
      </c>
      <c r="R163" s="33" t="s">
        <v>3472</v>
      </c>
      <c r="S163">
        <v>37</v>
      </c>
      <c r="T163" s="1" t="s">
        <v>13874</v>
      </c>
      <c r="U163" s="1" t="str">
        <f>HYPERLINK("http://ictvonline.org/taxonomy/p/taxonomy-history?taxnode_id=202113484","ICTVonline=202113484")</f>
        <v>ICTVonline=202113484</v>
      </c>
    </row>
    <row r="164" spans="1:21" x14ac:dyDescent="0.2">
      <c r="A164" s="3">
        <v>163</v>
      </c>
      <c r="B164" s="1" t="s">
        <v>4875</v>
      </c>
      <c r="D164" s="1" t="s">
        <v>4876</v>
      </c>
      <c r="F164" s="1" t="s">
        <v>4880</v>
      </c>
      <c r="H164" s="1" t="s">
        <v>4881</v>
      </c>
      <c r="J164" s="1" t="s">
        <v>8686</v>
      </c>
      <c r="L164" s="1" t="s">
        <v>8687</v>
      </c>
      <c r="M164" s="1" t="s">
        <v>8688</v>
      </c>
      <c r="N164" s="1" t="s">
        <v>8689</v>
      </c>
      <c r="P164" s="1" t="s">
        <v>8691</v>
      </c>
      <c r="Q164" s="30" t="s">
        <v>2565</v>
      </c>
      <c r="R164" s="33" t="s">
        <v>3472</v>
      </c>
      <c r="S164">
        <v>37</v>
      </c>
      <c r="T164" s="1" t="s">
        <v>13874</v>
      </c>
      <c r="U164" s="1" t="str">
        <f>HYPERLINK("http://ictvonline.org/taxonomy/p/taxonomy-history?taxnode_id=202113483","ICTVonline=202113483")</f>
        <v>ICTVonline=202113483</v>
      </c>
    </row>
    <row r="165" spans="1:21" x14ac:dyDescent="0.2">
      <c r="A165" s="3">
        <v>164</v>
      </c>
      <c r="B165" s="1" t="s">
        <v>4875</v>
      </c>
      <c r="D165" s="1" t="s">
        <v>4876</v>
      </c>
      <c r="F165" s="1" t="s">
        <v>4880</v>
      </c>
      <c r="H165" s="1" t="s">
        <v>4881</v>
      </c>
      <c r="J165" s="1" t="s">
        <v>8686</v>
      </c>
      <c r="L165" s="1" t="s">
        <v>8687</v>
      </c>
      <c r="M165" s="1" t="s">
        <v>8692</v>
      </c>
      <c r="N165" s="1" t="s">
        <v>8693</v>
      </c>
      <c r="P165" s="1" t="s">
        <v>8694</v>
      </c>
      <c r="Q165" s="30" t="s">
        <v>2565</v>
      </c>
      <c r="R165" s="33" t="s">
        <v>3472</v>
      </c>
      <c r="S165">
        <v>37</v>
      </c>
      <c r="T165" s="1" t="s">
        <v>13874</v>
      </c>
      <c r="U165" s="1" t="str">
        <f>HYPERLINK("http://ictvonline.org/taxonomy/p/taxonomy-history?taxnode_id=202113487","ICTVonline=202113487")</f>
        <v>ICTVonline=202113487</v>
      </c>
    </row>
    <row r="166" spans="1:21" x14ac:dyDescent="0.2">
      <c r="A166" s="3">
        <v>165</v>
      </c>
      <c r="B166" s="1" t="s">
        <v>4875</v>
      </c>
      <c r="D166" s="1" t="s">
        <v>4876</v>
      </c>
      <c r="F166" s="1" t="s">
        <v>4880</v>
      </c>
      <c r="H166" s="1" t="s">
        <v>4881</v>
      </c>
      <c r="J166" s="1" t="s">
        <v>8686</v>
      </c>
      <c r="L166" s="1" t="s">
        <v>8687</v>
      </c>
      <c r="M166" s="1" t="s">
        <v>8692</v>
      </c>
      <c r="N166" s="1" t="s">
        <v>8695</v>
      </c>
      <c r="P166" s="1" t="s">
        <v>8696</v>
      </c>
      <c r="Q166" s="30" t="s">
        <v>2565</v>
      </c>
      <c r="R166" s="33" t="s">
        <v>3472</v>
      </c>
      <c r="S166">
        <v>37</v>
      </c>
      <c r="T166" s="1" t="s">
        <v>13874</v>
      </c>
      <c r="U166" s="1" t="str">
        <f>HYPERLINK("http://ictvonline.org/taxonomy/p/taxonomy-history?taxnode_id=202113490","ICTVonline=202113490")</f>
        <v>ICTVonline=202113490</v>
      </c>
    </row>
    <row r="167" spans="1:21" x14ac:dyDescent="0.2">
      <c r="A167" s="3">
        <v>166</v>
      </c>
      <c r="B167" s="1" t="s">
        <v>4875</v>
      </c>
      <c r="D167" s="1" t="s">
        <v>4876</v>
      </c>
      <c r="F167" s="1" t="s">
        <v>4880</v>
      </c>
      <c r="H167" s="1" t="s">
        <v>4881</v>
      </c>
      <c r="J167" s="1" t="s">
        <v>8686</v>
      </c>
      <c r="L167" s="1" t="s">
        <v>8697</v>
      </c>
      <c r="M167" s="1" t="s">
        <v>8698</v>
      </c>
      <c r="N167" s="1" t="s">
        <v>8699</v>
      </c>
      <c r="P167" s="1" t="s">
        <v>8700</v>
      </c>
      <c r="Q167" s="30" t="s">
        <v>2565</v>
      </c>
      <c r="R167" s="33" t="s">
        <v>3472</v>
      </c>
      <c r="S167">
        <v>37</v>
      </c>
      <c r="T167" s="1" t="s">
        <v>13874</v>
      </c>
      <c r="U167" s="1" t="str">
        <f>HYPERLINK("http://ictvonline.org/taxonomy/p/taxonomy-history?taxnode_id=202113480","ICTVonline=202113480")</f>
        <v>ICTVonline=202113480</v>
      </c>
    </row>
    <row r="168" spans="1:21" x14ac:dyDescent="0.2">
      <c r="A168" s="3">
        <v>167</v>
      </c>
      <c r="B168" s="1" t="s">
        <v>4875</v>
      </c>
      <c r="D168" s="1" t="s">
        <v>4876</v>
      </c>
      <c r="F168" s="1" t="s">
        <v>4880</v>
      </c>
      <c r="H168" s="1" t="s">
        <v>4881</v>
      </c>
      <c r="J168" s="1" t="s">
        <v>8686</v>
      </c>
      <c r="L168" s="1" t="s">
        <v>8697</v>
      </c>
      <c r="M168" s="1" t="s">
        <v>8698</v>
      </c>
      <c r="N168" s="1" t="s">
        <v>8699</v>
      </c>
      <c r="P168" s="1" t="s">
        <v>8701</v>
      </c>
      <c r="Q168" s="30" t="s">
        <v>2565</v>
      </c>
      <c r="R168" s="33" t="s">
        <v>3472</v>
      </c>
      <c r="S168">
        <v>37</v>
      </c>
      <c r="T168" s="1" t="s">
        <v>13874</v>
      </c>
      <c r="U168" s="1" t="str">
        <f>HYPERLINK("http://ictvonline.org/taxonomy/p/taxonomy-history?taxnode_id=202113479","ICTVonline=202113479")</f>
        <v>ICTVonline=202113479</v>
      </c>
    </row>
    <row r="169" spans="1:21" x14ac:dyDescent="0.2">
      <c r="A169" s="3">
        <v>168</v>
      </c>
      <c r="B169" s="1" t="s">
        <v>4875</v>
      </c>
      <c r="D169" s="1" t="s">
        <v>4876</v>
      </c>
      <c r="F169" s="1" t="s">
        <v>4880</v>
      </c>
      <c r="H169" s="1" t="s">
        <v>4881</v>
      </c>
      <c r="J169" s="1" t="s">
        <v>8686</v>
      </c>
      <c r="L169" s="1" t="s">
        <v>8697</v>
      </c>
      <c r="M169" s="1" t="s">
        <v>8698</v>
      </c>
      <c r="N169" s="1" t="s">
        <v>8699</v>
      </c>
      <c r="P169" s="1" t="s">
        <v>8702</v>
      </c>
      <c r="Q169" s="30" t="s">
        <v>2565</v>
      </c>
      <c r="R169" s="33" t="s">
        <v>3472</v>
      </c>
      <c r="S169">
        <v>37</v>
      </c>
      <c r="T169" s="1" t="s">
        <v>13874</v>
      </c>
      <c r="U169" s="1" t="str">
        <f>HYPERLINK("http://ictvonline.org/taxonomy/p/taxonomy-history?taxnode_id=202113481","ICTVonline=202113481")</f>
        <v>ICTVonline=202113481</v>
      </c>
    </row>
    <row r="170" spans="1:21" x14ac:dyDescent="0.2">
      <c r="A170" s="3">
        <v>169</v>
      </c>
      <c r="B170" s="1" t="s">
        <v>4875</v>
      </c>
      <c r="D170" s="1" t="s">
        <v>4876</v>
      </c>
      <c r="F170" s="1" t="s">
        <v>4880</v>
      </c>
      <c r="H170" s="1" t="s">
        <v>4881</v>
      </c>
      <c r="J170" s="1" t="s">
        <v>8686</v>
      </c>
      <c r="L170" s="1" t="s">
        <v>8697</v>
      </c>
      <c r="M170" s="1" t="s">
        <v>8698</v>
      </c>
      <c r="N170" s="1" t="s">
        <v>8699</v>
      </c>
      <c r="P170" s="1" t="s">
        <v>8703</v>
      </c>
      <c r="Q170" s="30" t="s">
        <v>2565</v>
      </c>
      <c r="R170" s="33" t="s">
        <v>3472</v>
      </c>
      <c r="S170">
        <v>37</v>
      </c>
      <c r="T170" s="1" t="s">
        <v>13874</v>
      </c>
      <c r="U170" s="1" t="str">
        <f>HYPERLINK("http://ictvonline.org/taxonomy/p/taxonomy-history?taxnode_id=202113482","ICTVonline=202113482")</f>
        <v>ICTVonline=202113482</v>
      </c>
    </row>
    <row r="171" spans="1:21" x14ac:dyDescent="0.2">
      <c r="A171" s="3">
        <v>170</v>
      </c>
      <c r="B171" s="1" t="s">
        <v>4875</v>
      </c>
      <c r="D171" s="1" t="s">
        <v>4876</v>
      </c>
      <c r="F171" s="1" t="s">
        <v>4880</v>
      </c>
      <c r="H171" s="1" t="s">
        <v>4881</v>
      </c>
      <c r="J171" s="1" t="s">
        <v>8686</v>
      </c>
      <c r="L171" s="1" t="s">
        <v>8697</v>
      </c>
      <c r="M171" s="1" t="s">
        <v>8704</v>
      </c>
      <c r="N171" s="1" t="s">
        <v>8705</v>
      </c>
      <c r="P171" s="1" t="s">
        <v>8706</v>
      </c>
      <c r="Q171" s="30" t="s">
        <v>2565</v>
      </c>
      <c r="R171" s="33" t="s">
        <v>3472</v>
      </c>
      <c r="S171">
        <v>37</v>
      </c>
      <c r="T171" s="1" t="s">
        <v>13874</v>
      </c>
      <c r="U171" s="1" t="str">
        <f>HYPERLINK("http://ictvonline.org/taxonomy/p/taxonomy-history?taxnode_id=202113461","ICTVonline=202113461")</f>
        <v>ICTVonline=202113461</v>
      </c>
    </row>
    <row r="172" spans="1:21" x14ac:dyDescent="0.2">
      <c r="A172" s="3">
        <v>171</v>
      </c>
      <c r="B172" s="1" t="s">
        <v>4875</v>
      </c>
      <c r="D172" s="1" t="s">
        <v>4876</v>
      </c>
      <c r="F172" s="1" t="s">
        <v>4880</v>
      </c>
      <c r="H172" s="1" t="s">
        <v>4881</v>
      </c>
      <c r="J172" s="1" t="s">
        <v>8686</v>
      </c>
      <c r="L172" s="1" t="s">
        <v>8697</v>
      </c>
      <c r="M172" s="1" t="s">
        <v>8704</v>
      </c>
      <c r="N172" s="1" t="s">
        <v>8705</v>
      </c>
      <c r="P172" s="1" t="s">
        <v>8707</v>
      </c>
      <c r="Q172" s="30" t="s">
        <v>2565</v>
      </c>
      <c r="R172" s="33" t="s">
        <v>3472</v>
      </c>
      <c r="S172">
        <v>37</v>
      </c>
      <c r="T172" s="1" t="s">
        <v>13874</v>
      </c>
      <c r="U172" s="1" t="str">
        <f>HYPERLINK("http://ictvonline.org/taxonomy/p/taxonomy-history?taxnode_id=202113460","ICTVonline=202113460")</f>
        <v>ICTVonline=202113460</v>
      </c>
    </row>
    <row r="173" spans="1:21" x14ac:dyDescent="0.2">
      <c r="A173" s="3">
        <v>172</v>
      </c>
      <c r="B173" s="1" t="s">
        <v>4875</v>
      </c>
      <c r="D173" s="1" t="s">
        <v>4876</v>
      </c>
      <c r="F173" s="1" t="s">
        <v>4880</v>
      </c>
      <c r="H173" s="1" t="s">
        <v>4881</v>
      </c>
      <c r="J173" s="1" t="s">
        <v>8686</v>
      </c>
      <c r="L173" s="1" t="s">
        <v>8697</v>
      </c>
      <c r="M173" s="1" t="s">
        <v>8704</v>
      </c>
      <c r="N173" s="1" t="s">
        <v>8708</v>
      </c>
      <c r="P173" s="1" t="s">
        <v>8709</v>
      </c>
      <c r="Q173" s="30" t="s">
        <v>2565</v>
      </c>
      <c r="R173" s="33" t="s">
        <v>3472</v>
      </c>
      <c r="S173">
        <v>37</v>
      </c>
      <c r="T173" s="1" t="s">
        <v>13874</v>
      </c>
      <c r="U173" s="1" t="str">
        <f>HYPERLINK("http://ictvonline.org/taxonomy/p/taxonomy-history?taxnode_id=202113468","ICTVonline=202113468")</f>
        <v>ICTVonline=202113468</v>
      </c>
    </row>
    <row r="174" spans="1:21" x14ac:dyDescent="0.2">
      <c r="A174" s="3">
        <v>173</v>
      </c>
      <c r="B174" s="1" t="s">
        <v>4875</v>
      </c>
      <c r="D174" s="1" t="s">
        <v>4876</v>
      </c>
      <c r="F174" s="1" t="s">
        <v>4880</v>
      </c>
      <c r="H174" s="1" t="s">
        <v>4881</v>
      </c>
      <c r="J174" s="1" t="s">
        <v>8686</v>
      </c>
      <c r="L174" s="1" t="s">
        <v>8697</v>
      </c>
      <c r="M174" s="1" t="s">
        <v>8704</v>
      </c>
      <c r="N174" s="1" t="s">
        <v>8710</v>
      </c>
      <c r="P174" s="1" t="s">
        <v>8711</v>
      </c>
      <c r="Q174" s="30" t="s">
        <v>2565</v>
      </c>
      <c r="R174" s="33" t="s">
        <v>3472</v>
      </c>
      <c r="S174">
        <v>37</v>
      </c>
      <c r="T174" s="1" t="s">
        <v>13874</v>
      </c>
      <c r="U174" s="1" t="str">
        <f>HYPERLINK("http://ictvonline.org/taxonomy/p/taxonomy-history?taxnode_id=202113470","ICTVonline=202113470")</f>
        <v>ICTVonline=202113470</v>
      </c>
    </row>
    <row r="175" spans="1:21" x14ac:dyDescent="0.2">
      <c r="A175" s="3">
        <v>174</v>
      </c>
      <c r="B175" s="1" t="s">
        <v>4875</v>
      </c>
      <c r="D175" s="1" t="s">
        <v>4876</v>
      </c>
      <c r="F175" s="1" t="s">
        <v>4880</v>
      </c>
      <c r="H175" s="1" t="s">
        <v>4881</v>
      </c>
      <c r="J175" s="1" t="s">
        <v>8686</v>
      </c>
      <c r="L175" s="1" t="s">
        <v>8697</v>
      </c>
      <c r="M175" s="1" t="s">
        <v>8704</v>
      </c>
      <c r="N175" s="1" t="s">
        <v>8710</v>
      </c>
      <c r="P175" s="1" t="s">
        <v>8712</v>
      </c>
      <c r="Q175" s="30" t="s">
        <v>2565</v>
      </c>
      <c r="R175" s="33" t="s">
        <v>3472</v>
      </c>
      <c r="S175">
        <v>37</v>
      </c>
      <c r="T175" s="1" t="s">
        <v>13874</v>
      </c>
      <c r="U175" s="1" t="str">
        <f>HYPERLINK("http://ictvonline.org/taxonomy/p/taxonomy-history?taxnode_id=202113471","ICTVonline=202113471")</f>
        <v>ICTVonline=202113471</v>
      </c>
    </row>
    <row r="176" spans="1:21" x14ac:dyDescent="0.2">
      <c r="A176" s="3">
        <v>175</v>
      </c>
      <c r="B176" s="1" t="s">
        <v>4875</v>
      </c>
      <c r="D176" s="1" t="s">
        <v>4876</v>
      </c>
      <c r="F176" s="1" t="s">
        <v>4880</v>
      </c>
      <c r="H176" s="1" t="s">
        <v>4881</v>
      </c>
      <c r="J176" s="1" t="s">
        <v>8686</v>
      </c>
      <c r="L176" s="1" t="s">
        <v>8697</v>
      </c>
      <c r="M176" s="1" t="s">
        <v>8704</v>
      </c>
      <c r="N176" s="1" t="s">
        <v>8710</v>
      </c>
      <c r="P176" s="1" t="s">
        <v>8713</v>
      </c>
      <c r="Q176" s="30" t="s">
        <v>2565</v>
      </c>
      <c r="R176" s="33" t="s">
        <v>3472</v>
      </c>
      <c r="S176">
        <v>37</v>
      </c>
      <c r="T176" s="1" t="s">
        <v>13874</v>
      </c>
      <c r="U176" s="1" t="str">
        <f>HYPERLINK("http://ictvonline.org/taxonomy/p/taxonomy-history?taxnode_id=202113472","ICTVonline=202113472")</f>
        <v>ICTVonline=202113472</v>
      </c>
    </row>
    <row r="177" spans="1:21" x14ac:dyDescent="0.2">
      <c r="A177" s="3">
        <v>176</v>
      </c>
      <c r="B177" s="1" t="s">
        <v>4875</v>
      </c>
      <c r="D177" s="1" t="s">
        <v>4876</v>
      </c>
      <c r="F177" s="1" t="s">
        <v>4880</v>
      </c>
      <c r="H177" s="1" t="s">
        <v>4881</v>
      </c>
      <c r="J177" s="1" t="s">
        <v>8686</v>
      </c>
      <c r="L177" s="1" t="s">
        <v>8697</v>
      </c>
      <c r="M177" s="1" t="s">
        <v>8704</v>
      </c>
      <c r="N177" s="1" t="s">
        <v>8714</v>
      </c>
      <c r="P177" s="1" t="s">
        <v>8715</v>
      </c>
      <c r="Q177" s="30" t="s">
        <v>2565</v>
      </c>
      <c r="R177" s="33" t="s">
        <v>3472</v>
      </c>
      <c r="S177">
        <v>37</v>
      </c>
      <c r="T177" s="1" t="s">
        <v>13874</v>
      </c>
      <c r="U177" s="1" t="str">
        <f>HYPERLINK("http://ictvonline.org/taxonomy/p/taxonomy-history?taxnode_id=202113473","ICTVonline=202113473")</f>
        <v>ICTVonline=202113473</v>
      </c>
    </row>
    <row r="178" spans="1:21" x14ac:dyDescent="0.2">
      <c r="A178" s="3">
        <v>177</v>
      </c>
      <c r="B178" s="1" t="s">
        <v>4875</v>
      </c>
      <c r="D178" s="1" t="s">
        <v>4876</v>
      </c>
      <c r="F178" s="1" t="s">
        <v>4880</v>
      </c>
      <c r="H178" s="1" t="s">
        <v>4881</v>
      </c>
      <c r="J178" s="1" t="s">
        <v>8686</v>
      </c>
      <c r="L178" s="1" t="s">
        <v>8697</v>
      </c>
      <c r="M178" s="1" t="s">
        <v>8704</v>
      </c>
      <c r="N178" s="1" t="s">
        <v>8714</v>
      </c>
      <c r="P178" s="1" t="s">
        <v>8716</v>
      </c>
      <c r="Q178" s="30" t="s">
        <v>2565</v>
      </c>
      <c r="R178" s="33" t="s">
        <v>3472</v>
      </c>
      <c r="S178">
        <v>37</v>
      </c>
      <c r="T178" s="1" t="s">
        <v>13874</v>
      </c>
      <c r="U178" s="1" t="str">
        <f>HYPERLINK("http://ictvonline.org/taxonomy/p/taxonomy-history?taxnode_id=202113474","ICTVonline=202113474")</f>
        <v>ICTVonline=202113474</v>
      </c>
    </row>
    <row r="179" spans="1:21" x14ac:dyDescent="0.2">
      <c r="A179" s="3">
        <v>178</v>
      </c>
      <c r="B179" s="1" t="s">
        <v>4875</v>
      </c>
      <c r="D179" s="1" t="s">
        <v>4876</v>
      </c>
      <c r="F179" s="1" t="s">
        <v>4880</v>
      </c>
      <c r="H179" s="1" t="s">
        <v>4881</v>
      </c>
      <c r="J179" s="1" t="s">
        <v>8686</v>
      </c>
      <c r="L179" s="1" t="s">
        <v>8697</v>
      </c>
      <c r="M179" s="1" t="s">
        <v>8704</v>
      </c>
      <c r="N179" s="1" t="s">
        <v>8717</v>
      </c>
      <c r="P179" s="1" t="s">
        <v>8718</v>
      </c>
      <c r="Q179" s="30" t="s">
        <v>2565</v>
      </c>
      <c r="R179" s="33" t="s">
        <v>3472</v>
      </c>
      <c r="S179">
        <v>37</v>
      </c>
      <c r="T179" s="1" t="s">
        <v>13874</v>
      </c>
      <c r="U179" s="1" t="str">
        <f>HYPERLINK("http://ictvonline.org/taxonomy/p/taxonomy-history?taxnode_id=202113475","ICTVonline=202113475")</f>
        <v>ICTVonline=202113475</v>
      </c>
    </row>
    <row r="180" spans="1:21" x14ac:dyDescent="0.2">
      <c r="A180" s="3">
        <v>179</v>
      </c>
      <c r="B180" s="1" t="s">
        <v>4875</v>
      </c>
      <c r="D180" s="1" t="s">
        <v>4876</v>
      </c>
      <c r="F180" s="1" t="s">
        <v>4880</v>
      </c>
      <c r="H180" s="1" t="s">
        <v>4881</v>
      </c>
      <c r="J180" s="1" t="s">
        <v>8686</v>
      </c>
      <c r="L180" s="1" t="s">
        <v>8697</v>
      </c>
      <c r="M180" s="1" t="s">
        <v>8704</v>
      </c>
      <c r="N180" s="1" t="s">
        <v>8719</v>
      </c>
      <c r="P180" s="1" t="s">
        <v>8720</v>
      </c>
      <c r="Q180" s="30" t="s">
        <v>2565</v>
      </c>
      <c r="R180" s="33" t="s">
        <v>3472</v>
      </c>
      <c r="S180">
        <v>37</v>
      </c>
      <c r="T180" s="1" t="s">
        <v>13874</v>
      </c>
      <c r="U180" s="1" t="str">
        <f>HYPERLINK("http://ictvonline.org/taxonomy/p/taxonomy-history?taxnode_id=202113476","ICTVonline=202113476")</f>
        <v>ICTVonline=202113476</v>
      </c>
    </row>
    <row r="181" spans="1:21" x14ac:dyDescent="0.2">
      <c r="A181" s="3">
        <v>180</v>
      </c>
      <c r="B181" s="1" t="s">
        <v>4875</v>
      </c>
      <c r="D181" s="1" t="s">
        <v>4876</v>
      </c>
      <c r="F181" s="1" t="s">
        <v>4880</v>
      </c>
      <c r="H181" s="1" t="s">
        <v>4881</v>
      </c>
      <c r="J181" s="1" t="s">
        <v>8686</v>
      </c>
      <c r="L181" s="1" t="s">
        <v>8697</v>
      </c>
      <c r="M181" s="1" t="s">
        <v>8704</v>
      </c>
      <c r="N181" s="1" t="s">
        <v>8721</v>
      </c>
      <c r="P181" s="1" t="s">
        <v>8722</v>
      </c>
      <c r="Q181" s="30" t="s">
        <v>2565</v>
      </c>
      <c r="R181" s="33" t="s">
        <v>3472</v>
      </c>
      <c r="S181">
        <v>37</v>
      </c>
      <c r="T181" s="1" t="s">
        <v>13874</v>
      </c>
      <c r="U181" s="1" t="str">
        <f>HYPERLINK("http://ictvonline.org/taxonomy/p/taxonomy-history?taxnode_id=202113500","ICTVonline=202113500")</f>
        <v>ICTVonline=202113500</v>
      </c>
    </row>
    <row r="182" spans="1:21" x14ac:dyDescent="0.2">
      <c r="A182" s="3">
        <v>181</v>
      </c>
      <c r="B182" s="1" t="s">
        <v>4875</v>
      </c>
      <c r="D182" s="1" t="s">
        <v>4876</v>
      </c>
      <c r="F182" s="1" t="s">
        <v>4880</v>
      </c>
      <c r="H182" s="1" t="s">
        <v>4881</v>
      </c>
      <c r="J182" s="1" t="s">
        <v>8686</v>
      </c>
      <c r="L182" s="1" t="s">
        <v>8697</v>
      </c>
      <c r="M182" s="1" t="s">
        <v>8723</v>
      </c>
      <c r="N182" s="1" t="s">
        <v>8724</v>
      </c>
      <c r="P182" s="1" t="s">
        <v>8725</v>
      </c>
      <c r="Q182" s="30" t="s">
        <v>2565</v>
      </c>
      <c r="R182" s="33" t="s">
        <v>3472</v>
      </c>
      <c r="S182">
        <v>37</v>
      </c>
      <c r="T182" s="1" t="s">
        <v>13874</v>
      </c>
      <c r="U182" s="1" t="str">
        <f>HYPERLINK("http://ictvonline.org/taxonomy/p/taxonomy-history?taxnode_id=202113477","ICTVonline=202113477")</f>
        <v>ICTVonline=202113477</v>
      </c>
    </row>
    <row r="183" spans="1:21" x14ac:dyDescent="0.2">
      <c r="A183" s="3">
        <v>182</v>
      </c>
      <c r="B183" s="1" t="s">
        <v>4875</v>
      </c>
      <c r="D183" s="1" t="s">
        <v>4876</v>
      </c>
      <c r="F183" s="1" t="s">
        <v>4880</v>
      </c>
      <c r="H183" s="1" t="s">
        <v>4881</v>
      </c>
      <c r="J183" s="1" t="s">
        <v>8686</v>
      </c>
      <c r="L183" s="1" t="s">
        <v>8697</v>
      </c>
      <c r="M183" s="1" t="s">
        <v>8723</v>
      </c>
      <c r="N183" s="1" t="s">
        <v>8726</v>
      </c>
      <c r="P183" s="1" t="s">
        <v>8727</v>
      </c>
      <c r="Q183" s="30" t="s">
        <v>2565</v>
      </c>
      <c r="R183" s="33" t="s">
        <v>3472</v>
      </c>
      <c r="S183">
        <v>37</v>
      </c>
      <c r="T183" s="1" t="s">
        <v>13874</v>
      </c>
      <c r="U183" s="1" t="str">
        <f>HYPERLINK("http://ictvonline.org/taxonomy/p/taxonomy-history?taxnode_id=202113478","ICTVonline=202113478")</f>
        <v>ICTVonline=202113478</v>
      </c>
    </row>
    <row r="184" spans="1:21" x14ac:dyDescent="0.2">
      <c r="A184" s="3">
        <v>183</v>
      </c>
      <c r="B184" s="1" t="s">
        <v>4875</v>
      </c>
      <c r="D184" s="1" t="s">
        <v>4876</v>
      </c>
      <c r="F184" s="1" t="s">
        <v>4880</v>
      </c>
      <c r="H184" s="1" t="s">
        <v>4881</v>
      </c>
      <c r="J184" s="1" t="s">
        <v>8686</v>
      </c>
      <c r="L184" s="1" t="s">
        <v>8697</v>
      </c>
      <c r="M184" s="1" t="s">
        <v>8723</v>
      </c>
      <c r="N184" s="1" t="s">
        <v>8728</v>
      </c>
      <c r="P184" s="1" t="s">
        <v>8729</v>
      </c>
      <c r="Q184" s="30" t="s">
        <v>2565</v>
      </c>
      <c r="R184" s="33" t="s">
        <v>3472</v>
      </c>
      <c r="S184">
        <v>37</v>
      </c>
      <c r="T184" s="1" t="s">
        <v>13874</v>
      </c>
      <c r="U184" s="1" t="str">
        <f>HYPERLINK("http://ictvonline.org/taxonomy/p/taxonomy-history?taxnode_id=202113501","ICTVonline=202113501")</f>
        <v>ICTVonline=202113501</v>
      </c>
    </row>
    <row r="185" spans="1:21" x14ac:dyDescent="0.2">
      <c r="A185" s="3">
        <v>184</v>
      </c>
      <c r="B185" s="1" t="s">
        <v>4875</v>
      </c>
      <c r="D185" s="1" t="s">
        <v>4876</v>
      </c>
      <c r="F185" s="1" t="s">
        <v>4880</v>
      </c>
      <c r="H185" s="1" t="s">
        <v>4881</v>
      </c>
      <c r="J185" s="1" t="s">
        <v>8686</v>
      </c>
      <c r="L185" s="1" t="s">
        <v>8730</v>
      </c>
      <c r="M185" s="1" t="s">
        <v>8731</v>
      </c>
      <c r="N185" s="1" t="s">
        <v>8732</v>
      </c>
      <c r="P185" s="1" t="s">
        <v>8733</v>
      </c>
      <c r="Q185" s="30" t="s">
        <v>2565</v>
      </c>
      <c r="R185" s="33" t="s">
        <v>3472</v>
      </c>
      <c r="S185">
        <v>37</v>
      </c>
      <c r="T185" s="1" t="s">
        <v>13874</v>
      </c>
      <c r="U185" s="1" t="str">
        <f>HYPERLINK("http://ictvonline.org/taxonomy/p/taxonomy-history?taxnode_id=202113433","ICTVonline=202113433")</f>
        <v>ICTVonline=202113433</v>
      </c>
    </row>
    <row r="186" spans="1:21" x14ac:dyDescent="0.2">
      <c r="A186" s="3">
        <v>185</v>
      </c>
      <c r="B186" s="1" t="s">
        <v>4875</v>
      </c>
      <c r="D186" s="1" t="s">
        <v>4876</v>
      </c>
      <c r="F186" s="1" t="s">
        <v>4880</v>
      </c>
      <c r="H186" s="1" t="s">
        <v>4881</v>
      </c>
      <c r="J186" s="1" t="s">
        <v>8686</v>
      </c>
      <c r="L186" s="1" t="s">
        <v>8730</v>
      </c>
      <c r="M186" s="1" t="s">
        <v>8731</v>
      </c>
      <c r="N186" s="1" t="s">
        <v>8734</v>
      </c>
      <c r="P186" s="1" t="s">
        <v>8735</v>
      </c>
      <c r="Q186" s="30" t="s">
        <v>2565</v>
      </c>
      <c r="R186" s="33" t="s">
        <v>3472</v>
      </c>
      <c r="S186">
        <v>37</v>
      </c>
      <c r="T186" s="1" t="s">
        <v>13874</v>
      </c>
      <c r="U186" s="1" t="str">
        <f>HYPERLINK("http://ictvonline.org/taxonomy/p/taxonomy-history?taxnode_id=202113485","ICTVonline=202113485")</f>
        <v>ICTVonline=202113485</v>
      </c>
    </row>
    <row r="187" spans="1:21" x14ac:dyDescent="0.2">
      <c r="A187" s="3">
        <v>186</v>
      </c>
      <c r="B187" s="1" t="s">
        <v>4875</v>
      </c>
      <c r="D187" s="1" t="s">
        <v>4876</v>
      </c>
      <c r="F187" s="1" t="s">
        <v>4880</v>
      </c>
      <c r="H187" s="1" t="s">
        <v>4881</v>
      </c>
      <c r="J187" s="1" t="s">
        <v>8686</v>
      </c>
      <c r="L187" s="1" t="s">
        <v>8730</v>
      </c>
      <c r="M187" s="1" t="s">
        <v>8731</v>
      </c>
      <c r="N187" s="1" t="s">
        <v>8734</v>
      </c>
      <c r="P187" s="1" t="s">
        <v>8736</v>
      </c>
      <c r="Q187" s="30" t="s">
        <v>2565</v>
      </c>
      <c r="R187" s="33" t="s">
        <v>3472</v>
      </c>
      <c r="S187">
        <v>37</v>
      </c>
      <c r="T187" s="1" t="s">
        <v>13874</v>
      </c>
      <c r="U187" s="1" t="str">
        <f>HYPERLINK("http://ictvonline.org/taxonomy/p/taxonomy-history?taxnode_id=202113486","ICTVonline=202113486")</f>
        <v>ICTVonline=202113486</v>
      </c>
    </row>
    <row r="188" spans="1:21" x14ac:dyDescent="0.2">
      <c r="A188" s="3">
        <v>187</v>
      </c>
      <c r="B188" s="1" t="s">
        <v>4875</v>
      </c>
      <c r="D188" s="1" t="s">
        <v>4876</v>
      </c>
      <c r="F188" s="1" t="s">
        <v>4880</v>
      </c>
      <c r="H188" s="1" t="s">
        <v>4881</v>
      </c>
      <c r="J188" s="1" t="s">
        <v>8686</v>
      </c>
      <c r="L188" s="1" t="s">
        <v>8730</v>
      </c>
      <c r="M188" s="1" t="s">
        <v>8731</v>
      </c>
      <c r="N188" s="1" t="s">
        <v>8737</v>
      </c>
      <c r="P188" s="1" t="s">
        <v>8738</v>
      </c>
      <c r="Q188" s="30" t="s">
        <v>2565</v>
      </c>
      <c r="R188" s="33" t="s">
        <v>3472</v>
      </c>
      <c r="S188">
        <v>37</v>
      </c>
      <c r="T188" s="1" t="s">
        <v>13874</v>
      </c>
      <c r="U188" s="1" t="str">
        <f>HYPERLINK("http://ictvonline.org/taxonomy/p/taxonomy-history?taxnode_id=202113489","ICTVonline=202113489")</f>
        <v>ICTVonline=202113489</v>
      </c>
    </row>
    <row r="189" spans="1:21" x14ac:dyDescent="0.2">
      <c r="A189" s="3">
        <v>188</v>
      </c>
      <c r="B189" s="1" t="s">
        <v>4875</v>
      </c>
      <c r="D189" s="1" t="s">
        <v>4876</v>
      </c>
      <c r="F189" s="1" t="s">
        <v>4880</v>
      </c>
      <c r="H189" s="1" t="s">
        <v>4881</v>
      </c>
      <c r="J189" s="1" t="s">
        <v>8686</v>
      </c>
      <c r="L189" s="1" t="s">
        <v>8730</v>
      </c>
      <c r="M189" s="1" t="s">
        <v>8731</v>
      </c>
      <c r="N189" s="1" t="s">
        <v>8737</v>
      </c>
      <c r="P189" s="1" t="s">
        <v>8739</v>
      </c>
      <c r="Q189" s="30" t="s">
        <v>2565</v>
      </c>
      <c r="R189" s="33" t="s">
        <v>3472</v>
      </c>
      <c r="S189">
        <v>37</v>
      </c>
      <c r="T189" s="1" t="s">
        <v>13874</v>
      </c>
      <c r="U189" s="1" t="str">
        <f>HYPERLINK("http://ictvonline.org/taxonomy/p/taxonomy-history?taxnode_id=202113488","ICTVonline=202113488")</f>
        <v>ICTVonline=202113488</v>
      </c>
    </row>
    <row r="190" spans="1:21" x14ac:dyDescent="0.2">
      <c r="A190" s="3">
        <v>189</v>
      </c>
      <c r="B190" s="1" t="s">
        <v>4875</v>
      </c>
      <c r="D190" s="1" t="s">
        <v>4876</v>
      </c>
      <c r="F190" s="1" t="s">
        <v>4880</v>
      </c>
      <c r="H190" s="1" t="s">
        <v>4881</v>
      </c>
      <c r="J190" s="1" t="s">
        <v>8686</v>
      </c>
      <c r="L190" s="1" t="s">
        <v>8730</v>
      </c>
      <c r="M190" s="1" t="s">
        <v>8731</v>
      </c>
      <c r="N190" s="1" t="s">
        <v>8740</v>
      </c>
      <c r="P190" s="1" t="s">
        <v>8741</v>
      </c>
      <c r="Q190" s="30" t="s">
        <v>2565</v>
      </c>
      <c r="R190" s="33" t="s">
        <v>3472</v>
      </c>
      <c r="S190">
        <v>37</v>
      </c>
      <c r="T190" s="1" t="s">
        <v>13874</v>
      </c>
      <c r="U190" s="1" t="str">
        <f>HYPERLINK("http://ictvonline.org/taxonomy/p/taxonomy-history?taxnode_id=202113491","ICTVonline=202113491")</f>
        <v>ICTVonline=202113491</v>
      </c>
    </row>
    <row r="191" spans="1:21" x14ac:dyDescent="0.2">
      <c r="A191" s="3">
        <v>190</v>
      </c>
      <c r="B191" s="1" t="s">
        <v>4875</v>
      </c>
      <c r="D191" s="1" t="s">
        <v>4876</v>
      </c>
      <c r="F191" s="1" t="s">
        <v>4880</v>
      </c>
      <c r="H191" s="1" t="s">
        <v>4881</v>
      </c>
      <c r="J191" s="1" t="s">
        <v>8686</v>
      </c>
      <c r="L191" s="1" t="s">
        <v>8730</v>
      </c>
      <c r="M191" s="1" t="s">
        <v>8731</v>
      </c>
      <c r="N191" s="1" t="s">
        <v>8740</v>
      </c>
      <c r="P191" s="1" t="s">
        <v>8742</v>
      </c>
      <c r="Q191" s="30" t="s">
        <v>2565</v>
      </c>
      <c r="R191" s="33" t="s">
        <v>3472</v>
      </c>
      <c r="S191">
        <v>37</v>
      </c>
      <c r="T191" s="1" t="s">
        <v>13874</v>
      </c>
      <c r="U191" s="1" t="str">
        <f>HYPERLINK("http://ictvonline.org/taxonomy/p/taxonomy-history?taxnode_id=202113492","ICTVonline=202113492")</f>
        <v>ICTVonline=202113492</v>
      </c>
    </row>
    <row r="192" spans="1:21" x14ac:dyDescent="0.2">
      <c r="A192" s="3">
        <v>191</v>
      </c>
      <c r="B192" s="1" t="s">
        <v>4875</v>
      </c>
      <c r="D192" s="1" t="s">
        <v>4876</v>
      </c>
      <c r="F192" s="1" t="s">
        <v>4880</v>
      </c>
      <c r="H192" s="1" t="s">
        <v>4881</v>
      </c>
      <c r="J192" s="1" t="s">
        <v>8686</v>
      </c>
      <c r="L192" s="1" t="s">
        <v>8730</v>
      </c>
      <c r="M192" s="1" t="s">
        <v>8731</v>
      </c>
      <c r="N192" s="1" t="s">
        <v>8743</v>
      </c>
      <c r="P192" s="1" t="s">
        <v>8744</v>
      </c>
      <c r="Q192" s="30" t="s">
        <v>2565</v>
      </c>
      <c r="R192" s="33" t="s">
        <v>3472</v>
      </c>
      <c r="S192">
        <v>37</v>
      </c>
      <c r="T192" s="1" t="s">
        <v>13874</v>
      </c>
      <c r="U192" s="1" t="str">
        <f>HYPERLINK("http://ictvonline.org/taxonomy/p/taxonomy-history?taxnode_id=202113493","ICTVonline=202113493")</f>
        <v>ICTVonline=202113493</v>
      </c>
    </row>
    <row r="193" spans="1:21" x14ac:dyDescent="0.2">
      <c r="A193" s="3">
        <v>192</v>
      </c>
      <c r="B193" s="1" t="s">
        <v>4875</v>
      </c>
      <c r="D193" s="1" t="s">
        <v>4876</v>
      </c>
      <c r="F193" s="1" t="s">
        <v>4880</v>
      </c>
      <c r="H193" s="1" t="s">
        <v>4881</v>
      </c>
      <c r="J193" s="1" t="s">
        <v>8686</v>
      </c>
      <c r="L193" s="1" t="s">
        <v>8730</v>
      </c>
      <c r="M193" s="1" t="s">
        <v>8731</v>
      </c>
      <c r="N193" s="1" t="s">
        <v>8745</v>
      </c>
      <c r="P193" s="1" t="s">
        <v>8746</v>
      </c>
      <c r="Q193" s="30" t="s">
        <v>2565</v>
      </c>
      <c r="R193" s="33" t="s">
        <v>3472</v>
      </c>
      <c r="S193">
        <v>37</v>
      </c>
      <c r="T193" s="1" t="s">
        <v>13874</v>
      </c>
      <c r="U193" s="1" t="str">
        <f>HYPERLINK("http://ictvonline.org/taxonomy/p/taxonomy-history?taxnode_id=202113494","ICTVonline=202113494")</f>
        <v>ICTVonline=202113494</v>
      </c>
    </row>
    <row r="194" spans="1:21" x14ac:dyDescent="0.2">
      <c r="A194" s="3">
        <v>193</v>
      </c>
      <c r="B194" s="1" t="s">
        <v>4875</v>
      </c>
      <c r="D194" s="1" t="s">
        <v>4876</v>
      </c>
      <c r="F194" s="1" t="s">
        <v>4880</v>
      </c>
      <c r="H194" s="1" t="s">
        <v>4881</v>
      </c>
      <c r="J194" s="1" t="s">
        <v>8686</v>
      </c>
      <c r="L194" s="1" t="s">
        <v>8730</v>
      </c>
      <c r="M194" s="1" t="s">
        <v>8731</v>
      </c>
      <c r="N194" s="1" t="s">
        <v>8747</v>
      </c>
      <c r="P194" s="1" t="s">
        <v>8748</v>
      </c>
      <c r="Q194" s="30" t="s">
        <v>2565</v>
      </c>
      <c r="R194" s="33" t="s">
        <v>3472</v>
      </c>
      <c r="S194">
        <v>37</v>
      </c>
      <c r="T194" s="1" t="s">
        <v>13874</v>
      </c>
      <c r="U194" s="1" t="str">
        <f>HYPERLINK("http://ictvonline.org/taxonomy/p/taxonomy-history?taxnode_id=202113495","ICTVonline=202113495")</f>
        <v>ICTVonline=202113495</v>
      </c>
    </row>
    <row r="195" spans="1:21" x14ac:dyDescent="0.2">
      <c r="A195" s="3">
        <v>194</v>
      </c>
      <c r="B195" s="1" t="s">
        <v>4875</v>
      </c>
      <c r="D195" s="1" t="s">
        <v>4876</v>
      </c>
      <c r="F195" s="1" t="s">
        <v>4880</v>
      </c>
      <c r="H195" s="1" t="s">
        <v>4881</v>
      </c>
      <c r="J195" s="1" t="s">
        <v>8686</v>
      </c>
      <c r="L195" s="1" t="s">
        <v>8730</v>
      </c>
      <c r="M195" s="1" t="s">
        <v>8731</v>
      </c>
      <c r="N195" s="1" t="s">
        <v>8749</v>
      </c>
      <c r="P195" s="1" t="s">
        <v>8750</v>
      </c>
      <c r="Q195" s="30" t="s">
        <v>2565</v>
      </c>
      <c r="R195" s="33" t="s">
        <v>3472</v>
      </c>
      <c r="S195">
        <v>37</v>
      </c>
      <c r="T195" s="1" t="s">
        <v>13874</v>
      </c>
      <c r="U195" s="1" t="str">
        <f>HYPERLINK("http://ictvonline.org/taxonomy/p/taxonomy-history?taxnode_id=202113496","ICTVonline=202113496")</f>
        <v>ICTVonline=202113496</v>
      </c>
    </row>
    <row r="196" spans="1:21" x14ac:dyDescent="0.2">
      <c r="A196" s="3">
        <v>195</v>
      </c>
      <c r="B196" s="1" t="s">
        <v>4875</v>
      </c>
      <c r="D196" s="1" t="s">
        <v>4876</v>
      </c>
      <c r="F196" s="1" t="s">
        <v>4880</v>
      </c>
      <c r="H196" s="1" t="s">
        <v>4881</v>
      </c>
      <c r="J196" s="1" t="s">
        <v>8686</v>
      </c>
      <c r="L196" s="1" t="s">
        <v>8730</v>
      </c>
      <c r="M196" s="1" t="s">
        <v>8731</v>
      </c>
      <c r="N196" s="1" t="s">
        <v>8751</v>
      </c>
      <c r="P196" s="1" t="s">
        <v>8752</v>
      </c>
      <c r="Q196" s="30" t="s">
        <v>2565</v>
      </c>
      <c r="R196" s="33" t="s">
        <v>3472</v>
      </c>
      <c r="S196">
        <v>37</v>
      </c>
      <c r="T196" s="1" t="s">
        <v>13874</v>
      </c>
      <c r="U196" s="1" t="str">
        <f>HYPERLINK("http://ictvonline.org/taxonomy/p/taxonomy-history?taxnode_id=202113497","ICTVonline=202113497")</f>
        <v>ICTVonline=202113497</v>
      </c>
    </row>
    <row r="197" spans="1:21" x14ac:dyDescent="0.2">
      <c r="A197" s="3">
        <v>196</v>
      </c>
      <c r="B197" s="1" t="s">
        <v>4875</v>
      </c>
      <c r="D197" s="1" t="s">
        <v>4876</v>
      </c>
      <c r="F197" s="1" t="s">
        <v>4880</v>
      </c>
      <c r="H197" s="1" t="s">
        <v>4881</v>
      </c>
      <c r="J197" s="1" t="s">
        <v>8686</v>
      </c>
      <c r="L197" s="1" t="s">
        <v>8730</v>
      </c>
      <c r="M197" s="1" t="s">
        <v>8731</v>
      </c>
      <c r="N197" s="1" t="s">
        <v>8753</v>
      </c>
      <c r="P197" s="1" t="s">
        <v>8754</v>
      </c>
      <c r="Q197" s="30" t="s">
        <v>2565</v>
      </c>
      <c r="R197" s="33" t="s">
        <v>3472</v>
      </c>
      <c r="S197">
        <v>37</v>
      </c>
      <c r="T197" s="1" t="s">
        <v>13874</v>
      </c>
      <c r="U197" s="1" t="str">
        <f>HYPERLINK("http://ictvonline.org/taxonomy/p/taxonomy-history?taxnode_id=202113498","ICTVonline=202113498")</f>
        <v>ICTVonline=202113498</v>
      </c>
    </row>
    <row r="198" spans="1:21" x14ac:dyDescent="0.2">
      <c r="A198" s="3">
        <v>197</v>
      </c>
      <c r="B198" s="1" t="s">
        <v>4875</v>
      </c>
      <c r="D198" s="1" t="s">
        <v>4876</v>
      </c>
      <c r="F198" s="1" t="s">
        <v>4880</v>
      </c>
      <c r="H198" s="1" t="s">
        <v>4881</v>
      </c>
      <c r="J198" s="1" t="s">
        <v>8686</v>
      </c>
      <c r="L198" s="1" t="s">
        <v>8730</v>
      </c>
      <c r="M198" s="1" t="s">
        <v>8731</v>
      </c>
      <c r="N198" s="1" t="s">
        <v>8755</v>
      </c>
      <c r="P198" s="1" t="s">
        <v>8756</v>
      </c>
      <c r="Q198" s="30" t="s">
        <v>2565</v>
      </c>
      <c r="R198" s="33" t="s">
        <v>3472</v>
      </c>
      <c r="S198">
        <v>37</v>
      </c>
      <c r="T198" s="1" t="s">
        <v>13874</v>
      </c>
      <c r="U198" s="1" t="str">
        <f>HYPERLINK("http://ictvonline.org/taxonomy/p/taxonomy-history?taxnode_id=202113499","ICTVonline=202113499")</f>
        <v>ICTVonline=202113499</v>
      </c>
    </row>
    <row r="199" spans="1:21" x14ac:dyDescent="0.2">
      <c r="A199" s="3">
        <v>198</v>
      </c>
      <c r="B199" s="1" t="s">
        <v>4875</v>
      </c>
      <c r="D199" s="1" t="s">
        <v>4876</v>
      </c>
      <c r="F199" s="1" t="s">
        <v>4880</v>
      </c>
      <c r="H199" s="1" t="s">
        <v>4881</v>
      </c>
      <c r="J199" s="1" t="s">
        <v>8686</v>
      </c>
      <c r="L199" s="1" t="s">
        <v>8730</v>
      </c>
      <c r="M199" s="1" t="s">
        <v>8731</v>
      </c>
      <c r="N199" s="1" t="s">
        <v>8757</v>
      </c>
      <c r="P199" s="1" t="s">
        <v>8758</v>
      </c>
      <c r="Q199" s="30" t="s">
        <v>2565</v>
      </c>
      <c r="R199" s="33" t="s">
        <v>3472</v>
      </c>
      <c r="S199">
        <v>37</v>
      </c>
      <c r="T199" s="1" t="s">
        <v>13874</v>
      </c>
      <c r="U199" s="1" t="str">
        <f>HYPERLINK("http://ictvonline.org/taxonomy/p/taxonomy-history?taxnode_id=202113502","ICTVonline=202113502")</f>
        <v>ICTVonline=202113502</v>
      </c>
    </row>
    <row r="200" spans="1:21" x14ac:dyDescent="0.2">
      <c r="A200" s="3">
        <v>199</v>
      </c>
      <c r="B200" s="1" t="s">
        <v>4875</v>
      </c>
      <c r="D200" s="1" t="s">
        <v>4876</v>
      </c>
      <c r="F200" s="1" t="s">
        <v>4880</v>
      </c>
      <c r="H200" s="1" t="s">
        <v>4881</v>
      </c>
      <c r="J200" s="1" t="s">
        <v>8686</v>
      </c>
      <c r="L200" s="1" t="s">
        <v>8759</v>
      </c>
      <c r="M200" s="1" t="s">
        <v>8760</v>
      </c>
      <c r="N200" s="1" t="s">
        <v>8761</v>
      </c>
      <c r="P200" s="1" t="s">
        <v>8762</v>
      </c>
      <c r="Q200" s="30" t="s">
        <v>2565</v>
      </c>
      <c r="R200" s="33" t="s">
        <v>3472</v>
      </c>
      <c r="S200">
        <v>37</v>
      </c>
      <c r="T200" s="1" t="s">
        <v>13874</v>
      </c>
      <c r="U200" s="1" t="str">
        <f>HYPERLINK("http://ictvonline.org/taxonomy/p/taxonomy-history?taxnode_id=202113115","ICTVonline=202113115")</f>
        <v>ICTVonline=202113115</v>
      </c>
    </row>
    <row r="201" spans="1:21" x14ac:dyDescent="0.2">
      <c r="A201" s="3">
        <v>200</v>
      </c>
      <c r="B201" s="1" t="s">
        <v>4875</v>
      </c>
      <c r="D201" s="1" t="s">
        <v>4876</v>
      </c>
      <c r="F201" s="1" t="s">
        <v>4880</v>
      </c>
      <c r="H201" s="1" t="s">
        <v>4881</v>
      </c>
      <c r="J201" s="1" t="s">
        <v>8686</v>
      </c>
      <c r="L201" s="1" t="s">
        <v>8759</v>
      </c>
      <c r="M201" s="1" t="s">
        <v>8760</v>
      </c>
      <c r="N201" s="1" t="s">
        <v>8761</v>
      </c>
      <c r="P201" s="1" t="s">
        <v>8763</v>
      </c>
      <c r="Q201" s="30" t="s">
        <v>2565</v>
      </c>
      <c r="R201" s="33" t="s">
        <v>3472</v>
      </c>
      <c r="S201">
        <v>37</v>
      </c>
      <c r="T201" s="1" t="s">
        <v>13874</v>
      </c>
      <c r="U201" s="1" t="str">
        <f>HYPERLINK("http://ictvonline.org/taxonomy/p/taxonomy-history?taxnode_id=202113116","ICTVonline=202113116")</f>
        <v>ICTVonline=202113116</v>
      </c>
    </row>
    <row r="202" spans="1:21" x14ac:dyDescent="0.2">
      <c r="A202" s="3">
        <v>201</v>
      </c>
      <c r="B202" s="1" t="s">
        <v>4875</v>
      </c>
      <c r="D202" s="1" t="s">
        <v>4876</v>
      </c>
      <c r="F202" s="1" t="s">
        <v>4880</v>
      </c>
      <c r="H202" s="1" t="s">
        <v>4881</v>
      </c>
      <c r="J202" s="1" t="s">
        <v>8686</v>
      </c>
      <c r="L202" s="1" t="s">
        <v>8759</v>
      </c>
      <c r="M202" s="1" t="s">
        <v>8760</v>
      </c>
      <c r="N202" s="1" t="s">
        <v>8761</v>
      </c>
      <c r="P202" s="1" t="s">
        <v>8764</v>
      </c>
      <c r="Q202" s="30" t="s">
        <v>2565</v>
      </c>
      <c r="R202" s="33" t="s">
        <v>3472</v>
      </c>
      <c r="S202">
        <v>37</v>
      </c>
      <c r="T202" s="1" t="s">
        <v>13874</v>
      </c>
      <c r="U202" s="1" t="str">
        <f>HYPERLINK("http://ictvonline.org/taxonomy/p/taxonomy-history?taxnode_id=202113114","ICTVonline=202113114")</f>
        <v>ICTVonline=202113114</v>
      </c>
    </row>
    <row r="203" spans="1:21" x14ac:dyDescent="0.2">
      <c r="A203" s="3">
        <v>202</v>
      </c>
      <c r="B203" s="1" t="s">
        <v>4875</v>
      </c>
      <c r="D203" s="1" t="s">
        <v>4876</v>
      </c>
      <c r="F203" s="1" t="s">
        <v>4880</v>
      </c>
      <c r="H203" s="1" t="s">
        <v>4881</v>
      </c>
      <c r="J203" s="1" t="s">
        <v>8686</v>
      </c>
      <c r="L203" s="1" t="s">
        <v>8759</v>
      </c>
      <c r="M203" s="1" t="s">
        <v>8765</v>
      </c>
      <c r="N203" s="1" t="s">
        <v>8766</v>
      </c>
      <c r="P203" s="1" t="s">
        <v>8767</v>
      </c>
      <c r="Q203" s="30" t="s">
        <v>2565</v>
      </c>
      <c r="R203" s="33" t="s">
        <v>3472</v>
      </c>
      <c r="S203">
        <v>37</v>
      </c>
      <c r="T203" s="1" t="s">
        <v>13874</v>
      </c>
      <c r="U203" s="1" t="str">
        <f>HYPERLINK("http://ictvonline.org/taxonomy/p/taxonomy-history?taxnode_id=202113458","ICTVonline=202113458")</f>
        <v>ICTVonline=202113458</v>
      </c>
    </row>
    <row r="204" spans="1:21" x14ac:dyDescent="0.2">
      <c r="A204" s="3">
        <v>203</v>
      </c>
      <c r="B204" s="1" t="s">
        <v>4875</v>
      </c>
      <c r="D204" s="1" t="s">
        <v>4876</v>
      </c>
      <c r="F204" s="1" t="s">
        <v>4880</v>
      </c>
      <c r="H204" s="1" t="s">
        <v>4881</v>
      </c>
      <c r="J204" s="1" t="s">
        <v>8686</v>
      </c>
      <c r="L204" s="1" t="s">
        <v>8759</v>
      </c>
      <c r="M204" s="1" t="s">
        <v>8765</v>
      </c>
      <c r="N204" s="1" t="s">
        <v>8766</v>
      </c>
      <c r="P204" s="1" t="s">
        <v>8768</v>
      </c>
      <c r="Q204" s="30" t="s">
        <v>2565</v>
      </c>
      <c r="R204" s="33" t="s">
        <v>3472</v>
      </c>
      <c r="S204">
        <v>37</v>
      </c>
      <c r="T204" s="1" t="s">
        <v>13874</v>
      </c>
      <c r="U204" s="1" t="str">
        <f>HYPERLINK("http://ictvonline.org/taxonomy/p/taxonomy-history?taxnode_id=202113459","ICTVonline=202113459")</f>
        <v>ICTVonline=202113459</v>
      </c>
    </row>
    <row r="205" spans="1:21" x14ac:dyDescent="0.2">
      <c r="A205" s="3">
        <v>204</v>
      </c>
      <c r="B205" s="1" t="s">
        <v>4875</v>
      </c>
      <c r="D205" s="1" t="s">
        <v>4876</v>
      </c>
      <c r="F205" s="1" t="s">
        <v>4880</v>
      </c>
      <c r="H205" s="1" t="s">
        <v>4881</v>
      </c>
      <c r="J205" s="1" t="s">
        <v>8686</v>
      </c>
      <c r="L205" s="1" t="s">
        <v>8759</v>
      </c>
      <c r="M205" s="1" t="s">
        <v>8765</v>
      </c>
      <c r="N205" s="1" t="s">
        <v>8769</v>
      </c>
      <c r="P205" s="1" t="s">
        <v>8770</v>
      </c>
      <c r="Q205" s="30" t="s">
        <v>2565</v>
      </c>
      <c r="R205" s="33" t="s">
        <v>3472</v>
      </c>
      <c r="S205">
        <v>37</v>
      </c>
      <c r="T205" s="1" t="s">
        <v>13874</v>
      </c>
      <c r="U205" s="1" t="str">
        <f>HYPERLINK("http://ictvonline.org/taxonomy/p/taxonomy-history?taxnode_id=202113464","ICTVonline=202113464")</f>
        <v>ICTVonline=202113464</v>
      </c>
    </row>
    <row r="206" spans="1:21" x14ac:dyDescent="0.2">
      <c r="A206" s="3">
        <v>205</v>
      </c>
      <c r="B206" s="1" t="s">
        <v>4875</v>
      </c>
      <c r="D206" s="1" t="s">
        <v>4876</v>
      </c>
      <c r="F206" s="1" t="s">
        <v>4880</v>
      </c>
      <c r="H206" s="1" t="s">
        <v>4881</v>
      </c>
      <c r="J206" s="1" t="s">
        <v>8686</v>
      </c>
      <c r="L206" s="1" t="s">
        <v>8759</v>
      </c>
      <c r="M206" s="1" t="s">
        <v>8765</v>
      </c>
      <c r="N206" s="1" t="s">
        <v>8769</v>
      </c>
      <c r="P206" s="1" t="s">
        <v>8771</v>
      </c>
      <c r="Q206" s="30" t="s">
        <v>2565</v>
      </c>
      <c r="R206" s="33" t="s">
        <v>3472</v>
      </c>
      <c r="S206">
        <v>37</v>
      </c>
      <c r="T206" s="1" t="s">
        <v>13874</v>
      </c>
      <c r="U206" s="1" t="str">
        <f>HYPERLINK("http://ictvonline.org/taxonomy/p/taxonomy-history?taxnode_id=202113463","ICTVonline=202113463")</f>
        <v>ICTVonline=202113463</v>
      </c>
    </row>
    <row r="207" spans="1:21" x14ac:dyDescent="0.2">
      <c r="A207" s="3">
        <v>206</v>
      </c>
      <c r="B207" s="1" t="s">
        <v>4875</v>
      </c>
      <c r="D207" s="1" t="s">
        <v>4876</v>
      </c>
      <c r="F207" s="1" t="s">
        <v>4880</v>
      </c>
      <c r="H207" s="1" t="s">
        <v>4881</v>
      </c>
      <c r="J207" s="1" t="s">
        <v>8686</v>
      </c>
      <c r="L207" s="1" t="s">
        <v>8759</v>
      </c>
      <c r="M207" s="1" t="s">
        <v>8765</v>
      </c>
      <c r="N207" s="1" t="s">
        <v>8772</v>
      </c>
      <c r="P207" s="1" t="s">
        <v>8773</v>
      </c>
      <c r="Q207" s="30" t="s">
        <v>2565</v>
      </c>
      <c r="R207" s="33" t="s">
        <v>3472</v>
      </c>
      <c r="S207">
        <v>37</v>
      </c>
      <c r="T207" s="1" t="s">
        <v>13874</v>
      </c>
      <c r="U207" s="1" t="str">
        <f>HYPERLINK("http://ictvonline.org/taxonomy/p/taxonomy-history?taxnode_id=202113466","ICTVonline=202113466")</f>
        <v>ICTVonline=202113466</v>
      </c>
    </row>
    <row r="208" spans="1:21" x14ac:dyDescent="0.2">
      <c r="A208" s="3">
        <v>207</v>
      </c>
      <c r="B208" s="1" t="s">
        <v>4875</v>
      </c>
      <c r="D208" s="1" t="s">
        <v>4876</v>
      </c>
      <c r="F208" s="1" t="s">
        <v>4880</v>
      </c>
      <c r="H208" s="1" t="s">
        <v>4881</v>
      </c>
      <c r="J208" s="1" t="s">
        <v>8686</v>
      </c>
      <c r="L208" s="1" t="s">
        <v>8759</v>
      </c>
      <c r="M208" s="1" t="s">
        <v>8765</v>
      </c>
      <c r="N208" s="1" t="s">
        <v>8772</v>
      </c>
      <c r="P208" s="1" t="s">
        <v>8774</v>
      </c>
      <c r="Q208" s="30" t="s">
        <v>2565</v>
      </c>
      <c r="R208" s="33" t="s">
        <v>3472</v>
      </c>
      <c r="S208">
        <v>37</v>
      </c>
      <c r="T208" s="1" t="s">
        <v>13874</v>
      </c>
      <c r="U208" s="1" t="str">
        <f>HYPERLINK("http://ictvonline.org/taxonomy/p/taxonomy-history?taxnode_id=202113465","ICTVonline=202113465")</f>
        <v>ICTVonline=202113465</v>
      </c>
    </row>
    <row r="209" spans="1:21" x14ac:dyDescent="0.2">
      <c r="A209" s="3">
        <v>208</v>
      </c>
      <c r="B209" s="1" t="s">
        <v>4875</v>
      </c>
      <c r="D209" s="1" t="s">
        <v>4876</v>
      </c>
      <c r="F209" s="1" t="s">
        <v>4880</v>
      </c>
      <c r="H209" s="1" t="s">
        <v>4881</v>
      </c>
      <c r="J209" s="1" t="s">
        <v>8686</v>
      </c>
      <c r="L209" s="1" t="s">
        <v>8759</v>
      </c>
      <c r="M209" s="1" t="s">
        <v>8765</v>
      </c>
      <c r="N209" s="1" t="s">
        <v>8772</v>
      </c>
      <c r="P209" s="1" t="s">
        <v>8775</v>
      </c>
      <c r="Q209" s="30" t="s">
        <v>2565</v>
      </c>
      <c r="R209" s="33" t="s">
        <v>3472</v>
      </c>
      <c r="S209">
        <v>37</v>
      </c>
      <c r="T209" s="1" t="s">
        <v>13874</v>
      </c>
      <c r="U209" s="1" t="str">
        <f>HYPERLINK("http://ictvonline.org/taxonomy/p/taxonomy-history?taxnode_id=202113467","ICTVonline=202113467")</f>
        <v>ICTVonline=202113467</v>
      </c>
    </row>
    <row r="210" spans="1:21" x14ac:dyDescent="0.2">
      <c r="A210" s="3">
        <v>209</v>
      </c>
      <c r="B210" s="1" t="s">
        <v>4875</v>
      </c>
      <c r="D210" s="1" t="s">
        <v>4876</v>
      </c>
      <c r="F210" s="1" t="s">
        <v>4880</v>
      </c>
      <c r="H210" s="1" t="s">
        <v>4881</v>
      </c>
      <c r="J210" s="1" t="s">
        <v>8686</v>
      </c>
      <c r="L210" s="1" t="s">
        <v>8759</v>
      </c>
      <c r="M210" s="1" t="s">
        <v>8776</v>
      </c>
      <c r="N210" s="1" t="s">
        <v>8777</v>
      </c>
      <c r="P210" s="1" t="s">
        <v>8778</v>
      </c>
      <c r="Q210" s="30" t="s">
        <v>2565</v>
      </c>
      <c r="R210" s="33" t="s">
        <v>3472</v>
      </c>
      <c r="S210">
        <v>37</v>
      </c>
      <c r="T210" s="1" t="s">
        <v>13874</v>
      </c>
      <c r="U210" s="1" t="str">
        <f>HYPERLINK("http://ictvonline.org/taxonomy/p/taxonomy-history?taxnode_id=202113441","ICTVonline=202113441")</f>
        <v>ICTVonline=202113441</v>
      </c>
    </row>
    <row r="211" spans="1:21" x14ac:dyDescent="0.2">
      <c r="A211" s="3">
        <v>210</v>
      </c>
      <c r="B211" s="1" t="s">
        <v>4875</v>
      </c>
      <c r="D211" s="1" t="s">
        <v>4876</v>
      </c>
      <c r="F211" s="1" t="s">
        <v>4880</v>
      </c>
      <c r="H211" s="1" t="s">
        <v>4881</v>
      </c>
      <c r="J211" s="1" t="s">
        <v>8686</v>
      </c>
      <c r="L211" s="1" t="s">
        <v>8759</v>
      </c>
      <c r="M211" s="1" t="s">
        <v>8776</v>
      </c>
      <c r="N211" s="1" t="s">
        <v>8777</v>
      </c>
      <c r="P211" s="1" t="s">
        <v>8779</v>
      </c>
      <c r="Q211" s="30" t="s">
        <v>2565</v>
      </c>
      <c r="R211" s="33" t="s">
        <v>3472</v>
      </c>
      <c r="S211">
        <v>37</v>
      </c>
      <c r="T211" s="1" t="s">
        <v>13874</v>
      </c>
      <c r="U211" s="1" t="str">
        <f>HYPERLINK("http://ictvonline.org/taxonomy/p/taxonomy-history?taxnode_id=202113440","ICTVonline=202113440")</f>
        <v>ICTVonline=202113440</v>
      </c>
    </row>
    <row r="212" spans="1:21" x14ac:dyDescent="0.2">
      <c r="A212" s="3">
        <v>211</v>
      </c>
      <c r="B212" s="1" t="s">
        <v>4875</v>
      </c>
      <c r="D212" s="1" t="s">
        <v>4876</v>
      </c>
      <c r="F212" s="1" t="s">
        <v>4880</v>
      </c>
      <c r="H212" s="1" t="s">
        <v>4881</v>
      </c>
      <c r="J212" s="1" t="s">
        <v>8686</v>
      </c>
      <c r="L212" s="1" t="s">
        <v>8759</v>
      </c>
      <c r="M212" s="1" t="s">
        <v>8776</v>
      </c>
      <c r="N212" s="1" t="s">
        <v>8780</v>
      </c>
      <c r="P212" s="1" t="s">
        <v>8781</v>
      </c>
      <c r="Q212" s="30" t="s">
        <v>2565</v>
      </c>
      <c r="R212" s="33" t="s">
        <v>3472</v>
      </c>
      <c r="S212">
        <v>37</v>
      </c>
      <c r="T212" s="1" t="s">
        <v>13874</v>
      </c>
      <c r="U212" s="1" t="str">
        <f>HYPERLINK("http://ictvonline.org/taxonomy/p/taxonomy-history?taxnode_id=202113446","ICTVonline=202113446")</f>
        <v>ICTVonline=202113446</v>
      </c>
    </row>
    <row r="213" spans="1:21" x14ac:dyDescent="0.2">
      <c r="A213" s="3">
        <v>212</v>
      </c>
      <c r="B213" s="1" t="s">
        <v>4875</v>
      </c>
      <c r="D213" s="1" t="s">
        <v>4876</v>
      </c>
      <c r="F213" s="1" t="s">
        <v>4880</v>
      </c>
      <c r="H213" s="1" t="s">
        <v>4881</v>
      </c>
      <c r="J213" s="1" t="s">
        <v>8686</v>
      </c>
      <c r="L213" s="1" t="s">
        <v>8759</v>
      </c>
      <c r="M213" s="1" t="s">
        <v>8776</v>
      </c>
      <c r="N213" s="1" t="s">
        <v>8780</v>
      </c>
      <c r="P213" s="1" t="s">
        <v>8782</v>
      </c>
      <c r="Q213" s="30" t="s">
        <v>2565</v>
      </c>
      <c r="R213" s="33" t="s">
        <v>3472</v>
      </c>
      <c r="S213">
        <v>37</v>
      </c>
      <c r="T213" s="1" t="s">
        <v>13874</v>
      </c>
      <c r="U213" s="1" t="str">
        <f>HYPERLINK("http://ictvonline.org/taxonomy/p/taxonomy-history?taxnode_id=202113450","ICTVonline=202113450")</f>
        <v>ICTVonline=202113450</v>
      </c>
    </row>
    <row r="214" spans="1:21" x14ac:dyDescent="0.2">
      <c r="A214" s="3">
        <v>213</v>
      </c>
      <c r="B214" s="1" t="s">
        <v>4875</v>
      </c>
      <c r="D214" s="1" t="s">
        <v>4876</v>
      </c>
      <c r="F214" s="1" t="s">
        <v>4880</v>
      </c>
      <c r="H214" s="1" t="s">
        <v>4881</v>
      </c>
      <c r="J214" s="1" t="s">
        <v>8686</v>
      </c>
      <c r="L214" s="1" t="s">
        <v>8759</v>
      </c>
      <c r="M214" s="1" t="s">
        <v>8776</v>
      </c>
      <c r="N214" s="1" t="s">
        <v>8780</v>
      </c>
      <c r="P214" s="1" t="s">
        <v>8783</v>
      </c>
      <c r="Q214" s="30" t="s">
        <v>2565</v>
      </c>
      <c r="R214" s="33" t="s">
        <v>3472</v>
      </c>
      <c r="S214">
        <v>37</v>
      </c>
      <c r="T214" s="1" t="s">
        <v>13874</v>
      </c>
      <c r="U214" s="1" t="str">
        <f>HYPERLINK("http://ictvonline.org/taxonomy/p/taxonomy-history?taxnode_id=202113449","ICTVonline=202113449")</f>
        <v>ICTVonline=202113449</v>
      </c>
    </row>
    <row r="215" spans="1:21" x14ac:dyDescent="0.2">
      <c r="A215" s="3">
        <v>214</v>
      </c>
      <c r="B215" s="1" t="s">
        <v>4875</v>
      </c>
      <c r="D215" s="1" t="s">
        <v>4876</v>
      </c>
      <c r="F215" s="1" t="s">
        <v>4880</v>
      </c>
      <c r="H215" s="1" t="s">
        <v>4881</v>
      </c>
      <c r="J215" s="1" t="s">
        <v>8686</v>
      </c>
      <c r="L215" s="1" t="s">
        <v>8759</v>
      </c>
      <c r="M215" s="1" t="s">
        <v>8776</v>
      </c>
      <c r="N215" s="1" t="s">
        <v>8780</v>
      </c>
      <c r="P215" s="1" t="s">
        <v>8784</v>
      </c>
      <c r="Q215" s="30" t="s">
        <v>2565</v>
      </c>
      <c r="R215" s="33" t="s">
        <v>3472</v>
      </c>
      <c r="S215">
        <v>37</v>
      </c>
      <c r="T215" s="1" t="s">
        <v>13874</v>
      </c>
      <c r="U215" s="1" t="str">
        <f>HYPERLINK("http://ictvonline.org/taxonomy/p/taxonomy-history?taxnode_id=202113444","ICTVonline=202113444")</f>
        <v>ICTVonline=202113444</v>
      </c>
    </row>
    <row r="216" spans="1:21" x14ac:dyDescent="0.2">
      <c r="A216" s="3">
        <v>215</v>
      </c>
      <c r="B216" s="1" t="s">
        <v>4875</v>
      </c>
      <c r="D216" s="1" t="s">
        <v>4876</v>
      </c>
      <c r="F216" s="1" t="s">
        <v>4880</v>
      </c>
      <c r="H216" s="1" t="s">
        <v>4881</v>
      </c>
      <c r="J216" s="1" t="s">
        <v>8686</v>
      </c>
      <c r="L216" s="1" t="s">
        <v>8759</v>
      </c>
      <c r="M216" s="1" t="s">
        <v>8776</v>
      </c>
      <c r="N216" s="1" t="s">
        <v>8780</v>
      </c>
      <c r="P216" s="1" t="s">
        <v>8785</v>
      </c>
      <c r="Q216" s="30" t="s">
        <v>2565</v>
      </c>
      <c r="R216" s="33" t="s">
        <v>3472</v>
      </c>
      <c r="S216">
        <v>37</v>
      </c>
      <c r="T216" s="1" t="s">
        <v>13874</v>
      </c>
      <c r="U216" s="1" t="str">
        <f>HYPERLINK("http://ictvonline.org/taxonomy/p/taxonomy-history?taxnode_id=202113448","ICTVonline=202113448")</f>
        <v>ICTVonline=202113448</v>
      </c>
    </row>
    <row r="217" spans="1:21" x14ac:dyDescent="0.2">
      <c r="A217" s="3">
        <v>216</v>
      </c>
      <c r="B217" s="1" t="s">
        <v>4875</v>
      </c>
      <c r="D217" s="1" t="s">
        <v>4876</v>
      </c>
      <c r="F217" s="1" t="s">
        <v>4880</v>
      </c>
      <c r="H217" s="1" t="s">
        <v>4881</v>
      </c>
      <c r="J217" s="1" t="s">
        <v>8686</v>
      </c>
      <c r="L217" s="1" t="s">
        <v>8759</v>
      </c>
      <c r="M217" s="1" t="s">
        <v>8776</v>
      </c>
      <c r="N217" s="1" t="s">
        <v>8780</v>
      </c>
      <c r="P217" s="1" t="s">
        <v>8786</v>
      </c>
      <c r="Q217" s="30" t="s">
        <v>2565</v>
      </c>
      <c r="R217" s="33" t="s">
        <v>3472</v>
      </c>
      <c r="S217">
        <v>37</v>
      </c>
      <c r="T217" s="1" t="s">
        <v>13874</v>
      </c>
      <c r="U217" s="1" t="str">
        <f>HYPERLINK("http://ictvonline.org/taxonomy/p/taxonomy-history?taxnode_id=202113443","ICTVonline=202113443")</f>
        <v>ICTVonline=202113443</v>
      </c>
    </row>
    <row r="218" spans="1:21" x14ac:dyDescent="0.2">
      <c r="A218" s="3">
        <v>217</v>
      </c>
      <c r="B218" s="1" t="s">
        <v>4875</v>
      </c>
      <c r="D218" s="1" t="s">
        <v>4876</v>
      </c>
      <c r="F218" s="1" t="s">
        <v>4880</v>
      </c>
      <c r="H218" s="1" t="s">
        <v>4881</v>
      </c>
      <c r="J218" s="1" t="s">
        <v>8686</v>
      </c>
      <c r="L218" s="1" t="s">
        <v>8759</v>
      </c>
      <c r="M218" s="1" t="s">
        <v>8776</v>
      </c>
      <c r="N218" s="1" t="s">
        <v>8780</v>
      </c>
      <c r="P218" s="1" t="s">
        <v>8787</v>
      </c>
      <c r="Q218" s="30" t="s">
        <v>2565</v>
      </c>
      <c r="R218" s="33" t="s">
        <v>3472</v>
      </c>
      <c r="S218">
        <v>37</v>
      </c>
      <c r="T218" s="1" t="s">
        <v>13874</v>
      </c>
      <c r="U218" s="1" t="str">
        <f>HYPERLINK("http://ictvonline.org/taxonomy/p/taxonomy-history?taxnode_id=202113445","ICTVonline=202113445")</f>
        <v>ICTVonline=202113445</v>
      </c>
    </row>
    <row r="219" spans="1:21" x14ac:dyDescent="0.2">
      <c r="A219" s="3">
        <v>218</v>
      </c>
      <c r="B219" s="1" t="s">
        <v>4875</v>
      </c>
      <c r="D219" s="1" t="s">
        <v>4876</v>
      </c>
      <c r="F219" s="1" t="s">
        <v>4880</v>
      </c>
      <c r="H219" s="1" t="s">
        <v>4881</v>
      </c>
      <c r="J219" s="1" t="s">
        <v>8686</v>
      </c>
      <c r="L219" s="1" t="s">
        <v>8759</v>
      </c>
      <c r="M219" s="1" t="s">
        <v>8776</v>
      </c>
      <c r="N219" s="1" t="s">
        <v>8780</v>
      </c>
      <c r="P219" s="1" t="s">
        <v>8788</v>
      </c>
      <c r="Q219" s="30" t="s">
        <v>2565</v>
      </c>
      <c r="R219" s="33" t="s">
        <v>3472</v>
      </c>
      <c r="S219">
        <v>37</v>
      </c>
      <c r="T219" s="1" t="s">
        <v>13874</v>
      </c>
      <c r="U219" s="1" t="str">
        <f>HYPERLINK("http://ictvonline.org/taxonomy/p/taxonomy-history?taxnode_id=202113447","ICTVonline=202113447")</f>
        <v>ICTVonline=202113447</v>
      </c>
    </row>
    <row r="220" spans="1:21" x14ac:dyDescent="0.2">
      <c r="A220" s="3">
        <v>219</v>
      </c>
      <c r="B220" s="1" t="s">
        <v>4875</v>
      </c>
      <c r="D220" s="1" t="s">
        <v>4876</v>
      </c>
      <c r="F220" s="1" t="s">
        <v>4880</v>
      </c>
      <c r="H220" s="1" t="s">
        <v>4881</v>
      </c>
      <c r="J220" s="1" t="s">
        <v>8686</v>
      </c>
      <c r="L220" s="1" t="s">
        <v>8759</v>
      </c>
      <c r="M220" s="1" t="s">
        <v>8776</v>
      </c>
      <c r="N220" s="1" t="s">
        <v>8789</v>
      </c>
      <c r="P220" s="1" t="s">
        <v>8790</v>
      </c>
      <c r="Q220" s="30" t="s">
        <v>2565</v>
      </c>
      <c r="R220" s="33" t="s">
        <v>3472</v>
      </c>
      <c r="S220">
        <v>37</v>
      </c>
      <c r="T220" s="1" t="s">
        <v>13874</v>
      </c>
      <c r="U220" s="1" t="str">
        <f>HYPERLINK("http://ictvonline.org/taxonomy/p/taxonomy-history?taxnode_id=202113453","ICTVonline=202113453")</f>
        <v>ICTVonline=202113453</v>
      </c>
    </row>
    <row r="221" spans="1:21" x14ac:dyDescent="0.2">
      <c r="A221" s="3">
        <v>220</v>
      </c>
      <c r="B221" s="1" t="s">
        <v>4875</v>
      </c>
      <c r="D221" s="1" t="s">
        <v>4876</v>
      </c>
      <c r="F221" s="1" t="s">
        <v>4880</v>
      </c>
      <c r="H221" s="1" t="s">
        <v>4881</v>
      </c>
      <c r="J221" s="1" t="s">
        <v>8686</v>
      </c>
      <c r="L221" s="1" t="s">
        <v>8759</v>
      </c>
      <c r="M221" s="1" t="s">
        <v>8791</v>
      </c>
      <c r="N221" s="1" t="s">
        <v>8792</v>
      </c>
      <c r="P221" s="1" t="s">
        <v>8793</v>
      </c>
      <c r="Q221" s="30" t="s">
        <v>2565</v>
      </c>
      <c r="R221" s="33" t="s">
        <v>3472</v>
      </c>
      <c r="S221">
        <v>37</v>
      </c>
      <c r="T221" s="1" t="s">
        <v>13874</v>
      </c>
      <c r="U221" s="1" t="str">
        <f>HYPERLINK("http://ictvonline.org/taxonomy/p/taxonomy-history?taxnode_id=202113442","ICTVonline=202113442")</f>
        <v>ICTVonline=202113442</v>
      </c>
    </row>
    <row r="222" spans="1:21" x14ac:dyDescent="0.2">
      <c r="A222" s="3">
        <v>221</v>
      </c>
      <c r="B222" s="1" t="s">
        <v>4875</v>
      </c>
      <c r="D222" s="1" t="s">
        <v>4876</v>
      </c>
      <c r="F222" s="1" t="s">
        <v>4880</v>
      </c>
      <c r="H222" s="1" t="s">
        <v>4881</v>
      </c>
      <c r="J222" s="1" t="s">
        <v>8686</v>
      </c>
      <c r="L222" s="1" t="s">
        <v>8759</v>
      </c>
      <c r="M222" s="1" t="s">
        <v>8791</v>
      </c>
      <c r="N222" s="1" t="s">
        <v>8794</v>
      </c>
      <c r="P222" s="1" t="s">
        <v>8795</v>
      </c>
      <c r="Q222" s="30" t="s">
        <v>2565</v>
      </c>
      <c r="R222" s="33" t="s">
        <v>3472</v>
      </c>
      <c r="S222">
        <v>37</v>
      </c>
      <c r="T222" s="1" t="s">
        <v>13874</v>
      </c>
      <c r="U222" s="1" t="str">
        <f>HYPERLINK("http://ictvonline.org/taxonomy/p/taxonomy-history?taxnode_id=202113451","ICTVonline=202113451")</f>
        <v>ICTVonline=202113451</v>
      </c>
    </row>
    <row r="223" spans="1:21" x14ac:dyDescent="0.2">
      <c r="A223" s="3">
        <v>222</v>
      </c>
      <c r="B223" s="1" t="s">
        <v>4875</v>
      </c>
      <c r="D223" s="1" t="s">
        <v>4876</v>
      </c>
      <c r="F223" s="1" t="s">
        <v>4880</v>
      </c>
      <c r="H223" s="1" t="s">
        <v>4881</v>
      </c>
      <c r="J223" s="1" t="s">
        <v>8686</v>
      </c>
      <c r="L223" s="1" t="s">
        <v>8759</v>
      </c>
      <c r="M223" s="1" t="s">
        <v>8791</v>
      </c>
      <c r="N223" s="1" t="s">
        <v>8794</v>
      </c>
      <c r="P223" s="1" t="s">
        <v>8796</v>
      </c>
      <c r="Q223" s="30" t="s">
        <v>2565</v>
      </c>
      <c r="R223" s="33" t="s">
        <v>3472</v>
      </c>
      <c r="S223">
        <v>37</v>
      </c>
      <c r="T223" s="1" t="s">
        <v>13874</v>
      </c>
      <c r="U223" s="1" t="str">
        <f>HYPERLINK("http://ictvonline.org/taxonomy/p/taxonomy-history?taxnode_id=202113452","ICTVonline=202113452")</f>
        <v>ICTVonline=202113452</v>
      </c>
    </row>
    <row r="224" spans="1:21" x14ac:dyDescent="0.2">
      <c r="A224" s="3">
        <v>223</v>
      </c>
      <c r="B224" s="1" t="s">
        <v>4875</v>
      </c>
      <c r="D224" s="1" t="s">
        <v>4876</v>
      </c>
      <c r="F224" s="1" t="s">
        <v>4880</v>
      </c>
      <c r="H224" s="1" t="s">
        <v>4881</v>
      </c>
      <c r="J224" s="1" t="s">
        <v>8686</v>
      </c>
      <c r="L224" s="1" t="s">
        <v>8759</v>
      </c>
      <c r="M224" s="1" t="s">
        <v>8791</v>
      </c>
      <c r="N224" s="1" t="s">
        <v>8797</v>
      </c>
      <c r="P224" s="1" t="s">
        <v>8798</v>
      </c>
      <c r="Q224" s="30" t="s">
        <v>2565</v>
      </c>
      <c r="R224" s="33" t="s">
        <v>3472</v>
      </c>
      <c r="S224">
        <v>37</v>
      </c>
      <c r="T224" s="1" t="s">
        <v>13874</v>
      </c>
      <c r="U224" s="1" t="str">
        <f>HYPERLINK("http://ictvonline.org/taxonomy/p/taxonomy-history?taxnode_id=202113456","ICTVonline=202113456")</f>
        <v>ICTVonline=202113456</v>
      </c>
    </row>
    <row r="225" spans="1:21" x14ac:dyDescent="0.2">
      <c r="A225" s="3">
        <v>224</v>
      </c>
      <c r="B225" s="1" t="s">
        <v>4875</v>
      </c>
      <c r="D225" s="1" t="s">
        <v>4876</v>
      </c>
      <c r="F225" s="1" t="s">
        <v>4880</v>
      </c>
      <c r="H225" s="1" t="s">
        <v>4881</v>
      </c>
      <c r="J225" s="1" t="s">
        <v>8686</v>
      </c>
      <c r="L225" s="1" t="s">
        <v>8759</v>
      </c>
      <c r="M225" s="1" t="s">
        <v>8791</v>
      </c>
      <c r="N225" s="1" t="s">
        <v>8797</v>
      </c>
      <c r="P225" s="1" t="s">
        <v>8799</v>
      </c>
      <c r="Q225" s="30" t="s">
        <v>2565</v>
      </c>
      <c r="R225" s="33" t="s">
        <v>3472</v>
      </c>
      <c r="S225">
        <v>37</v>
      </c>
      <c r="T225" s="1" t="s">
        <v>13874</v>
      </c>
      <c r="U225" s="1" t="str">
        <f>HYPERLINK("http://ictvonline.org/taxonomy/p/taxonomy-history?taxnode_id=202113455","ICTVonline=202113455")</f>
        <v>ICTVonline=202113455</v>
      </c>
    </row>
    <row r="226" spans="1:21" x14ac:dyDescent="0.2">
      <c r="A226" s="3">
        <v>225</v>
      </c>
      <c r="B226" s="1" t="s">
        <v>4875</v>
      </c>
      <c r="D226" s="1" t="s">
        <v>4876</v>
      </c>
      <c r="F226" s="1" t="s">
        <v>4880</v>
      </c>
      <c r="H226" s="1" t="s">
        <v>4881</v>
      </c>
      <c r="J226" s="1" t="s">
        <v>8686</v>
      </c>
      <c r="L226" s="1" t="s">
        <v>8759</v>
      </c>
      <c r="M226" s="1" t="s">
        <v>8791</v>
      </c>
      <c r="N226" s="1" t="s">
        <v>8797</v>
      </c>
      <c r="P226" s="1" t="s">
        <v>8800</v>
      </c>
      <c r="Q226" s="30" t="s">
        <v>2565</v>
      </c>
      <c r="R226" s="33" t="s">
        <v>3472</v>
      </c>
      <c r="S226">
        <v>37</v>
      </c>
      <c r="T226" s="1" t="s">
        <v>13874</v>
      </c>
      <c r="U226" s="1" t="str">
        <f>HYPERLINK("http://ictvonline.org/taxonomy/p/taxonomy-history?taxnode_id=202113454","ICTVonline=202113454")</f>
        <v>ICTVonline=202113454</v>
      </c>
    </row>
    <row r="227" spans="1:21" x14ac:dyDescent="0.2">
      <c r="A227" s="3">
        <v>226</v>
      </c>
      <c r="B227" s="1" t="s">
        <v>4875</v>
      </c>
      <c r="D227" s="1" t="s">
        <v>4876</v>
      </c>
      <c r="F227" s="1" t="s">
        <v>4880</v>
      </c>
      <c r="H227" s="1" t="s">
        <v>4881</v>
      </c>
      <c r="J227" s="1" t="s">
        <v>8686</v>
      </c>
      <c r="L227" s="1" t="s">
        <v>8759</v>
      </c>
      <c r="M227" s="1" t="s">
        <v>8791</v>
      </c>
      <c r="N227" s="1" t="s">
        <v>8801</v>
      </c>
      <c r="P227" s="1" t="s">
        <v>8802</v>
      </c>
      <c r="Q227" s="30" t="s">
        <v>2565</v>
      </c>
      <c r="R227" s="33" t="s">
        <v>3472</v>
      </c>
      <c r="S227">
        <v>37</v>
      </c>
      <c r="T227" s="1" t="s">
        <v>13874</v>
      </c>
      <c r="U227" s="1" t="str">
        <f>HYPERLINK("http://ictvonline.org/taxonomy/p/taxonomy-history?taxnode_id=202113457","ICTVonline=202113457")</f>
        <v>ICTVonline=202113457</v>
      </c>
    </row>
    <row r="228" spans="1:21" x14ac:dyDescent="0.2">
      <c r="A228" s="3">
        <v>227</v>
      </c>
      <c r="B228" s="1" t="s">
        <v>4875</v>
      </c>
      <c r="D228" s="1" t="s">
        <v>4876</v>
      </c>
      <c r="F228" s="1" t="s">
        <v>4880</v>
      </c>
      <c r="H228" s="1" t="s">
        <v>4881</v>
      </c>
      <c r="J228" s="1" t="s">
        <v>8686</v>
      </c>
      <c r="L228" s="1" t="s">
        <v>8759</v>
      </c>
      <c r="M228" s="1" t="s">
        <v>8791</v>
      </c>
      <c r="N228" s="1" t="s">
        <v>8803</v>
      </c>
      <c r="P228" s="1" t="s">
        <v>8804</v>
      </c>
      <c r="Q228" s="30" t="s">
        <v>2565</v>
      </c>
      <c r="R228" s="33" t="s">
        <v>3472</v>
      </c>
      <c r="S228">
        <v>37</v>
      </c>
      <c r="T228" s="1" t="s">
        <v>13874</v>
      </c>
      <c r="U228" s="1" t="str">
        <f>HYPERLINK("http://ictvonline.org/taxonomy/p/taxonomy-history?taxnode_id=202113462","ICTVonline=202113462")</f>
        <v>ICTVonline=202113462</v>
      </c>
    </row>
    <row r="229" spans="1:21" x14ac:dyDescent="0.2">
      <c r="A229" s="3">
        <v>228</v>
      </c>
      <c r="B229" s="1" t="s">
        <v>4875</v>
      </c>
      <c r="D229" s="1" t="s">
        <v>4876</v>
      </c>
      <c r="F229" s="1" t="s">
        <v>4880</v>
      </c>
      <c r="H229" s="1" t="s">
        <v>4881</v>
      </c>
      <c r="J229" s="1" t="s">
        <v>8686</v>
      </c>
      <c r="L229" s="1" t="s">
        <v>8759</v>
      </c>
      <c r="M229" s="1" t="s">
        <v>8805</v>
      </c>
      <c r="N229" s="1" t="s">
        <v>8806</v>
      </c>
      <c r="P229" s="1" t="s">
        <v>8807</v>
      </c>
      <c r="Q229" s="30" t="s">
        <v>2565</v>
      </c>
      <c r="R229" s="33" t="s">
        <v>3472</v>
      </c>
      <c r="S229">
        <v>37</v>
      </c>
      <c r="T229" s="1" t="s">
        <v>13874</v>
      </c>
      <c r="U229" s="1" t="str">
        <f>HYPERLINK("http://ictvonline.org/taxonomy/p/taxonomy-history?taxnode_id=202113434","ICTVonline=202113434")</f>
        <v>ICTVonline=202113434</v>
      </c>
    </row>
    <row r="230" spans="1:21" x14ac:dyDescent="0.2">
      <c r="A230" s="3">
        <v>229</v>
      </c>
      <c r="B230" s="1" t="s">
        <v>4875</v>
      </c>
      <c r="D230" s="1" t="s">
        <v>4876</v>
      </c>
      <c r="F230" s="1" t="s">
        <v>4880</v>
      </c>
      <c r="H230" s="1" t="s">
        <v>4881</v>
      </c>
      <c r="J230" s="1" t="s">
        <v>8686</v>
      </c>
      <c r="L230" s="1" t="s">
        <v>8759</v>
      </c>
      <c r="M230" s="1" t="s">
        <v>8805</v>
      </c>
      <c r="N230" s="1" t="s">
        <v>8806</v>
      </c>
      <c r="P230" s="1" t="s">
        <v>8808</v>
      </c>
      <c r="Q230" s="30" t="s">
        <v>2565</v>
      </c>
      <c r="R230" s="33" t="s">
        <v>3472</v>
      </c>
      <c r="S230">
        <v>37</v>
      </c>
      <c r="T230" s="1" t="s">
        <v>13874</v>
      </c>
      <c r="U230" s="1" t="str">
        <f>HYPERLINK("http://ictvonline.org/taxonomy/p/taxonomy-history?taxnode_id=202113436","ICTVonline=202113436")</f>
        <v>ICTVonline=202113436</v>
      </c>
    </row>
    <row r="231" spans="1:21" x14ac:dyDescent="0.2">
      <c r="A231" s="3">
        <v>230</v>
      </c>
      <c r="B231" s="1" t="s">
        <v>4875</v>
      </c>
      <c r="D231" s="1" t="s">
        <v>4876</v>
      </c>
      <c r="F231" s="1" t="s">
        <v>4880</v>
      </c>
      <c r="H231" s="1" t="s">
        <v>4881</v>
      </c>
      <c r="J231" s="1" t="s">
        <v>8686</v>
      </c>
      <c r="L231" s="1" t="s">
        <v>8759</v>
      </c>
      <c r="M231" s="1" t="s">
        <v>8805</v>
      </c>
      <c r="N231" s="1" t="s">
        <v>8806</v>
      </c>
      <c r="P231" s="1" t="s">
        <v>8809</v>
      </c>
      <c r="Q231" s="30" t="s">
        <v>2565</v>
      </c>
      <c r="R231" s="33" t="s">
        <v>3472</v>
      </c>
      <c r="S231">
        <v>37</v>
      </c>
      <c r="T231" s="1" t="s">
        <v>13874</v>
      </c>
      <c r="U231" s="1" t="str">
        <f>HYPERLINK("http://ictvonline.org/taxonomy/p/taxonomy-history?taxnode_id=202113435","ICTVonline=202113435")</f>
        <v>ICTVonline=202113435</v>
      </c>
    </row>
    <row r="232" spans="1:21" x14ac:dyDescent="0.2">
      <c r="A232" s="3">
        <v>231</v>
      </c>
      <c r="B232" s="1" t="s">
        <v>4875</v>
      </c>
      <c r="D232" s="1" t="s">
        <v>4876</v>
      </c>
      <c r="F232" s="1" t="s">
        <v>4880</v>
      </c>
      <c r="H232" s="1" t="s">
        <v>4881</v>
      </c>
      <c r="J232" s="1" t="s">
        <v>8686</v>
      </c>
      <c r="L232" s="1" t="s">
        <v>8759</v>
      </c>
      <c r="M232" s="1" t="s">
        <v>8805</v>
      </c>
      <c r="N232" s="1" t="s">
        <v>8810</v>
      </c>
      <c r="P232" s="1" t="s">
        <v>8811</v>
      </c>
      <c r="Q232" s="30" t="s">
        <v>2565</v>
      </c>
      <c r="R232" s="33" t="s">
        <v>3472</v>
      </c>
      <c r="S232">
        <v>37</v>
      </c>
      <c r="T232" s="1" t="s">
        <v>13874</v>
      </c>
      <c r="U232" s="1" t="str">
        <f>HYPERLINK("http://ictvonline.org/taxonomy/p/taxonomy-history?taxnode_id=202113437","ICTVonline=202113437")</f>
        <v>ICTVonline=202113437</v>
      </c>
    </row>
    <row r="233" spans="1:21" x14ac:dyDescent="0.2">
      <c r="A233" s="3">
        <v>232</v>
      </c>
      <c r="B233" s="1" t="s">
        <v>4875</v>
      </c>
      <c r="D233" s="1" t="s">
        <v>4876</v>
      </c>
      <c r="F233" s="1" t="s">
        <v>4880</v>
      </c>
      <c r="H233" s="1" t="s">
        <v>4881</v>
      </c>
      <c r="J233" s="1" t="s">
        <v>8686</v>
      </c>
      <c r="L233" s="1" t="s">
        <v>8759</v>
      </c>
      <c r="M233" s="1" t="s">
        <v>8805</v>
      </c>
      <c r="N233" s="1" t="s">
        <v>8812</v>
      </c>
      <c r="P233" s="1" t="s">
        <v>8813</v>
      </c>
      <c r="Q233" s="30" t="s">
        <v>2565</v>
      </c>
      <c r="R233" s="33" t="s">
        <v>3472</v>
      </c>
      <c r="S233">
        <v>37</v>
      </c>
      <c r="T233" s="1" t="s">
        <v>13874</v>
      </c>
      <c r="U233" s="1" t="str">
        <f>HYPERLINK("http://ictvonline.org/taxonomy/p/taxonomy-history?taxnode_id=202113439","ICTVonline=202113439")</f>
        <v>ICTVonline=202113439</v>
      </c>
    </row>
    <row r="234" spans="1:21" x14ac:dyDescent="0.2">
      <c r="A234" s="3">
        <v>233</v>
      </c>
      <c r="B234" s="1" t="s">
        <v>4875</v>
      </c>
      <c r="D234" s="1" t="s">
        <v>4876</v>
      </c>
      <c r="F234" s="1" t="s">
        <v>4880</v>
      </c>
      <c r="H234" s="1" t="s">
        <v>4881</v>
      </c>
      <c r="J234" s="1" t="s">
        <v>8686</v>
      </c>
      <c r="L234" s="1" t="s">
        <v>8759</v>
      </c>
      <c r="M234" s="1" t="s">
        <v>8805</v>
      </c>
      <c r="N234" s="1" t="s">
        <v>8812</v>
      </c>
      <c r="P234" s="1" t="s">
        <v>8814</v>
      </c>
      <c r="Q234" s="30" t="s">
        <v>2565</v>
      </c>
      <c r="R234" s="33" t="s">
        <v>3472</v>
      </c>
      <c r="S234">
        <v>37</v>
      </c>
      <c r="T234" s="1" t="s">
        <v>13874</v>
      </c>
      <c r="U234" s="1" t="str">
        <f>HYPERLINK("http://ictvonline.org/taxonomy/p/taxonomy-history?taxnode_id=202113438","ICTVonline=202113438")</f>
        <v>ICTVonline=202113438</v>
      </c>
    </row>
    <row r="235" spans="1:21" x14ac:dyDescent="0.2">
      <c r="A235" s="3">
        <v>234</v>
      </c>
      <c r="B235" s="1" t="s">
        <v>4875</v>
      </c>
      <c r="D235" s="1" t="s">
        <v>4876</v>
      </c>
      <c r="F235" s="1" t="s">
        <v>4880</v>
      </c>
      <c r="H235" s="1" t="s">
        <v>4881</v>
      </c>
      <c r="J235" s="1" t="s">
        <v>8686</v>
      </c>
      <c r="L235" s="1" t="s">
        <v>8759</v>
      </c>
      <c r="N235" s="1" t="s">
        <v>8815</v>
      </c>
      <c r="P235" s="1" t="s">
        <v>8816</v>
      </c>
      <c r="Q235" s="30" t="s">
        <v>2565</v>
      </c>
      <c r="R235" s="33" t="s">
        <v>3472</v>
      </c>
      <c r="S235">
        <v>37</v>
      </c>
      <c r="T235" s="1" t="s">
        <v>13874</v>
      </c>
      <c r="U235" s="1" t="str">
        <f>HYPERLINK("http://ictvonline.org/taxonomy/p/taxonomy-history?taxnode_id=202113469","ICTVonline=202113469")</f>
        <v>ICTVonline=202113469</v>
      </c>
    </row>
    <row r="236" spans="1:21" x14ac:dyDescent="0.2">
      <c r="A236" s="3">
        <v>235</v>
      </c>
      <c r="B236" s="1" t="s">
        <v>4875</v>
      </c>
      <c r="D236" s="1" t="s">
        <v>4876</v>
      </c>
      <c r="F236" s="1" t="s">
        <v>4880</v>
      </c>
      <c r="H236" s="1" t="s">
        <v>4881</v>
      </c>
      <c r="J236" s="1" t="s">
        <v>8817</v>
      </c>
      <c r="L236" s="1" t="s">
        <v>13875</v>
      </c>
      <c r="N236" s="1" t="s">
        <v>8818</v>
      </c>
      <c r="P236" s="1" t="s">
        <v>8819</v>
      </c>
      <c r="Q236" s="30" t="s">
        <v>2565</v>
      </c>
      <c r="R236" s="33" t="s">
        <v>3472</v>
      </c>
      <c r="S236">
        <v>37</v>
      </c>
      <c r="T236" s="1" t="s">
        <v>13876</v>
      </c>
      <c r="U236" s="1" t="str">
        <f>HYPERLINK("http://ictvonline.org/taxonomy/p/taxonomy-history?taxnode_id=202112209","ICTVonline=202112209")</f>
        <v>ICTVonline=202112209</v>
      </c>
    </row>
    <row r="237" spans="1:21" x14ac:dyDescent="0.2">
      <c r="A237" s="3">
        <v>236</v>
      </c>
      <c r="B237" s="1" t="s">
        <v>4875</v>
      </c>
      <c r="D237" s="1" t="s">
        <v>4876</v>
      </c>
      <c r="F237" s="1" t="s">
        <v>4880</v>
      </c>
      <c r="H237" s="1" t="s">
        <v>4881</v>
      </c>
      <c r="J237" s="1" t="s">
        <v>8817</v>
      </c>
      <c r="L237" s="1" t="s">
        <v>13875</v>
      </c>
      <c r="N237" s="1" t="s">
        <v>8820</v>
      </c>
      <c r="P237" s="1" t="s">
        <v>8821</v>
      </c>
      <c r="Q237" s="30" t="s">
        <v>2565</v>
      </c>
      <c r="R237" s="33" t="s">
        <v>3472</v>
      </c>
      <c r="S237">
        <v>37</v>
      </c>
      <c r="T237" s="1" t="s">
        <v>13876</v>
      </c>
      <c r="U237" s="1" t="str">
        <f>HYPERLINK("http://ictvonline.org/taxonomy/p/taxonomy-history?taxnode_id=202112211","ICTVonline=202112211")</f>
        <v>ICTVonline=202112211</v>
      </c>
    </row>
    <row r="238" spans="1:21" x14ac:dyDescent="0.2">
      <c r="A238" s="3">
        <v>237</v>
      </c>
      <c r="B238" s="1" t="s">
        <v>4875</v>
      </c>
      <c r="D238" s="1" t="s">
        <v>4876</v>
      </c>
      <c r="F238" s="1" t="s">
        <v>4880</v>
      </c>
      <c r="H238" s="1" t="s">
        <v>4881</v>
      </c>
      <c r="J238" s="1" t="s">
        <v>8817</v>
      </c>
      <c r="L238" s="1" t="s">
        <v>8822</v>
      </c>
      <c r="N238" s="1" t="s">
        <v>8823</v>
      </c>
      <c r="P238" s="1" t="s">
        <v>8824</v>
      </c>
      <c r="Q238" s="30" t="s">
        <v>2565</v>
      </c>
      <c r="R238" s="33" t="s">
        <v>3472</v>
      </c>
      <c r="S238">
        <v>37</v>
      </c>
      <c r="T238" s="1" t="s">
        <v>13876</v>
      </c>
      <c r="U238" s="1" t="str">
        <f>HYPERLINK("http://ictvonline.org/taxonomy/p/taxonomy-history?taxnode_id=202112201","ICTVonline=202112201")</f>
        <v>ICTVonline=202112201</v>
      </c>
    </row>
    <row r="239" spans="1:21" x14ac:dyDescent="0.2">
      <c r="A239" s="3">
        <v>238</v>
      </c>
      <c r="B239" s="1" t="s">
        <v>4875</v>
      </c>
      <c r="D239" s="1" t="s">
        <v>4876</v>
      </c>
      <c r="F239" s="1" t="s">
        <v>4880</v>
      </c>
      <c r="H239" s="1" t="s">
        <v>4881</v>
      </c>
      <c r="J239" s="1" t="s">
        <v>8817</v>
      </c>
      <c r="L239" s="1" t="s">
        <v>8822</v>
      </c>
      <c r="N239" s="1" t="s">
        <v>8825</v>
      </c>
      <c r="P239" s="1" t="s">
        <v>8826</v>
      </c>
      <c r="Q239" s="30" t="s">
        <v>2565</v>
      </c>
      <c r="R239" s="33" t="s">
        <v>3472</v>
      </c>
      <c r="S239">
        <v>37</v>
      </c>
      <c r="T239" s="1" t="s">
        <v>13876</v>
      </c>
      <c r="U239" s="1" t="str">
        <f>HYPERLINK("http://ictvonline.org/taxonomy/p/taxonomy-history?taxnode_id=202112199","ICTVonline=202112199")</f>
        <v>ICTVonline=202112199</v>
      </c>
    </row>
    <row r="240" spans="1:21" x14ac:dyDescent="0.2">
      <c r="A240" s="3">
        <v>239</v>
      </c>
      <c r="B240" s="1" t="s">
        <v>4875</v>
      </c>
      <c r="D240" s="1" t="s">
        <v>4876</v>
      </c>
      <c r="F240" s="1" t="s">
        <v>4880</v>
      </c>
      <c r="H240" s="1" t="s">
        <v>4881</v>
      </c>
      <c r="J240" s="1" t="s">
        <v>8817</v>
      </c>
      <c r="L240" s="1" t="s">
        <v>8822</v>
      </c>
      <c r="N240" s="1" t="s">
        <v>8827</v>
      </c>
      <c r="P240" s="1" t="s">
        <v>8828</v>
      </c>
      <c r="Q240" s="30" t="s">
        <v>2565</v>
      </c>
      <c r="R240" s="33" t="s">
        <v>3472</v>
      </c>
      <c r="S240">
        <v>37</v>
      </c>
      <c r="T240" s="1" t="s">
        <v>13876</v>
      </c>
      <c r="U240" s="1" t="str">
        <f>HYPERLINK("http://ictvonline.org/taxonomy/p/taxonomy-history?taxnode_id=202112203","ICTVonline=202112203")</f>
        <v>ICTVonline=202112203</v>
      </c>
    </row>
    <row r="241" spans="1:21" x14ac:dyDescent="0.2">
      <c r="A241" s="3">
        <v>240</v>
      </c>
      <c r="B241" s="1" t="s">
        <v>4875</v>
      </c>
      <c r="D241" s="1" t="s">
        <v>4876</v>
      </c>
      <c r="F241" s="1" t="s">
        <v>4880</v>
      </c>
      <c r="H241" s="1" t="s">
        <v>4881</v>
      </c>
      <c r="J241" s="1" t="s">
        <v>8817</v>
      </c>
      <c r="L241" s="1" t="s">
        <v>8829</v>
      </c>
      <c r="N241" s="1" t="s">
        <v>8830</v>
      </c>
      <c r="P241" s="1" t="s">
        <v>8831</v>
      </c>
      <c r="Q241" s="30" t="s">
        <v>2565</v>
      </c>
      <c r="R241" s="33" t="s">
        <v>3472</v>
      </c>
      <c r="S241">
        <v>37</v>
      </c>
      <c r="T241" s="1" t="s">
        <v>13876</v>
      </c>
      <c r="U241" s="1" t="str">
        <f>HYPERLINK("http://ictvonline.org/taxonomy/p/taxonomy-history?taxnode_id=202112205","ICTVonline=202112205")</f>
        <v>ICTVonline=202112205</v>
      </c>
    </row>
    <row r="242" spans="1:21" x14ac:dyDescent="0.2">
      <c r="A242" s="3">
        <v>241</v>
      </c>
      <c r="B242" s="1" t="s">
        <v>4875</v>
      </c>
      <c r="D242" s="1" t="s">
        <v>4876</v>
      </c>
      <c r="F242" s="1" t="s">
        <v>4880</v>
      </c>
      <c r="H242" s="1" t="s">
        <v>4881</v>
      </c>
      <c r="J242" s="1" t="s">
        <v>8817</v>
      </c>
      <c r="L242" s="1" t="s">
        <v>8832</v>
      </c>
      <c r="N242" s="1" t="s">
        <v>8833</v>
      </c>
      <c r="P242" s="1" t="s">
        <v>8834</v>
      </c>
      <c r="Q242" s="30" t="s">
        <v>2565</v>
      </c>
      <c r="R242" s="33" t="s">
        <v>3472</v>
      </c>
      <c r="S242">
        <v>37</v>
      </c>
      <c r="T242" s="1" t="s">
        <v>13876</v>
      </c>
      <c r="U242" s="1" t="str">
        <f>HYPERLINK("http://ictvonline.org/taxonomy/p/taxonomy-history?taxnode_id=202112207","ICTVonline=202112207")</f>
        <v>ICTVonline=202112207</v>
      </c>
    </row>
    <row r="243" spans="1:21" x14ac:dyDescent="0.2">
      <c r="A243" s="3">
        <v>242</v>
      </c>
      <c r="B243" s="1" t="s">
        <v>4875</v>
      </c>
      <c r="D243" s="1" t="s">
        <v>4876</v>
      </c>
      <c r="F243" s="1" t="s">
        <v>4880</v>
      </c>
      <c r="H243" s="1" t="s">
        <v>4881</v>
      </c>
      <c r="J243" s="1" t="s">
        <v>8835</v>
      </c>
      <c r="L243" s="1" t="s">
        <v>8836</v>
      </c>
      <c r="N243" s="1" t="s">
        <v>8837</v>
      </c>
      <c r="P243" s="1" t="s">
        <v>8838</v>
      </c>
      <c r="Q243" s="30" t="s">
        <v>2565</v>
      </c>
      <c r="R243" s="33" t="s">
        <v>3472</v>
      </c>
      <c r="S243">
        <v>37</v>
      </c>
      <c r="T243" s="1" t="s">
        <v>13876</v>
      </c>
      <c r="U243" s="1" t="str">
        <f>HYPERLINK("http://ictvonline.org/taxonomy/p/taxonomy-history?taxnode_id=202112213","ICTVonline=202112213")</f>
        <v>ICTVonline=202112213</v>
      </c>
    </row>
    <row r="244" spans="1:21" x14ac:dyDescent="0.2">
      <c r="A244" s="3">
        <v>243</v>
      </c>
      <c r="B244" s="1" t="s">
        <v>4875</v>
      </c>
      <c r="D244" s="1" t="s">
        <v>4876</v>
      </c>
      <c r="F244" s="1" t="s">
        <v>4880</v>
      </c>
      <c r="H244" s="1" t="s">
        <v>4881</v>
      </c>
      <c r="J244" s="1" t="s">
        <v>8835</v>
      </c>
      <c r="L244" s="1" t="s">
        <v>8839</v>
      </c>
      <c r="N244" s="1" t="s">
        <v>2647</v>
      </c>
      <c r="P244" s="1" t="s">
        <v>5223</v>
      </c>
      <c r="Q244" s="30" t="s">
        <v>2565</v>
      </c>
      <c r="R244" s="33" t="s">
        <v>3474</v>
      </c>
      <c r="S244">
        <v>37</v>
      </c>
      <c r="T244" s="1" t="s">
        <v>13876</v>
      </c>
      <c r="U244" s="1" t="str">
        <f>HYPERLINK("http://ictvonline.org/taxonomy/p/taxonomy-history?taxnode_id=202107999","ICTVonline=202107999")</f>
        <v>ICTVonline=202107999</v>
      </c>
    </row>
    <row r="245" spans="1:21" x14ac:dyDescent="0.2">
      <c r="A245" s="3">
        <v>244</v>
      </c>
      <c r="B245" s="1" t="s">
        <v>4875</v>
      </c>
      <c r="D245" s="1" t="s">
        <v>4876</v>
      </c>
      <c r="F245" s="1" t="s">
        <v>4880</v>
      </c>
      <c r="H245" s="1" t="s">
        <v>4881</v>
      </c>
      <c r="J245" s="1" t="s">
        <v>8840</v>
      </c>
      <c r="L245" s="1" t="s">
        <v>13877</v>
      </c>
      <c r="N245" s="1" t="s">
        <v>8858</v>
      </c>
      <c r="P245" s="1" t="s">
        <v>8859</v>
      </c>
      <c r="Q245" s="30" t="s">
        <v>2565</v>
      </c>
      <c r="R245" s="33" t="s">
        <v>3472</v>
      </c>
      <c r="S245">
        <v>37</v>
      </c>
      <c r="T245" s="1" t="s">
        <v>13876</v>
      </c>
      <c r="U245" s="1" t="str">
        <f>HYPERLINK("http://ictvonline.org/taxonomy/p/taxonomy-history?taxnode_id=202112193","ICTVonline=202112193")</f>
        <v>ICTVonline=202112193</v>
      </c>
    </row>
    <row r="246" spans="1:21" x14ac:dyDescent="0.2">
      <c r="A246" s="3">
        <v>245</v>
      </c>
      <c r="B246" s="1" t="s">
        <v>4875</v>
      </c>
      <c r="D246" s="1" t="s">
        <v>4876</v>
      </c>
      <c r="F246" s="1" t="s">
        <v>4880</v>
      </c>
      <c r="H246" s="1" t="s">
        <v>4881</v>
      </c>
      <c r="J246" s="1" t="s">
        <v>8840</v>
      </c>
      <c r="L246" s="1" t="s">
        <v>13877</v>
      </c>
      <c r="N246" s="1" t="s">
        <v>8860</v>
      </c>
      <c r="P246" s="1" t="s">
        <v>8861</v>
      </c>
      <c r="Q246" s="30" t="s">
        <v>2565</v>
      </c>
      <c r="R246" s="33" t="s">
        <v>3472</v>
      </c>
      <c r="S246">
        <v>37</v>
      </c>
      <c r="T246" s="1" t="s">
        <v>13876</v>
      </c>
      <c r="U246" s="1" t="str">
        <f>HYPERLINK("http://ictvonline.org/taxonomy/p/taxonomy-history?taxnode_id=202112191","ICTVonline=202112191")</f>
        <v>ICTVonline=202112191</v>
      </c>
    </row>
    <row r="247" spans="1:21" x14ac:dyDescent="0.2">
      <c r="A247" s="3">
        <v>246</v>
      </c>
      <c r="B247" s="1" t="s">
        <v>4875</v>
      </c>
      <c r="D247" s="1" t="s">
        <v>4876</v>
      </c>
      <c r="F247" s="1" t="s">
        <v>4880</v>
      </c>
      <c r="H247" s="1" t="s">
        <v>4881</v>
      </c>
      <c r="J247" s="1" t="s">
        <v>8840</v>
      </c>
      <c r="L247" s="1" t="s">
        <v>8841</v>
      </c>
      <c r="N247" s="1" t="s">
        <v>6019</v>
      </c>
      <c r="P247" s="1" t="s">
        <v>8842</v>
      </c>
      <c r="Q247" s="30" t="s">
        <v>2565</v>
      </c>
      <c r="R247" s="33" t="s">
        <v>3473</v>
      </c>
      <c r="S247">
        <v>37</v>
      </c>
      <c r="T247" s="1" t="s">
        <v>13876</v>
      </c>
      <c r="U247" s="1" t="str">
        <f>HYPERLINK("http://ictvonline.org/taxonomy/p/taxonomy-history?taxnode_id=202108774","ICTVonline=202108774")</f>
        <v>ICTVonline=202108774</v>
      </c>
    </row>
    <row r="248" spans="1:21" x14ac:dyDescent="0.2">
      <c r="A248" s="3">
        <v>247</v>
      </c>
      <c r="B248" s="1" t="s">
        <v>4875</v>
      </c>
      <c r="D248" s="1" t="s">
        <v>4876</v>
      </c>
      <c r="F248" s="1" t="s">
        <v>4880</v>
      </c>
      <c r="H248" s="1" t="s">
        <v>4881</v>
      </c>
      <c r="J248" s="1" t="s">
        <v>8840</v>
      </c>
      <c r="L248" s="1" t="s">
        <v>8841</v>
      </c>
      <c r="N248" s="1" t="s">
        <v>6019</v>
      </c>
      <c r="P248" s="1" t="s">
        <v>8843</v>
      </c>
      <c r="Q248" s="30" t="s">
        <v>2565</v>
      </c>
      <c r="R248" s="33" t="s">
        <v>3472</v>
      </c>
      <c r="S248">
        <v>37</v>
      </c>
      <c r="T248" s="1" t="s">
        <v>13876</v>
      </c>
      <c r="U248" s="1" t="str">
        <f>HYPERLINK("http://ictvonline.org/taxonomy/p/taxonomy-history?taxnode_id=202112182","ICTVonline=202112182")</f>
        <v>ICTVonline=202112182</v>
      </c>
    </row>
    <row r="249" spans="1:21" x14ac:dyDescent="0.2">
      <c r="A249" s="3">
        <v>248</v>
      </c>
      <c r="B249" s="1" t="s">
        <v>4875</v>
      </c>
      <c r="D249" s="1" t="s">
        <v>4876</v>
      </c>
      <c r="F249" s="1" t="s">
        <v>4880</v>
      </c>
      <c r="H249" s="1" t="s">
        <v>4881</v>
      </c>
      <c r="J249" s="1" t="s">
        <v>8840</v>
      </c>
      <c r="L249" s="1" t="s">
        <v>8841</v>
      </c>
      <c r="N249" s="1" t="s">
        <v>6019</v>
      </c>
      <c r="P249" s="1" t="s">
        <v>8844</v>
      </c>
      <c r="Q249" s="30" t="s">
        <v>2565</v>
      </c>
      <c r="R249" s="33" t="s">
        <v>3473</v>
      </c>
      <c r="S249">
        <v>37</v>
      </c>
      <c r="T249" s="1" t="s">
        <v>13876</v>
      </c>
      <c r="U249" s="1" t="str">
        <f>HYPERLINK("http://ictvonline.org/taxonomy/p/taxonomy-history?taxnode_id=202108776","ICTVonline=202108776")</f>
        <v>ICTVonline=202108776</v>
      </c>
    </row>
    <row r="250" spans="1:21" x14ac:dyDescent="0.2">
      <c r="A250" s="3">
        <v>249</v>
      </c>
      <c r="B250" s="1" t="s">
        <v>4875</v>
      </c>
      <c r="D250" s="1" t="s">
        <v>4876</v>
      </c>
      <c r="F250" s="1" t="s">
        <v>4880</v>
      </c>
      <c r="H250" s="1" t="s">
        <v>4881</v>
      </c>
      <c r="J250" s="1" t="s">
        <v>8840</v>
      </c>
      <c r="L250" s="1" t="s">
        <v>8841</v>
      </c>
      <c r="N250" s="1" t="s">
        <v>6019</v>
      </c>
      <c r="P250" s="1" t="s">
        <v>8845</v>
      </c>
      <c r="Q250" s="30" t="s">
        <v>2565</v>
      </c>
      <c r="R250" s="33" t="s">
        <v>3473</v>
      </c>
      <c r="S250">
        <v>37</v>
      </c>
      <c r="T250" s="1" t="s">
        <v>13876</v>
      </c>
      <c r="U250" s="1" t="str">
        <f>HYPERLINK("http://ictvonline.org/taxonomy/p/taxonomy-history?taxnode_id=202108777","ICTVonline=202108777")</f>
        <v>ICTVonline=202108777</v>
      </c>
    </row>
    <row r="251" spans="1:21" x14ac:dyDescent="0.2">
      <c r="A251" s="3">
        <v>250</v>
      </c>
      <c r="B251" s="1" t="s">
        <v>4875</v>
      </c>
      <c r="D251" s="1" t="s">
        <v>4876</v>
      </c>
      <c r="F251" s="1" t="s">
        <v>4880</v>
      </c>
      <c r="H251" s="1" t="s">
        <v>4881</v>
      </c>
      <c r="J251" s="1" t="s">
        <v>8840</v>
      </c>
      <c r="L251" s="1" t="s">
        <v>8841</v>
      </c>
      <c r="N251" s="1" t="s">
        <v>6019</v>
      </c>
      <c r="P251" s="1" t="s">
        <v>8846</v>
      </c>
      <c r="Q251" s="30" t="s">
        <v>2565</v>
      </c>
      <c r="R251" s="33" t="s">
        <v>3472</v>
      </c>
      <c r="S251">
        <v>37</v>
      </c>
      <c r="T251" s="1" t="s">
        <v>13876</v>
      </c>
      <c r="U251" s="1" t="str">
        <f>HYPERLINK("http://ictvonline.org/taxonomy/p/taxonomy-history?taxnode_id=202112180","ICTVonline=202112180")</f>
        <v>ICTVonline=202112180</v>
      </c>
    </row>
    <row r="252" spans="1:21" x14ac:dyDescent="0.2">
      <c r="A252" s="3">
        <v>251</v>
      </c>
      <c r="B252" s="1" t="s">
        <v>4875</v>
      </c>
      <c r="D252" s="1" t="s">
        <v>4876</v>
      </c>
      <c r="F252" s="1" t="s">
        <v>4880</v>
      </c>
      <c r="H252" s="1" t="s">
        <v>4881</v>
      </c>
      <c r="J252" s="1" t="s">
        <v>8840</v>
      </c>
      <c r="L252" s="1" t="s">
        <v>8841</v>
      </c>
      <c r="N252" s="1" t="s">
        <v>6019</v>
      </c>
      <c r="P252" s="1" t="s">
        <v>8847</v>
      </c>
      <c r="Q252" s="30" t="s">
        <v>2565</v>
      </c>
      <c r="R252" s="33" t="s">
        <v>3472</v>
      </c>
      <c r="S252">
        <v>37</v>
      </c>
      <c r="T252" s="1" t="s">
        <v>13876</v>
      </c>
      <c r="U252" s="1" t="str">
        <f>HYPERLINK("http://ictvonline.org/taxonomy/p/taxonomy-history?taxnode_id=202112181","ICTVonline=202112181")</f>
        <v>ICTVonline=202112181</v>
      </c>
    </row>
    <row r="253" spans="1:21" x14ac:dyDescent="0.2">
      <c r="A253" s="3">
        <v>252</v>
      </c>
      <c r="B253" s="1" t="s">
        <v>4875</v>
      </c>
      <c r="D253" s="1" t="s">
        <v>4876</v>
      </c>
      <c r="F253" s="1" t="s">
        <v>4880</v>
      </c>
      <c r="H253" s="1" t="s">
        <v>4881</v>
      </c>
      <c r="J253" s="1" t="s">
        <v>8840</v>
      </c>
      <c r="L253" s="1" t="s">
        <v>8841</v>
      </c>
      <c r="N253" s="1" t="s">
        <v>6019</v>
      </c>
      <c r="P253" s="1" t="s">
        <v>8848</v>
      </c>
      <c r="Q253" s="30" t="s">
        <v>2565</v>
      </c>
      <c r="R253" s="33" t="s">
        <v>3472</v>
      </c>
      <c r="S253">
        <v>37</v>
      </c>
      <c r="T253" s="1" t="s">
        <v>13876</v>
      </c>
      <c r="U253" s="1" t="str">
        <f>HYPERLINK("http://ictvonline.org/taxonomy/p/taxonomy-history?taxnode_id=202112183","ICTVonline=202112183")</f>
        <v>ICTVonline=202112183</v>
      </c>
    </row>
    <row r="254" spans="1:21" x14ac:dyDescent="0.2">
      <c r="A254" s="3">
        <v>253</v>
      </c>
      <c r="B254" s="1" t="s">
        <v>4875</v>
      </c>
      <c r="D254" s="1" t="s">
        <v>4876</v>
      </c>
      <c r="F254" s="1" t="s">
        <v>4880</v>
      </c>
      <c r="H254" s="1" t="s">
        <v>4881</v>
      </c>
      <c r="J254" s="1" t="s">
        <v>8840</v>
      </c>
      <c r="L254" s="1" t="s">
        <v>8841</v>
      </c>
      <c r="N254" s="1" t="s">
        <v>8849</v>
      </c>
      <c r="P254" s="1" t="s">
        <v>8850</v>
      </c>
      <c r="Q254" s="30" t="s">
        <v>2565</v>
      </c>
      <c r="R254" s="33" t="s">
        <v>3472</v>
      </c>
      <c r="S254">
        <v>37</v>
      </c>
      <c r="T254" s="1" t="s">
        <v>13876</v>
      </c>
      <c r="U254" s="1" t="str">
        <f>HYPERLINK("http://ictvonline.org/taxonomy/p/taxonomy-history?taxnode_id=202112187","ICTVonline=202112187")</f>
        <v>ICTVonline=202112187</v>
      </c>
    </row>
    <row r="255" spans="1:21" x14ac:dyDescent="0.2">
      <c r="A255" s="3">
        <v>254</v>
      </c>
      <c r="B255" s="1" t="s">
        <v>4875</v>
      </c>
      <c r="D255" s="1" t="s">
        <v>4876</v>
      </c>
      <c r="F255" s="1" t="s">
        <v>4880</v>
      </c>
      <c r="H255" s="1" t="s">
        <v>4881</v>
      </c>
      <c r="J255" s="1" t="s">
        <v>8840</v>
      </c>
      <c r="L255" s="1" t="s">
        <v>8841</v>
      </c>
      <c r="N255" s="1" t="s">
        <v>8851</v>
      </c>
      <c r="P255" s="1" t="s">
        <v>8852</v>
      </c>
      <c r="Q255" s="30" t="s">
        <v>2565</v>
      </c>
      <c r="R255" s="33" t="s">
        <v>3472</v>
      </c>
      <c r="S255">
        <v>37</v>
      </c>
      <c r="T255" s="1" t="s">
        <v>13876</v>
      </c>
      <c r="U255" s="1" t="str">
        <f>HYPERLINK("http://ictvonline.org/taxonomy/p/taxonomy-history?taxnode_id=202112185","ICTVonline=202112185")</f>
        <v>ICTVonline=202112185</v>
      </c>
    </row>
    <row r="256" spans="1:21" x14ac:dyDescent="0.2">
      <c r="A256" s="3">
        <v>255</v>
      </c>
      <c r="B256" s="1" t="s">
        <v>4875</v>
      </c>
      <c r="D256" s="1" t="s">
        <v>4876</v>
      </c>
      <c r="F256" s="1" t="s">
        <v>4880</v>
      </c>
      <c r="H256" s="1" t="s">
        <v>4881</v>
      </c>
      <c r="J256" s="1" t="s">
        <v>8840</v>
      </c>
      <c r="L256" s="1" t="s">
        <v>8841</v>
      </c>
      <c r="N256" s="1" t="s">
        <v>8853</v>
      </c>
      <c r="P256" s="1" t="s">
        <v>8854</v>
      </c>
      <c r="Q256" s="30" t="s">
        <v>2565</v>
      </c>
      <c r="R256" s="33" t="s">
        <v>3472</v>
      </c>
      <c r="S256">
        <v>37</v>
      </c>
      <c r="T256" s="1" t="s">
        <v>13876</v>
      </c>
      <c r="U256" s="1" t="str">
        <f>HYPERLINK("http://ictvonline.org/taxonomy/p/taxonomy-history?taxnode_id=202112189","ICTVonline=202112189")</f>
        <v>ICTVonline=202112189</v>
      </c>
    </row>
    <row r="257" spans="1:21" x14ac:dyDescent="0.2">
      <c r="A257" s="3">
        <v>256</v>
      </c>
      <c r="B257" s="1" t="s">
        <v>4875</v>
      </c>
      <c r="D257" s="1" t="s">
        <v>4876</v>
      </c>
      <c r="F257" s="1" t="s">
        <v>4880</v>
      </c>
      <c r="H257" s="1" t="s">
        <v>4881</v>
      </c>
      <c r="J257" s="1" t="s">
        <v>8840</v>
      </c>
      <c r="L257" s="1" t="s">
        <v>8855</v>
      </c>
      <c r="N257" s="1" t="s">
        <v>8856</v>
      </c>
      <c r="P257" s="1" t="s">
        <v>8857</v>
      </c>
      <c r="Q257" s="30" t="s">
        <v>2565</v>
      </c>
      <c r="R257" s="33" t="s">
        <v>3472</v>
      </c>
      <c r="S257">
        <v>37</v>
      </c>
      <c r="T257" s="1" t="s">
        <v>13876</v>
      </c>
      <c r="U257" s="1" t="str">
        <f>HYPERLINK("http://ictvonline.org/taxonomy/p/taxonomy-history?taxnode_id=202112197","ICTVonline=202112197")</f>
        <v>ICTVonline=202112197</v>
      </c>
    </row>
    <row r="258" spans="1:21" x14ac:dyDescent="0.2">
      <c r="A258" s="3">
        <v>257</v>
      </c>
      <c r="B258" s="1" t="s">
        <v>4875</v>
      </c>
      <c r="D258" s="1" t="s">
        <v>4876</v>
      </c>
      <c r="F258" s="1" t="s">
        <v>4880</v>
      </c>
      <c r="H258" s="1" t="s">
        <v>4881</v>
      </c>
      <c r="J258" s="1" t="s">
        <v>8840</v>
      </c>
      <c r="L258" s="1" t="s">
        <v>8862</v>
      </c>
      <c r="N258" s="1" t="s">
        <v>8863</v>
      </c>
      <c r="P258" s="1" t="s">
        <v>8864</v>
      </c>
      <c r="Q258" s="30" t="s">
        <v>2565</v>
      </c>
      <c r="R258" s="33" t="s">
        <v>3472</v>
      </c>
      <c r="S258">
        <v>37</v>
      </c>
      <c r="T258" s="1" t="s">
        <v>13876</v>
      </c>
      <c r="U258" s="1" t="str">
        <f>HYPERLINK("http://ictvonline.org/taxonomy/p/taxonomy-history?taxnode_id=202112195","ICTVonline=202112195")</f>
        <v>ICTVonline=202112195</v>
      </c>
    </row>
    <row r="259" spans="1:21" x14ac:dyDescent="0.2">
      <c r="A259" s="3">
        <v>258</v>
      </c>
      <c r="B259" s="1" t="s">
        <v>4875</v>
      </c>
      <c r="D259" s="1" t="s">
        <v>4876</v>
      </c>
      <c r="F259" s="1" t="s">
        <v>4880</v>
      </c>
      <c r="H259" s="1" t="s">
        <v>4881</v>
      </c>
      <c r="L259" s="1" t="s">
        <v>3531</v>
      </c>
      <c r="M259" s="1" t="s">
        <v>3532</v>
      </c>
      <c r="N259" s="1" t="s">
        <v>4495</v>
      </c>
      <c r="P259" s="1" t="s">
        <v>8865</v>
      </c>
      <c r="Q259" s="30" t="s">
        <v>2565</v>
      </c>
      <c r="R259" s="33" t="s">
        <v>3473</v>
      </c>
      <c r="S259">
        <v>37</v>
      </c>
      <c r="T259" s="1" t="s">
        <v>13878</v>
      </c>
      <c r="U259" s="1" t="str">
        <f>HYPERLINK("http://ictvonline.org/taxonomy/p/taxonomy-history?taxnode_id=202100534","ICTVonline=202100534")</f>
        <v>ICTVonline=202100534</v>
      </c>
    </row>
    <row r="260" spans="1:21" x14ac:dyDescent="0.2">
      <c r="A260" s="3">
        <v>259</v>
      </c>
      <c r="B260" s="1" t="s">
        <v>4875</v>
      </c>
      <c r="D260" s="1" t="s">
        <v>4876</v>
      </c>
      <c r="F260" s="1" t="s">
        <v>4880</v>
      </c>
      <c r="H260" s="1" t="s">
        <v>4881</v>
      </c>
      <c r="L260" s="1" t="s">
        <v>3531</v>
      </c>
      <c r="M260" s="1" t="s">
        <v>3532</v>
      </c>
      <c r="N260" s="1" t="s">
        <v>4495</v>
      </c>
      <c r="P260" s="1" t="s">
        <v>8866</v>
      </c>
      <c r="Q260" s="30" t="s">
        <v>2565</v>
      </c>
      <c r="R260" s="33" t="s">
        <v>3473</v>
      </c>
      <c r="S260">
        <v>37</v>
      </c>
      <c r="T260" s="1" t="s">
        <v>13878</v>
      </c>
      <c r="U260" s="1" t="str">
        <f>HYPERLINK("http://ictvonline.org/taxonomy/p/taxonomy-history?taxnode_id=202108872","ICTVonline=202108872")</f>
        <v>ICTVonline=202108872</v>
      </c>
    </row>
    <row r="261" spans="1:21" x14ac:dyDescent="0.2">
      <c r="A261" s="3">
        <v>260</v>
      </c>
      <c r="B261" s="1" t="s">
        <v>4875</v>
      </c>
      <c r="D261" s="1" t="s">
        <v>4876</v>
      </c>
      <c r="F261" s="1" t="s">
        <v>4880</v>
      </c>
      <c r="H261" s="1" t="s">
        <v>4881</v>
      </c>
      <c r="L261" s="1" t="s">
        <v>3531</v>
      </c>
      <c r="M261" s="1" t="s">
        <v>3532</v>
      </c>
      <c r="N261" s="1" t="s">
        <v>4495</v>
      </c>
      <c r="P261" s="1" t="s">
        <v>8867</v>
      </c>
      <c r="Q261" s="30" t="s">
        <v>2565</v>
      </c>
      <c r="R261" s="33" t="s">
        <v>3473</v>
      </c>
      <c r="S261">
        <v>37</v>
      </c>
      <c r="T261" s="1" t="s">
        <v>13878</v>
      </c>
      <c r="U261" s="1" t="str">
        <f>HYPERLINK("http://ictvonline.org/taxonomy/p/taxonomy-history?taxnode_id=202108873","ICTVonline=202108873")</f>
        <v>ICTVonline=202108873</v>
      </c>
    </row>
    <row r="262" spans="1:21" x14ac:dyDescent="0.2">
      <c r="A262" s="3">
        <v>261</v>
      </c>
      <c r="B262" s="1" t="s">
        <v>4875</v>
      </c>
      <c r="D262" s="1" t="s">
        <v>4876</v>
      </c>
      <c r="F262" s="1" t="s">
        <v>4880</v>
      </c>
      <c r="H262" s="1" t="s">
        <v>4881</v>
      </c>
      <c r="L262" s="1" t="s">
        <v>3531</v>
      </c>
      <c r="M262" s="1" t="s">
        <v>3532</v>
      </c>
      <c r="N262" s="1" t="s">
        <v>4495</v>
      </c>
      <c r="P262" s="1" t="s">
        <v>8868</v>
      </c>
      <c r="Q262" s="30" t="s">
        <v>2565</v>
      </c>
      <c r="R262" s="33" t="s">
        <v>3473</v>
      </c>
      <c r="S262">
        <v>37</v>
      </c>
      <c r="T262" s="1" t="s">
        <v>13878</v>
      </c>
      <c r="U262" s="1" t="str">
        <f>HYPERLINK("http://ictvonline.org/taxonomy/p/taxonomy-history?taxnode_id=202108874","ICTVonline=202108874")</f>
        <v>ICTVonline=202108874</v>
      </c>
    </row>
    <row r="263" spans="1:21" x14ac:dyDescent="0.2">
      <c r="A263" s="3">
        <v>262</v>
      </c>
      <c r="B263" s="1" t="s">
        <v>4875</v>
      </c>
      <c r="D263" s="1" t="s">
        <v>4876</v>
      </c>
      <c r="F263" s="1" t="s">
        <v>4880</v>
      </c>
      <c r="H263" s="1" t="s">
        <v>4881</v>
      </c>
      <c r="L263" s="1" t="s">
        <v>3531</v>
      </c>
      <c r="M263" s="1" t="s">
        <v>3532</v>
      </c>
      <c r="N263" s="1" t="s">
        <v>4495</v>
      </c>
      <c r="P263" s="1" t="s">
        <v>8869</v>
      </c>
      <c r="Q263" s="30" t="s">
        <v>2565</v>
      </c>
      <c r="R263" s="33" t="s">
        <v>3473</v>
      </c>
      <c r="S263">
        <v>37</v>
      </c>
      <c r="T263" s="1" t="s">
        <v>13878</v>
      </c>
      <c r="U263" s="1" t="str">
        <f>HYPERLINK("http://ictvonline.org/taxonomy/p/taxonomy-history?taxnode_id=202105465","ICTVonline=202105465")</f>
        <v>ICTVonline=202105465</v>
      </c>
    </row>
    <row r="264" spans="1:21" x14ac:dyDescent="0.2">
      <c r="A264" s="3">
        <v>263</v>
      </c>
      <c r="B264" s="1" t="s">
        <v>4875</v>
      </c>
      <c r="D264" s="1" t="s">
        <v>4876</v>
      </c>
      <c r="F264" s="1" t="s">
        <v>4880</v>
      </c>
      <c r="H264" s="1" t="s">
        <v>4881</v>
      </c>
      <c r="L264" s="1" t="s">
        <v>3531</v>
      </c>
      <c r="M264" s="1" t="s">
        <v>3532</v>
      </c>
      <c r="N264" s="1" t="s">
        <v>3533</v>
      </c>
      <c r="P264" s="1" t="s">
        <v>8870</v>
      </c>
      <c r="Q264" s="30" t="s">
        <v>2565</v>
      </c>
      <c r="R264" s="33" t="s">
        <v>3473</v>
      </c>
      <c r="S264">
        <v>37</v>
      </c>
      <c r="T264" s="1" t="s">
        <v>13878</v>
      </c>
      <c r="U264" s="1" t="str">
        <f>HYPERLINK("http://ictvonline.org/taxonomy/p/taxonomy-history?taxnode_id=202100521","ICTVonline=202100521")</f>
        <v>ICTVonline=202100521</v>
      </c>
    </row>
    <row r="265" spans="1:21" x14ac:dyDescent="0.2">
      <c r="A265" s="3">
        <v>264</v>
      </c>
      <c r="B265" s="1" t="s">
        <v>4875</v>
      </c>
      <c r="D265" s="1" t="s">
        <v>4876</v>
      </c>
      <c r="F265" s="1" t="s">
        <v>4880</v>
      </c>
      <c r="H265" s="1" t="s">
        <v>4881</v>
      </c>
      <c r="L265" s="1" t="s">
        <v>3531</v>
      </c>
      <c r="M265" s="1" t="s">
        <v>3532</v>
      </c>
      <c r="N265" s="1" t="s">
        <v>3533</v>
      </c>
      <c r="P265" s="1" t="s">
        <v>8871</v>
      </c>
      <c r="Q265" s="30" t="s">
        <v>2565</v>
      </c>
      <c r="R265" s="33" t="s">
        <v>3473</v>
      </c>
      <c r="S265">
        <v>37</v>
      </c>
      <c r="T265" s="1" t="s">
        <v>13878</v>
      </c>
      <c r="U265" s="1" t="str">
        <f>HYPERLINK("http://ictvonline.org/taxonomy/p/taxonomy-history?taxnode_id=202105467","ICTVonline=202105467")</f>
        <v>ICTVonline=202105467</v>
      </c>
    </row>
    <row r="266" spans="1:21" x14ac:dyDescent="0.2">
      <c r="A266" s="3">
        <v>265</v>
      </c>
      <c r="B266" s="1" t="s">
        <v>4875</v>
      </c>
      <c r="D266" s="1" t="s">
        <v>4876</v>
      </c>
      <c r="F266" s="1" t="s">
        <v>4880</v>
      </c>
      <c r="H266" s="1" t="s">
        <v>4881</v>
      </c>
      <c r="L266" s="1" t="s">
        <v>3531</v>
      </c>
      <c r="M266" s="1" t="s">
        <v>3534</v>
      </c>
      <c r="N266" s="1" t="s">
        <v>4496</v>
      </c>
      <c r="P266" s="1" t="s">
        <v>8872</v>
      </c>
      <c r="Q266" s="30" t="s">
        <v>2565</v>
      </c>
      <c r="R266" s="33" t="s">
        <v>3473</v>
      </c>
      <c r="S266">
        <v>37</v>
      </c>
      <c r="T266" s="1" t="s">
        <v>13878</v>
      </c>
      <c r="U266" s="1" t="str">
        <f>HYPERLINK("http://ictvonline.org/taxonomy/p/taxonomy-history?taxnode_id=202108857","ICTVonline=202108857")</f>
        <v>ICTVonline=202108857</v>
      </c>
    </row>
    <row r="267" spans="1:21" x14ac:dyDescent="0.2">
      <c r="A267" s="3">
        <v>266</v>
      </c>
      <c r="B267" s="1" t="s">
        <v>4875</v>
      </c>
      <c r="D267" s="1" t="s">
        <v>4876</v>
      </c>
      <c r="F267" s="1" t="s">
        <v>4880</v>
      </c>
      <c r="H267" s="1" t="s">
        <v>4881</v>
      </c>
      <c r="L267" s="1" t="s">
        <v>3531</v>
      </c>
      <c r="M267" s="1" t="s">
        <v>3534</v>
      </c>
      <c r="N267" s="1" t="s">
        <v>4496</v>
      </c>
      <c r="P267" s="1" t="s">
        <v>8873</v>
      </c>
      <c r="Q267" s="30" t="s">
        <v>2565</v>
      </c>
      <c r="R267" s="33" t="s">
        <v>3473</v>
      </c>
      <c r="S267">
        <v>37</v>
      </c>
      <c r="T267" s="1" t="s">
        <v>13878</v>
      </c>
      <c r="U267" s="1" t="str">
        <f>HYPERLINK("http://ictvonline.org/taxonomy/p/taxonomy-history?taxnode_id=202108845","ICTVonline=202108845")</f>
        <v>ICTVonline=202108845</v>
      </c>
    </row>
    <row r="268" spans="1:21" x14ac:dyDescent="0.2">
      <c r="A268" s="3">
        <v>267</v>
      </c>
      <c r="B268" s="1" t="s">
        <v>4875</v>
      </c>
      <c r="D268" s="1" t="s">
        <v>4876</v>
      </c>
      <c r="F268" s="1" t="s">
        <v>4880</v>
      </c>
      <c r="H268" s="1" t="s">
        <v>4881</v>
      </c>
      <c r="L268" s="1" t="s">
        <v>3531</v>
      </c>
      <c r="M268" s="1" t="s">
        <v>3534</v>
      </c>
      <c r="N268" s="1" t="s">
        <v>4496</v>
      </c>
      <c r="P268" s="1" t="s">
        <v>8874</v>
      </c>
      <c r="Q268" s="30" t="s">
        <v>2565</v>
      </c>
      <c r="R268" s="33" t="s">
        <v>3473</v>
      </c>
      <c r="S268">
        <v>37</v>
      </c>
      <c r="T268" s="1" t="s">
        <v>13878</v>
      </c>
      <c r="U268" s="1" t="str">
        <f>HYPERLINK("http://ictvonline.org/taxonomy/p/taxonomy-history?taxnode_id=202108867","ICTVonline=202108867")</f>
        <v>ICTVonline=202108867</v>
      </c>
    </row>
    <row r="269" spans="1:21" x14ac:dyDescent="0.2">
      <c r="A269" s="3">
        <v>268</v>
      </c>
      <c r="B269" s="1" t="s">
        <v>4875</v>
      </c>
      <c r="D269" s="1" t="s">
        <v>4876</v>
      </c>
      <c r="F269" s="1" t="s">
        <v>4880</v>
      </c>
      <c r="H269" s="1" t="s">
        <v>4881</v>
      </c>
      <c r="L269" s="1" t="s">
        <v>3531</v>
      </c>
      <c r="M269" s="1" t="s">
        <v>3534</v>
      </c>
      <c r="N269" s="1" t="s">
        <v>4496</v>
      </c>
      <c r="P269" s="1" t="s">
        <v>8875</v>
      </c>
      <c r="Q269" s="30" t="s">
        <v>2565</v>
      </c>
      <c r="R269" s="33" t="s">
        <v>3473</v>
      </c>
      <c r="S269">
        <v>37</v>
      </c>
      <c r="T269" s="1" t="s">
        <v>13878</v>
      </c>
      <c r="U269" s="1" t="str">
        <f>HYPERLINK("http://ictvonline.org/taxonomy/p/taxonomy-history?taxnode_id=202108869","ICTVonline=202108869")</f>
        <v>ICTVonline=202108869</v>
      </c>
    </row>
    <row r="270" spans="1:21" x14ac:dyDescent="0.2">
      <c r="A270" s="3">
        <v>269</v>
      </c>
      <c r="B270" s="1" t="s">
        <v>4875</v>
      </c>
      <c r="D270" s="1" t="s">
        <v>4876</v>
      </c>
      <c r="F270" s="1" t="s">
        <v>4880</v>
      </c>
      <c r="H270" s="1" t="s">
        <v>4881</v>
      </c>
      <c r="L270" s="1" t="s">
        <v>3531</v>
      </c>
      <c r="M270" s="1" t="s">
        <v>3534</v>
      </c>
      <c r="N270" s="1" t="s">
        <v>4496</v>
      </c>
      <c r="P270" s="1" t="s">
        <v>8876</v>
      </c>
      <c r="Q270" s="30" t="s">
        <v>2565</v>
      </c>
      <c r="R270" s="33" t="s">
        <v>3473</v>
      </c>
      <c r="S270">
        <v>37</v>
      </c>
      <c r="T270" s="1" t="s">
        <v>13878</v>
      </c>
      <c r="U270" s="1" t="str">
        <f>HYPERLINK("http://ictvonline.org/taxonomy/p/taxonomy-history?taxnode_id=202108860","ICTVonline=202108860")</f>
        <v>ICTVonline=202108860</v>
      </c>
    </row>
    <row r="271" spans="1:21" x14ac:dyDescent="0.2">
      <c r="A271" s="3">
        <v>270</v>
      </c>
      <c r="B271" s="1" t="s">
        <v>4875</v>
      </c>
      <c r="D271" s="1" t="s">
        <v>4876</v>
      </c>
      <c r="F271" s="1" t="s">
        <v>4880</v>
      </c>
      <c r="H271" s="1" t="s">
        <v>4881</v>
      </c>
      <c r="L271" s="1" t="s">
        <v>3531</v>
      </c>
      <c r="M271" s="1" t="s">
        <v>3534</v>
      </c>
      <c r="N271" s="1" t="s">
        <v>4496</v>
      </c>
      <c r="P271" s="1" t="s">
        <v>8877</v>
      </c>
      <c r="Q271" s="30" t="s">
        <v>2565</v>
      </c>
      <c r="R271" s="33" t="s">
        <v>3473</v>
      </c>
      <c r="S271">
        <v>37</v>
      </c>
      <c r="T271" s="1" t="s">
        <v>13878</v>
      </c>
      <c r="U271" s="1" t="str">
        <f>HYPERLINK("http://ictvonline.org/taxonomy/p/taxonomy-history?taxnode_id=202100522","ICTVonline=202100522")</f>
        <v>ICTVonline=202100522</v>
      </c>
    </row>
    <row r="272" spans="1:21" x14ac:dyDescent="0.2">
      <c r="A272" s="3">
        <v>271</v>
      </c>
      <c r="B272" s="1" t="s">
        <v>4875</v>
      </c>
      <c r="D272" s="1" t="s">
        <v>4876</v>
      </c>
      <c r="F272" s="1" t="s">
        <v>4880</v>
      </c>
      <c r="H272" s="1" t="s">
        <v>4881</v>
      </c>
      <c r="L272" s="1" t="s">
        <v>3531</v>
      </c>
      <c r="M272" s="1" t="s">
        <v>3534</v>
      </c>
      <c r="N272" s="1" t="s">
        <v>4496</v>
      </c>
      <c r="P272" s="1" t="s">
        <v>8878</v>
      </c>
      <c r="Q272" s="30" t="s">
        <v>2565</v>
      </c>
      <c r="R272" s="33" t="s">
        <v>3473</v>
      </c>
      <c r="S272">
        <v>37</v>
      </c>
      <c r="T272" s="1" t="s">
        <v>13878</v>
      </c>
      <c r="U272" s="1" t="str">
        <f>HYPERLINK("http://ictvonline.org/taxonomy/p/taxonomy-history?taxnode_id=202100525","ICTVonline=202100525")</f>
        <v>ICTVonline=202100525</v>
      </c>
    </row>
    <row r="273" spans="1:21" x14ac:dyDescent="0.2">
      <c r="A273" s="3">
        <v>272</v>
      </c>
      <c r="B273" s="1" t="s">
        <v>4875</v>
      </c>
      <c r="D273" s="1" t="s">
        <v>4876</v>
      </c>
      <c r="F273" s="1" t="s">
        <v>4880</v>
      </c>
      <c r="H273" s="1" t="s">
        <v>4881</v>
      </c>
      <c r="L273" s="1" t="s">
        <v>3531</v>
      </c>
      <c r="M273" s="1" t="s">
        <v>3534</v>
      </c>
      <c r="N273" s="1" t="s">
        <v>4496</v>
      </c>
      <c r="P273" s="1" t="s">
        <v>8879</v>
      </c>
      <c r="Q273" s="30" t="s">
        <v>2565</v>
      </c>
      <c r="R273" s="33" t="s">
        <v>3473</v>
      </c>
      <c r="S273">
        <v>37</v>
      </c>
      <c r="T273" s="1" t="s">
        <v>13878</v>
      </c>
      <c r="U273" s="1" t="str">
        <f>HYPERLINK("http://ictvonline.org/taxonomy/p/taxonomy-history?taxnode_id=202108854","ICTVonline=202108854")</f>
        <v>ICTVonline=202108854</v>
      </c>
    </row>
    <row r="274" spans="1:21" x14ac:dyDescent="0.2">
      <c r="A274" s="3">
        <v>273</v>
      </c>
      <c r="B274" s="1" t="s">
        <v>4875</v>
      </c>
      <c r="D274" s="1" t="s">
        <v>4876</v>
      </c>
      <c r="F274" s="1" t="s">
        <v>4880</v>
      </c>
      <c r="H274" s="1" t="s">
        <v>4881</v>
      </c>
      <c r="L274" s="1" t="s">
        <v>3531</v>
      </c>
      <c r="M274" s="1" t="s">
        <v>3534</v>
      </c>
      <c r="N274" s="1" t="s">
        <v>4496</v>
      </c>
      <c r="P274" s="1" t="s">
        <v>8880</v>
      </c>
      <c r="Q274" s="30" t="s">
        <v>2565</v>
      </c>
      <c r="R274" s="33" t="s">
        <v>3473</v>
      </c>
      <c r="S274">
        <v>37</v>
      </c>
      <c r="T274" s="1" t="s">
        <v>13878</v>
      </c>
      <c r="U274" s="1" t="str">
        <f>HYPERLINK("http://ictvonline.org/taxonomy/p/taxonomy-history?taxnode_id=202100523","ICTVonline=202100523")</f>
        <v>ICTVonline=202100523</v>
      </c>
    </row>
    <row r="275" spans="1:21" x14ac:dyDescent="0.2">
      <c r="A275" s="3">
        <v>274</v>
      </c>
      <c r="B275" s="1" t="s">
        <v>4875</v>
      </c>
      <c r="D275" s="1" t="s">
        <v>4876</v>
      </c>
      <c r="F275" s="1" t="s">
        <v>4880</v>
      </c>
      <c r="H275" s="1" t="s">
        <v>4881</v>
      </c>
      <c r="L275" s="1" t="s">
        <v>3531</v>
      </c>
      <c r="M275" s="1" t="s">
        <v>3534</v>
      </c>
      <c r="N275" s="1" t="s">
        <v>4496</v>
      </c>
      <c r="P275" s="1" t="s">
        <v>8881</v>
      </c>
      <c r="Q275" s="30" t="s">
        <v>2565</v>
      </c>
      <c r="R275" s="33" t="s">
        <v>3473</v>
      </c>
      <c r="S275">
        <v>37</v>
      </c>
      <c r="T275" s="1" t="s">
        <v>13878</v>
      </c>
      <c r="U275" s="1" t="str">
        <f>HYPERLINK("http://ictvonline.org/taxonomy/p/taxonomy-history?taxnode_id=202108868","ICTVonline=202108868")</f>
        <v>ICTVonline=202108868</v>
      </c>
    </row>
    <row r="276" spans="1:21" x14ac:dyDescent="0.2">
      <c r="A276" s="3">
        <v>275</v>
      </c>
      <c r="B276" s="1" t="s">
        <v>4875</v>
      </c>
      <c r="D276" s="1" t="s">
        <v>4876</v>
      </c>
      <c r="F276" s="1" t="s">
        <v>4880</v>
      </c>
      <c r="H276" s="1" t="s">
        <v>4881</v>
      </c>
      <c r="L276" s="1" t="s">
        <v>3531</v>
      </c>
      <c r="M276" s="1" t="s">
        <v>3534</v>
      </c>
      <c r="N276" s="1" t="s">
        <v>4496</v>
      </c>
      <c r="P276" s="1" t="s">
        <v>8882</v>
      </c>
      <c r="Q276" s="30" t="s">
        <v>2565</v>
      </c>
      <c r="R276" s="33" t="s">
        <v>3473</v>
      </c>
      <c r="S276">
        <v>37</v>
      </c>
      <c r="T276" s="1" t="s">
        <v>13878</v>
      </c>
      <c r="U276" s="1" t="str">
        <f>HYPERLINK("http://ictvonline.org/taxonomy/p/taxonomy-history?taxnode_id=202108862","ICTVonline=202108862")</f>
        <v>ICTVonline=202108862</v>
      </c>
    </row>
    <row r="277" spans="1:21" x14ac:dyDescent="0.2">
      <c r="A277" s="3">
        <v>276</v>
      </c>
      <c r="B277" s="1" t="s">
        <v>4875</v>
      </c>
      <c r="D277" s="1" t="s">
        <v>4876</v>
      </c>
      <c r="F277" s="1" t="s">
        <v>4880</v>
      </c>
      <c r="H277" s="1" t="s">
        <v>4881</v>
      </c>
      <c r="L277" s="1" t="s">
        <v>3531</v>
      </c>
      <c r="M277" s="1" t="s">
        <v>3534</v>
      </c>
      <c r="N277" s="1" t="s">
        <v>4496</v>
      </c>
      <c r="P277" s="1" t="s">
        <v>8883</v>
      </c>
      <c r="Q277" s="30" t="s">
        <v>2565</v>
      </c>
      <c r="R277" s="33" t="s">
        <v>3473</v>
      </c>
      <c r="S277">
        <v>37</v>
      </c>
      <c r="T277" s="1" t="s">
        <v>13878</v>
      </c>
      <c r="U277" s="1" t="str">
        <f>HYPERLINK("http://ictvonline.org/taxonomy/p/taxonomy-history?taxnode_id=202105471","ICTVonline=202105471")</f>
        <v>ICTVonline=202105471</v>
      </c>
    </row>
    <row r="278" spans="1:21" x14ac:dyDescent="0.2">
      <c r="A278" s="3">
        <v>277</v>
      </c>
      <c r="B278" s="1" t="s">
        <v>4875</v>
      </c>
      <c r="D278" s="1" t="s">
        <v>4876</v>
      </c>
      <c r="F278" s="1" t="s">
        <v>4880</v>
      </c>
      <c r="H278" s="1" t="s">
        <v>4881</v>
      </c>
      <c r="L278" s="1" t="s">
        <v>3531</v>
      </c>
      <c r="M278" s="1" t="s">
        <v>3534</v>
      </c>
      <c r="N278" s="1" t="s">
        <v>4496</v>
      </c>
      <c r="P278" s="1" t="s">
        <v>8884</v>
      </c>
      <c r="Q278" s="30" t="s">
        <v>2565</v>
      </c>
      <c r="R278" s="33" t="s">
        <v>3473</v>
      </c>
      <c r="S278">
        <v>37</v>
      </c>
      <c r="T278" s="1" t="s">
        <v>13878</v>
      </c>
      <c r="U278" s="1" t="str">
        <f>HYPERLINK("http://ictvonline.org/taxonomy/p/taxonomy-history?taxnode_id=202108849","ICTVonline=202108849")</f>
        <v>ICTVonline=202108849</v>
      </c>
    </row>
    <row r="279" spans="1:21" x14ac:dyDescent="0.2">
      <c r="A279" s="3">
        <v>278</v>
      </c>
      <c r="B279" s="1" t="s">
        <v>4875</v>
      </c>
      <c r="D279" s="1" t="s">
        <v>4876</v>
      </c>
      <c r="F279" s="1" t="s">
        <v>4880</v>
      </c>
      <c r="H279" s="1" t="s">
        <v>4881</v>
      </c>
      <c r="L279" s="1" t="s">
        <v>3531</v>
      </c>
      <c r="M279" s="1" t="s">
        <v>3534</v>
      </c>
      <c r="N279" s="1" t="s">
        <v>4496</v>
      </c>
      <c r="P279" s="1" t="s">
        <v>8885</v>
      </c>
      <c r="Q279" s="30" t="s">
        <v>2565</v>
      </c>
      <c r="R279" s="33" t="s">
        <v>3473</v>
      </c>
      <c r="S279">
        <v>37</v>
      </c>
      <c r="T279" s="1" t="s">
        <v>13878</v>
      </c>
      <c r="U279" s="1" t="str">
        <f>HYPERLINK("http://ictvonline.org/taxonomy/p/taxonomy-history?taxnode_id=202105470","ICTVonline=202105470")</f>
        <v>ICTVonline=202105470</v>
      </c>
    </row>
    <row r="280" spans="1:21" x14ac:dyDescent="0.2">
      <c r="A280" s="3">
        <v>279</v>
      </c>
      <c r="B280" s="1" t="s">
        <v>4875</v>
      </c>
      <c r="D280" s="1" t="s">
        <v>4876</v>
      </c>
      <c r="F280" s="1" t="s">
        <v>4880</v>
      </c>
      <c r="H280" s="1" t="s">
        <v>4881</v>
      </c>
      <c r="L280" s="1" t="s">
        <v>3531</v>
      </c>
      <c r="M280" s="1" t="s">
        <v>3534</v>
      </c>
      <c r="N280" s="1" t="s">
        <v>4496</v>
      </c>
      <c r="P280" s="1" t="s">
        <v>8886</v>
      </c>
      <c r="Q280" s="30" t="s">
        <v>2565</v>
      </c>
      <c r="R280" s="33" t="s">
        <v>3473</v>
      </c>
      <c r="S280">
        <v>37</v>
      </c>
      <c r="T280" s="1" t="s">
        <v>13878</v>
      </c>
      <c r="U280" s="1" t="str">
        <f>HYPERLINK("http://ictvonline.org/taxonomy/p/taxonomy-history?taxnode_id=202108847","ICTVonline=202108847")</f>
        <v>ICTVonline=202108847</v>
      </c>
    </row>
    <row r="281" spans="1:21" x14ac:dyDescent="0.2">
      <c r="A281" s="3">
        <v>280</v>
      </c>
      <c r="B281" s="1" t="s">
        <v>4875</v>
      </c>
      <c r="D281" s="1" t="s">
        <v>4876</v>
      </c>
      <c r="F281" s="1" t="s">
        <v>4880</v>
      </c>
      <c r="H281" s="1" t="s">
        <v>4881</v>
      </c>
      <c r="L281" s="1" t="s">
        <v>3531</v>
      </c>
      <c r="M281" s="1" t="s">
        <v>3534</v>
      </c>
      <c r="N281" s="1" t="s">
        <v>4496</v>
      </c>
      <c r="P281" s="1" t="s">
        <v>8887</v>
      </c>
      <c r="Q281" s="30" t="s">
        <v>2565</v>
      </c>
      <c r="R281" s="33" t="s">
        <v>3473</v>
      </c>
      <c r="S281">
        <v>37</v>
      </c>
      <c r="T281" s="1" t="s">
        <v>13878</v>
      </c>
      <c r="U281" s="1" t="str">
        <f>HYPERLINK("http://ictvonline.org/taxonomy/p/taxonomy-history?taxnode_id=202100526","ICTVonline=202100526")</f>
        <v>ICTVonline=202100526</v>
      </c>
    </row>
    <row r="282" spans="1:21" x14ac:dyDescent="0.2">
      <c r="A282" s="3">
        <v>281</v>
      </c>
      <c r="B282" s="1" t="s">
        <v>4875</v>
      </c>
      <c r="D282" s="1" t="s">
        <v>4876</v>
      </c>
      <c r="F282" s="1" t="s">
        <v>4880</v>
      </c>
      <c r="H282" s="1" t="s">
        <v>4881</v>
      </c>
      <c r="L282" s="1" t="s">
        <v>3531</v>
      </c>
      <c r="M282" s="1" t="s">
        <v>3534</v>
      </c>
      <c r="N282" s="1" t="s">
        <v>4496</v>
      </c>
      <c r="P282" s="1" t="s">
        <v>8888</v>
      </c>
      <c r="Q282" s="30" t="s">
        <v>2565</v>
      </c>
      <c r="R282" s="33" t="s">
        <v>3473</v>
      </c>
      <c r="S282">
        <v>37</v>
      </c>
      <c r="T282" s="1" t="s">
        <v>13878</v>
      </c>
      <c r="U282" s="1" t="str">
        <f>HYPERLINK("http://ictvonline.org/taxonomy/p/taxonomy-history?taxnode_id=202100527","ICTVonline=202100527")</f>
        <v>ICTVonline=202100527</v>
      </c>
    </row>
    <row r="283" spans="1:21" x14ac:dyDescent="0.2">
      <c r="A283" s="3">
        <v>282</v>
      </c>
      <c r="B283" s="1" t="s">
        <v>4875</v>
      </c>
      <c r="D283" s="1" t="s">
        <v>4876</v>
      </c>
      <c r="F283" s="1" t="s">
        <v>4880</v>
      </c>
      <c r="H283" s="1" t="s">
        <v>4881</v>
      </c>
      <c r="L283" s="1" t="s">
        <v>3531</v>
      </c>
      <c r="M283" s="1" t="s">
        <v>3534</v>
      </c>
      <c r="N283" s="1" t="s">
        <v>4496</v>
      </c>
      <c r="P283" s="1" t="s">
        <v>8889</v>
      </c>
      <c r="Q283" s="30" t="s">
        <v>2565</v>
      </c>
      <c r="R283" s="33" t="s">
        <v>3473</v>
      </c>
      <c r="S283">
        <v>37</v>
      </c>
      <c r="T283" s="1" t="s">
        <v>13878</v>
      </c>
      <c r="U283" s="1" t="str">
        <f>HYPERLINK("http://ictvonline.org/taxonomy/p/taxonomy-history?taxnode_id=202108859","ICTVonline=202108859")</f>
        <v>ICTVonline=202108859</v>
      </c>
    </row>
    <row r="284" spans="1:21" x14ac:dyDescent="0.2">
      <c r="A284" s="3">
        <v>283</v>
      </c>
      <c r="B284" s="1" t="s">
        <v>4875</v>
      </c>
      <c r="D284" s="1" t="s">
        <v>4876</v>
      </c>
      <c r="F284" s="1" t="s">
        <v>4880</v>
      </c>
      <c r="H284" s="1" t="s">
        <v>4881</v>
      </c>
      <c r="L284" s="1" t="s">
        <v>3531</v>
      </c>
      <c r="M284" s="1" t="s">
        <v>3534</v>
      </c>
      <c r="N284" s="1" t="s">
        <v>4496</v>
      </c>
      <c r="P284" s="1" t="s">
        <v>8890</v>
      </c>
      <c r="Q284" s="30" t="s">
        <v>2565</v>
      </c>
      <c r="R284" s="33" t="s">
        <v>3473</v>
      </c>
      <c r="S284">
        <v>37</v>
      </c>
      <c r="T284" s="1" t="s">
        <v>13878</v>
      </c>
      <c r="U284" s="1" t="str">
        <f>HYPERLINK("http://ictvonline.org/taxonomy/p/taxonomy-history?taxnode_id=202108866","ICTVonline=202108866")</f>
        <v>ICTVonline=202108866</v>
      </c>
    </row>
    <row r="285" spans="1:21" x14ac:dyDescent="0.2">
      <c r="A285" s="3">
        <v>284</v>
      </c>
      <c r="B285" s="1" t="s">
        <v>4875</v>
      </c>
      <c r="D285" s="1" t="s">
        <v>4876</v>
      </c>
      <c r="F285" s="1" t="s">
        <v>4880</v>
      </c>
      <c r="H285" s="1" t="s">
        <v>4881</v>
      </c>
      <c r="L285" s="1" t="s">
        <v>3531</v>
      </c>
      <c r="M285" s="1" t="s">
        <v>3534</v>
      </c>
      <c r="N285" s="1" t="s">
        <v>4496</v>
      </c>
      <c r="P285" s="1" t="s">
        <v>8891</v>
      </c>
      <c r="Q285" s="30" t="s">
        <v>2565</v>
      </c>
      <c r="R285" s="33" t="s">
        <v>3473</v>
      </c>
      <c r="S285">
        <v>37</v>
      </c>
      <c r="T285" s="1" t="s">
        <v>13878</v>
      </c>
      <c r="U285" s="1" t="str">
        <f>HYPERLINK("http://ictvonline.org/taxonomy/p/taxonomy-history?taxnode_id=202108846","ICTVonline=202108846")</f>
        <v>ICTVonline=202108846</v>
      </c>
    </row>
    <row r="286" spans="1:21" x14ac:dyDescent="0.2">
      <c r="A286" s="3">
        <v>285</v>
      </c>
      <c r="B286" s="1" t="s">
        <v>4875</v>
      </c>
      <c r="D286" s="1" t="s">
        <v>4876</v>
      </c>
      <c r="F286" s="1" t="s">
        <v>4880</v>
      </c>
      <c r="H286" s="1" t="s">
        <v>4881</v>
      </c>
      <c r="L286" s="1" t="s">
        <v>3531</v>
      </c>
      <c r="M286" s="1" t="s">
        <v>3534</v>
      </c>
      <c r="N286" s="1" t="s">
        <v>4496</v>
      </c>
      <c r="P286" s="1" t="s">
        <v>8892</v>
      </c>
      <c r="Q286" s="30" t="s">
        <v>2565</v>
      </c>
      <c r="R286" s="33" t="s">
        <v>3473</v>
      </c>
      <c r="S286">
        <v>37</v>
      </c>
      <c r="T286" s="1" t="s">
        <v>13878</v>
      </c>
      <c r="U286" s="1" t="str">
        <f>HYPERLINK("http://ictvonline.org/taxonomy/p/taxonomy-history?taxnode_id=202100524","ICTVonline=202100524")</f>
        <v>ICTVonline=202100524</v>
      </c>
    </row>
    <row r="287" spans="1:21" x14ac:dyDescent="0.2">
      <c r="A287" s="3">
        <v>286</v>
      </c>
      <c r="B287" s="1" t="s">
        <v>4875</v>
      </c>
      <c r="D287" s="1" t="s">
        <v>4876</v>
      </c>
      <c r="F287" s="1" t="s">
        <v>4880</v>
      </c>
      <c r="H287" s="1" t="s">
        <v>4881</v>
      </c>
      <c r="L287" s="1" t="s">
        <v>3531</v>
      </c>
      <c r="M287" s="1" t="s">
        <v>3534</v>
      </c>
      <c r="N287" s="1" t="s">
        <v>4496</v>
      </c>
      <c r="P287" s="1" t="s">
        <v>8893</v>
      </c>
      <c r="Q287" s="30" t="s">
        <v>2565</v>
      </c>
      <c r="R287" s="33" t="s">
        <v>3473</v>
      </c>
      <c r="S287">
        <v>37</v>
      </c>
      <c r="T287" s="1" t="s">
        <v>13878</v>
      </c>
      <c r="U287" s="1" t="str">
        <f>HYPERLINK("http://ictvonline.org/taxonomy/p/taxonomy-history?taxnode_id=202105472","ICTVonline=202105472")</f>
        <v>ICTVonline=202105472</v>
      </c>
    </row>
    <row r="288" spans="1:21" x14ac:dyDescent="0.2">
      <c r="A288" s="3">
        <v>287</v>
      </c>
      <c r="B288" s="1" t="s">
        <v>4875</v>
      </c>
      <c r="D288" s="1" t="s">
        <v>4876</v>
      </c>
      <c r="F288" s="1" t="s">
        <v>4880</v>
      </c>
      <c r="H288" s="1" t="s">
        <v>4881</v>
      </c>
      <c r="L288" s="1" t="s">
        <v>3531</v>
      </c>
      <c r="M288" s="1" t="s">
        <v>3534</v>
      </c>
      <c r="N288" s="1" t="s">
        <v>4496</v>
      </c>
      <c r="P288" s="1" t="s">
        <v>8894</v>
      </c>
      <c r="Q288" s="30" t="s">
        <v>2565</v>
      </c>
      <c r="R288" s="33" t="s">
        <v>3473</v>
      </c>
      <c r="S288">
        <v>37</v>
      </c>
      <c r="T288" s="1" t="s">
        <v>13878</v>
      </c>
      <c r="U288" s="1" t="str">
        <f>HYPERLINK("http://ictvonline.org/taxonomy/p/taxonomy-history?taxnode_id=202108848","ICTVonline=202108848")</f>
        <v>ICTVonline=202108848</v>
      </c>
    </row>
    <row r="289" spans="1:21" x14ac:dyDescent="0.2">
      <c r="A289" s="3">
        <v>288</v>
      </c>
      <c r="B289" s="1" t="s">
        <v>4875</v>
      </c>
      <c r="D289" s="1" t="s">
        <v>4876</v>
      </c>
      <c r="F289" s="1" t="s">
        <v>4880</v>
      </c>
      <c r="H289" s="1" t="s">
        <v>4881</v>
      </c>
      <c r="L289" s="1" t="s">
        <v>3531</v>
      </c>
      <c r="M289" s="1" t="s">
        <v>3534</v>
      </c>
      <c r="N289" s="1" t="s">
        <v>4496</v>
      </c>
      <c r="P289" s="1" t="s">
        <v>8895</v>
      </c>
      <c r="Q289" s="30" t="s">
        <v>2565</v>
      </c>
      <c r="R289" s="33" t="s">
        <v>3473</v>
      </c>
      <c r="S289">
        <v>37</v>
      </c>
      <c r="T289" s="1" t="s">
        <v>13878</v>
      </c>
      <c r="U289" s="1" t="str">
        <f>HYPERLINK("http://ictvonline.org/taxonomy/p/taxonomy-history?taxnode_id=202108863","ICTVonline=202108863")</f>
        <v>ICTVonline=202108863</v>
      </c>
    </row>
    <row r="290" spans="1:21" x14ac:dyDescent="0.2">
      <c r="A290" s="3">
        <v>289</v>
      </c>
      <c r="B290" s="1" t="s">
        <v>4875</v>
      </c>
      <c r="D290" s="1" t="s">
        <v>4876</v>
      </c>
      <c r="F290" s="1" t="s">
        <v>4880</v>
      </c>
      <c r="H290" s="1" t="s">
        <v>4881</v>
      </c>
      <c r="L290" s="1" t="s">
        <v>3531</v>
      </c>
      <c r="M290" s="1" t="s">
        <v>3534</v>
      </c>
      <c r="N290" s="1" t="s">
        <v>4496</v>
      </c>
      <c r="P290" s="1" t="s">
        <v>8896</v>
      </c>
      <c r="Q290" s="30" t="s">
        <v>2565</v>
      </c>
      <c r="R290" s="33" t="s">
        <v>3473</v>
      </c>
      <c r="S290">
        <v>37</v>
      </c>
      <c r="T290" s="1" t="s">
        <v>13878</v>
      </c>
      <c r="U290" s="1" t="str">
        <f>HYPERLINK("http://ictvonline.org/taxonomy/p/taxonomy-history?taxnode_id=202108851","ICTVonline=202108851")</f>
        <v>ICTVonline=202108851</v>
      </c>
    </row>
    <row r="291" spans="1:21" x14ac:dyDescent="0.2">
      <c r="A291" s="3">
        <v>290</v>
      </c>
      <c r="B291" s="1" t="s">
        <v>4875</v>
      </c>
      <c r="D291" s="1" t="s">
        <v>4876</v>
      </c>
      <c r="F291" s="1" t="s">
        <v>4880</v>
      </c>
      <c r="H291" s="1" t="s">
        <v>4881</v>
      </c>
      <c r="L291" s="1" t="s">
        <v>3531</v>
      </c>
      <c r="M291" s="1" t="s">
        <v>3534</v>
      </c>
      <c r="N291" s="1" t="s">
        <v>4496</v>
      </c>
      <c r="P291" s="1" t="s">
        <v>8897</v>
      </c>
      <c r="Q291" s="30" t="s">
        <v>2565</v>
      </c>
      <c r="R291" s="33" t="s">
        <v>3473</v>
      </c>
      <c r="S291">
        <v>37</v>
      </c>
      <c r="T291" s="1" t="s">
        <v>13878</v>
      </c>
      <c r="U291" s="1" t="str">
        <f>HYPERLINK("http://ictvonline.org/taxonomy/p/taxonomy-history?taxnode_id=202108858","ICTVonline=202108858")</f>
        <v>ICTVonline=202108858</v>
      </c>
    </row>
    <row r="292" spans="1:21" x14ac:dyDescent="0.2">
      <c r="A292" s="3">
        <v>291</v>
      </c>
      <c r="B292" s="1" t="s">
        <v>4875</v>
      </c>
      <c r="D292" s="1" t="s">
        <v>4876</v>
      </c>
      <c r="F292" s="1" t="s">
        <v>4880</v>
      </c>
      <c r="H292" s="1" t="s">
        <v>4881</v>
      </c>
      <c r="L292" s="1" t="s">
        <v>3531</v>
      </c>
      <c r="M292" s="1" t="s">
        <v>3534</v>
      </c>
      <c r="N292" s="1" t="s">
        <v>4496</v>
      </c>
      <c r="P292" s="1" t="s">
        <v>8898</v>
      </c>
      <c r="Q292" s="30" t="s">
        <v>2565</v>
      </c>
      <c r="R292" s="33" t="s">
        <v>3473</v>
      </c>
      <c r="S292">
        <v>37</v>
      </c>
      <c r="T292" s="1" t="s">
        <v>13878</v>
      </c>
      <c r="U292" s="1" t="str">
        <f>HYPERLINK("http://ictvonline.org/taxonomy/p/taxonomy-history?taxnode_id=202108852","ICTVonline=202108852")</f>
        <v>ICTVonline=202108852</v>
      </c>
    </row>
    <row r="293" spans="1:21" x14ac:dyDescent="0.2">
      <c r="A293" s="3">
        <v>292</v>
      </c>
      <c r="B293" s="1" t="s">
        <v>4875</v>
      </c>
      <c r="D293" s="1" t="s">
        <v>4876</v>
      </c>
      <c r="F293" s="1" t="s">
        <v>4880</v>
      </c>
      <c r="H293" s="1" t="s">
        <v>4881</v>
      </c>
      <c r="L293" s="1" t="s">
        <v>3531</v>
      </c>
      <c r="M293" s="1" t="s">
        <v>3534</v>
      </c>
      <c r="N293" s="1" t="s">
        <v>4496</v>
      </c>
      <c r="P293" s="1" t="s">
        <v>8899</v>
      </c>
      <c r="Q293" s="30" t="s">
        <v>2565</v>
      </c>
      <c r="R293" s="33" t="s">
        <v>3473</v>
      </c>
      <c r="S293">
        <v>37</v>
      </c>
      <c r="T293" s="1" t="s">
        <v>13878</v>
      </c>
      <c r="U293" s="1" t="str">
        <f>HYPERLINK("http://ictvonline.org/taxonomy/p/taxonomy-history?taxnode_id=202108864","ICTVonline=202108864")</f>
        <v>ICTVonline=202108864</v>
      </c>
    </row>
    <row r="294" spans="1:21" x14ac:dyDescent="0.2">
      <c r="A294" s="3">
        <v>293</v>
      </c>
      <c r="B294" s="1" t="s">
        <v>4875</v>
      </c>
      <c r="D294" s="1" t="s">
        <v>4876</v>
      </c>
      <c r="F294" s="1" t="s">
        <v>4880</v>
      </c>
      <c r="H294" s="1" t="s">
        <v>4881</v>
      </c>
      <c r="L294" s="1" t="s">
        <v>3531</v>
      </c>
      <c r="M294" s="1" t="s">
        <v>3534</v>
      </c>
      <c r="N294" s="1" t="s">
        <v>4496</v>
      </c>
      <c r="P294" s="1" t="s">
        <v>8900</v>
      </c>
      <c r="Q294" s="30" t="s">
        <v>2565</v>
      </c>
      <c r="R294" s="33" t="s">
        <v>3473</v>
      </c>
      <c r="S294">
        <v>37</v>
      </c>
      <c r="T294" s="1" t="s">
        <v>13878</v>
      </c>
      <c r="U294" s="1" t="str">
        <f>HYPERLINK("http://ictvonline.org/taxonomy/p/taxonomy-history?taxnode_id=202108853","ICTVonline=202108853")</f>
        <v>ICTVonline=202108853</v>
      </c>
    </row>
    <row r="295" spans="1:21" x14ac:dyDescent="0.2">
      <c r="A295" s="3">
        <v>294</v>
      </c>
      <c r="B295" s="1" t="s">
        <v>4875</v>
      </c>
      <c r="D295" s="1" t="s">
        <v>4876</v>
      </c>
      <c r="F295" s="1" t="s">
        <v>4880</v>
      </c>
      <c r="H295" s="1" t="s">
        <v>4881</v>
      </c>
      <c r="L295" s="1" t="s">
        <v>3531</v>
      </c>
      <c r="M295" s="1" t="s">
        <v>3534</v>
      </c>
      <c r="N295" s="1" t="s">
        <v>4496</v>
      </c>
      <c r="P295" s="1" t="s">
        <v>8901</v>
      </c>
      <c r="Q295" s="30" t="s">
        <v>2565</v>
      </c>
      <c r="R295" s="33" t="s">
        <v>3473</v>
      </c>
      <c r="S295">
        <v>37</v>
      </c>
      <c r="T295" s="1" t="s">
        <v>13878</v>
      </c>
      <c r="U295" s="1" t="str">
        <f>HYPERLINK("http://ictvonline.org/taxonomy/p/taxonomy-history?taxnode_id=202108850","ICTVonline=202108850")</f>
        <v>ICTVonline=202108850</v>
      </c>
    </row>
    <row r="296" spans="1:21" x14ac:dyDescent="0.2">
      <c r="A296" s="3">
        <v>295</v>
      </c>
      <c r="B296" s="1" t="s">
        <v>4875</v>
      </c>
      <c r="D296" s="1" t="s">
        <v>4876</v>
      </c>
      <c r="F296" s="1" t="s">
        <v>4880</v>
      </c>
      <c r="H296" s="1" t="s">
        <v>4881</v>
      </c>
      <c r="L296" s="1" t="s">
        <v>3531</v>
      </c>
      <c r="M296" s="1" t="s">
        <v>3534</v>
      </c>
      <c r="N296" s="1" t="s">
        <v>4496</v>
      </c>
      <c r="P296" s="1" t="s">
        <v>8902</v>
      </c>
      <c r="Q296" s="30" t="s">
        <v>2565</v>
      </c>
      <c r="R296" s="33" t="s">
        <v>3473</v>
      </c>
      <c r="S296">
        <v>37</v>
      </c>
      <c r="T296" s="1" t="s">
        <v>13878</v>
      </c>
      <c r="U296" s="1" t="str">
        <f>HYPERLINK("http://ictvonline.org/taxonomy/p/taxonomy-history?taxnode_id=202108856","ICTVonline=202108856")</f>
        <v>ICTVonline=202108856</v>
      </c>
    </row>
    <row r="297" spans="1:21" x14ac:dyDescent="0.2">
      <c r="A297" s="3">
        <v>296</v>
      </c>
      <c r="B297" s="1" t="s">
        <v>4875</v>
      </c>
      <c r="D297" s="1" t="s">
        <v>4876</v>
      </c>
      <c r="F297" s="1" t="s">
        <v>4880</v>
      </c>
      <c r="H297" s="1" t="s">
        <v>4881</v>
      </c>
      <c r="L297" s="1" t="s">
        <v>3531</v>
      </c>
      <c r="M297" s="1" t="s">
        <v>3534</v>
      </c>
      <c r="N297" s="1" t="s">
        <v>4496</v>
      </c>
      <c r="P297" s="1" t="s">
        <v>8903</v>
      </c>
      <c r="Q297" s="30" t="s">
        <v>2565</v>
      </c>
      <c r="R297" s="33" t="s">
        <v>3473</v>
      </c>
      <c r="S297">
        <v>37</v>
      </c>
      <c r="T297" s="1" t="s">
        <v>13878</v>
      </c>
      <c r="U297" s="1" t="str">
        <f>HYPERLINK("http://ictvonline.org/taxonomy/p/taxonomy-history?taxnode_id=202100528","ICTVonline=202100528")</f>
        <v>ICTVonline=202100528</v>
      </c>
    </row>
    <row r="298" spans="1:21" x14ac:dyDescent="0.2">
      <c r="A298" s="3">
        <v>297</v>
      </c>
      <c r="B298" s="1" t="s">
        <v>4875</v>
      </c>
      <c r="D298" s="1" t="s">
        <v>4876</v>
      </c>
      <c r="F298" s="1" t="s">
        <v>4880</v>
      </c>
      <c r="H298" s="1" t="s">
        <v>4881</v>
      </c>
      <c r="L298" s="1" t="s">
        <v>3531</v>
      </c>
      <c r="M298" s="1" t="s">
        <v>3534</v>
      </c>
      <c r="N298" s="1" t="s">
        <v>4496</v>
      </c>
      <c r="P298" s="1" t="s">
        <v>8904</v>
      </c>
      <c r="Q298" s="30" t="s">
        <v>2565</v>
      </c>
      <c r="R298" s="33" t="s">
        <v>3473</v>
      </c>
      <c r="S298">
        <v>37</v>
      </c>
      <c r="T298" s="1" t="s">
        <v>13878</v>
      </c>
      <c r="U298" s="1" t="str">
        <f>HYPERLINK("http://ictvonline.org/taxonomy/p/taxonomy-history?taxnode_id=202100529","ICTVonline=202100529")</f>
        <v>ICTVonline=202100529</v>
      </c>
    </row>
    <row r="299" spans="1:21" x14ac:dyDescent="0.2">
      <c r="A299" s="3">
        <v>298</v>
      </c>
      <c r="B299" s="1" t="s">
        <v>4875</v>
      </c>
      <c r="D299" s="1" t="s">
        <v>4876</v>
      </c>
      <c r="F299" s="1" t="s">
        <v>4880</v>
      </c>
      <c r="H299" s="1" t="s">
        <v>4881</v>
      </c>
      <c r="L299" s="1" t="s">
        <v>3531</v>
      </c>
      <c r="M299" s="1" t="s">
        <v>3534</v>
      </c>
      <c r="N299" s="1" t="s">
        <v>4496</v>
      </c>
      <c r="P299" s="1" t="s">
        <v>8905</v>
      </c>
      <c r="Q299" s="30" t="s">
        <v>2565</v>
      </c>
      <c r="R299" s="33" t="s">
        <v>3473</v>
      </c>
      <c r="S299">
        <v>37</v>
      </c>
      <c r="T299" s="1" t="s">
        <v>13878</v>
      </c>
      <c r="U299" s="1" t="str">
        <f>HYPERLINK("http://ictvonline.org/taxonomy/p/taxonomy-history?taxnode_id=202100530","ICTVonline=202100530")</f>
        <v>ICTVonline=202100530</v>
      </c>
    </row>
    <row r="300" spans="1:21" x14ac:dyDescent="0.2">
      <c r="A300" s="3">
        <v>299</v>
      </c>
      <c r="B300" s="1" t="s">
        <v>4875</v>
      </c>
      <c r="D300" s="1" t="s">
        <v>4876</v>
      </c>
      <c r="F300" s="1" t="s">
        <v>4880</v>
      </c>
      <c r="H300" s="1" t="s">
        <v>4881</v>
      </c>
      <c r="L300" s="1" t="s">
        <v>3531</v>
      </c>
      <c r="M300" s="1" t="s">
        <v>3534</v>
      </c>
      <c r="N300" s="1" t="s">
        <v>4496</v>
      </c>
      <c r="P300" s="1" t="s">
        <v>8906</v>
      </c>
      <c r="Q300" s="30" t="s">
        <v>2565</v>
      </c>
      <c r="R300" s="33" t="s">
        <v>3473</v>
      </c>
      <c r="S300">
        <v>37</v>
      </c>
      <c r="T300" s="1" t="s">
        <v>13878</v>
      </c>
      <c r="U300" s="1" t="str">
        <f>HYPERLINK("http://ictvonline.org/taxonomy/p/taxonomy-history?taxnode_id=202100531","ICTVonline=202100531")</f>
        <v>ICTVonline=202100531</v>
      </c>
    </row>
    <row r="301" spans="1:21" x14ac:dyDescent="0.2">
      <c r="A301" s="3">
        <v>300</v>
      </c>
      <c r="B301" s="1" t="s">
        <v>4875</v>
      </c>
      <c r="D301" s="1" t="s">
        <v>4876</v>
      </c>
      <c r="F301" s="1" t="s">
        <v>4880</v>
      </c>
      <c r="H301" s="1" t="s">
        <v>4881</v>
      </c>
      <c r="L301" s="1" t="s">
        <v>3531</v>
      </c>
      <c r="M301" s="1" t="s">
        <v>3534</v>
      </c>
      <c r="N301" s="1" t="s">
        <v>4496</v>
      </c>
      <c r="P301" s="1" t="s">
        <v>8907</v>
      </c>
      <c r="Q301" s="30" t="s">
        <v>2565</v>
      </c>
      <c r="R301" s="33" t="s">
        <v>3473</v>
      </c>
      <c r="S301">
        <v>37</v>
      </c>
      <c r="T301" s="1" t="s">
        <v>13878</v>
      </c>
      <c r="U301" s="1" t="str">
        <f>HYPERLINK("http://ictvonline.org/taxonomy/p/taxonomy-history?taxnode_id=202108855","ICTVonline=202108855")</f>
        <v>ICTVonline=202108855</v>
      </c>
    </row>
    <row r="302" spans="1:21" x14ac:dyDescent="0.2">
      <c r="A302" s="3">
        <v>301</v>
      </c>
      <c r="B302" s="1" t="s">
        <v>4875</v>
      </c>
      <c r="D302" s="1" t="s">
        <v>4876</v>
      </c>
      <c r="F302" s="1" t="s">
        <v>4880</v>
      </c>
      <c r="H302" s="1" t="s">
        <v>4881</v>
      </c>
      <c r="L302" s="1" t="s">
        <v>3531</v>
      </c>
      <c r="M302" s="1" t="s">
        <v>3534</v>
      </c>
      <c r="N302" s="1" t="s">
        <v>4496</v>
      </c>
      <c r="P302" s="1" t="s">
        <v>8908</v>
      </c>
      <c r="Q302" s="30" t="s">
        <v>2565</v>
      </c>
      <c r="R302" s="33" t="s">
        <v>3473</v>
      </c>
      <c r="S302">
        <v>37</v>
      </c>
      <c r="T302" s="1" t="s">
        <v>13878</v>
      </c>
      <c r="U302" s="1" t="str">
        <f>HYPERLINK("http://ictvonline.org/taxonomy/p/taxonomy-history?taxnode_id=202108865","ICTVonline=202108865")</f>
        <v>ICTVonline=202108865</v>
      </c>
    </row>
    <row r="303" spans="1:21" x14ac:dyDescent="0.2">
      <c r="A303" s="3">
        <v>302</v>
      </c>
      <c r="B303" s="1" t="s">
        <v>4875</v>
      </c>
      <c r="D303" s="1" t="s">
        <v>4876</v>
      </c>
      <c r="F303" s="1" t="s">
        <v>4880</v>
      </c>
      <c r="H303" s="1" t="s">
        <v>4881</v>
      </c>
      <c r="L303" s="1" t="s">
        <v>3531</v>
      </c>
      <c r="M303" s="1" t="s">
        <v>3534</v>
      </c>
      <c r="N303" s="1" t="s">
        <v>4496</v>
      </c>
      <c r="P303" s="1" t="s">
        <v>8909</v>
      </c>
      <c r="Q303" s="30" t="s">
        <v>2565</v>
      </c>
      <c r="R303" s="33" t="s">
        <v>3473</v>
      </c>
      <c r="S303">
        <v>37</v>
      </c>
      <c r="T303" s="1" t="s">
        <v>13878</v>
      </c>
      <c r="U303" s="1" t="str">
        <f>HYPERLINK("http://ictvonline.org/taxonomy/p/taxonomy-history?taxnode_id=202100532","ICTVonline=202100532")</f>
        <v>ICTVonline=202100532</v>
      </c>
    </row>
    <row r="304" spans="1:21" x14ac:dyDescent="0.2">
      <c r="A304" s="3">
        <v>303</v>
      </c>
      <c r="B304" s="1" t="s">
        <v>4875</v>
      </c>
      <c r="D304" s="1" t="s">
        <v>4876</v>
      </c>
      <c r="F304" s="1" t="s">
        <v>4880</v>
      </c>
      <c r="H304" s="1" t="s">
        <v>4881</v>
      </c>
      <c r="L304" s="1" t="s">
        <v>3531</v>
      </c>
      <c r="M304" s="1" t="s">
        <v>3534</v>
      </c>
      <c r="N304" s="1" t="s">
        <v>4496</v>
      </c>
      <c r="P304" s="1" t="s">
        <v>8910</v>
      </c>
      <c r="Q304" s="30" t="s">
        <v>2565</v>
      </c>
      <c r="R304" s="33" t="s">
        <v>3473</v>
      </c>
      <c r="S304">
        <v>37</v>
      </c>
      <c r="T304" s="1" t="s">
        <v>13878</v>
      </c>
      <c r="U304" s="1" t="str">
        <f>HYPERLINK("http://ictvonline.org/taxonomy/p/taxonomy-history?taxnode_id=202108861","ICTVonline=202108861")</f>
        <v>ICTVonline=202108861</v>
      </c>
    </row>
    <row r="305" spans="1:21" x14ac:dyDescent="0.2">
      <c r="A305" s="3">
        <v>304</v>
      </c>
      <c r="B305" s="1" t="s">
        <v>4875</v>
      </c>
      <c r="D305" s="1" t="s">
        <v>4876</v>
      </c>
      <c r="F305" s="1" t="s">
        <v>4880</v>
      </c>
      <c r="H305" s="1" t="s">
        <v>4881</v>
      </c>
      <c r="L305" s="1" t="s">
        <v>3531</v>
      </c>
      <c r="M305" s="1" t="s">
        <v>3534</v>
      </c>
      <c r="N305" s="1" t="s">
        <v>4496</v>
      </c>
      <c r="P305" s="1" t="s">
        <v>8911</v>
      </c>
      <c r="Q305" s="30" t="s">
        <v>2565</v>
      </c>
      <c r="R305" s="33" t="s">
        <v>3473</v>
      </c>
      <c r="S305">
        <v>37</v>
      </c>
      <c r="T305" s="1" t="s">
        <v>13878</v>
      </c>
      <c r="U305" s="1" t="str">
        <f>HYPERLINK("http://ictvonline.org/taxonomy/p/taxonomy-history?taxnode_id=202100533","ICTVonline=202100533")</f>
        <v>ICTVonline=202100533</v>
      </c>
    </row>
    <row r="306" spans="1:21" x14ac:dyDescent="0.2">
      <c r="A306" s="3">
        <v>305</v>
      </c>
      <c r="B306" s="1" t="s">
        <v>4875</v>
      </c>
      <c r="D306" s="1" t="s">
        <v>4876</v>
      </c>
      <c r="F306" s="1" t="s">
        <v>4880</v>
      </c>
      <c r="H306" s="1" t="s">
        <v>4881</v>
      </c>
      <c r="L306" s="1" t="s">
        <v>3531</v>
      </c>
      <c r="N306" s="1" t="s">
        <v>5952</v>
      </c>
      <c r="P306" s="1" t="s">
        <v>8912</v>
      </c>
      <c r="Q306" s="30" t="s">
        <v>2565</v>
      </c>
      <c r="R306" s="33" t="s">
        <v>3473</v>
      </c>
      <c r="S306">
        <v>37</v>
      </c>
      <c r="T306" s="1" t="s">
        <v>13878</v>
      </c>
      <c r="U306" s="1" t="str">
        <f>HYPERLINK("http://ictvonline.org/taxonomy/p/taxonomy-history?taxnode_id=202108917","ICTVonline=202108917")</f>
        <v>ICTVonline=202108917</v>
      </c>
    </row>
    <row r="307" spans="1:21" x14ac:dyDescent="0.2">
      <c r="A307" s="3">
        <v>306</v>
      </c>
      <c r="B307" s="1" t="s">
        <v>4875</v>
      </c>
      <c r="D307" s="1" t="s">
        <v>4876</v>
      </c>
      <c r="F307" s="1" t="s">
        <v>4880</v>
      </c>
      <c r="H307" s="1" t="s">
        <v>4881</v>
      </c>
      <c r="L307" s="1" t="s">
        <v>3531</v>
      </c>
      <c r="N307" s="1" t="s">
        <v>5953</v>
      </c>
      <c r="P307" s="1" t="s">
        <v>8913</v>
      </c>
      <c r="Q307" s="30" t="s">
        <v>2565</v>
      </c>
      <c r="R307" s="33" t="s">
        <v>3473</v>
      </c>
      <c r="S307">
        <v>37</v>
      </c>
      <c r="T307" s="1" t="s">
        <v>13878</v>
      </c>
      <c r="U307" s="1" t="str">
        <f>HYPERLINK("http://ictvonline.org/taxonomy/p/taxonomy-history?taxnode_id=202108919","ICTVonline=202108919")</f>
        <v>ICTVonline=202108919</v>
      </c>
    </row>
    <row r="308" spans="1:21" x14ac:dyDescent="0.2">
      <c r="A308" s="3">
        <v>307</v>
      </c>
      <c r="B308" s="1" t="s">
        <v>4875</v>
      </c>
      <c r="D308" s="1" t="s">
        <v>4876</v>
      </c>
      <c r="F308" s="1" t="s">
        <v>4880</v>
      </c>
      <c r="H308" s="1" t="s">
        <v>4881</v>
      </c>
      <c r="L308" s="1" t="s">
        <v>3531</v>
      </c>
      <c r="N308" s="1" t="s">
        <v>5954</v>
      </c>
      <c r="P308" s="1" t="s">
        <v>8914</v>
      </c>
      <c r="Q308" s="30" t="s">
        <v>2565</v>
      </c>
      <c r="R308" s="33" t="s">
        <v>3473</v>
      </c>
      <c r="S308">
        <v>37</v>
      </c>
      <c r="T308" s="1" t="s">
        <v>13878</v>
      </c>
      <c r="U308" s="1" t="str">
        <f>HYPERLINK("http://ictvonline.org/taxonomy/p/taxonomy-history?taxnode_id=202108925","ICTVonline=202108925")</f>
        <v>ICTVonline=202108925</v>
      </c>
    </row>
    <row r="309" spans="1:21" x14ac:dyDescent="0.2">
      <c r="A309" s="3">
        <v>308</v>
      </c>
      <c r="B309" s="1" t="s">
        <v>4875</v>
      </c>
      <c r="D309" s="1" t="s">
        <v>4876</v>
      </c>
      <c r="F309" s="1" t="s">
        <v>4880</v>
      </c>
      <c r="H309" s="1" t="s">
        <v>4881</v>
      </c>
      <c r="L309" s="1" t="s">
        <v>3531</v>
      </c>
      <c r="N309" s="1" t="s">
        <v>5954</v>
      </c>
      <c r="P309" s="1" t="s">
        <v>8915</v>
      </c>
      <c r="Q309" s="30" t="s">
        <v>2565</v>
      </c>
      <c r="R309" s="33" t="s">
        <v>3473</v>
      </c>
      <c r="S309">
        <v>37</v>
      </c>
      <c r="T309" s="1" t="s">
        <v>13878</v>
      </c>
      <c r="U309" s="1" t="str">
        <f>HYPERLINK("http://ictvonline.org/taxonomy/p/taxonomy-history?taxnode_id=202105478","ICTVonline=202105478")</f>
        <v>ICTVonline=202105478</v>
      </c>
    </row>
    <row r="310" spans="1:21" x14ac:dyDescent="0.2">
      <c r="A310" s="3">
        <v>309</v>
      </c>
      <c r="B310" s="1" t="s">
        <v>4875</v>
      </c>
      <c r="D310" s="1" t="s">
        <v>4876</v>
      </c>
      <c r="F310" s="1" t="s">
        <v>4880</v>
      </c>
      <c r="H310" s="1" t="s">
        <v>4881</v>
      </c>
      <c r="L310" s="1" t="s">
        <v>3531</v>
      </c>
      <c r="N310" s="1" t="s">
        <v>5955</v>
      </c>
      <c r="P310" s="1" t="s">
        <v>8916</v>
      </c>
      <c r="Q310" s="30" t="s">
        <v>2565</v>
      </c>
      <c r="R310" s="33" t="s">
        <v>3473</v>
      </c>
      <c r="S310">
        <v>37</v>
      </c>
      <c r="T310" s="1" t="s">
        <v>13878</v>
      </c>
      <c r="U310" s="1" t="str">
        <f>HYPERLINK("http://ictvonline.org/taxonomy/p/taxonomy-history?taxnode_id=202108923","ICTVonline=202108923")</f>
        <v>ICTVonline=202108923</v>
      </c>
    </row>
    <row r="311" spans="1:21" x14ac:dyDescent="0.2">
      <c r="A311" s="3">
        <v>310</v>
      </c>
      <c r="B311" s="1" t="s">
        <v>4875</v>
      </c>
      <c r="D311" s="1" t="s">
        <v>4876</v>
      </c>
      <c r="F311" s="1" t="s">
        <v>4880</v>
      </c>
      <c r="H311" s="1" t="s">
        <v>4881</v>
      </c>
      <c r="L311" s="1" t="s">
        <v>3531</v>
      </c>
      <c r="N311" s="1" t="s">
        <v>5955</v>
      </c>
      <c r="P311" s="1" t="s">
        <v>8917</v>
      </c>
      <c r="Q311" s="30" t="s">
        <v>2565</v>
      </c>
      <c r="R311" s="33" t="s">
        <v>3473</v>
      </c>
      <c r="S311">
        <v>37</v>
      </c>
      <c r="T311" s="1" t="s">
        <v>13878</v>
      </c>
      <c r="U311" s="1" t="str">
        <f>HYPERLINK("http://ictvonline.org/taxonomy/p/taxonomy-history?taxnode_id=202105475","ICTVonline=202105475")</f>
        <v>ICTVonline=202105475</v>
      </c>
    </row>
    <row r="312" spans="1:21" x14ac:dyDescent="0.2">
      <c r="A312" s="3">
        <v>311</v>
      </c>
      <c r="B312" s="1" t="s">
        <v>4875</v>
      </c>
      <c r="D312" s="1" t="s">
        <v>4876</v>
      </c>
      <c r="F312" s="1" t="s">
        <v>4880</v>
      </c>
      <c r="H312" s="1" t="s">
        <v>4881</v>
      </c>
      <c r="L312" s="1" t="s">
        <v>3531</v>
      </c>
      <c r="N312" s="1" t="s">
        <v>4882</v>
      </c>
      <c r="P312" s="1" t="s">
        <v>8918</v>
      </c>
      <c r="Q312" s="30" t="s">
        <v>2565</v>
      </c>
      <c r="R312" s="33" t="s">
        <v>3473</v>
      </c>
      <c r="S312">
        <v>37</v>
      </c>
      <c r="T312" s="1" t="s">
        <v>13878</v>
      </c>
      <c r="U312" s="1" t="str">
        <f>HYPERLINK("http://ictvonline.org/taxonomy/p/taxonomy-history?taxnode_id=202105476","ICTVonline=202105476")</f>
        <v>ICTVonline=202105476</v>
      </c>
    </row>
    <row r="313" spans="1:21" x14ac:dyDescent="0.2">
      <c r="A313" s="3">
        <v>312</v>
      </c>
      <c r="B313" s="1" t="s">
        <v>4875</v>
      </c>
      <c r="D313" s="1" t="s">
        <v>4876</v>
      </c>
      <c r="F313" s="1" t="s">
        <v>4880</v>
      </c>
      <c r="H313" s="1" t="s">
        <v>4881</v>
      </c>
      <c r="L313" s="1" t="s">
        <v>3531</v>
      </c>
      <c r="N313" s="1" t="s">
        <v>4882</v>
      </c>
      <c r="P313" s="1" t="s">
        <v>8919</v>
      </c>
      <c r="Q313" s="30" t="s">
        <v>2565</v>
      </c>
      <c r="R313" s="33" t="s">
        <v>3473</v>
      </c>
      <c r="S313">
        <v>37</v>
      </c>
      <c r="T313" s="1" t="s">
        <v>13878</v>
      </c>
      <c r="U313" s="1" t="str">
        <f>HYPERLINK("http://ictvonline.org/taxonomy/p/taxonomy-history?taxnode_id=202105477","ICTVonline=202105477")</f>
        <v>ICTVonline=202105477</v>
      </c>
    </row>
    <row r="314" spans="1:21" x14ac:dyDescent="0.2">
      <c r="A314" s="3">
        <v>313</v>
      </c>
      <c r="B314" s="1" t="s">
        <v>4875</v>
      </c>
      <c r="D314" s="1" t="s">
        <v>4876</v>
      </c>
      <c r="F314" s="1" t="s">
        <v>4880</v>
      </c>
      <c r="H314" s="1" t="s">
        <v>4881</v>
      </c>
      <c r="L314" s="1" t="s">
        <v>3531</v>
      </c>
      <c r="N314" s="1" t="s">
        <v>4882</v>
      </c>
      <c r="P314" s="1" t="s">
        <v>8920</v>
      </c>
      <c r="Q314" s="30" t="s">
        <v>2565</v>
      </c>
      <c r="R314" s="33" t="s">
        <v>3473</v>
      </c>
      <c r="S314">
        <v>37</v>
      </c>
      <c r="T314" s="1" t="s">
        <v>13878</v>
      </c>
      <c r="U314" s="1" t="str">
        <f>HYPERLINK("http://ictvonline.org/taxonomy/p/taxonomy-history?taxnode_id=202108040","ICTVonline=202108040")</f>
        <v>ICTVonline=202108040</v>
      </c>
    </row>
    <row r="315" spans="1:21" x14ac:dyDescent="0.2">
      <c r="A315" s="3">
        <v>314</v>
      </c>
      <c r="B315" s="1" t="s">
        <v>4875</v>
      </c>
      <c r="D315" s="1" t="s">
        <v>4876</v>
      </c>
      <c r="F315" s="1" t="s">
        <v>4880</v>
      </c>
      <c r="H315" s="1" t="s">
        <v>4881</v>
      </c>
      <c r="L315" s="1" t="s">
        <v>3531</v>
      </c>
      <c r="N315" s="1" t="s">
        <v>4882</v>
      </c>
      <c r="P315" s="1" t="s">
        <v>8921</v>
      </c>
      <c r="Q315" s="30" t="s">
        <v>2565</v>
      </c>
      <c r="R315" s="33" t="s">
        <v>3473</v>
      </c>
      <c r="S315">
        <v>37</v>
      </c>
      <c r="T315" s="1" t="s">
        <v>13878</v>
      </c>
      <c r="U315" s="1" t="str">
        <f>HYPERLINK("http://ictvonline.org/taxonomy/p/taxonomy-history?taxnode_id=202108037","ICTVonline=202108037")</f>
        <v>ICTVonline=202108037</v>
      </c>
    </row>
    <row r="316" spans="1:21" x14ac:dyDescent="0.2">
      <c r="A316" s="3">
        <v>315</v>
      </c>
      <c r="B316" s="1" t="s">
        <v>4875</v>
      </c>
      <c r="D316" s="1" t="s">
        <v>4876</v>
      </c>
      <c r="F316" s="1" t="s">
        <v>4880</v>
      </c>
      <c r="H316" s="1" t="s">
        <v>4881</v>
      </c>
      <c r="L316" s="1" t="s">
        <v>3531</v>
      </c>
      <c r="N316" s="1" t="s">
        <v>4882</v>
      </c>
      <c r="P316" s="1" t="s">
        <v>8922</v>
      </c>
      <c r="Q316" s="30" t="s">
        <v>2565</v>
      </c>
      <c r="R316" s="33" t="s">
        <v>3473</v>
      </c>
      <c r="S316">
        <v>37</v>
      </c>
      <c r="T316" s="1" t="s">
        <v>13878</v>
      </c>
      <c r="U316" s="1" t="str">
        <f>HYPERLINK("http://ictvonline.org/taxonomy/p/taxonomy-history?taxnode_id=202108870","ICTVonline=202108870")</f>
        <v>ICTVonline=202108870</v>
      </c>
    </row>
    <row r="317" spans="1:21" x14ac:dyDescent="0.2">
      <c r="A317" s="3">
        <v>316</v>
      </c>
      <c r="B317" s="1" t="s">
        <v>4875</v>
      </c>
      <c r="D317" s="1" t="s">
        <v>4876</v>
      </c>
      <c r="F317" s="1" t="s">
        <v>4880</v>
      </c>
      <c r="H317" s="1" t="s">
        <v>4881</v>
      </c>
      <c r="L317" s="1" t="s">
        <v>3531</v>
      </c>
      <c r="N317" s="1" t="s">
        <v>4882</v>
      </c>
      <c r="P317" s="1" t="s">
        <v>8923</v>
      </c>
      <c r="Q317" s="30" t="s">
        <v>2565</v>
      </c>
      <c r="R317" s="33" t="s">
        <v>3473</v>
      </c>
      <c r="S317">
        <v>37</v>
      </c>
      <c r="T317" s="1" t="s">
        <v>13878</v>
      </c>
      <c r="U317" s="1" t="str">
        <f>HYPERLINK("http://ictvonline.org/taxonomy/p/taxonomy-history?taxnode_id=202108038","ICTVonline=202108038")</f>
        <v>ICTVonline=202108038</v>
      </c>
    </row>
    <row r="318" spans="1:21" x14ac:dyDescent="0.2">
      <c r="A318" s="3">
        <v>317</v>
      </c>
      <c r="B318" s="1" t="s">
        <v>4875</v>
      </c>
      <c r="D318" s="1" t="s">
        <v>4876</v>
      </c>
      <c r="F318" s="1" t="s">
        <v>4880</v>
      </c>
      <c r="H318" s="1" t="s">
        <v>4881</v>
      </c>
      <c r="L318" s="1" t="s">
        <v>3531</v>
      </c>
      <c r="N318" s="1" t="s">
        <v>4882</v>
      </c>
      <c r="P318" s="1" t="s">
        <v>8924</v>
      </c>
      <c r="Q318" s="30" t="s">
        <v>2565</v>
      </c>
      <c r="R318" s="33" t="s">
        <v>3473</v>
      </c>
      <c r="S318">
        <v>37</v>
      </c>
      <c r="T318" s="1" t="s">
        <v>13878</v>
      </c>
      <c r="U318" s="1" t="str">
        <f>HYPERLINK("http://ictvonline.org/taxonomy/p/taxonomy-history?taxnode_id=202108039","ICTVonline=202108039")</f>
        <v>ICTVonline=202108039</v>
      </c>
    </row>
    <row r="319" spans="1:21" x14ac:dyDescent="0.2">
      <c r="A319" s="3">
        <v>318</v>
      </c>
      <c r="B319" s="1" t="s">
        <v>4875</v>
      </c>
      <c r="D319" s="1" t="s">
        <v>4876</v>
      </c>
      <c r="F319" s="1" t="s">
        <v>4880</v>
      </c>
      <c r="H319" s="1" t="s">
        <v>4881</v>
      </c>
      <c r="L319" s="1" t="s">
        <v>3531</v>
      </c>
      <c r="N319" s="1" t="s">
        <v>4882</v>
      </c>
      <c r="P319" s="1" t="s">
        <v>8925</v>
      </c>
      <c r="Q319" s="30" t="s">
        <v>2565</v>
      </c>
      <c r="R319" s="33" t="s">
        <v>3473</v>
      </c>
      <c r="S319">
        <v>37</v>
      </c>
      <c r="T319" s="1" t="s">
        <v>13878</v>
      </c>
      <c r="U319" s="1" t="str">
        <f>HYPERLINK("http://ictvonline.org/taxonomy/p/taxonomy-history?taxnode_id=202108871","ICTVonline=202108871")</f>
        <v>ICTVonline=202108871</v>
      </c>
    </row>
    <row r="320" spans="1:21" x14ac:dyDescent="0.2">
      <c r="A320" s="3">
        <v>319</v>
      </c>
      <c r="B320" s="1" t="s">
        <v>4875</v>
      </c>
      <c r="D320" s="1" t="s">
        <v>4876</v>
      </c>
      <c r="F320" s="1" t="s">
        <v>4880</v>
      </c>
      <c r="H320" s="1" t="s">
        <v>4881</v>
      </c>
      <c r="L320" s="1" t="s">
        <v>3531</v>
      </c>
      <c r="N320" s="1" t="s">
        <v>5956</v>
      </c>
      <c r="P320" s="1" t="s">
        <v>8926</v>
      </c>
      <c r="Q320" s="30" t="s">
        <v>2565</v>
      </c>
      <c r="R320" s="33" t="s">
        <v>3473</v>
      </c>
      <c r="S320">
        <v>37</v>
      </c>
      <c r="T320" s="1" t="s">
        <v>13878</v>
      </c>
      <c r="U320" s="1" t="str">
        <f>HYPERLINK("http://ictvonline.org/taxonomy/p/taxonomy-history?taxnode_id=202108921","ICTVonline=202108921")</f>
        <v>ICTVonline=202108921</v>
      </c>
    </row>
    <row r="321" spans="1:21" x14ac:dyDescent="0.2">
      <c r="A321" s="3">
        <v>320</v>
      </c>
      <c r="B321" s="1" t="s">
        <v>4875</v>
      </c>
      <c r="D321" s="1" t="s">
        <v>4876</v>
      </c>
      <c r="F321" s="1" t="s">
        <v>4880</v>
      </c>
      <c r="H321" s="1" t="s">
        <v>4881</v>
      </c>
      <c r="L321" s="1" t="s">
        <v>3531</v>
      </c>
      <c r="N321" s="1" t="s">
        <v>5957</v>
      </c>
      <c r="P321" s="1" t="s">
        <v>8927</v>
      </c>
      <c r="Q321" s="30" t="s">
        <v>2565</v>
      </c>
      <c r="R321" s="33" t="s">
        <v>3473</v>
      </c>
      <c r="S321">
        <v>37</v>
      </c>
      <c r="T321" s="1" t="s">
        <v>13878</v>
      </c>
      <c r="U321" s="1" t="str">
        <f>HYPERLINK("http://ictvonline.org/taxonomy/p/taxonomy-history?taxnode_id=202108915","ICTVonline=202108915")</f>
        <v>ICTVonline=202108915</v>
      </c>
    </row>
    <row r="322" spans="1:21" x14ac:dyDescent="0.2">
      <c r="A322" s="3">
        <v>321</v>
      </c>
      <c r="B322" s="1" t="s">
        <v>4875</v>
      </c>
      <c r="D322" s="1" t="s">
        <v>4876</v>
      </c>
      <c r="F322" s="1" t="s">
        <v>4880</v>
      </c>
      <c r="H322" s="1" t="s">
        <v>4881</v>
      </c>
      <c r="L322" s="1" t="s">
        <v>8928</v>
      </c>
      <c r="N322" s="1" t="s">
        <v>8929</v>
      </c>
      <c r="P322" s="1" t="s">
        <v>8930</v>
      </c>
      <c r="Q322" s="30" t="s">
        <v>2565</v>
      </c>
      <c r="R322" s="33" t="s">
        <v>3472</v>
      </c>
      <c r="S322">
        <v>37</v>
      </c>
      <c r="T322" s="1" t="s">
        <v>13879</v>
      </c>
      <c r="U322" s="1" t="str">
        <f>HYPERLINK("http://ictvonline.org/taxonomy/p/taxonomy-history?taxnode_id=202113575","ICTVonline=202113575")</f>
        <v>ICTVonline=202113575</v>
      </c>
    </row>
    <row r="323" spans="1:21" x14ac:dyDescent="0.2">
      <c r="A323" s="3">
        <v>322</v>
      </c>
      <c r="B323" s="1" t="s">
        <v>4875</v>
      </c>
      <c r="D323" s="1" t="s">
        <v>4876</v>
      </c>
      <c r="F323" s="1" t="s">
        <v>4880</v>
      </c>
      <c r="H323" s="1" t="s">
        <v>4881</v>
      </c>
      <c r="L323" s="1" t="s">
        <v>8931</v>
      </c>
      <c r="N323" s="1" t="s">
        <v>8932</v>
      </c>
      <c r="P323" s="1" t="s">
        <v>8933</v>
      </c>
      <c r="Q323" s="30" t="s">
        <v>2565</v>
      </c>
      <c r="R323" s="33" t="s">
        <v>3472</v>
      </c>
      <c r="S323">
        <v>37</v>
      </c>
      <c r="T323" s="1" t="s">
        <v>13879</v>
      </c>
      <c r="U323" s="1" t="str">
        <f>HYPERLINK("http://ictvonline.org/taxonomy/p/taxonomy-history?taxnode_id=202113553","ICTVonline=202113553")</f>
        <v>ICTVonline=202113553</v>
      </c>
    </row>
    <row r="324" spans="1:21" x14ac:dyDescent="0.2">
      <c r="A324" s="3">
        <v>323</v>
      </c>
      <c r="B324" s="1" t="s">
        <v>4875</v>
      </c>
      <c r="D324" s="1" t="s">
        <v>4876</v>
      </c>
      <c r="F324" s="1" t="s">
        <v>4880</v>
      </c>
      <c r="H324" s="1" t="s">
        <v>4881</v>
      </c>
      <c r="L324" s="1" t="s">
        <v>8931</v>
      </c>
      <c r="N324" s="1" t="s">
        <v>8934</v>
      </c>
      <c r="P324" s="1" t="s">
        <v>8935</v>
      </c>
      <c r="Q324" s="30" t="s">
        <v>2565</v>
      </c>
      <c r="R324" s="33" t="s">
        <v>3472</v>
      </c>
      <c r="S324">
        <v>37</v>
      </c>
      <c r="T324" s="1" t="s">
        <v>13879</v>
      </c>
      <c r="U324" s="1" t="str">
        <f>HYPERLINK("http://ictvonline.org/taxonomy/p/taxonomy-history?taxnode_id=202113555","ICTVonline=202113555")</f>
        <v>ICTVonline=202113555</v>
      </c>
    </row>
    <row r="325" spans="1:21" x14ac:dyDescent="0.2">
      <c r="A325" s="3">
        <v>324</v>
      </c>
      <c r="B325" s="1" t="s">
        <v>4875</v>
      </c>
      <c r="D325" s="1" t="s">
        <v>4876</v>
      </c>
      <c r="F325" s="1" t="s">
        <v>4880</v>
      </c>
      <c r="H325" s="1" t="s">
        <v>4881</v>
      </c>
      <c r="L325" s="1" t="s">
        <v>8931</v>
      </c>
      <c r="N325" s="1" t="s">
        <v>8936</v>
      </c>
      <c r="P325" s="1" t="s">
        <v>8937</v>
      </c>
      <c r="Q325" s="30" t="s">
        <v>2565</v>
      </c>
      <c r="R325" s="33" t="s">
        <v>3472</v>
      </c>
      <c r="S325">
        <v>37</v>
      </c>
      <c r="T325" s="1" t="s">
        <v>13879</v>
      </c>
      <c r="U325" s="1" t="str">
        <f>HYPERLINK("http://ictvonline.org/taxonomy/p/taxonomy-history?taxnode_id=202113551","ICTVonline=202113551")</f>
        <v>ICTVonline=202113551</v>
      </c>
    </row>
    <row r="326" spans="1:21" x14ac:dyDescent="0.2">
      <c r="A326" s="3">
        <v>325</v>
      </c>
      <c r="B326" s="1" t="s">
        <v>4875</v>
      </c>
      <c r="D326" s="1" t="s">
        <v>4876</v>
      </c>
      <c r="F326" s="1" t="s">
        <v>4880</v>
      </c>
      <c r="H326" s="1" t="s">
        <v>4881</v>
      </c>
      <c r="L326" s="1" t="s">
        <v>4883</v>
      </c>
      <c r="M326" s="1" t="s">
        <v>4884</v>
      </c>
      <c r="N326" s="1" t="s">
        <v>4885</v>
      </c>
      <c r="P326" s="1" t="s">
        <v>8938</v>
      </c>
      <c r="Q326" s="30" t="s">
        <v>2565</v>
      </c>
      <c r="R326" s="33" t="s">
        <v>3473</v>
      </c>
      <c r="S326">
        <v>37</v>
      </c>
      <c r="T326" s="1" t="s">
        <v>13878</v>
      </c>
      <c r="U326" s="1" t="str">
        <f>HYPERLINK("http://ictvonline.org/taxonomy/p/taxonomy-history?taxnode_id=202108513","ICTVonline=202108513")</f>
        <v>ICTVonline=202108513</v>
      </c>
    </row>
    <row r="327" spans="1:21" x14ac:dyDescent="0.2">
      <c r="A327" s="3">
        <v>326</v>
      </c>
      <c r="B327" s="1" t="s">
        <v>4875</v>
      </c>
      <c r="D327" s="1" t="s">
        <v>4876</v>
      </c>
      <c r="F327" s="1" t="s">
        <v>4880</v>
      </c>
      <c r="H327" s="1" t="s">
        <v>4881</v>
      </c>
      <c r="L327" s="1" t="s">
        <v>4883</v>
      </c>
      <c r="M327" s="1" t="s">
        <v>4884</v>
      </c>
      <c r="N327" s="1" t="s">
        <v>4582</v>
      </c>
      <c r="P327" s="1" t="s">
        <v>8939</v>
      </c>
      <c r="Q327" s="30" t="s">
        <v>2565</v>
      </c>
      <c r="R327" s="33" t="s">
        <v>3473</v>
      </c>
      <c r="S327">
        <v>37</v>
      </c>
      <c r="T327" s="1" t="s">
        <v>13878</v>
      </c>
      <c r="U327" s="1" t="str">
        <f>HYPERLINK("http://ictvonline.org/taxonomy/p/taxonomy-history?taxnode_id=202100549","ICTVonline=202100549")</f>
        <v>ICTVonline=202100549</v>
      </c>
    </row>
    <row r="328" spans="1:21" x14ac:dyDescent="0.2">
      <c r="A328" s="3">
        <v>327</v>
      </c>
      <c r="B328" s="1" t="s">
        <v>4875</v>
      </c>
      <c r="D328" s="1" t="s">
        <v>4876</v>
      </c>
      <c r="F328" s="1" t="s">
        <v>4880</v>
      </c>
      <c r="H328" s="1" t="s">
        <v>4881</v>
      </c>
      <c r="L328" s="1" t="s">
        <v>4883</v>
      </c>
      <c r="M328" s="1" t="s">
        <v>4884</v>
      </c>
      <c r="N328" s="1" t="s">
        <v>4582</v>
      </c>
      <c r="P328" s="1" t="s">
        <v>8940</v>
      </c>
      <c r="Q328" s="30" t="s">
        <v>2565</v>
      </c>
      <c r="R328" s="33" t="s">
        <v>3473</v>
      </c>
      <c r="S328">
        <v>37</v>
      </c>
      <c r="T328" s="1" t="s">
        <v>13878</v>
      </c>
      <c r="U328" s="1" t="str">
        <f>HYPERLINK("http://ictvonline.org/taxonomy/p/taxonomy-history?taxnode_id=202100543","ICTVonline=202100543")</f>
        <v>ICTVonline=202100543</v>
      </c>
    </row>
    <row r="329" spans="1:21" x14ac:dyDescent="0.2">
      <c r="A329" s="3">
        <v>328</v>
      </c>
      <c r="B329" s="1" t="s">
        <v>4875</v>
      </c>
      <c r="D329" s="1" t="s">
        <v>4876</v>
      </c>
      <c r="F329" s="1" t="s">
        <v>4880</v>
      </c>
      <c r="H329" s="1" t="s">
        <v>4881</v>
      </c>
      <c r="L329" s="1" t="s">
        <v>4883</v>
      </c>
      <c r="M329" s="1" t="s">
        <v>4884</v>
      </c>
      <c r="N329" s="1" t="s">
        <v>4582</v>
      </c>
      <c r="P329" s="1" t="s">
        <v>8941</v>
      </c>
      <c r="Q329" s="30" t="s">
        <v>2565</v>
      </c>
      <c r="R329" s="33" t="s">
        <v>3473</v>
      </c>
      <c r="S329">
        <v>37</v>
      </c>
      <c r="T329" s="1" t="s">
        <v>13878</v>
      </c>
      <c r="U329" s="1" t="str">
        <f>HYPERLINK("http://ictvonline.org/taxonomy/p/taxonomy-history?taxnode_id=202106913","ICTVonline=202106913")</f>
        <v>ICTVonline=202106913</v>
      </c>
    </row>
    <row r="330" spans="1:21" x14ac:dyDescent="0.2">
      <c r="A330" s="3">
        <v>329</v>
      </c>
      <c r="B330" s="1" t="s">
        <v>4875</v>
      </c>
      <c r="D330" s="1" t="s">
        <v>4876</v>
      </c>
      <c r="F330" s="1" t="s">
        <v>4880</v>
      </c>
      <c r="H330" s="1" t="s">
        <v>4881</v>
      </c>
      <c r="L330" s="1" t="s">
        <v>4883</v>
      </c>
      <c r="M330" s="1" t="s">
        <v>4884</v>
      </c>
      <c r="N330" s="1" t="s">
        <v>4582</v>
      </c>
      <c r="P330" s="1" t="s">
        <v>8942</v>
      </c>
      <c r="Q330" s="30" t="s">
        <v>2565</v>
      </c>
      <c r="R330" s="33" t="s">
        <v>3473</v>
      </c>
      <c r="S330">
        <v>37</v>
      </c>
      <c r="T330" s="1" t="s">
        <v>13878</v>
      </c>
      <c r="U330" s="1" t="str">
        <f>HYPERLINK("http://ictvonline.org/taxonomy/p/taxonomy-history?taxnode_id=202108507","ICTVonline=202108507")</f>
        <v>ICTVonline=202108507</v>
      </c>
    </row>
    <row r="331" spans="1:21" x14ac:dyDescent="0.2">
      <c r="A331" s="3">
        <v>330</v>
      </c>
      <c r="B331" s="1" t="s">
        <v>4875</v>
      </c>
      <c r="D331" s="1" t="s">
        <v>4876</v>
      </c>
      <c r="F331" s="1" t="s">
        <v>4880</v>
      </c>
      <c r="H331" s="1" t="s">
        <v>4881</v>
      </c>
      <c r="L331" s="1" t="s">
        <v>4883</v>
      </c>
      <c r="M331" s="1" t="s">
        <v>4884</v>
      </c>
      <c r="N331" s="1" t="s">
        <v>4582</v>
      </c>
      <c r="P331" s="1" t="s">
        <v>8943</v>
      </c>
      <c r="Q331" s="30" t="s">
        <v>2565</v>
      </c>
      <c r="R331" s="33" t="s">
        <v>3473</v>
      </c>
      <c r="S331">
        <v>37</v>
      </c>
      <c r="T331" s="1" t="s">
        <v>13878</v>
      </c>
      <c r="U331" s="1" t="str">
        <f>HYPERLINK("http://ictvonline.org/taxonomy/p/taxonomy-history?taxnode_id=202100544","ICTVonline=202100544")</f>
        <v>ICTVonline=202100544</v>
      </c>
    </row>
    <row r="332" spans="1:21" x14ac:dyDescent="0.2">
      <c r="A332" s="3">
        <v>331</v>
      </c>
      <c r="B332" s="1" t="s">
        <v>4875</v>
      </c>
      <c r="D332" s="1" t="s">
        <v>4876</v>
      </c>
      <c r="F332" s="1" t="s">
        <v>4880</v>
      </c>
      <c r="H332" s="1" t="s">
        <v>4881</v>
      </c>
      <c r="L332" s="1" t="s">
        <v>4883</v>
      </c>
      <c r="M332" s="1" t="s">
        <v>4884</v>
      </c>
      <c r="N332" s="1" t="s">
        <v>4582</v>
      </c>
      <c r="P332" s="1" t="s">
        <v>8944</v>
      </c>
      <c r="Q332" s="30" t="s">
        <v>2565</v>
      </c>
      <c r="R332" s="33" t="s">
        <v>3473</v>
      </c>
      <c r="S332">
        <v>37</v>
      </c>
      <c r="T332" s="1" t="s">
        <v>13878</v>
      </c>
      <c r="U332" s="1" t="str">
        <f>HYPERLINK("http://ictvonline.org/taxonomy/p/taxonomy-history?taxnode_id=202108506","ICTVonline=202108506")</f>
        <v>ICTVonline=202108506</v>
      </c>
    </row>
    <row r="333" spans="1:21" x14ac:dyDescent="0.2">
      <c r="A333" s="3">
        <v>332</v>
      </c>
      <c r="B333" s="1" t="s">
        <v>4875</v>
      </c>
      <c r="D333" s="1" t="s">
        <v>4876</v>
      </c>
      <c r="F333" s="1" t="s">
        <v>4880</v>
      </c>
      <c r="H333" s="1" t="s">
        <v>4881</v>
      </c>
      <c r="L333" s="1" t="s">
        <v>4883</v>
      </c>
      <c r="M333" s="1" t="s">
        <v>4884</v>
      </c>
      <c r="N333" s="1" t="s">
        <v>4582</v>
      </c>
      <c r="P333" s="1" t="s">
        <v>8945</v>
      </c>
      <c r="Q333" s="30" t="s">
        <v>2565</v>
      </c>
      <c r="R333" s="33" t="s">
        <v>3473</v>
      </c>
      <c r="S333">
        <v>37</v>
      </c>
      <c r="T333" s="1" t="s">
        <v>13878</v>
      </c>
      <c r="U333" s="1" t="str">
        <f>HYPERLINK("http://ictvonline.org/taxonomy/p/taxonomy-history?taxnode_id=202108505","ICTVonline=202108505")</f>
        <v>ICTVonline=202108505</v>
      </c>
    </row>
    <row r="334" spans="1:21" x14ac:dyDescent="0.2">
      <c r="A334" s="3">
        <v>333</v>
      </c>
      <c r="B334" s="1" t="s">
        <v>4875</v>
      </c>
      <c r="D334" s="1" t="s">
        <v>4876</v>
      </c>
      <c r="F334" s="1" t="s">
        <v>4880</v>
      </c>
      <c r="H334" s="1" t="s">
        <v>4881</v>
      </c>
      <c r="L334" s="1" t="s">
        <v>4883</v>
      </c>
      <c r="M334" s="1" t="s">
        <v>4884</v>
      </c>
      <c r="N334" s="1" t="s">
        <v>4582</v>
      </c>
      <c r="P334" s="1" t="s">
        <v>8946</v>
      </c>
      <c r="Q334" s="30" t="s">
        <v>2565</v>
      </c>
      <c r="R334" s="33" t="s">
        <v>3473</v>
      </c>
      <c r="S334">
        <v>37</v>
      </c>
      <c r="T334" s="1" t="s">
        <v>13878</v>
      </c>
      <c r="U334" s="1" t="str">
        <f>HYPERLINK("http://ictvonline.org/taxonomy/p/taxonomy-history?taxnode_id=202106909","ICTVonline=202106909")</f>
        <v>ICTVonline=202106909</v>
      </c>
    </row>
    <row r="335" spans="1:21" x14ac:dyDescent="0.2">
      <c r="A335" s="3">
        <v>334</v>
      </c>
      <c r="B335" s="1" t="s">
        <v>4875</v>
      </c>
      <c r="D335" s="1" t="s">
        <v>4876</v>
      </c>
      <c r="F335" s="1" t="s">
        <v>4880</v>
      </c>
      <c r="H335" s="1" t="s">
        <v>4881</v>
      </c>
      <c r="L335" s="1" t="s">
        <v>4883</v>
      </c>
      <c r="M335" s="1" t="s">
        <v>4884</v>
      </c>
      <c r="N335" s="1" t="s">
        <v>4582</v>
      </c>
      <c r="P335" s="1" t="s">
        <v>8947</v>
      </c>
      <c r="Q335" s="30" t="s">
        <v>2565</v>
      </c>
      <c r="R335" s="33" t="s">
        <v>3473</v>
      </c>
      <c r="S335">
        <v>37</v>
      </c>
      <c r="T335" s="1" t="s">
        <v>13878</v>
      </c>
      <c r="U335" s="1" t="str">
        <f>HYPERLINK("http://ictvonline.org/taxonomy/p/taxonomy-history?taxnode_id=202106910","ICTVonline=202106910")</f>
        <v>ICTVonline=202106910</v>
      </c>
    </row>
    <row r="336" spans="1:21" x14ac:dyDescent="0.2">
      <c r="A336" s="3">
        <v>335</v>
      </c>
      <c r="B336" s="1" t="s">
        <v>4875</v>
      </c>
      <c r="D336" s="1" t="s">
        <v>4876</v>
      </c>
      <c r="F336" s="1" t="s">
        <v>4880</v>
      </c>
      <c r="H336" s="1" t="s">
        <v>4881</v>
      </c>
      <c r="L336" s="1" t="s">
        <v>4883</v>
      </c>
      <c r="M336" s="1" t="s">
        <v>4884</v>
      </c>
      <c r="N336" s="1" t="s">
        <v>4582</v>
      </c>
      <c r="P336" s="1" t="s">
        <v>8948</v>
      </c>
      <c r="Q336" s="30" t="s">
        <v>2565</v>
      </c>
      <c r="R336" s="33" t="s">
        <v>3473</v>
      </c>
      <c r="S336">
        <v>37</v>
      </c>
      <c r="T336" s="1" t="s">
        <v>13878</v>
      </c>
      <c r="U336" s="1" t="str">
        <f>HYPERLINK("http://ictvonline.org/taxonomy/p/taxonomy-history?taxnode_id=202106903","ICTVonline=202106903")</f>
        <v>ICTVonline=202106903</v>
      </c>
    </row>
    <row r="337" spans="1:21" x14ac:dyDescent="0.2">
      <c r="A337" s="3">
        <v>336</v>
      </c>
      <c r="B337" s="1" t="s">
        <v>4875</v>
      </c>
      <c r="D337" s="1" t="s">
        <v>4876</v>
      </c>
      <c r="F337" s="1" t="s">
        <v>4880</v>
      </c>
      <c r="H337" s="1" t="s">
        <v>4881</v>
      </c>
      <c r="L337" s="1" t="s">
        <v>4883</v>
      </c>
      <c r="M337" s="1" t="s">
        <v>4884</v>
      </c>
      <c r="N337" s="1" t="s">
        <v>4582</v>
      </c>
      <c r="P337" s="1" t="s">
        <v>8949</v>
      </c>
      <c r="Q337" s="30" t="s">
        <v>2565</v>
      </c>
      <c r="R337" s="33" t="s">
        <v>3473</v>
      </c>
      <c r="S337">
        <v>37</v>
      </c>
      <c r="T337" s="1" t="s">
        <v>13878</v>
      </c>
      <c r="U337" s="1" t="str">
        <f>HYPERLINK("http://ictvonline.org/taxonomy/p/taxonomy-history?taxnode_id=202106904","ICTVonline=202106904")</f>
        <v>ICTVonline=202106904</v>
      </c>
    </row>
    <row r="338" spans="1:21" x14ac:dyDescent="0.2">
      <c r="A338" s="3">
        <v>337</v>
      </c>
      <c r="B338" s="1" t="s">
        <v>4875</v>
      </c>
      <c r="D338" s="1" t="s">
        <v>4876</v>
      </c>
      <c r="F338" s="1" t="s">
        <v>4880</v>
      </c>
      <c r="H338" s="1" t="s">
        <v>4881</v>
      </c>
      <c r="L338" s="1" t="s">
        <v>4883</v>
      </c>
      <c r="M338" s="1" t="s">
        <v>4884</v>
      </c>
      <c r="N338" s="1" t="s">
        <v>4582</v>
      </c>
      <c r="P338" s="1" t="s">
        <v>8950</v>
      </c>
      <c r="Q338" s="30" t="s">
        <v>2565</v>
      </c>
      <c r="R338" s="33" t="s">
        <v>3473</v>
      </c>
      <c r="S338">
        <v>37</v>
      </c>
      <c r="T338" s="1" t="s">
        <v>13878</v>
      </c>
      <c r="U338" s="1" t="str">
        <f>HYPERLINK("http://ictvonline.org/taxonomy/p/taxonomy-history?taxnode_id=202106905","ICTVonline=202106905")</f>
        <v>ICTVonline=202106905</v>
      </c>
    </row>
    <row r="339" spans="1:21" x14ac:dyDescent="0.2">
      <c r="A339" s="3">
        <v>338</v>
      </c>
      <c r="B339" s="1" t="s">
        <v>4875</v>
      </c>
      <c r="D339" s="1" t="s">
        <v>4876</v>
      </c>
      <c r="F339" s="1" t="s">
        <v>4880</v>
      </c>
      <c r="H339" s="1" t="s">
        <v>4881</v>
      </c>
      <c r="L339" s="1" t="s">
        <v>4883</v>
      </c>
      <c r="M339" s="1" t="s">
        <v>4884</v>
      </c>
      <c r="N339" s="1" t="s">
        <v>4582</v>
      </c>
      <c r="P339" s="1" t="s">
        <v>8951</v>
      </c>
      <c r="Q339" s="30" t="s">
        <v>2565</v>
      </c>
      <c r="R339" s="33" t="s">
        <v>3473</v>
      </c>
      <c r="S339">
        <v>37</v>
      </c>
      <c r="T339" s="1" t="s">
        <v>13878</v>
      </c>
      <c r="U339" s="1" t="str">
        <f>HYPERLINK("http://ictvonline.org/taxonomy/p/taxonomy-history?taxnode_id=202106912","ICTVonline=202106912")</f>
        <v>ICTVonline=202106912</v>
      </c>
    </row>
    <row r="340" spans="1:21" x14ac:dyDescent="0.2">
      <c r="A340" s="3">
        <v>339</v>
      </c>
      <c r="B340" s="1" t="s">
        <v>4875</v>
      </c>
      <c r="D340" s="1" t="s">
        <v>4876</v>
      </c>
      <c r="F340" s="1" t="s">
        <v>4880</v>
      </c>
      <c r="H340" s="1" t="s">
        <v>4881</v>
      </c>
      <c r="L340" s="1" t="s">
        <v>4883</v>
      </c>
      <c r="M340" s="1" t="s">
        <v>4884</v>
      </c>
      <c r="N340" s="1" t="s">
        <v>4582</v>
      </c>
      <c r="P340" s="1" t="s">
        <v>8952</v>
      </c>
      <c r="Q340" s="30" t="s">
        <v>2565</v>
      </c>
      <c r="R340" s="33" t="s">
        <v>3473</v>
      </c>
      <c r="S340">
        <v>37</v>
      </c>
      <c r="T340" s="1" t="s">
        <v>13878</v>
      </c>
      <c r="U340" s="1" t="str">
        <f>HYPERLINK("http://ictvonline.org/taxonomy/p/taxonomy-history?taxnode_id=202100545","ICTVonline=202100545")</f>
        <v>ICTVonline=202100545</v>
      </c>
    </row>
    <row r="341" spans="1:21" x14ac:dyDescent="0.2">
      <c r="A341" s="3">
        <v>340</v>
      </c>
      <c r="B341" s="1" t="s">
        <v>4875</v>
      </c>
      <c r="D341" s="1" t="s">
        <v>4876</v>
      </c>
      <c r="F341" s="1" t="s">
        <v>4880</v>
      </c>
      <c r="H341" s="1" t="s">
        <v>4881</v>
      </c>
      <c r="L341" s="1" t="s">
        <v>4883</v>
      </c>
      <c r="M341" s="1" t="s">
        <v>4884</v>
      </c>
      <c r="N341" s="1" t="s">
        <v>4582</v>
      </c>
      <c r="P341" s="1" t="s">
        <v>8953</v>
      </c>
      <c r="Q341" s="30" t="s">
        <v>2565</v>
      </c>
      <c r="R341" s="33" t="s">
        <v>3473</v>
      </c>
      <c r="S341">
        <v>37</v>
      </c>
      <c r="T341" s="1" t="s">
        <v>13878</v>
      </c>
      <c r="U341" s="1" t="str">
        <f>HYPERLINK("http://ictvonline.org/taxonomy/p/taxonomy-history?taxnode_id=202106911","ICTVonline=202106911")</f>
        <v>ICTVonline=202106911</v>
      </c>
    </row>
    <row r="342" spans="1:21" x14ac:dyDescent="0.2">
      <c r="A342" s="3">
        <v>341</v>
      </c>
      <c r="B342" s="1" t="s">
        <v>4875</v>
      </c>
      <c r="D342" s="1" t="s">
        <v>4876</v>
      </c>
      <c r="F342" s="1" t="s">
        <v>4880</v>
      </c>
      <c r="H342" s="1" t="s">
        <v>4881</v>
      </c>
      <c r="L342" s="1" t="s">
        <v>4883</v>
      </c>
      <c r="M342" s="1" t="s">
        <v>4884</v>
      </c>
      <c r="N342" s="1" t="s">
        <v>4582</v>
      </c>
      <c r="P342" s="1" t="s">
        <v>8954</v>
      </c>
      <c r="Q342" s="30" t="s">
        <v>2565</v>
      </c>
      <c r="R342" s="33" t="s">
        <v>3473</v>
      </c>
      <c r="S342">
        <v>37</v>
      </c>
      <c r="T342" s="1" t="s">
        <v>13878</v>
      </c>
      <c r="U342" s="1" t="str">
        <f>HYPERLINK("http://ictvonline.org/taxonomy/p/taxonomy-history?taxnode_id=202100546","ICTVonline=202100546")</f>
        <v>ICTVonline=202100546</v>
      </c>
    </row>
    <row r="343" spans="1:21" x14ac:dyDescent="0.2">
      <c r="A343" s="3">
        <v>342</v>
      </c>
      <c r="B343" s="1" t="s">
        <v>4875</v>
      </c>
      <c r="D343" s="1" t="s">
        <v>4876</v>
      </c>
      <c r="F343" s="1" t="s">
        <v>4880</v>
      </c>
      <c r="H343" s="1" t="s">
        <v>4881</v>
      </c>
      <c r="L343" s="1" t="s">
        <v>4883</v>
      </c>
      <c r="M343" s="1" t="s">
        <v>4884</v>
      </c>
      <c r="N343" s="1" t="s">
        <v>4582</v>
      </c>
      <c r="P343" s="1" t="s">
        <v>8955</v>
      </c>
      <c r="Q343" s="30" t="s">
        <v>2565</v>
      </c>
      <c r="R343" s="33" t="s">
        <v>3473</v>
      </c>
      <c r="S343">
        <v>37</v>
      </c>
      <c r="T343" s="1" t="s">
        <v>13878</v>
      </c>
      <c r="U343" s="1" t="str">
        <f>HYPERLINK("http://ictvonline.org/taxonomy/p/taxonomy-history?taxnode_id=202106906","ICTVonline=202106906")</f>
        <v>ICTVonline=202106906</v>
      </c>
    </row>
    <row r="344" spans="1:21" x14ac:dyDescent="0.2">
      <c r="A344" s="3">
        <v>343</v>
      </c>
      <c r="B344" s="1" t="s">
        <v>4875</v>
      </c>
      <c r="D344" s="1" t="s">
        <v>4876</v>
      </c>
      <c r="F344" s="1" t="s">
        <v>4880</v>
      </c>
      <c r="H344" s="1" t="s">
        <v>4881</v>
      </c>
      <c r="L344" s="1" t="s">
        <v>4883</v>
      </c>
      <c r="M344" s="1" t="s">
        <v>4884</v>
      </c>
      <c r="N344" s="1" t="s">
        <v>4582</v>
      </c>
      <c r="P344" s="1" t="s">
        <v>8956</v>
      </c>
      <c r="Q344" s="30" t="s">
        <v>2565</v>
      </c>
      <c r="R344" s="33" t="s">
        <v>3473</v>
      </c>
      <c r="S344">
        <v>37</v>
      </c>
      <c r="T344" s="1" t="s">
        <v>13878</v>
      </c>
      <c r="U344" s="1" t="str">
        <f>HYPERLINK("http://ictvonline.org/taxonomy/p/taxonomy-history?taxnode_id=202106907","ICTVonline=202106907")</f>
        <v>ICTVonline=202106907</v>
      </c>
    </row>
    <row r="345" spans="1:21" x14ac:dyDescent="0.2">
      <c r="A345" s="3">
        <v>344</v>
      </c>
      <c r="B345" s="1" t="s">
        <v>4875</v>
      </c>
      <c r="D345" s="1" t="s">
        <v>4876</v>
      </c>
      <c r="F345" s="1" t="s">
        <v>4880</v>
      </c>
      <c r="H345" s="1" t="s">
        <v>4881</v>
      </c>
      <c r="L345" s="1" t="s">
        <v>4883</v>
      </c>
      <c r="M345" s="1" t="s">
        <v>4884</v>
      </c>
      <c r="N345" s="1" t="s">
        <v>4582</v>
      </c>
      <c r="P345" s="1" t="s">
        <v>8957</v>
      </c>
      <c r="Q345" s="30" t="s">
        <v>2565</v>
      </c>
      <c r="R345" s="33" t="s">
        <v>3473</v>
      </c>
      <c r="S345">
        <v>37</v>
      </c>
      <c r="T345" s="1" t="s">
        <v>13878</v>
      </c>
      <c r="U345" s="1" t="str">
        <f>HYPERLINK("http://ictvonline.org/taxonomy/p/taxonomy-history?taxnode_id=202100547","ICTVonline=202100547")</f>
        <v>ICTVonline=202100547</v>
      </c>
    </row>
    <row r="346" spans="1:21" x14ac:dyDescent="0.2">
      <c r="A346" s="3">
        <v>345</v>
      </c>
      <c r="B346" s="1" t="s">
        <v>4875</v>
      </c>
      <c r="D346" s="1" t="s">
        <v>4876</v>
      </c>
      <c r="F346" s="1" t="s">
        <v>4880</v>
      </c>
      <c r="H346" s="1" t="s">
        <v>4881</v>
      </c>
      <c r="L346" s="1" t="s">
        <v>4883</v>
      </c>
      <c r="M346" s="1" t="s">
        <v>4884</v>
      </c>
      <c r="N346" s="1" t="s">
        <v>4582</v>
      </c>
      <c r="P346" s="1" t="s">
        <v>8958</v>
      </c>
      <c r="Q346" s="30" t="s">
        <v>2565</v>
      </c>
      <c r="R346" s="33" t="s">
        <v>3473</v>
      </c>
      <c r="S346">
        <v>37</v>
      </c>
      <c r="T346" s="1" t="s">
        <v>13878</v>
      </c>
      <c r="U346" s="1" t="str">
        <f>HYPERLINK("http://ictvonline.org/taxonomy/p/taxonomy-history?taxnode_id=202100548","ICTVonline=202100548")</f>
        <v>ICTVonline=202100548</v>
      </c>
    </row>
    <row r="347" spans="1:21" x14ac:dyDescent="0.2">
      <c r="A347" s="3">
        <v>346</v>
      </c>
      <c r="B347" s="1" t="s">
        <v>4875</v>
      </c>
      <c r="D347" s="1" t="s">
        <v>4876</v>
      </c>
      <c r="F347" s="1" t="s">
        <v>4880</v>
      </c>
      <c r="H347" s="1" t="s">
        <v>4881</v>
      </c>
      <c r="L347" s="1" t="s">
        <v>4883</v>
      </c>
      <c r="M347" s="1" t="s">
        <v>4884</v>
      </c>
      <c r="N347" s="1" t="s">
        <v>4582</v>
      </c>
      <c r="P347" s="1" t="s">
        <v>8959</v>
      </c>
      <c r="Q347" s="30" t="s">
        <v>2565</v>
      </c>
      <c r="R347" s="33" t="s">
        <v>3473</v>
      </c>
      <c r="S347">
        <v>37</v>
      </c>
      <c r="T347" s="1" t="s">
        <v>13878</v>
      </c>
      <c r="U347" s="1" t="str">
        <f>HYPERLINK("http://ictvonline.org/taxonomy/p/taxonomy-history?taxnode_id=202108508","ICTVonline=202108508")</f>
        <v>ICTVonline=202108508</v>
      </c>
    </row>
    <row r="348" spans="1:21" x14ac:dyDescent="0.2">
      <c r="A348" s="3">
        <v>347</v>
      </c>
      <c r="B348" s="1" t="s">
        <v>4875</v>
      </c>
      <c r="D348" s="1" t="s">
        <v>4876</v>
      </c>
      <c r="F348" s="1" t="s">
        <v>4880</v>
      </c>
      <c r="H348" s="1" t="s">
        <v>4881</v>
      </c>
      <c r="L348" s="1" t="s">
        <v>4883</v>
      </c>
      <c r="M348" s="1" t="s">
        <v>4884</v>
      </c>
      <c r="N348" s="1" t="s">
        <v>4582</v>
      </c>
      <c r="P348" s="1" t="s">
        <v>8960</v>
      </c>
      <c r="Q348" s="30" t="s">
        <v>2565</v>
      </c>
      <c r="R348" s="33" t="s">
        <v>3473</v>
      </c>
      <c r="S348">
        <v>37</v>
      </c>
      <c r="T348" s="1" t="s">
        <v>13878</v>
      </c>
      <c r="U348" s="1" t="str">
        <f>HYPERLINK("http://ictvonline.org/taxonomy/p/taxonomy-history?taxnode_id=202108509","ICTVonline=202108509")</f>
        <v>ICTVonline=202108509</v>
      </c>
    </row>
    <row r="349" spans="1:21" x14ac:dyDescent="0.2">
      <c r="A349" s="3">
        <v>348</v>
      </c>
      <c r="B349" s="1" t="s">
        <v>4875</v>
      </c>
      <c r="D349" s="1" t="s">
        <v>4876</v>
      </c>
      <c r="F349" s="1" t="s">
        <v>4880</v>
      </c>
      <c r="H349" s="1" t="s">
        <v>4881</v>
      </c>
      <c r="L349" s="1" t="s">
        <v>4883</v>
      </c>
      <c r="M349" s="1" t="s">
        <v>4884</v>
      </c>
      <c r="N349" s="1" t="s">
        <v>4582</v>
      </c>
      <c r="P349" s="1" t="s">
        <v>8961</v>
      </c>
      <c r="Q349" s="30" t="s">
        <v>2565</v>
      </c>
      <c r="R349" s="33" t="s">
        <v>3473</v>
      </c>
      <c r="S349">
        <v>37</v>
      </c>
      <c r="T349" s="1" t="s">
        <v>13878</v>
      </c>
      <c r="U349" s="1" t="str">
        <f>HYPERLINK("http://ictvonline.org/taxonomy/p/taxonomy-history?taxnode_id=202106908","ICTVonline=202106908")</f>
        <v>ICTVonline=202106908</v>
      </c>
    </row>
    <row r="350" spans="1:21" x14ac:dyDescent="0.2">
      <c r="A350" s="3">
        <v>349</v>
      </c>
      <c r="B350" s="1" t="s">
        <v>4875</v>
      </c>
      <c r="D350" s="1" t="s">
        <v>4876</v>
      </c>
      <c r="F350" s="1" t="s">
        <v>4880</v>
      </c>
      <c r="H350" s="1" t="s">
        <v>4881</v>
      </c>
      <c r="L350" s="1" t="s">
        <v>4883</v>
      </c>
      <c r="M350" s="1" t="s">
        <v>4884</v>
      </c>
      <c r="N350" s="1" t="s">
        <v>4886</v>
      </c>
      <c r="P350" s="1" t="s">
        <v>8962</v>
      </c>
      <c r="Q350" s="30" t="s">
        <v>2565</v>
      </c>
      <c r="R350" s="33" t="s">
        <v>3473</v>
      </c>
      <c r="S350">
        <v>37</v>
      </c>
      <c r="T350" s="1" t="s">
        <v>13878</v>
      </c>
      <c r="U350" s="1" t="str">
        <f>HYPERLINK("http://ictvonline.org/taxonomy/p/taxonomy-history?taxnode_id=202108511","ICTVonline=202108511")</f>
        <v>ICTVonline=202108511</v>
      </c>
    </row>
    <row r="351" spans="1:21" x14ac:dyDescent="0.2">
      <c r="A351" s="3">
        <v>350</v>
      </c>
      <c r="B351" s="1" t="s">
        <v>4875</v>
      </c>
      <c r="D351" s="1" t="s">
        <v>4876</v>
      </c>
      <c r="F351" s="1" t="s">
        <v>4880</v>
      </c>
      <c r="H351" s="1" t="s">
        <v>4881</v>
      </c>
      <c r="L351" s="1" t="s">
        <v>4883</v>
      </c>
      <c r="M351" s="1" t="s">
        <v>4887</v>
      </c>
      <c r="N351" s="1" t="s">
        <v>4888</v>
      </c>
      <c r="P351" s="1" t="s">
        <v>8963</v>
      </c>
      <c r="Q351" s="30" t="s">
        <v>2565</v>
      </c>
      <c r="R351" s="33" t="s">
        <v>3473</v>
      </c>
      <c r="S351">
        <v>37</v>
      </c>
      <c r="T351" s="1" t="s">
        <v>13878</v>
      </c>
      <c r="U351" s="1" t="str">
        <f>HYPERLINK("http://ictvonline.org/taxonomy/p/taxonomy-history?taxnode_id=202108634","ICTVonline=202108634")</f>
        <v>ICTVonline=202108634</v>
      </c>
    </row>
    <row r="352" spans="1:21" x14ac:dyDescent="0.2">
      <c r="A352" s="3">
        <v>351</v>
      </c>
      <c r="B352" s="1" t="s">
        <v>4875</v>
      </c>
      <c r="D352" s="1" t="s">
        <v>4876</v>
      </c>
      <c r="F352" s="1" t="s">
        <v>4880</v>
      </c>
      <c r="H352" s="1" t="s">
        <v>4881</v>
      </c>
      <c r="L352" s="1" t="s">
        <v>4883</v>
      </c>
      <c r="M352" s="1" t="s">
        <v>4887</v>
      </c>
      <c r="N352" s="1" t="s">
        <v>4889</v>
      </c>
      <c r="P352" s="1" t="s">
        <v>8964</v>
      </c>
      <c r="Q352" s="30" t="s">
        <v>2565</v>
      </c>
      <c r="R352" s="33" t="s">
        <v>3473</v>
      </c>
      <c r="S352">
        <v>37</v>
      </c>
      <c r="T352" s="1" t="s">
        <v>13878</v>
      </c>
      <c r="U352" s="1" t="str">
        <f>HYPERLINK("http://ictvonline.org/taxonomy/p/taxonomy-history?taxnode_id=202108619","ICTVonline=202108619")</f>
        <v>ICTVonline=202108619</v>
      </c>
    </row>
    <row r="353" spans="1:21" x14ac:dyDescent="0.2">
      <c r="A353" s="3">
        <v>352</v>
      </c>
      <c r="B353" s="1" t="s">
        <v>4875</v>
      </c>
      <c r="D353" s="1" t="s">
        <v>4876</v>
      </c>
      <c r="F353" s="1" t="s">
        <v>4880</v>
      </c>
      <c r="H353" s="1" t="s">
        <v>4881</v>
      </c>
      <c r="L353" s="1" t="s">
        <v>4883</v>
      </c>
      <c r="M353" s="1" t="s">
        <v>4887</v>
      </c>
      <c r="N353" s="1" t="s">
        <v>4889</v>
      </c>
      <c r="P353" s="1" t="s">
        <v>8965</v>
      </c>
      <c r="Q353" s="30" t="s">
        <v>2565</v>
      </c>
      <c r="R353" s="33" t="s">
        <v>3473</v>
      </c>
      <c r="S353">
        <v>37</v>
      </c>
      <c r="T353" s="1" t="s">
        <v>13878</v>
      </c>
      <c r="U353" s="1" t="str">
        <f>HYPERLINK("http://ictvonline.org/taxonomy/p/taxonomy-history?taxnode_id=202108620","ICTVonline=202108620")</f>
        <v>ICTVonline=202108620</v>
      </c>
    </row>
    <row r="354" spans="1:21" x14ac:dyDescent="0.2">
      <c r="A354" s="3">
        <v>353</v>
      </c>
      <c r="B354" s="1" t="s">
        <v>4875</v>
      </c>
      <c r="D354" s="1" t="s">
        <v>4876</v>
      </c>
      <c r="F354" s="1" t="s">
        <v>4880</v>
      </c>
      <c r="H354" s="1" t="s">
        <v>4881</v>
      </c>
      <c r="L354" s="1" t="s">
        <v>4883</v>
      </c>
      <c r="M354" s="1" t="s">
        <v>4887</v>
      </c>
      <c r="N354" s="1" t="s">
        <v>4889</v>
      </c>
      <c r="P354" s="1" t="s">
        <v>8966</v>
      </c>
      <c r="Q354" s="30" t="s">
        <v>2565</v>
      </c>
      <c r="R354" s="33" t="s">
        <v>3473</v>
      </c>
      <c r="S354">
        <v>37</v>
      </c>
      <c r="T354" s="1" t="s">
        <v>13878</v>
      </c>
      <c r="U354" s="1" t="str">
        <f>HYPERLINK("http://ictvonline.org/taxonomy/p/taxonomy-history?taxnode_id=202108621","ICTVonline=202108621")</f>
        <v>ICTVonline=202108621</v>
      </c>
    </row>
    <row r="355" spans="1:21" x14ac:dyDescent="0.2">
      <c r="A355" s="3">
        <v>354</v>
      </c>
      <c r="B355" s="1" t="s">
        <v>4875</v>
      </c>
      <c r="D355" s="1" t="s">
        <v>4876</v>
      </c>
      <c r="F355" s="1" t="s">
        <v>4880</v>
      </c>
      <c r="H355" s="1" t="s">
        <v>4881</v>
      </c>
      <c r="L355" s="1" t="s">
        <v>4883</v>
      </c>
      <c r="M355" s="1" t="s">
        <v>4887</v>
      </c>
      <c r="N355" s="1" t="s">
        <v>4890</v>
      </c>
      <c r="P355" s="1" t="s">
        <v>8967</v>
      </c>
      <c r="Q355" s="30" t="s">
        <v>2565</v>
      </c>
      <c r="R355" s="33" t="s">
        <v>3473</v>
      </c>
      <c r="S355">
        <v>37</v>
      </c>
      <c r="T355" s="1" t="s">
        <v>13878</v>
      </c>
      <c r="U355" s="1" t="str">
        <f>HYPERLINK("http://ictvonline.org/taxonomy/p/taxonomy-history?taxnode_id=202108624","ICTVonline=202108624")</f>
        <v>ICTVonline=202108624</v>
      </c>
    </row>
    <row r="356" spans="1:21" x14ac:dyDescent="0.2">
      <c r="A356" s="3">
        <v>355</v>
      </c>
      <c r="B356" s="1" t="s">
        <v>4875</v>
      </c>
      <c r="D356" s="1" t="s">
        <v>4876</v>
      </c>
      <c r="F356" s="1" t="s">
        <v>4880</v>
      </c>
      <c r="H356" s="1" t="s">
        <v>4881</v>
      </c>
      <c r="L356" s="1" t="s">
        <v>4883</v>
      </c>
      <c r="M356" s="1" t="s">
        <v>4887</v>
      </c>
      <c r="N356" s="1" t="s">
        <v>4890</v>
      </c>
      <c r="P356" s="1" t="s">
        <v>8968</v>
      </c>
      <c r="Q356" s="30" t="s">
        <v>2565</v>
      </c>
      <c r="R356" s="33" t="s">
        <v>3473</v>
      </c>
      <c r="S356">
        <v>37</v>
      </c>
      <c r="T356" s="1" t="s">
        <v>13878</v>
      </c>
      <c r="U356" s="1" t="str">
        <f>HYPERLINK("http://ictvonline.org/taxonomy/p/taxonomy-history?taxnode_id=202108623","ICTVonline=202108623")</f>
        <v>ICTVonline=202108623</v>
      </c>
    </row>
    <row r="357" spans="1:21" x14ac:dyDescent="0.2">
      <c r="A357" s="3">
        <v>356</v>
      </c>
      <c r="B357" s="1" t="s">
        <v>4875</v>
      </c>
      <c r="D357" s="1" t="s">
        <v>4876</v>
      </c>
      <c r="F357" s="1" t="s">
        <v>4880</v>
      </c>
      <c r="H357" s="1" t="s">
        <v>4881</v>
      </c>
      <c r="L357" s="1" t="s">
        <v>4883</v>
      </c>
      <c r="M357" s="1" t="s">
        <v>4887</v>
      </c>
      <c r="N357" s="1" t="s">
        <v>4891</v>
      </c>
      <c r="P357" s="1" t="s">
        <v>8969</v>
      </c>
      <c r="Q357" s="30" t="s">
        <v>2565</v>
      </c>
      <c r="R357" s="33" t="s">
        <v>3473</v>
      </c>
      <c r="S357">
        <v>37</v>
      </c>
      <c r="T357" s="1" t="s">
        <v>13878</v>
      </c>
      <c r="U357" s="1" t="str">
        <f>HYPERLINK("http://ictvonline.org/taxonomy/p/taxonomy-history?taxnode_id=202108632","ICTVonline=202108632")</f>
        <v>ICTVonline=202108632</v>
      </c>
    </row>
    <row r="358" spans="1:21" x14ac:dyDescent="0.2">
      <c r="A358" s="3">
        <v>357</v>
      </c>
      <c r="B358" s="1" t="s">
        <v>4875</v>
      </c>
      <c r="D358" s="1" t="s">
        <v>4876</v>
      </c>
      <c r="F358" s="1" t="s">
        <v>4880</v>
      </c>
      <c r="H358" s="1" t="s">
        <v>4881</v>
      </c>
      <c r="L358" s="1" t="s">
        <v>4883</v>
      </c>
      <c r="M358" s="1" t="s">
        <v>4887</v>
      </c>
      <c r="N358" s="1" t="s">
        <v>4892</v>
      </c>
      <c r="P358" s="1" t="s">
        <v>8970</v>
      </c>
      <c r="Q358" s="30" t="s">
        <v>2565</v>
      </c>
      <c r="R358" s="33" t="s">
        <v>3473</v>
      </c>
      <c r="S358">
        <v>37</v>
      </c>
      <c r="T358" s="1" t="s">
        <v>13878</v>
      </c>
      <c r="U358" s="1" t="str">
        <f>HYPERLINK("http://ictvonline.org/taxonomy/p/taxonomy-history?taxnode_id=202108628","ICTVonline=202108628")</f>
        <v>ICTVonline=202108628</v>
      </c>
    </row>
    <row r="359" spans="1:21" x14ac:dyDescent="0.2">
      <c r="A359" s="3">
        <v>358</v>
      </c>
      <c r="B359" s="1" t="s">
        <v>4875</v>
      </c>
      <c r="D359" s="1" t="s">
        <v>4876</v>
      </c>
      <c r="F359" s="1" t="s">
        <v>4880</v>
      </c>
      <c r="H359" s="1" t="s">
        <v>4881</v>
      </c>
      <c r="L359" s="1" t="s">
        <v>4883</v>
      </c>
      <c r="M359" s="1" t="s">
        <v>4887</v>
      </c>
      <c r="N359" s="1" t="s">
        <v>4892</v>
      </c>
      <c r="P359" s="1" t="s">
        <v>8971</v>
      </c>
      <c r="Q359" s="30" t="s">
        <v>2565</v>
      </c>
      <c r="R359" s="33" t="s">
        <v>3473</v>
      </c>
      <c r="S359">
        <v>37</v>
      </c>
      <c r="T359" s="1" t="s">
        <v>13878</v>
      </c>
      <c r="U359" s="1" t="str">
        <f>HYPERLINK("http://ictvonline.org/taxonomy/p/taxonomy-history?taxnode_id=202108629","ICTVonline=202108629")</f>
        <v>ICTVonline=202108629</v>
      </c>
    </row>
    <row r="360" spans="1:21" x14ac:dyDescent="0.2">
      <c r="A360" s="3">
        <v>359</v>
      </c>
      <c r="B360" s="1" t="s">
        <v>4875</v>
      </c>
      <c r="D360" s="1" t="s">
        <v>4876</v>
      </c>
      <c r="F360" s="1" t="s">
        <v>4880</v>
      </c>
      <c r="H360" s="1" t="s">
        <v>4881</v>
      </c>
      <c r="L360" s="1" t="s">
        <v>4883</v>
      </c>
      <c r="M360" s="1" t="s">
        <v>4887</v>
      </c>
      <c r="N360" s="1" t="s">
        <v>4892</v>
      </c>
      <c r="P360" s="1" t="s">
        <v>8972</v>
      </c>
      <c r="Q360" s="30" t="s">
        <v>2565</v>
      </c>
      <c r="R360" s="33" t="s">
        <v>3473</v>
      </c>
      <c r="S360">
        <v>37</v>
      </c>
      <c r="T360" s="1" t="s">
        <v>13878</v>
      </c>
      <c r="U360" s="1" t="str">
        <f>HYPERLINK("http://ictvonline.org/taxonomy/p/taxonomy-history?taxnode_id=202108627","ICTVonline=202108627")</f>
        <v>ICTVonline=202108627</v>
      </c>
    </row>
    <row r="361" spans="1:21" x14ac:dyDescent="0.2">
      <c r="A361" s="3">
        <v>360</v>
      </c>
      <c r="B361" s="1" t="s">
        <v>4875</v>
      </c>
      <c r="D361" s="1" t="s">
        <v>4876</v>
      </c>
      <c r="F361" s="1" t="s">
        <v>4880</v>
      </c>
      <c r="H361" s="1" t="s">
        <v>4881</v>
      </c>
      <c r="L361" s="1" t="s">
        <v>4883</v>
      </c>
      <c r="M361" s="1" t="s">
        <v>4887</v>
      </c>
      <c r="N361" s="1" t="s">
        <v>4892</v>
      </c>
      <c r="P361" s="1" t="s">
        <v>8973</v>
      </c>
      <c r="Q361" s="30" t="s">
        <v>2565</v>
      </c>
      <c r="R361" s="33" t="s">
        <v>3473</v>
      </c>
      <c r="S361">
        <v>37</v>
      </c>
      <c r="T361" s="1" t="s">
        <v>13878</v>
      </c>
      <c r="U361" s="1" t="str">
        <f>HYPERLINK("http://ictvonline.org/taxonomy/p/taxonomy-history?taxnode_id=202108626","ICTVonline=202108626")</f>
        <v>ICTVonline=202108626</v>
      </c>
    </row>
    <row r="362" spans="1:21" x14ac:dyDescent="0.2">
      <c r="A362" s="3">
        <v>361</v>
      </c>
      <c r="B362" s="1" t="s">
        <v>4875</v>
      </c>
      <c r="D362" s="1" t="s">
        <v>4876</v>
      </c>
      <c r="F362" s="1" t="s">
        <v>4880</v>
      </c>
      <c r="H362" s="1" t="s">
        <v>4881</v>
      </c>
      <c r="L362" s="1" t="s">
        <v>4883</v>
      </c>
      <c r="M362" s="1" t="s">
        <v>4887</v>
      </c>
      <c r="N362" s="1" t="s">
        <v>4892</v>
      </c>
      <c r="P362" s="1" t="s">
        <v>8974</v>
      </c>
      <c r="Q362" s="30" t="s">
        <v>2565</v>
      </c>
      <c r="R362" s="33" t="s">
        <v>3473</v>
      </c>
      <c r="S362">
        <v>37</v>
      </c>
      <c r="T362" s="1" t="s">
        <v>13878</v>
      </c>
      <c r="U362" s="1" t="str">
        <f>HYPERLINK("http://ictvonline.org/taxonomy/p/taxonomy-history?taxnode_id=202108630","ICTVonline=202108630")</f>
        <v>ICTVonline=202108630</v>
      </c>
    </row>
    <row r="363" spans="1:21" x14ac:dyDescent="0.2">
      <c r="A363" s="3">
        <v>362</v>
      </c>
      <c r="B363" s="1" t="s">
        <v>4875</v>
      </c>
      <c r="D363" s="1" t="s">
        <v>4876</v>
      </c>
      <c r="F363" s="1" t="s">
        <v>4880</v>
      </c>
      <c r="H363" s="1" t="s">
        <v>4881</v>
      </c>
      <c r="L363" s="1" t="s">
        <v>4883</v>
      </c>
      <c r="M363" s="1" t="s">
        <v>4893</v>
      </c>
      <c r="N363" s="1" t="s">
        <v>4894</v>
      </c>
      <c r="P363" s="1" t="s">
        <v>8975</v>
      </c>
      <c r="Q363" s="30" t="s">
        <v>2565</v>
      </c>
      <c r="R363" s="33" t="s">
        <v>3473</v>
      </c>
      <c r="S363">
        <v>37</v>
      </c>
      <c r="T363" s="1" t="s">
        <v>13878</v>
      </c>
      <c r="U363" s="1" t="str">
        <f>HYPERLINK("http://ictvonline.org/taxonomy/p/taxonomy-history?taxnode_id=202108569","ICTVonline=202108569")</f>
        <v>ICTVonline=202108569</v>
      </c>
    </row>
    <row r="364" spans="1:21" x14ac:dyDescent="0.2">
      <c r="A364" s="3">
        <v>363</v>
      </c>
      <c r="B364" s="1" t="s">
        <v>4875</v>
      </c>
      <c r="D364" s="1" t="s">
        <v>4876</v>
      </c>
      <c r="F364" s="1" t="s">
        <v>4880</v>
      </c>
      <c r="H364" s="1" t="s">
        <v>4881</v>
      </c>
      <c r="L364" s="1" t="s">
        <v>4883</v>
      </c>
      <c r="M364" s="1" t="s">
        <v>4893</v>
      </c>
      <c r="N364" s="1" t="s">
        <v>4895</v>
      </c>
      <c r="P364" s="1" t="s">
        <v>8976</v>
      </c>
      <c r="Q364" s="30" t="s">
        <v>2565</v>
      </c>
      <c r="R364" s="33" t="s">
        <v>3473</v>
      </c>
      <c r="S364">
        <v>37</v>
      </c>
      <c r="T364" s="1" t="s">
        <v>13878</v>
      </c>
      <c r="U364" s="1" t="str">
        <f>HYPERLINK("http://ictvonline.org/taxonomy/p/taxonomy-history?taxnode_id=202108557","ICTVonline=202108557")</f>
        <v>ICTVonline=202108557</v>
      </c>
    </row>
    <row r="365" spans="1:21" x14ac:dyDescent="0.2">
      <c r="A365" s="3">
        <v>364</v>
      </c>
      <c r="B365" s="1" t="s">
        <v>4875</v>
      </c>
      <c r="D365" s="1" t="s">
        <v>4876</v>
      </c>
      <c r="F365" s="1" t="s">
        <v>4880</v>
      </c>
      <c r="H365" s="1" t="s">
        <v>4881</v>
      </c>
      <c r="L365" s="1" t="s">
        <v>4883</v>
      </c>
      <c r="M365" s="1" t="s">
        <v>4893</v>
      </c>
      <c r="N365" s="1" t="s">
        <v>4895</v>
      </c>
      <c r="P365" s="1" t="s">
        <v>8977</v>
      </c>
      <c r="Q365" s="30" t="s">
        <v>2565</v>
      </c>
      <c r="R365" s="33" t="s">
        <v>3473</v>
      </c>
      <c r="S365">
        <v>37</v>
      </c>
      <c r="T365" s="1" t="s">
        <v>13878</v>
      </c>
      <c r="U365" s="1" t="str">
        <f>HYPERLINK("http://ictvonline.org/taxonomy/p/taxonomy-history?taxnode_id=202108555","ICTVonline=202108555")</f>
        <v>ICTVonline=202108555</v>
      </c>
    </row>
    <row r="366" spans="1:21" x14ac:dyDescent="0.2">
      <c r="A366" s="3">
        <v>365</v>
      </c>
      <c r="B366" s="1" t="s">
        <v>4875</v>
      </c>
      <c r="D366" s="1" t="s">
        <v>4876</v>
      </c>
      <c r="F366" s="1" t="s">
        <v>4880</v>
      </c>
      <c r="H366" s="1" t="s">
        <v>4881</v>
      </c>
      <c r="L366" s="1" t="s">
        <v>4883</v>
      </c>
      <c r="M366" s="1" t="s">
        <v>4893</v>
      </c>
      <c r="N366" s="1" t="s">
        <v>4895</v>
      </c>
      <c r="P366" s="1" t="s">
        <v>8978</v>
      </c>
      <c r="Q366" s="30" t="s">
        <v>2565</v>
      </c>
      <c r="R366" s="33" t="s">
        <v>3473</v>
      </c>
      <c r="S366">
        <v>37</v>
      </c>
      <c r="T366" s="1" t="s">
        <v>13878</v>
      </c>
      <c r="U366" s="1" t="str">
        <f>HYPERLINK("http://ictvonline.org/taxonomy/p/taxonomy-history?taxnode_id=202108556","ICTVonline=202108556")</f>
        <v>ICTVonline=202108556</v>
      </c>
    </row>
    <row r="367" spans="1:21" x14ac:dyDescent="0.2">
      <c r="A367" s="3">
        <v>366</v>
      </c>
      <c r="B367" s="1" t="s">
        <v>4875</v>
      </c>
      <c r="D367" s="1" t="s">
        <v>4876</v>
      </c>
      <c r="F367" s="1" t="s">
        <v>4880</v>
      </c>
      <c r="H367" s="1" t="s">
        <v>4881</v>
      </c>
      <c r="L367" s="1" t="s">
        <v>4883</v>
      </c>
      <c r="M367" s="1" t="s">
        <v>4893</v>
      </c>
      <c r="N367" s="1" t="s">
        <v>4584</v>
      </c>
      <c r="P367" s="1" t="s">
        <v>8979</v>
      </c>
      <c r="Q367" s="30" t="s">
        <v>2565</v>
      </c>
      <c r="R367" s="33" t="s">
        <v>3473</v>
      </c>
      <c r="S367">
        <v>37</v>
      </c>
      <c r="T367" s="1" t="s">
        <v>13878</v>
      </c>
      <c r="U367" s="1" t="str">
        <f>HYPERLINK("http://ictvonline.org/taxonomy/p/taxonomy-history?taxnode_id=202106925","ICTVonline=202106925")</f>
        <v>ICTVonline=202106925</v>
      </c>
    </row>
    <row r="368" spans="1:21" x14ac:dyDescent="0.2">
      <c r="A368" s="3">
        <v>367</v>
      </c>
      <c r="B368" s="1" t="s">
        <v>4875</v>
      </c>
      <c r="D368" s="1" t="s">
        <v>4876</v>
      </c>
      <c r="F368" s="1" t="s">
        <v>4880</v>
      </c>
      <c r="H368" s="1" t="s">
        <v>4881</v>
      </c>
      <c r="L368" s="1" t="s">
        <v>4883</v>
      </c>
      <c r="M368" s="1" t="s">
        <v>4893</v>
      </c>
      <c r="N368" s="1" t="s">
        <v>4584</v>
      </c>
      <c r="P368" s="1" t="s">
        <v>8980</v>
      </c>
      <c r="Q368" s="30" t="s">
        <v>2565</v>
      </c>
      <c r="R368" s="33" t="s">
        <v>3473</v>
      </c>
      <c r="S368">
        <v>37</v>
      </c>
      <c r="T368" s="1" t="s">
        <v>13878</v>
      </c>
      <c r="U368" s="1" t="str">
        <f>HYPERLINK("http://ictvonline.org/taxonomy/p/taxonomy-history?taxnode_id=202108561","ICTVonline=202108561")</f>
        <v>ICTVonline=202108561</v>
      </c>
    </row>
    <row r="369" spans="1:21" x14ac:dyDescent="0.2">
      <c r="A369" s="3">
        <v>368</v>
      </c>
      <c r="B369" s="1" t="s">
        <v>4875</v>
      </c>
      <c r="D369" s="1" t="s">
        <v>4876</v>
      </c>
      <c r="F369" s="1" t="s">
        <v>4880</v>
      </c>
      <c r="H369" s="1" t="s">
        <v>4881</v>
      </c>
      <c r="L369" s="1" t="s">
        <v>4883</v>
      </c>
      <c r="M369" s="1" t="s">
        <v>4893</v>
      </c>
      <c r="N369" s="1" t="s">
        <v>4584</v>
      </c>
      <c r="P369" s="1" t="s">
        <v>8981</v>
      </c>
      <c r="Q369" s="30" t="s">
        <v>2565</v>
      </c>
      <c r="R369" s="33" t="s">
        <v>3473</v>
      </c>
      <c r="S369">
        <v>37</v>
      </c>
      <c r="T369" s="1" t="s">
        <v>13878</v>
      </c>
      <c r="U369" s="1" t="str">
        <f>HYPERLINK("http://ictvonline.org/taxonomy/p/taxonomy-history?taxnode_id=202106924","ICTVonline=202106924")</f>
        <v>ICTVonline=202106924</v>
      </c>
    </row>
    <row r="370" spans="1:21" x14ac:dyDescent="0.2">
      <c r="A370" s="3">
        <v>369</v>
      </c>
      <c r="B370" s="1" t="s">
        <v>4875</v>
      </c>
      <c r="D370" s="1" t="s">
        <v>4876</v>
      </c>
      <c r="F370" s="1" t="s">
        <v>4880</v>
      </c>
      <c r="H370" s="1" t="s">
        <v>4881</v>
      </c>
      <c r="L370" s="1" t="s">
        <v>4883</v>
      </c>
      <c r="M370" s="1" t="s">
        <v>4893</v>
      </c>
      <c r="N370" s="1" t="s">
        <v>4584</v>
      </c>
      <c r="P370" s="1" t="s">
        <v>8982</v>
      </c>
      <c r="Q370" s="30" t="s">
        <v>2565</v>
      </c>
      <c r="R370" s="33" t="s">
        <v>3473</v>
      </c>
      <c r="S370">
        <v>37</v>
      </c>
      <c r="T370" s="1" t="s">
        <v>13878</v>
      </c>
      <c r="U370" s="1" t="str">
        <f>HYPERLINK("http://ictvonline.org/taxonomy/p/taxonomy-history?taxnode_id=202108558","ICTVonline=202108558")</f>
        <v>ICTVonline=202108558</v>
      </c>
    </row>
    <row r="371" spans="1:21" x14ac:dyDescent="0.2">
      <c r="A371" s="3">
        <v>370</v>
      </c>
      <c r="B371" s="1" t="s">
        <v>4875</v>
      </c>
      <c r="D371" s="1" t="s">
        <v>4876</v>
      </c>
      <c r="F371" s="1" t="s">
        <v>4880</v>
      </c>
      <c r="H371" s="1" t="s">
        <v>4881</v>
      </c>
      <c r="L371" s="1" t="s">
        <v>4883</v>
      </c>
      <c r="M371" s="1" t="s">
        <v>4893</v>
      </c>
      <c r="N371" s="1" t="s">
        <v>4584</v>
      </c>
      <c r="P371" s="1" t="s">
        <v>8983</v>
      </c>
      <c r="Q371" s="30" t="s">
        <v>2565</v>
      </c>
      <c r="R371" s="33" t="s">
        <v>3473</v>
      </c>
      <c r="S371">
        <v>37</v>
      </c>
      <c r="T371" s="1" t="s">
        <v>13878</v>
      </c>
      <c r="U371" s="1" t="str">
        <f>HYPERLINK("http://ictvonline.org/taxonomy/p/taxonomy-history?taxnode_id=202108562","ICTVonline=202108562")</f>
        <v>ICTVonline=202108562</v>
      </c>
    </row>
    <row r="372" spans="1:21" x14ac:dyDescent="0.2">
      <c r="A372" s="3">
        <v>371</v>
      </c>
      <c r="B372" s="1" t="s">
        <v>4875</v>
      </c>
      <c r="D372" s="1" t="s">
        <v>4876</v>
      </c>
      <c r="F372" s="1" t="s">
        <v>4880</v>
      </c>
      <c r="H372" s="1" t="s">
        <v>4881</v>
      </c>
      <c r="L372" s="1" t="s">
        <v>4883</v>
      </c>
      <c r="M372" s="1" t="s">
        <v>4893</v>
      </c>
      <c r="N372" s="1" t="s">
        <v>4584</v>
      </c>
      <c r="P372" s="1" t="s">
        <v>8984</v>
      </c>
      <c r="Q372" s="30" t="s">
        <v>2565</v>
      </c>
      <c r="R372" s="33" t="s">
        <v>3473</v>
      </c>
      <c r="S372">
        <v>37</v>
      </c>
      <c r="T372" s="1" t="s">
        <v>13878</v>
      </c>
      <c r="U372" s="1" t="str">
        <f>HYPERLINK("http://ictvonline.org/taxonomy/p/taxonomy-history?taxnode_id=202108563","ICTVonline=202108563")</f>
        <v>ICTVonline=202108563</v>
      </c>
    </row>
    <row r="373" spans="1:21" x14ac:dyDescent="0.2">
      <c r="A373" s="3">
        <v>372</v>
      </c>
      <c r="B373" s="1" t="s">
        <v>4875</v>
      </c>
      <c r="D373" s="1" t="s">
        <v>4876</v>
      </c>
      <c r="F373" s="1" t="s">
        <v>4880</v>
      </c>
      <c r="H373" s="1" t="s">
        <v>4881</v>
      </c>
      <c r="L373" s="1" t="s">
        <v>4883</v>
      </c>
      <c r="M373" s="1" t="s">
        <v>4893</v>
      </c>
      <c r="N373" s="1" t="s">
        <v>4584</v>
      </c>
      <c r="P373" s="1" t="s">
        <v>8985</v>
      </c>
      <c r="Q373" s="30" t="s">
        <v>2565</v>
      </c>
      <c r="R373" s="33" t="s">
        <v>3473</v>
      </c>
      <c r="S373">
        <v>37</v>
      </c>
      <c r="T373" s="1" t="s">
        <v>13878</v>
      </c>
      <c r="U373" s="1" t="str">
        <f>HYPERLINK("http://ictvonline.org/taxonomy/p/taxonomy-history?taxnode_id=202108559","ICTVonline=202108559")</f>
        <v>ICTVonline=202108559</v>
      </c>
    </row>
    <row r="374" spans="1:21" x14ac:dyDescent="0.2">
      <c r="A374" s="3">
        <v>373</v>
      </c>
      <c r="B374" s="1" t="s">
        <v>4875</v>
      </c>
      <c r="D374" s="1" t="s">
        <v>4876</v>
      </c>
      <c r="F374" s="1" t="s">
        <v>4880</v>
      </c>
      <c r="H374" s="1" t="s">
        <v>4881</v>
      </c>
      <c r="L374" s="1" t="s">
        <v>4883</v>
      </c>
      <c r="M374" s="1" t="s">
        <v>4893</v>
      </c>
      <c r="N374" s="1" t="s">
        <v>4584</v>
      </c>
      <c r="P374" s="1" t="s">
        <v>8986</v>
      </c>
      <c r="Q374" s="30" t="s">
        <v>2565</v>
      </c>
      <c r="R374" s="33" t="s">
        <v>3473</v>
      </c>
      <c r="S374">
        <v>37</v>
      </c>
      <c r="T374" s="1" t="s">
        <v>13878</v>
      </c>
      <c r="U374" s="1" t="str">
        <f>HYPERLINK("http://ictvonline.org/taxonomy/p/taxonomy-history?taxnode_id=202108560","ICTVonline=202108560")</f>
        <v>ICTVonline=202108560</v>
      </c>
    </row>
    <row r="375" spans="1:21" x14ac:dyDescent="0.2">
      <c r="A375" s="3">
        <v>374</v>
      </c>
      <c r="B375" s="1" t="s">
        <v>4875</v>
      </c>
      <c r="D375" s="1" t="s">
        <v>4876</v>
      </c>
      <c r="F375" s="1" t="s">
        <v>4880</v>
      </c>
      <c r="H375" s="1" t="s">
        <v>4881</v>
      </c>
      <c r="L375" s="1" t="s">
        <v>4883</v>
      </c>
      <c r="M375" s="1" t="s">
        <v>4893</v>
      </c>
      <c r="N375" s="1" t="s">
        <v>4584</v>
      </c>
      <c r="P375" s="1" t="s">
        <v>8987</v>
      </c>
      <c r="Q375" s="30" t="s">
        <v>2565</v>
      </c>
      <c r="R375" s="33" t="s">
        <v>3473</v>
      </c>
      <c r="S375">
        <v>37</v>
      </c>
      <c r="T375" s="1" t="s">
        <v>13878</v>
      </c>
      <c r="U375" s="1" t="str">
        <f>HYPERLINK("http://ictvonline.org/taxonomy/p/taxonomy-history?taxnode_id=202106926","ICTVonline=202106926")</f>
        <v>ICTVonline=202106926</v>
      </c>
    </row>
    <row r="376" spans="1:21" x14ac:dyDescent="0.2">
      <c r="A376" s="3">
        <v>375</v>
      </c>
      <c r="B376" s="1" t="s">
        <v>4875</v>
      </c>
      <c r="D376" s="1" t="s">
        <v>4876</v>
      </c>
      <c r="F376" s="1" t="s">
        <v>4880</v>
      </c>
      <c r="H376" s="1" t="s">
        <v>4881</v>
      </c>
      <c r="L376" s="1" t="s">
        <v>4883</v>
      </c>
      <c r="M376" s="1" t="s">
        <v>4893</v>
      </c>
      <c r="N376" s="1" t="s">
        <v>4584</v>
      </c>
      <c r="P376" s="1" t="s">
        <v>8988</v>
      </c>
      <c r="Q376" s="30" t="s">
        <v>2565</v>
      </c>
      <c r="R376" s="33" t="s">
        <v>3473</v>
      </c>
      <c r="S376">
        <v>37</v>
      </c>
      <c r="T376" s="1" t="s">
        <v>13878</v>
      </c>
      <c r="U376" s="1" t="str">
        <f>HYPERLINK("http://ictvonline.org/taxonomy/p/taxonomy-history?taxnode_id=202108564","ICTVonline=202108564")</f>
        <v>ICTVonline=202108564</v>
      </c>
    </row>
    <row r="377" spans="1:21" x14ac:dyDescent="0.2">
      <c r="A377" s="3">
        <v>376</v>
      </c>
      <c r="B377" s="1" t="s">
        <v>4875</v>
      </c>
      <c r="D377" s="1" t="s">
        <v>4876</v>
      </c>
      <c r="F377" s="1" t="s">
        <v>4880</v>
      </c>
      <c r="H377" s="1" t="s">
        <v>4881</v>
      </c>
      <c r="L377" s="1" t="s">
        <v>4883</v>
      </c>
      <c r="M377" s="1" t="s">
        <v>4893</v>
      </c>
      <c r="N377" s="1" t="s">
        <v>4584</v>
      </c>
      <c r="P377" s="1" t="s">
        <v>8989</v>
      </c>
      <c r="Q377" s="30" t="s">
        <v>2565</v>
      </c>
      <c r="R377" s="33" t="s">
        <v>3473</v>
      </c>
      <c r="S377">
        <v>37</v>
      </c>
      <c r="T377" s="1" t="s">
        <v>13878</v>
      </c>
      <c r="U377" s="1" t="str">
        <f>HYPERLINK("http://ictvonline.org/taxonomy/p/taxonomy-history?taxnode_id=202106927","ICTVonline=202106927")</f>
        <v>ICTVonline=202106927</v>
      </c>
    </row>
    <row r="378" spans="1:21" x14ac:dyDescent="0.2">
      <c r="A378" s="3">
        <v>377</v>
      </c>
      <c r="B378" s="1" t="s">
        <v>4875</v>
      </c>
      <c r="D378" s="1" t="s">
        <v>4876</v>
      </c>
      <c r="F378" s="1" t="s">
        <v>4880</v>
      </c>
      <c r="H378" s="1" t="s">
        <v>4881</v>
      </c>
      <c r="L378" s="1" t="s">
        <v>4883</v>
      </c>
      <c r="M378" s="1" t="s">
        <v>4893</v>
      </c>
      <c r="N378" s="1" t="s">
        <v>4584</v>
      </c>
      <c r="P378" s="1" t="s">
        <v>8990</v>
      </c>
      <c r="Q378" s="30" t="s">
        <v>2565</v>
      </c>
      <c r="R378" s="33" t="s">
        <v>3473</v>
      </c>
      <c r="S378">
        <v>37</v>
      </c>
      <c r="T378" s="1" t="s">
        <v>13878</v>
      </c>
      <c r="U378" s="1" t="str">
        <f>HYPERLINK("http://ictvonline.org/taxonomy/p/taxonomy-history?taxnode_id=202108565","ICTVonline=202108565")</f>
        <v>ICTVonline=202108565</v>
      </c>
    </row>
    <row r="379" spans="1:21" x14ac:dyDescent="0.2">
      <c r="A379" s="3">
        <v>378</v>
      </c>
      <c r="B379" s="1" t="s">
        <v>4875</v>
      </c>
      <c r="D379" s="1" t="s">
        <v>4876</v>
      </c>
      <c r="F379" s="1" t="s">
        <v>4880</v>
      </c>
      <c r="H379" s="1" t="s">
        <v>4881</v>
      </c>
      <c r="L379" s="1" t="s">
        <v>4883</v>
      </c>
      <c r="M379" s="1" t="s">
        <v>4893</v>
      </c>
      <c r="N379" s="1" t="s">
        <v>4896</v>
      </c>
      <c r="P379" s="1" t="s">
        <v>8991</v>
      </c>
      <c r="Q379" s="30" t="s">
        <v>2565</v>
      </c>
      <c r="R379" s="33" t="s">
        <v>3473</v>
      </c>
      <c r="S379">
        <v>37</v>
      </c>
      <c r="T379" s="1" t="s">
        <v>13878</v>
      </c>
      <c r="U379" s="1" t="str">
        <f>HYPERLINK("http://ictvonline.org/taxonomy/p/taxonomy-history?taxnode_id=202108567","ICTVonline=202108567")</f>
        <v>ICTVonline=202108567</v>
      </c>
    </row>
    <row r="380" spans="1:21" x14ac:dyDescent="0.2">
      <c r="A380" s="3">
        <v>379</v>
      </c>
      <c r="B380" s="1" t="s">
        <v>4875</v>
      </c>
      <c r="D380" s="1" t="s">
        <v>4876</v>
      </c>
      <c r="F380" s="1" t="s">
        <v>4880</v>
      </c>
      <c r="H380" s="1" t="s">
        <v>4881</v>
      </c>
      <c r="L380" s="1" t="s">
        <v>4883</v>
      </c>
      <c r="M380" s="1" t="s">
        <v>4897</v>
      </c>
      <c r="N380" s="1" t="s">
        <v>4898</v>
      </c>
      <c r="P380" s="1" t="s">
        <v>8992</v>
      </c>
      <c r="Q380" s="30" t="s">
        <v>2565</v>
      </c>
      <c r="R380" s="33" t="s">
        <v>3473</v>
      </c>
      <c r="S380">
        <v>37</v>
      </c>
      <c r="T380" s="1" t="s">
        <v>13878</v>
      </c>
      <c r="U380" s="1" t="str">
        <f>HYPERLINK("http://ictvonline.org/taxonomy/p/taxonomy-history?taxnode_id=202108534","ICTVonline=202108534")</f>
        <v>ICTVonline=202108534</v>
      </c>
    </row>
    <row r="381" spans="1:21" x14ac:dyDescent="0.2">
      <c r="A381" s="3">
        <v>380</v>
      </c>
      <c r="B381" s="1" t="s">
        <v>4875</v>
      </c>
      <c r="D381" s="1" t="s">
        <v>4876</v>
      </c>
      <c r="F381" s="1" t="s">
        <v>4880</v>
      </c>
      <c r="H381" s="1" t="s">
        <v>4881</v>
      </c>
      <c r="L381" s="1" t="s">
        <v>4883</v>
      </c>
      <c r="M381" s="1" t="s">
        <v>4897</v>
      </c>
      <c r="N381" s="1" t="s">
        <v>2598</v>
      </c>
      <c r="P381" s="1" t="s">
        <v>8993</v>
      </c>
      <c r="Q381" s="30" t="s">
        <v>2565</v>
      </c>
      <c r="R381" s="33" t="s">
        <v>3473</v>
      </c>
      <c r="S381">
        <v>37</v>
      </c>
      <c r="T381" s="1" t="s">
        <v>13878</v>
      </c>
      <c r="U381" s="1" t="str">
        <f>HYPERLINK("http://ictvonline.org/taxonomy/p/taxonomy-history?taxnode_id=202108527","ICTVonline=202108527")</f>
        <v>ICTVonline=202108527</v>
      </c>
    </row>
    <row r="382" spans="1:21" x14ac:dyDescent="0.2">
      <c r="A382" s="3">
        <v>381</v>
      </c>
      <c r="B382" s="1" t="s">
        <v>4875</v>
      </c>
      <c r="D382" s="1" t="s">
        <v>4876</v>
      </c>
      <c r="F382" s="1" t="s">
        <v>4880</v>
      </c>
      <c r="H382" s="1" t="s">
        <v>4881</v>
      </c>
      <c r="L382" s="1" t="s">
        <v>4883</v>
      </c>
      <c r="M382" s="1" t="s">
        <v>4897</v>
      </c>
      <c r="N382" s="1" t="s">
        <v>2598</v>
      </c>
      <c r="P382" s="1" t="s">
        <v>8994</v>
      </c>
      <c r="Q382" s="30" t="s">
        <v>2565</v>
      </c>
      <c r="R382" s="33" t="s">
        <v>3473</v>
      </c>
      <c r="S382">
        <v>37</v>
      </c>
      <c r="T382" s="1" t="s">
        <v>13878</v>
      </c>
      <c r="U382" s="1" t="str">
        <f>HYPERLINK("http://ictvonline.org/taxonomy/p/taxonomy-history?taxnode_id=202108526","ICTVonline=202108526")</f>
        <v>ICTVonline=202108526</v>
      </c>
    </row>
    <row r="383" spans="1:21" x14ac:dyDescent="0.2">
      <c r="A383" s="3">
        <v>382</v>
      </c>
      <c r="B383" s="1" t="s">
        <v>4875</v>
      </c>
      <c r="D383" s="1" t="s">
        <v>4876</v>
      </c>
      <c r="F383" s="1" t="s">
        <v>4880</v>
      </c>
      <c r="H383" s="1" t="s">
        <v>4881</v>
      </c>
      <c r="L383" s="1" t="s">
        <v>4883</v>
      </c>
      <c r="M383" s="1" t="s">
        <v>4897</v>
      </c>
      <c r="N383" s="1" t="s">
        <v>2598</v>
      </c>
      <c r="P383" s="1" t="s">
        <v>8995</v>
      </c>
      <c r="Q383" s="30" t="s">
        <v>2565</v>
      </c>
      <c r="R383" s="33" t="s">
        <v>3473</v>
      </c>
      <c r="S383">
        <v>37</v>
      </c>
      <c r="T383" s="1" t="s">
        <v>13878</v>
      </c>
      <c r="U383" s="1" t="str">
        <f>HYPERLINK("http://ictvonline.org/taxonomy/p/taxonomy-history?taxnode_id=202108522","ICTVonline=202108522")</f>
        <v>ICTVonline=202108522</v>
      </c>
    </row>
    <row r="384" spans="1:21" x14ac:dyDescent="0.2">
      <c r="A384" s="3">
        <v>383</v>
      </c>
      <c r="B384" s="1" t="s">
        <v>4875</v>
      </c>
      <c r="D384" s="1" t="s">
        <v>4876</v>
      </c>
      <c r="F384" s="1" t="s">
        <v>4880</v>
      </c>
      <c r="H384" s="1" t="s">
        <v>4881</v>
      </c>
      <c r="L384" s="1" t="s">
        <v>4883</v>
      </c>
      <c r="M384" s="1" t="s">
        <v>4897</v>
      </c>
      <c r="N384" s="1" t="s">
        <v>2598</v>
      </c>
      <c r="P384" s="1" t="s">
        <v>8996</v>
      </c>
      <c r="Q384" s="30" t="s">
        <v>2565</v>
      </c>
      <c r="R384" s="33" t="s">
        <v>3473</v>
      </c>
      <c r="S384">
        <v>37</v>
      </c>
      <c r="T384" s="1" t="s">
        <v>13878</v>
      </c>
      <c r="U384" s="1" t="str">
        <f>HYPERLINK("http://ictvonline.org/taxonomy/p/taxonomy-history?taxnode_id=202108523","ICTVonline=202108523")</f>
        <v>ICTVonline=202108523</v>
      </c>
    </row>
    <row r="385" spans="1:21" x14ac:dyDescent="0.2">
      <c r="A385" s="3">
        <v>384</v>
      </c>
      <c r="B385" s="1" t="s">
        <v>4875</v>
      </c>
      <c r="D385" s="1" t="s">
        <v>4876</v>
      </c>
      <c r="F385" s="1" t="s">
        <v>4880</v>
      </c>
      <c r="H385" s="1" t="s">
        <v>4881</v>
      </c>
      <c r="L385" s="1" t="s">
        <v>4883</v>
      </c>
      <c r="M385" s="1" t="s">
        <v>4897</v>
      </c>
      <c r="N385" s="1" t="s">
        <v>2598</v>
      </c>
      <c r="P385" s="1" t="s">
        <v>8997</v>
      </c>
      <c r="Q385" s="30" t="s">
        <v>2565</v>
      </c>
      <c r="R385" s="33" t="s">
        <v>3473</v>
      </c>
      <c r="S385">
        <v>37</v>
      </c>
      <c r="T385" s="1" t="s">
        <v>13878</v>
      </c>
      <c r="U385" s="1" t="str">
        <f>HYPERLINK("http://ictvonline.org/taxonomy/p/taxonomy-history?taxnode_id=202108519","ICTVonline=202108519")</f>
        <v>ICTVonline=202108519</v>
      </c>
    </row>
    <row r="386" spans="1:21" x14ac:dyDescent="0.2">
      <c r="A386" s="3">
        <v>385</v>
      </c>
      <c r="B386" s="1" t="s">
        <v>4875</v>
      </c>
      <c r="D386" s="1" t="s">
        <v>4876</v>
      </c>
      <c r="F386" s="1" t="s">
        <v>4880</v>
      </c>
      <c r="H386" s="1" t="s">
        <v>4881</v>
      </c>
      <c r="L386" s="1" t="s">
        <v>4883</v>
      </c>
      <c r="M386" s="1" t="s">
        <v>4897</v>
      </c>
      <c r="N386" s="1" t="s">
        <v>2598</v>
      </c>
      <c r="P386" s="1" t="s">
        <v>8998</v>
      </c>
      <c r="Q386" s="30" t="s">
        <v>2565</v>
      </c>
      <c r="R386" s="33" t="s">
        <v>3473</v>
      </c>
      <c r="S386">
        <v>37</v>
      </c>
      <c r="T386" s="1" t="s">
        <v>13878</v>
      </c>
      <c r="U386" s="1" t="str">
        <f>HYPERLINK("http://ictvonline.org/taxonomy/p/taxonomy-history?taxnode_id=202108515","ICTVonline=202108515")</f>
        <v>ICTVonline=202108515</v>
      </c>
    </row>
    <row r="387" spans="1:21" x14ac:dyDescent="0.2">
      <c r="A387" s="3">
        <v>386</v>
      </c>
      <c r="B387" s="1" t="s">
        <v>4875</v>
      </c>
      <c r="D387" s="1" t="s">
        <v>4876</v>
      </c>
      <c r="F387" s="1" t="s">
        <v>4880</v>
      </c>
      <c r="H387" s="1" t="s">
        <v>4881</v>
      </c>
      <c r="L387" s="1" t="s">
        <v>4883</v>
      </c>
      <c r="M387" s="1" t="s">
        <v>4897</v>
      </c>
      <c r="N387" s="1" t="s">
        <v>2598</v>
      </c>
      <c r="P387" s="1" t="s">
        <v>8999</v>
      </c>
      <c r="Q387" s="30" t="s">
        <v>2565</v>
      </c>
      <c r="R387" s="33" t="s">
        <v>3473</v>
      </c>
      <c r="S387">
        <v>37</v>
      </c>
      <c r="T387" s="1" t="s">
        <v>13878</v>
      </c>
      <c r="U387" s="1" t="str">
        <f>HYPERLINK("http://ictvonline.org/taxonomy/p/taxonomy-history?taxnode_id=202108516","ICTVonline=202108516")</f>
        <v>ICTVonline=202108516</v>
      </c>
    </row>
    <row r="388" spans="1:21" x14ac:dyDescent="0.2">
      <c r="A388" s="3">
        <v>387</v>
      </c>
      <c r="B388" s="1" t="s">
        <v>4875</v>
      </c>
      <c r="D388" s="1" t="s">
        <v>4876</v>
      </c>
      <c r="F388" s="1" t="s">
        <v>4880</v>
      </c>
      <c r="H388" s="1" t="s">
        <v>4881</v>
      </c>
      <c r="L388" s="1" t="s">
        <v>4883</v>
      </c>
      <c r="M388" s="1" t="s">
        <v>4897</v>
      </c>
      <c r="N388" s="1" t="s">
        <v>2598</v>
      </c>
      <c r="P388" s="1" t="s">
        <v>9000</v>
      </c>
      <c r="Q388" s="30" t="s">
        <v>2565</v>
      </c>
      <c r="R388" s="33" t="s">
        <v>3473</v>
      </c>
      <c r="S388">
        <v>37</v>
      </c>
      <c r="T388" s="1" t="s">
        <v>13878</v>
      </c>
      <c r="U388" s="1" t="str">
        <f>HYPERLINK("http://ictvonline.org/taxonomy/p/taxonomy-history?taxnode_id=202108521","ICTVonline=202108521")</f>
        <v>ICTVonline=202108521</v>
      </c>
    </row>
    <row r="389" spans="1:21" x14ac:dyDescent="0.2">
      <c r="A389" s="3">
        <v>388</v>
      </c>
      <c r="B389" s="1" t="s">
        <v>4875</v>
      </c>
      <c r="D389" s="1" t="s">
        <v>4876</v>
      </c>
      <c r="F389" s="1" t="s">
        <v>4880</v>
      </c>
      <c r="H389" s="1" t="s">
        <v>4881</v>
      </c>
      <c r="L389" s="1" t="s">
        <v>4883</v>
      </c>
      <c r="M389" s="1" t="s">
        <v>4897</v>
      </c>
      <c r="N389" s="1" t="s">
        <v>2598</v>
      </c>
      <c r="P389" s="1" t="s">
        <v>9001</v>
      </c>
      <c r="Q389" s="30" t="s">
        <v>2565</v>
      </c>
      <c r="R389" s="33" t="s">
        <v>3473</v>
      </c>
      <c r="S389">
        <v>37</v>
      </c>
      <c r="T389" s="1" t="s">
        <v>13878</v>
      </c>
      <c r="U389" s="1" t="str">
        <f>HYPERLINK("http://ictvonline.org/taxonomy/p/taxonomy-history?taxnode_id=202108520","ICTVonline=202108520")</f>
        <v>ICTVonline=202108520</v>
      </c>
    </row>
    <row r="390" spans="1:21" x14ac:dyDescent="0.2">
      <c r="A390" s="3">
        <v>389</v>
      </c>
      <c r="B390" s="1" t="s">
        <v>4875</v>
      </c>
      <c r="D390" s="1" t="s">
        <v>4876</v>
      </c>
      <c r="F390" s="1" t="s">
        <v>4880</v>
      </c>
      <c r="H390" s="1" t="s">
        <v>4881</v>
      </c>
      <c r="L390" s="1" t="s">
        <v>4883</v>
      </c>
      <c r="M390" s="1" t="s">
        <v>4897</v>
      </c>
      <c r="N390" s="1" t="s">
        <v>2598</v>
      </c>
      <c r="P390" s="1" t="s">
        <v>9002</v>
      </c>
      <c r="Q390" s="30" t="s">
        <v>2565</v>
      </c>
      <c r="R390" s="33" t="s">
        <v>3473</v>
      </c>
      <c r="S390">
        <v>37</v>
      </c>
      <c r="T390" s="1" t="s">
        <v>13878</v>
      </c>
      <c r="U390" s="1" t="str">
        <f>HYPERLINK("http://ictvonline.org/taxonomy/p/taxonomy-history?taxnode_id=202108524","ICTVonline=202108524")</f>
        <v>ICTVonline=202108524</v>
      </c>
    </row>
    <row r="391" spans="1:21" x14ac:dyDescent="0.2">
      <c r="A391" s="3">
        <v>390</v>
      </c>
      <c r="B391" s="1" t="s">
        <v>4875</v>
      </c>
      <c r="D391" s="1" t="s">
        <v>4876</v>
      </c>
      <c r="F391" s="1" t="s">
        <v>4880</v>
      </c>
      <c r="H391" s="1" t="s">
        <v>4881</v>
      </c>
      <c r="L391" s="1" t="s">
        <v>4883</v>
      </c>
      <c r="M391" s="1" t="s">
        <v>4897</v>
      </c>
      <c r="N391" s="1" t="s">
        <v>2598</v>
      </c>
      <c r="P391" s="1" t="s">
        <v>9003</v>
      </c>
      <c r="Q391" s="30" t="s">
        <v>2565</v>
      </c>
      <c r="R391" s="33" t="s">
        <v>3473</v>
      </c>
      <c r="S391">
        <v>37</v>
      </c>
      <c r="T391" s="1" t="s">
        <v>13878</v>
      </c>
      <c r="U391" s="1" t="str">
        <f>HYPERLINK("http://ictvonline.org/taxonomy/p/taxonomy-history?taxnode_id=202108525","ICTVonline=202108525")</f>
        <v>ICTVonline=202108525</v>
      </c>
    </row>
    <row r="392" spans="1:21" x14ac:dyDescent="0.2">
      <c r="A392" s="3">
        <v>391</v>
      </c>
      <c r="B392" s="1" t="s">
        <v>4875</v>
      </c>
      <c r="D392" s="1" t="s">
        <v>4876</v>
      </c>
      <c r="F392" s="1" t="s">
        <v>4880</v>
      </c>
      <c r="H392" s="1" t="s">
        <v>4881</v>
      </c>
      <c r="L392" s="1" t="s">
        <v>4883</v>
      </c>
      <c r="M392" s="1" t="s">
        <v>4897</v>
      </c>
      <c r="N392" s="1" t="s">
        <v>2598</v>
      </c>
      <c r="P392" s="1" t="s">
        <v>9004</v>
      </c>
      <c r="Q392" s="30" t="s">
        <v>2565</v>
      </c>
      <c r="R392" s="33" t="s">
        <v>3473</v>
      </c>
      <c r="S392">
        <v>37</v>
      </c>
      <c r="T392" s="1" t="s">
        <v>13878</v>
      </c>
      <c r="U392" s="1" t="str">
        <f>HYPERLINK("http://ictvonline.org/taxonomy/p/taxonomy-history?taxnode_id=202100571","ICTVonline=202100571")</f>
        <v>ICTVonline=202100571</v>
      </c>
    </row>
    <row r="393" spans="1:21" x14ac:dyDescent="0.2">
      <c r="A393" s="3">
        <v>392</v>
      </c>
      <c r="B393" s="1" t="s">
        <v>4875</v>
      </c>
      <c r="D393" s="1" t="s">
        <v>4876</v>
      </c>
      <c r="F393" s="1" t="s">
        <v>4880</v>
      </c>
      <c r="H393" s="1" t="s">
        <v>4881</v>
      </c>
      <c r="L393" s="1" t="s">
        <v>4883</v>
      </c>
      <c r="M393" s="1" t="s">
        <v>4897</v>
      </c>
      <c r="N393" s="1" t="s">
        <v>2598</v>
      </c>
      <c r="P393" s="1" t="s">
        <v>9005</v>
      </c>
      <c r="Q393" s="30" t="s">
        <v>2565</v>
      </c>
      <c r="R393" s="33" t="s">
        <v>3473</v>
      </c>
      <c r="S393">
        <v>37</v>
      </c>
      <c r="T393" s="1" t="s">
        <v>13878</v>
      </c>
      <c r="U393" s="1" t="str">
        <f>HYPERLINK("http://ictvonline.org/taxonomy/p/taxonomy-history?taxnode_id=202108518","ICTVonline=202108518")</f>
        <v>ICTVonline=202108518</v>
      </c>
    </row>
    <row r="394" spans="1:21" x14ac:dyDescent="0.2">
      <c r="A394" s="3">
        <v>393</v>
      </c>
      <c r="B394" s="1" t="s">
        <v>4875</v>
      </c>
      <c r="D394" s="1" t="s">
        <v>4876</v>
      </c>
      <c r="F394" s="1" t="s">
        <v>4880</v>
      </c>
      <c r="H394" s="1" t="s">
        <v>4881</v>
      </c>
      <c r="L394" s="1" t="s">
        <v>4883</v>
      </c>
      <c r="M394" s="1" t="s">
        <v>4897</v>
      </c>
      <c r="N394" s="1" t="s">
        <v>2598</v>
      </c>
      <c r="P394" s="1" t="s">
        <v>9006</v>
      </c>
      <c r="Q394" s="30" t="s">
        <v>2565</v>
      </c>
      <c r="R394" s="33" t="s">
        <v>3473</v>
      </c>
      <c r="S394">
        <v>37</v>
      </c>
      <c r="T394" s="1" t="s">
        <v>13878</v>
      </c>
      <c r="U394" s="1" t="str">
        <f>HYPERLINK("http://ictvonline.org/taxonomy/p/taxonomy-history?taxnode_id=202108517","ICTVonline=202108517")</f>
        <v>ICTVonline=202108517</v>
      </c>
    </row>
    <row r="395" spans="1:21" x14ac:dyDescent="0.2">
      <c r="A395" s="3">
        <v>394</v>
      </c>
      <c r="B395" s="1" t="s">
        <v>4875</v>
      </c>
      <c r="D395" s="1" t="s">
        <v>4876</v>
      </c>
      <c r="F395" s="1" t="s">
        <v>4880</v>
      </c>
      <c r="H395" s="1" t="s">
        <v>4881</v>
      </c>
      <c r="L395" s="1" t="s">
        <v>4883</v>
      </c>
      <c r="M395" s="1" t="s">
        <v>4897</v>
      </c>
      <c r="N395" s="1" t="s">
        <v>2598</v>
      </c>
      <c r="P395" s="1" t="s">
        <v>9007</v>
      </c>
      <c r="Q395" s="30" t="s">
        <v>2565</v>
      </c>
      <c r="R395" s="33" t="s">
        <v>3473</v>
      </c>
      <c r="S395">
        <v>37</v>
      </c>
      <c r="T395" s="1" t="s">
        <v>13878</v>
      </c>
      <c r="U395" s="1" t="str">
        <f>HYPERLINK("http://ictvonline.org/taxonomy/p/taxonomy-history?taxnode_id=202108528","ICTVonline=202108528")</f>
        <v>ICTVonline=202108528</v>
      </c>
    </row>
    <row r="396" spans="1:21" x14ac:dyDescent="0.2">
      <c r="A396" s="3">
        <v>395</v>
      </c>
      <c r="B396" s="1" t="s">
        <v>4875</v>
      </c>
      <c r="D396" s="1" t="s">
        <v>4876</v>
      </c>
      <c r="F396" s="1" t="s">
        <v>4880</v>
      </c>
      <c r="H396" s="1" t="s">
        <v>4881</v>
      </c>
      <c r="L396" s="1" t="s">
        <v>4883</v>
      </c>
      <c r="M396" s="1" t="s">
        <v>4897</v>
      </c>
      <c r="N396" s="1" t="s">
        <v>2598</v>
      </c>
      <c r="P396" s="1" t="s">
        <v>9008</v>
      </c>
      <c r="Q396" s="30" t="s">
        <v>2565</v>
      </c>
      <c r="R396" s="33" t="s">
        <v>3473</v>
      </c>
      <c r="S396">
        <v>37</v>
      </c>
      <c r="T396" s="1" t="s">
        <v>13878</v>
      </c>
      <c r="U396" s="1" t="str">
        <f>HYPERLINK("http://ictvonline.org/taxonomy/p/taxonomy-history?taxnode_id=202108529","ICTVonline=202108529")</f>
        <v>ICTVonline=202108529</v>
      </c>
    </row>
    <row r="397" spans="1:21" x14ac:dyDescent="0.2">
      <c r="A397" s="3">
        <v>396</v>
      </c>
      <c r="B397" s="1" t="s">
        <v>4875</v>
      </c>
      <c r="D397" s="1" t="s">
        <v>4876</v>
      </c>
      <c r="F397" s="1" t="s">
        <v>4880</v>
      </c>
      <c r="H397" s="1" t="s">
        <v>4881</v>
      </c>
      <c r="L397" s="1" t="s">
        <v>4883</v>
      </c>
      <c r="M397" s="1" t="s">
        <v>4897</v>
      </c>
      <c r="N397" s="1" t="s">
        <v>4899</v>
      </c>
      <c r="P397" s="1" t="s">
        <v>9009</v>
      </c>
      <c r="Q397" s="30" t="s">
        <v>2565</v>
      </c>
      <c r="R397" s="33" t="s">
        <v>3473</v>
      </c>
      <c r="S397">
        <v>37</v>
      </c>
      <c r="T397" s="1" t="s">
        <v>13878</v>
      </c>
      <c r="U397" s="1" t="str">
        <f>HYPERLINK("http://ictvonline.org/taxonomy/p/taxonomy-history?taxnode_id=202100570","ICTVonline=202100570")</f>
        <v>ICTVonline=202100570</v>
      </c>
    </row>
    <row r="398" spans="1:21" x14ac:dyDescent="0.2">
      <c r="A398" s="3">
        <v>397</v>
      </c>
      <c r="B398" s="1" t="s">
        <v>4875</v>
      </c>
      <c r="D398" s="1" t="s">
        <v>4876</v>
      </c>
      <c r="F398" s="1" t="s">
        <v>4880</v>
      </c>
      <c r="H398" s="1" t="s">
        <v>4881</v>
      </c>
      <c r="L398" s="1" t="s">
        <v>4883</v>
      </c>
      <c r="M398" s="1" t="s">
        <v>4897</v>
      </c>
      <c r="N398" s="1" t="s">
        <v>4900</v>
      </c>
      <c r="P398" s="1" t="s">
        <v>9010</v>
      </c>
      <c r="Q398" s="30" t="s">
        <v>2565</v>
      </c>
      <c r="R398" s="33" t="s">
        <v>3473</v>
      </c>
      <c r="S398">
        <v>37</v>
      </c>
      <c r="T398" s="1" t="s">
        <v>13878</v>
      </c>
      <c r="U398" s="1" t="str">
        <f>HYPERLINK("http://ictvonline.org/taxonomy/p/taxonomy-history?taxnode_id=202108532","ICTVonline=202108532")</f>
        <v>ICTVonline=202108532</v>
      </c>
    </row>
    <row r="399" spans="1:21" x14ac:dyDescent="0.2">
      <c r="A399" s="3">
        <v>398</v>
      </c>
      <c r="B399" s="1" t="s">
        <v>4875</v>
      </c>
      <c r="D399" s="1" t="s">
        <v>4876</v>
      </c>
      <c r="F399" s="1" t="s">
        <v>4880</v>
      </c>
      <c r="H399" s="1" t="s">
        <v>4881</v>
      </c>
      <c r="L399" s="1" t="s">
        <v>4883</v>
      </c>
      <c r="M399" s="1" t="s">
        <v>4901</v>
      </c>
      <c r="N399" s="1" t="s">
        <v>4902</v>
      </c>
      <c r="P399" s="1" t="s">
        <v>9011</v>
      </c>
      <c r="Q399" s="30" t="s">
        <v>2565</v>
      </c>
      <c r="R399" s="33" t="s">
        <v>3473</v>
      </c>
      <c r="S399">
        <v>37</v>
      </c>
      <c r="T399" s="1" t="s">
        <v>13878</v>
      </c>
      <c r="U399" s="1" t="str">
        <f>HYPERLINK("http://ictvonline.org/taxonomy/p/taxonomy-history?taxnode_id=202108604","ICTVonline=202108604")</f>
        <v>ICTVonline=202108604</v>
      </c>
    </row>
    <row r="400" spans="1:21" x14ac:dyDescent="0.2">
      <c r="A400" s="3">
        <v>399</v>
      </c>
      <c r="B400" s="1" t="s">
        <v>4875</v>
      </c>
      <c r="D400" s="1" t="s">
        <v>4876</v>
      </c>
      <c r="F400" s="1" t="s">
        <v>4880</v>
      </c>
      <c r="H400" s="1" t="s">
        <v>4881</v>
      </c>
      <c r="L400" s="1" t="s">
        <v>4883</v>
      </c>
      <c r="M400" s="1" t="s">
        <v>4901</v>
      </c>
      <c r="N400" s="1" t="s">
        <v>4902</v>
      </c>
      <c r="P400" s="1" t="s">
        <v>9012</v>
      </c>
      <c r="Q400" s="30" t="s">
        <v>2565</v>
      </c>
      <c r="R400" s="33" t="s">
        <v>3473</v>
      </c>
      <c r="S400">
        <v>37</v>
      </c>
      <c r="T400" s="1" t="s">
        <v>13878</v>
      </c>
      <c r="U400" s="1" t="str">
        <f>HYPERLINK("http://ictvonline.org/taxonomy/p/taxonomy-history?taxnode_id=202108602","ICTVonline=202108602")</f>
        <v>ICTVonline=202108602</v>
      </c>
    </row>
    <row r="401" spans="1:21" x14ac:dyDescent="0.2">
      <c r="A401" s="3">
        <v>400</v>
      </c>
      <c r="B401" s="1" t="s">
        <v>4875</v>
      </c>
      <c r="D401" s="1" t="s">
        <v>4876</v>
      </c>
      <c r="F401" s="1" t="s">
        <v>4880</v>
      </c>
      <c r="H401" s="1" t="s">
        <v>4881</v>
      </c>
      <c r="L401" s="1" t="s">
        <v>4883</v>
      </c>
      <c r="M401" s="1" t="s">
        <v>4901</v>
      </c>
      <c r="N401" s="1" t="s">
        <v>4902</v>
      </c>
      <c r="P401" s="1" t="s">
        <v>9013</v>
      </c>
      <c r="Q401" s="30" t="s">
        <v>2565</v>
      </c>
      <c r="R401" s="33" t="s">
        <v>3473</v>
      </c>
      <c r="S401">
        <v>37</v>
      </c>
      <c r="T401" s="1" t="s">
        <v>13878</v>
      </c>
      <c r="U401" s="1" t="str">
        <f>HYPERLINK("http://ictvonline.org/taxonomy/p/taxonomy-history?taxnode_id=202108603","ICTVonline=202108603")</f>
        <v>ICTVonline=202108603</v>
      </c>
    </row>
    <row r="402" spans="1:21" x14ac:dyDescent="0.2">
      <c r="A402" s="3">
        <v>401</v>
      </c>
      <c r="B402" s="1" t="s">
        <v>4875</v>
      </c>
      <c r="D402" s="1" t="s">
        <v>4876</v>
      </c>
      <c r="F402" s="1" t="s">
        <v>4880</v>
      </c>
      <c r="H402" s="1" t="s">
        <v>4881</v>
      </c>
      <c r="L402" s="1" t="s">
        <v>4883</v>
      </c>
      <c r="M402" s="1" t="s">
        <v>4901</v>
      </c>
      <c r="N402" s="1" t="s">
        <v>4903</v>
      </c>
      <c r="P402" s="1" t="s">
        <v>9014</v>
      </c>
      <c r="Q402" s="30" t="s">
        <v>2565</v>
      </c>
      <c r="R402" s="33" t="s">
        <v>3473</v>
      </c>
      <c r="S402">
        <v>37</v>
      </c>
      <c r="T402" s="1" t="s">
        <v>13878</v>
      </c>
      <c r="U402" s="1" t="str">
        <f>HYPERLINK("http://ictvonline.org/taxonomy/p/taxonomy-history?taxnode_id=202108612","ICTVonline=202108612")</f>
        <v>ICTVonline=202108612</v>
      </c>
    </row>
    <row r="403" spans="1:21" x14ac:dyDescent="0.2">
      <c r="A403" s="3">
        <v>402</v>
      </c>
      <c r="B403" s="1" t="s">
        <v>4875</v>
      </c>
      <c r="D403" s="1" t="s">
        <v>4876</v>
      </c>
      <c r="F403" s="1" t="s">
        <v>4880</v>
      </c>
      <c r="H403" s="1" t="s">
        <v>4881</v>
      </c>
      <c r="L403" s="1" t="s">
        <v>4883</v>
      </c>
      <c r="M403" s="1" t="s">
        <v>4901</v>
      </c>
      <c r="N403" s="1" t="s">
        <v>4904</v>
      </c>
      <c r="P403" s="1" t="s">
        <v>9015</v>
      </c>
      <c r="Q403" s="30" t="s">
        <v>2565</v>
      </c>
      <c r="R403" s="33" t="s">
        <v>3473</v>
      </c>
      <c r="S403">
        <v>37</v>
      </c>
      <c r="T403" s="1" t="s">
        <v>13878</v>
      </c>
      <c r="U403" s="1" t="str">
        <f>HYPERLINK("http://ictvonline.org/taxonomy/p/taxonomy-history?taxnode_id=202108597","ICTVonline=202108597")</f>
        <v>ICTVonline=202108597</v>
      </c>
    </row>
    <row r="404" spans="1:21" x14ac:dyDescent="0.2">
      <c r="A404" s="3">
        <v>403</v>
      </c>
      <c r="B404" s="1" t="s">
        <v>4875</v>
      </c>
      <c r="D404" s="1" t="s">
        <v>4876</v>
      </c>
      <c r="F404" s="1" t="s">
        <v>4880</v>
      </c>
      <c r="H404" s="1" t="s">
        <v>4881</v>
      </c>
      <c r="L404" s="1" t="s">
        <v>4883</v>
      </c>
      <c r="M404" s="1" t="s">
        <v>4901</v>
      </c>
      <c r="N404" s="1" t="s">
        <v>4904</v>
      </c>
      <c r="P404" s="1" t="s">
        <v>9016</v>
      </c>
      <c r="Q404" s="30" t="s">
        <v>2565</v>
      </c>
      <c r="R404" s="33" t="s">
        <v>3473</v>
      </c>
      <c r="S404">
        <v>37</v>
      </c>
      <c r="T404" s="1" t="s">
        <v>13878</v>
      </c>
      <c r="U404" s="1" t="str">
        <f>HYPERLINK("http://ictvonline.org/taxonomy/p/taxonomy-history?taxnode_id=202108596","ICTVonline=202108596")</f>
        <v>ICTVonline=202108596</v>
      </c>
    </row>
    <row r="405" spans="1:21" x14ac:dyDescent="0.2">
      <c r="A405" s="3">
        <v>404</v>
      </c>
      <c r="B405" s="1" t="s">
        <v>4875</v>
      </c>
      <c r="D405" s="1" t="s">
        <v>4876</v>
      </c>
      <c r="F405" s="1" t="s">
        <v>4880</v>
      </c>
      <c r="H405" s="1" t="s">
        <v>4881</v>
      </c>
      <c r="L405" s="1" t="s">
        <v>4883</v>
      </c>
      <c r="M405" s="1" t="s">
        <v>4901</v>
      </c>
      <c r="N405" s="1" t="s">
        <v>4905</v>
      </c>
      <c r="P405" s="1" t="s">
        <v>9017</v>
      </c>
      <c r="Q405" s="30" t="s">
        <v>2565</v>
      </c>
      <c r="R405" s="33" t="s">
        <v>3473</v>
      </c>
      <c r="S405">
        <v>37</v>
      </c>
      <c r="T405" s="1" t="s">
        <v>13878</v>
      </c>
      <c r="U405" s="1" t="str">
        <f>HYPERLINK("http://ictvonline.org/taxonomy/p/taxonomy-history?taxnode_id=202108606","ICTVonline=202108606")</f>
        <v>ICTVonline=202108606</v>
      </c>
    </row>
    <row r="406" spans="1:21" x14ac:dyDescent="0.2">
      <c r="A406" s="3">
        <v>405</v>
      </c>
      <c r="B406" s="1" t="s">
        <v>4875</v>
      </c>
      <c r="D406" s="1" t="s">
        <v>4876</v>
      </c>
      <c r="F406" s="1" t="s">
        <v>4880</v>
      </c>
      <c r="H406" s="1" t="s">
        <v>4881</v>
      </c>
      <c r="L406" s="1" t="s">
        <v>4883</v>
      </c>
      <c r="M406" s="1" t="s">
        <v>4901</v>
      </c>
      <c r="N406" s="1" t="s">
        <v>4905</v>
      </c>
      <c r="P406" s="1" t="s">
        <v>9018</v>
      </c>
      <c r="Q406" s="30" t="s">
        <v>2565</v>
      </c>
      <c r="R406" s="33" t="s">
        <v>3473</v>
      </c>
      <c r="S406">
        <v>37</v>
      </c>
      <c r="T406" s="1" t="s">
        <v>13878</v>
      </c>
      <c r="U406" s="1" t="str">
        <f>HYPERLINK("http://ictvonline.org/taxonomy/p/taxonomy-history?taxnode_id=202108607","ICTVonline=202108607")</f>
        <v>ICTVonline=202108607</v>
      </c>
    </row>
    <row r="407" spans="1:21" x14ac:dyDescent="0.2">
      <c r="A407" s="3">
        <v>406</v>
      </c>
      <c r="B407" s="1" t="s">
        <v>4875</v>
      </c>
      <c r="D407" s="1" t="s">
        <v>4876</v>
      </c>
      <c r="F407" s="1" t="s">
        <v>4880</v>
      </c>
      <c r="H407" s="1" t="s">
        <v>4881</v>
      </c>
      <c r="L407" s="1" t="s">
        <v>4883</v>
      </c>
      <c r="M407" s="1" t="s">
        <v>4901</v>
      </c>
      <c r="N407" s="1" t="s">
        <v>4906</v>
      </c>
      <c r="P407" s="1" t="s">
        <v>9019</v>
      </c>
      <c r="Q407" s="30" t="s">
        <v>2565</v>
      </c>
      <c r="R407" s="33" t="s">
        <v>3473</v>
      </c>
      <c r="S407">
        <v>37</v>
      </c>
      <c r="T407" s="1" t="s">
        <v>13878</v>
      </c>
      <c r="U407" s="1" t="str">
        <f>HYPERLINK("http://ictvonline.org/taxonomy/p/taxonomy-history?taxnode_id=202108616","ICTVonline=202108616")</f>
        <v>ICTVonline=202108616</v>
      </c>
    </row>
    <row r="408" spans="1:21" x14ac:dyDescent="0.2">
      <c r="A408" s="3">
        <v>407</v>
      </c>
      <c r="B408" s="1" t="s">
        <v>4875</v>
      </c>
      <c r="D408" s="1" t="s">
        <v>4876</v>
      </c>
      <c r="F408" s="1" t="s">
        <v>4880</v>
      </c>
      <c r="H408" s="1" t="s">
        <v>4881</v>
      </c>
      <c r="L408" s="1" t="s">
        <v>4883</v>
      </c>
      <c r="M408" s="1" t="s">
        <v>4901</v>
      </c>
      <c r="N408" s="1" t="s">
        <v>4907</v>
      </c>
      <c r="P408" s="1" t="s">
        <v>9020</v>
      </c>
      <c r="Q408" s="30" t="s">
        <v>2565</v>
      </c>
      <c r="R408" s="33" t="s">
        <v>3473</v>
      </c>
      <c r="S408">
        <v>37</v>
      </c>
      <c r="T408" s="1" t="s">
        <v>13878</v>
      </c>
      <c r="U408" s="1" t="str">
        <f>HYPERLINK("http://ictvonline.org/taxonomy/p/taxonomy-history?taxnode_id=202108614","ICTVonline=202108614")</f>
        <v>ICTVonline=202108614</v>
      </c>
    </row>
    <row r="409" spans="1:21" x14ac:dyDescent="0.2">
      <c r="A409" s="3">
        <v>408</v>
      </c>
      <c r="B409" s="1" t="s">
        <v>4875</v>
      </c>
      <c r="D409" s="1" t="s">
        <v>4876</v>
      </c>
      <c r="F409" s="1" t="s">
        <v>4880</v>
      </c>
      <c r="H409" s="1" t="s">
        <v>4881</v>
      </c>
      <c r="L409" s="1" t="s">
        <v>4883</v>
      </c>
      <c r="M409" s="1" t="s">
        <v>4901</v>
      </c>
      <c r="N409" s="1" t="s">
        <v>4908</v>
      </c>
      <c r="P409" s="1" t="s">
        <v>9021</v>
      </c>
      <c r="Q409" s="30" t="s">
        <v>2565</v>
      </c>
      <c r="R409" s="33" t="s">
        <v>3473</v>
      </c>
      <c r="S409">
        <v>37</v>
      </c>
      <c r="T409" s="1" t="s">
        <v>13878</v>
      </c>
      <c r="U409" s="1" t="str">
        <f>HYPERLINK("http://ictvonline.org/taxonomy/p/taxonomy-history?taxnode_id=202108599","ICTVonline=202108599")</f>
        <v>ICTVonline=202108599</v>
      </c>
    </row>
    <row r="410" spans="1:21" x14ac:dyDescent="0.2">
      <c r="A410" s="3">
        <v>409</v>
      </c>
      <c r="B410" s="1" t="s">
        <v>4875</v>
      </c>
      <c r="D410" s="1" t="s">
        <v>4876</v>
      </c>
      <c r="F410" s="1" t="s">
        <v>4880</v>
      </c>
      <c r="H410" s="1" t="s">
        <v>4881</v>
      </c>
      <c r="L410" s="1" t="s">
        <v>4883</v>
      </c>
      <c r="M410" s="1" t="s">
        <v>4901</v>
      </c>
      <c r="N410" s="1" t="s">
        <v>4908</v>
      </c>
      <c r="P410" s="1" t="s">
        <v>9022</v>
      </c>
      <c r="Q410" s="30" t="s">
        <v>2565</v>
      </c>
      <c r="R410" s="33" t="s">
        <v>3473</v>
      </c>
      <c r="S410">
        <v>37</v>
      </c>
      <c r="T410" s="1" t="s">
        <v>13878</v>
      </c>
      <c r="U410" s="1" t="str">
        <f>HYPERLINK("http://ictvonline.org/taxonomy/p/taxonomy-history?taxnode_id=202108600","ICTVonline=202108600")</f>
        <v>ICTVonline=202108600</v>
      </c>
    </row>
    <row r="411" spans="1:21" x14ac:dyDescent="0.2">
      <c r="A411" s="3">
        <v>410</v>
      </c>
      <c r="B411" s="1" t="s">
        <v>4875</v>
      </c>
      <c r="D411" s="1" t="s">
        <v>4876</v>
      </c>
      <c r="F411" s="1" t="s">
        <v>4880</v>
      </c>
      <c r="H411" s="1" t="s">
        <v>4881</v>
      </c>
      <c r="L411" s="1" t="s">
        <v>4883</v>
      </c>
      <c r="M411" s="1" t="s">
        <v>4901</v>
      </c>
      <c r="N411" s="1" t="s">
        <v>4909</v>
      </c>
      <c r="P411" s="1" t="s">
        <v>9023</v>
      </c>
      <c r="Q411" s="30" t="s">
        <v>2565</v>
      </c>
      <c r="R411" s="33" t="s">
        <v>3473</v>
      </c>
      <c r="S411">
        <v>37</v>
      </c>
      <c r="T411" s="1" t="s">
        <v>13878</v>
      </c>
      <c r="U411" s="1" t="str">
        <f>HYPERLINK("http://ictvonline.org/taxonomy/p/taxonomy-history?taxnode_id=202108609","ICTVonline=202108609")</f>
        <v>ICTVonline=202108609</v>
      </c>
    </row>
    <row r="412" spans="1:21" x14ac:dyDescent="0.2">
      <c r="A412" s="3">
        <v>411</v>
      </c>
      <c r="B412" s="1" t="s">
        <v>4875</v>
      </c>
      <c r="D412" s="1" t="s">
        <v>4876</v>
      </c>
      <c r="F412" s="1" t="s">
        <v>4880</v>
      </c>
      <c r="H412" s="1" t="s">
        <v>4881</v>
      </c>
      <c r="L412" s="1" t="s">
        <v>4883</v>
      </c>
      <c r="M412" s="1" t="s">
        <v>4901</v>
      </c>
      <c r="N412" s="1" t="s">
        <v>4909</v>
      </c>
      <c r="P412" s="1" t="s">
        <v>9024</v>
      </c>
      <c r="Q412" s="30" t="s">
        <v>2565</v>
      </c>
      <c r="R412" s="33" t="s">
        <v>3473</v>
      </c>
      <c r="S412">
        <v>37</v>
      </c>
      <c r="T412" s="1" t="s">
        <v>13878</v>
      </c>
      <c r="U412" s="1" t="str">
        <f>HYPERLINK("http://ictvonline.org/taxonomy/p/taxonomy-history?taxnode_id=202108610","ICTVonline=202108610")</f>
        <v>ICTVonline=202108610</v>
      </c>
    </row>
    <row r="413" spans="1:21" x14ac:dyDescent="0.2">
      <c r="A413" s="3">
        <v>412</v>
      </c>
      <c r="B413" s="1" t="s">
        <v>4875</v>
      </c>
      <c r="D413" s="1" t="s">
        <v>4876</v>
      </c>
      <c r="F413" s="1" t="s">
        <v>4880</v>
      </c>
      <c r="H413" s="1" t="s">
        <v>4881</v>
      </c>
      <c r="L413" s="1" t="s">
        <v>4883</v>
      </c>
      <c r="M413" s="1" t="s">
        <v>4910</v>
      </c>
      <c r="N413" s="1" t="s">
        <v>4911</v>
      </c>
      <c r="P413" s="1" t="s">
        <v>9025</v>
      </c>
      <c r="Q413" s="30" t="s">
        <v>2565</v>
      </c>
      <c r="R413" s="33" t="s">
        <v>3473</v>
      </c>
      <c r="S413">
        <v>37</v>
      </c>
      <c r="T413" s="1" t="s">
        <v>13878</v>
      </c>
      <c r="U413" s="1" t="str">
        <f>HYPERLINK("http://ictvonline.org/taxonomy/p/taxonomy-history?taxnode_id=202108579","ICTVonline=202108579")</f>
        <v>ICTVonline=202108579</v>
      </c>
    </row>
    <row r="414" spans="1:21" x14ac:dyDescent="0.2">
      <c r="A414" s="3">
        <v>413</v>
      </c>
      <c r="B414" s="1" t="s">
        <v>4875</v>
      </c>
      <c r="D414" s="1" t="s">
        <v>4876</v>
      </c>
      <c r="F414" s="1" t="s">
        <v>4880</v>
      </c>
      <c r="H414" s="1" t="s">
        <v>4881</v>
      </c>
      <c r="L414" s="1" t="s">
        <v>4883</v>
      </c>
      <c r="M414" s="1" t="s">
        <v>4910</v>
      </c>
      <c r="N414" s="1" t="s">
        <v>4911</v>
      </c>
      <c r="P414" s="1" t="s">
        <v>9026</v>
      </c>
      <c r="Q414" s="30" t="s">
        <v>2565</v>
      </c>
      <c r="R414" s="33" t="s">
        <v>3473</v>
      </c>
      <c r="S414">
        <v>37</v>
      </c>
      <c r="T414" s="1" t="s">
        <v>13878</v>
      </c>
      <c r="U414" s="1" t="str">
        <f>HYPERLINK("http://ictvonline.org/taxonomy/p/taxonomy-history?taxnode_id=202108576","ICTVonline=202108576")</f>
        <v>ICTVonline=202108576</v>
      </c>
    </row>
    <row r="415" spans="1:21" x14ac:dyDescent="0.2">
      <c r="A415" s="3">
        <v>414</v>
      </c>
      <c r="B415" s="1" t="s">
        <v>4875</v>
      </c>
      <c r="D415" s="1" t="s">
        <v>4876</v>
      </c>
      <c r="F415" s="1" t="s">
        <v>4880</v>
      </c>
      <c r="H415" s="1" t="s">
        <v>4881</v>
      </c>
      <c r="L415" s="1" t="s">
        <v>4883</v>
      </c>
      <c r="M415" s="1" t="s">
        <v>4910</v>
      </c>
      <c r="N415" s="1" t="s">
        <v>4911</v>
      </c>
      <c r="P415" s="1" t="s">
        <v>9027</v>
      </c>
      <c r="Q415" s="30" t="s">
        <v>2565</v>
      </c>
      <c r="R415" s="33" t="s">
        <v>3473</v>
      </c>
      <c r="S415">
        <v>37</v>
      </c>
      <c r="T415" s="1" t="s">
        <v>13878</v>
      </c>
      <c r="U415" s="1" t="str">
        <f>HYPERLINK("http://ictvonline.org/taxonomy/p/taxonomy-history?taxnode_id=202108578","ICTVonline=202108578")</f>
        <v>ICTVonline=202108578</v>
      </c>
    </row>
    <row r="416" spans="1:21" x14ac:dyDescent="0.2">
      <c r="A416" s="3">
        <v>415</v>
      </c>
      <c r="B416" s="1" t="s">
        <v>4875</v>
      </c>
      <c r="D416" s="1" t="s">
        <v>4876</v>
      </c>
      <c r="F416" s="1" t="s">
        <v>4880</v>
      </c>
      <c r="H416" s="1" t="s">
        <v>4881</v>
      </c>
      <c r="L416" s="1" t="s">
        <v>4883</v>
      </c>
      <c r="M416" s="1" t="s">
        <v>4910</v>
      </c>
      <c r="N416" s="1" t="s">
        <v>4911</v>
      </c>
      <c r="P416" s="1" t="s">
        <v>9028</v>
      </c>
      <c r="Q416" s="30" t="s">
        <v>2565</v>
      </c>
      <c r="R416" s="33" t="s">
        <v>3473</v>
      </c>
      <c r="S416">
        <v>37</v>
      </c>
      <c r="T416" s="1" t="s">
        <v>13878</v>
      </c>
      <c r="U416" s="1" t="str">
        <f>HYPERLINK("http://ictvonline.org/taxonomy/p/taxonomy-history?taxnode_id=202108577","ICTVonline=202108577")</f>
        <v>ICTVonline=202108577</v>
      </c>
    </row>
    <row r="417" spans="1:21" x14ac:dyDescent="0.2">
      <c r="A417" s="3">
        <v>416</v>
      </c>
      <c r="B417" s="1" t="s">
        <v>4875</v>
      </c>
      <c r="D417" s="1" t="s">
        <v>4876</v>
      </c>
      <c r="F417" s="1" t="s">
        <v>4880</v>
      </c>
      <c r="H417" s="1" t="s">
        <v>4881</v>
      </c>
      <c r="L417" s="1" t="s">
        <v>4883</v>
      </c>
      <c r="M417" s="1" t="s">
        <v>4910</v>
      </c>
      <c r="N417" s="1" t="s">
        <v>4912</v>
      </c>
      <c r="P417" s="1" t="s">
        <v>9029</v>
      </c>
      <c r="Q417" s="30" t="s">
        <v>2565</v>
      </c>
      <c r="R417" s="33" t="s">
        <v>3473</v>
      </c>
      <c r="S417">
        <v>37</v>
      </c>
      <c r="T417" s="1" t="s">
        <v>13878</v>
      </c>
      <c r="U417" s="1" t="str">
        <f>HYPERLINK("http://ictvonline.org/taxonomy/p/taxonomy-history?taxnode_id=202108574","ICTVonline=202108574")</f>
        <v>ICTVonline=202108574</v>
      </c>
    </row>
    <row r="418" spans="1:21" x14ac:dyDescent="0.2">
      <c r="A418" s="3">
        <v>417</v>
      </c>
      <c r="B418" s="1" t="s">
        <v>4875</v>
      </c>
      <c r="D418" s="1" t="s">
        <v>4876</v>
      </c>
      <c r="F418" s="1" t="s">
        <v>4880</v>
      </c>
      <c r="H418" s="1" t="s">
        <v>4881</v>
      </c>
      <c r="L418" s="1" t="s">
        <v>4883</v>
      </c>
      <c r="M418" s="1" t="s">
        <v>4910</v>
      </c>
      <c r="N418" s="1" t="s">
        <v>4913</v>
      </c>
      <c r="P418" s="1" t="s">
        <v>9030</v>
      </c>
      <c r="Q418" s="30" t="s">
        <v>2565</v>
      </c>
      <c r="R418" s="33" t="s">
        <v>3473</v>
      </c>
      <c r="S418">
        <v>37</v>
      </c>
      <c r="T418" s="1" t="s">
        <v>13878</v>
      </c>
      <c r="U418" s="1" t="str">
        <f>HYPERLINK("http://ictvonline.org/taxonomy/p/taxonomy-history?taxnode_id=202100577","ICTVonline=202100577")</f>
        <v>ICTVonline=202100577</v>
      </c>
    </row>
    <row r="419" spans="1:21" x14ac:dyDescent="0.2">
      <c r="A419" s="3">
        <v>418</v>
      </c>
      <c r="B419" s="1" t="s">
        <v>4875</v>
      </c>
      <c r="D419" s="1" t="s">
        <v>4876</v>
      </c>
      <c r="F419" s="1" t="s">
        <v>4880</v>
      </c>
      <c r="H419" s="1" t="s">
        <v>4881</v>
      </c>
      <c r="L419" s="1" t="s">
        <v>4883</v>
      </c>
      <c r="M419" s="1" t="s">
        <v>4910</v>
      </c>
      <c r="N419" s="1" t="s">
        <v>4913</v>
      </c>
      <c r="P419" s="1" t="s">
        <v>9031</v>
      </c>
      <c r="Q419" s="30" t="s">
        <v>2565</v>
      </c>
      <c r="R419" s="33" t="s">
        <v>3473</v>
      </c>
      <c r="S419">
        <v>37</v>
      </c>
      <c r="T419" s="1" t="s">
        <v>13878</v>
      </c>
      <c r="U419" s="1" t="str">
        <f>HYPERLINK("http://ictvonline.org/taxonomy/p/taxonomy-history?taxnode_id=202108572","ICTVonline=202108572")</f>
        <v>ICTVonline=202108572</v>
      </c>
    </row>
    <row r="420" spans="1:21" x14ac:dyDescent="0.2">
      <c r="A420" s="3">
        <v>419</v>
      </c>
      <c r="B420" s="1" t="s">
        <v>4875</v>
      </c>
      <c r="D420" s="1" t="s">
        <v>4876</v>
      </c>
      <c r="F420" s="1" t="s">
        <v>4880</v>
      </c>
      <c r="H420" s="1" t="s">
        <v>4881</v>
      </c>
      <c r="L420" s="1" t="s">
        <v>4883</v>
      </c>
      <c r="M420" s="1" t="s">
        <v>4910</v>
      </c>
      <c r="N420" s="1" t="s">
        <v>4914</v>
      </c>
      <c r="P420" s="1" t="s">
        <v>9032</v>
      </c>
      <c r="Q420" s="30" t="s">
        <v>2565</v>
      </c>
      <c r="R420" s="33" t="s">
        <v>3473</v>
      </c>
      <c r="S420">
        <v>37</v>
      </c>
      <c r="T420" s="1" t="s">
        <v>13878</v>
      </c>
      <c r="U420" s="1" t="str">
        <f>HYPERLINK("http://ictvonline.org/taxonomy/p/taxonomy-history?taxnode_id=202108581","ICTVonline=202108581")</f>
        <v>ICTVonline=202108581</v>
      </c>
    </row>
    <row r="421" spans="1:21" x14ac:dyDescent="0.2">
      <c r="A421" s="3">
        <v>420</v>
      </c>
      <c r="B421" s="1" t="s">
        <v>4875</v>
      </c>
      <c r="D421" s="1" t="s">
        <v>4876</v>
      </c>
      <c r="F421" s="1" t="s">
        <v>4880</v>
      </c>
      <c r="H421" s="1" t="s">
        <v>4881</v>
      </c>
      <c r="L421" s="1" t="s">
        <v>4883</v>
      </c>
      <c r="M421" s="1" t="s">
        <v>4910</v>
      </c>
      <c r="N421" s="1" t="s">
        <v>4915</v>
      </c>
      <c r="P421" s="1" t="s">
        <v>9033</v>
      </c>
      <c r="Q421" s="30" t="s">
        <v>2565</v>
      </c>
      <c r="R421" s="33" t="s">
        <v>3473</v>
      </c>
      <c r="S421">
        <v>37</v>
      </c>
      <c r="T421" s="1" t="s">
        <v>13878</v>
      </c>
      <c r="U421" s="1" t="str">
        <f>HYPERLINK("http://ictvonline.org/taxonomy/p/taxonomy-history?taxnode_id=202108585","ICTVonline=202108585")</f>
        <v>ICTVonline=202108585</v>
      </c>
    </row>
    <row r="422" spans="1:21" x14ac:dyDescent="0.2">
      <c r="A422" s="3">
        <v>421</v>
      </c>
      <c r="B422" s="1" t="s">
        <v>4875</v>
      </c>
      <c r="D422" s="1" t="s">
        <v>4876</v>
      </c>
      <c r="F422" s="1" t="s">
        <v>4880</v>
      </c>
      <c r="H422" s="1" t="s">
        <v>4881</v>
      </c>
      <c r="L422" s="1" t="s">
        <v>4883</v>
      </c>
      <c r="M422" s="1" t="s">
        <v>4910</v>
      </c>
      <c r="N422" s="1" t="s">
        <v>4915</v>
      </c>
      <c r="P422" s="1" t="s">
        <v>9034</v>
      </c>
      <c r="Q422" s="30" t="s">
        <v>2565</v>
      </c>
      <c r="R422" s="33" t="s">
        <v>3473</v>
      </c>
      <c r="S422">
        <v>37</v>
      </c>
      <c r="T422" s="1" t="s">
        <v>13878</v>
      </c>
      <c r="U422" s="1" t="str">
        <f>HYPERLINK("http://ictvonline.org/taxonomy/p/taxonomy-history?taxnode_id=202108584","ICTVonline=202108584")</f>
        <v>ICTVonline=202108584</v>
      </c>
    </row>
    <row r="423" spans="1:21" x14ac:dyDescent="0.2">
      <c r="A423" s="3">
        <v>422</v>
      </c>
      <c r="B423" s="1" t="s">
        <v>4875</v>
      </c>
      <c r="D423" s="1" t="s">
        <v>4876</v>
      </c>
      <c r="F423" s="1" t="s">
        <v>4880</v>
      </c>
      <c r="H423" s="1" t="s">
        <v>4881</v>
      </c>
      <c r="L423" s="1" t="s">
        <v>4883</v>
      </c>
      <c r="M423" s="1" t="s">
        <v>4910</v>
      </c>
      <c r="N423" s="1" t="s">
        <v>4915</v>
      </c>
      <c r="P423" s="1" t="s">
        <v>9035</v>
      </c>
      <c r="Q423" s="30" t="s">
        <v>2565</v>
      </c>
      <c r="R423" s="33" t="s">
        <v>3473</v>
      </c>
      <c r="S423">
        <v>37</v>
      </c>
      <c r="T423" s="1" t="s">
        <v>13878</v>
      </c>
      <c r="U423" s="1" t="str">
        <f>HYPERLINK("http://ictvonline.org/taxonomy/p/taxonomy-history?taxnode_id=202108586","ICTVonline=202108586")</f>
        <v>ICTVonline=202108586</v>
      </c>
    </row>
    <row r="424" spans="1:21" x14ac:dyDescent="0.2">
      <c r="A424" s="3">
        <v>423</v>
      </c>
      <c r="B424" s="1" t="s">
        <v>4875</v>
      </c>
      <c r="D424" s="1" t="s">
        <v>4876</v>
      </c>
      <c r="F424" s="1" t="s">
        <v>4880</v>
      </c>
      <c r="H424" s="1" t="s">
        <v>4881</v>
      </c>
      <c r="L424" s="1" t="s">
        <v>4883</v>
      </c>
      <c r="M424" s="1" t="s">
        <v>4910</v>
      </c>
      <c r="N424" s="1" t="s">
        <v>4915</v>
      </c>
      <c r="P424" s="1" t="s">
        <v>9036</v>
      </c>
      <c r="Q424" s="30" t="s">
        <v>2565</v>
      </c>
      <c r="R424" s="33" t="s">
        <v>3473</v>
      </c>
      <c r="S424">
        <v>37</v>
      </c>
      <c r="T424" s="1" t="s">
        <v>13878</v>
      </c>
      <c r="U424" s="1" t="str">
        <f>HYPERLINK("http://ictvonline.org/taxonomy/p/taxonomy-history?taxnode_id=202108587","ICTVonline=202108587")</f>
        <v>ICTVonline=202108587</v>
      </c>
    </row>
    <row r="425" spans="1:21" x14ac:dyDescent="0.2">
      <c r="A425" s="3">
        <v>424</v>
      </c>
      <c r="B425" s="1" t="s">
        <v>4875</v>
      </c>
      <c r="D425" s="1" t="s">
        <v>4876</v>
      </c>
      <c r="F425" s="1" t="s">
        <v>4880</v>
      </c>
      <c r="H425" s="1" t="s">
        <v>4881</v>
      </c>
      <c r="L425" s="1" t="s">
        <v>4883</v>
      </c>
      <c r="M425" s="1" t="s">
        <v>4910</v>
      </c>
      <c r="N425" s="1" t="s">
        <v>4915</v>
      </c>
      <c r="P425" s="1" t="s">
        <v>9037</v>
      </c>
      <c r="Q425" s="30" t="s">
        <v>2565</v>
      </c>
      <c r="R425" s="33" t="s">
        <v>3473</v>
      </c>
      <c r="S425">
        <v>37</v>
      </c>
      <c r="T425" s="1" t="s">
        <v>13878</v>
      </c>
      <c r="U425" s="1" t="str">
        <f>HYPERLINK("http://ictvonline.org/taxonomy/p/taxonomy-history?taxnode_id=202108590","ICTVonline=202108590")</f>
        <v>ICTVonline=202108590</v>
      </c>
    </row>
    <row r="426" spans="1:21" x14ac:dyDescent="0.2">
      <c r="A426" s="3">
        <v>425</v>
      </c>
      <c r="B426" s="1" t="s">
        <v>4875</v>
      </c>
      <c r="D426" s="1" t="s">
        <v>4876</v>
      </c>
      <c r="F426" s="1" t="s">
        <v>4880</v>
      </c>
      <c r="H426" s="1" t="s">
        <v>4881</v>
      </c>
      <c r="L426" s="1" t="s">
        <v>4883</v>
      </c>
      <c r="M426" s="1" t="s">
        <v>4910</v>
      </c>
      <c r="N426" s="1" t="s">
        <v>4915</v>
      </c>
      <c r="P426" s="1" t="s">
        <v>9038</v>
      </c>
      <c r="Q426" s="30" t="s">
        <v>2565</v>
      </c>
      <c r="R426" s="33" t="s">
        <v>3473</v>
      </c>
      <c r="S426">
        <v>37</v>
      </c>
      <c r="T426" s="1" t="s">
        <v>13878</v>
      </c>
      <c r="U426" s="1" t="str">
        <f>HYPERLINK("http://ictvonline.org/taxonomy/p/taxonomy-history?taxnode_id=202100579","ICTVonline=202100579")</f>
        <v>ICTVonline=202100579</v>
      </c>
    </row>
    <row r="427" spans="1:21" x14ac:dyDescent="0.2">
      <c r="A427" s="3">
        <v>426</v>
      </c>
      <c r="B427" s="1" t="s">
        <v>4875</v>
      </c>
      <c r="D427" s="1" t="s">
        <v>4876</v>
      </c>
      <c r="F427" s="1" t="s">
        <v>4880</v>
      </c>
      <c r="H427" s="1" t="s">
        <v>4881</v>
      </c>
      <c r="L427" s="1" t="s">
        <v>4883</v>
      </c>
      <c r="M427" s="1" t="s">
        <v>4910</v>
      </c>
      <c r="N427" s="1" t="s">
        <v>4915</v>
      </c>
      <c r="P427" s="1" t="s">
        <v>9039</v>
      </c>
      <c r="Q427" s="30" t="s">
        <v>2565</v>
      </c>
      <c r="R427" s="33" t="s">
        <v>3473</v>
      </c>
      <c r="S427">
        <v>37</v>
      </c>
      <c r="T427" s="1" t="s">
        <v>13878</v>
      </c>
      <c r="U427" s="1" t="str">
        <f>HYPERLINK("http://ictvonline.org/taxonomy/p/taxonomy-history?taxnode_id=202100580","ICTVonline=202100580")</f>
        <v>ICTVonline=202100580</v>
      </c>
    </row>
    <row r="428" spans="1:21" x14ac:dyDescent="0.2">
      <c r="A428" s="3">
        <v>427</v>
      </c>
      <c r="B428" s="1" t="s">
        <v>4875</v>
      </c>
      <c r="D428" s="1" t="s">
        <v>4876</v>
      </c>
      <c r="F428" s="1" t="s">
        <v>4880</v>
      </c>
      <c r="H428" s="1" t="s">
        <v>4881</v>
      </c>
      <c r="L428" s="1" t="s">
        <v>4883</v>
      </c>
      <c r="M428" s="1" t="s">
        <v>4910</v>
      </c>
      <c r="N428" s="1" t="s">
        <v>4915</v>
      </c>
      <c r="P428" s="1" t="s">
        <v>9040</v>
      </c>
      <c r="Q428" s="30" t="s">
        <v>2565</v>
      </c>
      <c r="R428" s="33" t="s">
        <v>3473</v>
      </c>
      <c r="S428">
        <v>37</v>
      </c>
      <c r="T428" s="1" t="s">
        <v>13878</v>
      </c>
      <c r="U428" s="1" t="str">
        <f>HYPERLINK("http://ictvonline.org/taxonomy/p/taxonomy-history?taxnode_id=202108588","ICTVonline=202108588")</f>
        <v>ICTVonline=202108588</v>
      </c>
    </row>
    <row r="429" spans="1:21" x14ac:dyDescent="0.2">
      <c r="A429" s="3">
        <v>428</v>
      </c>
      <c r="B429" s="1" t="s">
        <v>4875</v>
      </c>
      <c r="D429" s="1" t="s">
        <v>4876</v>
      </c>
      <c r="F429" s="1" t="s">
        <v>4880</v>
      </c>
      <c r="H429" s="1" t="s">
        <v>4881</v>
      </c>
      <c r="L429" s="1" t="s">
        <v>4883</v>
      </c>
      <c r="M429" s="1" t="s">
        <v>4910</v>
      </c>
      <c r="N429" s="1" t="s">
        <v>4915</v>
      </c>
      <c r="P429" s="1" t="s">
        <v>9041</v>
      </c>
      <c r="Q429" s="30" t="s">
        <v>2565</v>
      </c>
      <c r="R429" s="33" t="s">
        <v>3473</v>
      </c>
      <c r="S429">
        <v>37</v>
      </c>
      <c r="T429" s="1" t="s">
        <v>13878</v>
      </c>
      <c r="U429" s="1" t="str">
        <f>HYPERLINK("http://ictvonline.org/taxonomy/p/taxonomy-history?taxnode_id=202108591","ICTVonline=202108591")</f>
        <v>ICTVonline=202108591</v>
      </c>
    </row>
    <row r="430" spans="1:21" x14ac:dyDescent="0.2">
      <c r="A430" s="3">
        <v>429</v>
      </c>
      <c r="B430" s="1" t="s">
        <v>4875</v>
      </c>
      <c r="D430" s="1" t="s">
        <v>4876</v>
      </c>
      <c r="F430" s="1" t="s">
        <v>4880</v>
      </c>
      <c r="H430" s="1" t="s">
        <v>4881</v>
      </c>
      <c r="L430" s="1" t="s">
        <v>4883</v>
      </c>
      <c r="M430" s="1" t="s">
        <v>4910</v>
      </c>
      <c r="N430" s="1" t="s">
        <v>4915</v>
      </c>
      <c r="P430" s="1" t="s">
        <v>9042</v>
      </c>
      <c r="Q430" s="30" t="s">
        <v>2565</v>
      </c>
      <c r="R430" s="33" t="s">
        <v>3473</v>
      </c>
      <c r="S430">
        <v>37</v>
      </c>
      <c r="T430" s="1" t="s">
        <v>13878</v>
      </c>
      <c r="U430" s="1" t="str">
        <f>HYPERLINK("http://ictvonline.org/taxonomy/p/taxonomy-history?taxnode_id=202108589","ICTVonline=202108589")</f>
        <v>ICTVonline=202108589</v>
      </c>
    </row>
    <row r="431" spans="1:21" x14ac:dyDescent="0.2">
      <c r="A431" s="3">
        <v>430</v>
      </c>
      <c r="B431" s="1" t="s">
        <v>4875</v>
      </c>
      <c r="D431" s="1" t="s">
        <v>4876</v>
      </c>
      <c r="F431" s="1" t="s">
        <v>4880</v>
      </c>
      <c r="H431" s="1" t="s">
        <v>4881</v>
      </c>
      <c r="L431" s="1" t="s">
        <v>4883</v>
      </c>
      <c r="M431" s="1" t="s">
        <v>4910</v>
      </c>
      <c r="N431" s="1" t="s">
        <v>4915</v>
      </c>
      <c r="P431" s="1" t="s">
        <v>9043</v>
      </c>
      <c r="Q431" s="30" t="s">
        <v>2565</v>
      </c>
      <c r="R431" s="33" t="s">
        <v>3473</v>
      </c>
      <c r="S431">
        <v>37</v>
      </c>
      <c r="T431" s="1" t="s">
        <v>13878</v>
      </c>
      <c r="U431" s="1" t="str">
        <f>HYPERLINK("http://ictvonline.org/taxonomy/p/taxonomy-history?taxnode_id=202108583","ICTVonline=202108583")</f>
        <v>ICTVonline=202108583</v>
      </c>
    </row>
    <row r="432" spans="1:21" x14ac:dyDescent="0.2">
      <c r="A432" s="3">
        <v>431</v>
      </c>
      <c r="B432" s="1" t="s">
        <v>4875</v>
      </c>
      <c r="D432" s="1" t="s">
        <v>4876</v>
      </c>
      <c r="F432" s="1" t="s">
        <v>4880</v>
      </c>
      <c r="H432" s="1" t="s">
        <v>4881</v>
      </c>
      <c r="L432" s="1" t="s">
        <v>4883</v>
      </c>
      <c r="M432" s="1" t="s">
        <v>4910</v>
      </c>
      <c r="N432" s="1" t="s">
        <v>4588</v>
      </c>
      <c r="P432" s="1" t="s">
        <v>9044</v>
      </c>
      <c r="Q432" s="30" t="s">
        <v>2565</v>
      </c>
      <c r="R432" s="33" t="s">
        <v>3473</v>
      </c>
      <c r="S432">
        <v>37</v>
      </c>
      <c r="T432" s="1" t="s">
        <v>13878</v>
      </c>
      <c r="U432" s="1" t="str">
        <f>HYPERLINK("http://ictvonline.org/taxonomy/p/taxonomy-history?taxnode_id=202108593","ICTVonline=202108593")</f>
        <v>ICTVonline=202108593</v>
      </c>
    </row>
    <row r="433" spans="1:21" x14ac:dyDescent="0.2">
      <c r="A433" s="3">
        <v>432</v>
      </c>
      <c r="B433" s="1" t="s">
        <v>4875</v>
      </c>
      <c r="D433" s="1" t="s">
        <v>4876</v>
      </c>
      <c r="F433" s="1" t="s">
        <v>4880</v>
      </c>
      <c r="H433" s="1" t="s">
        <v>4881</v>
      </c>
      <c r="L433" s="1" t="s">
        <v>4883</v>
      </c>
      <c r="M433" s="1" t="s">
        <v>4910</v>
      </c>
      <c r="N433" s="1" t="s">
        <v>4588</v>
      </c>
      <c r="P433" s="1" t="s">
        <v>9045</v>
      </c>
      <c r="Q433" s="30" t="s">
        <v>2565</v>
      </c>
      <c r="R433" s="33" t="s">
        <v>3473</v>
      </c>
      <c r="S433">
        <v>37</v>
      </c>
      <c r="T433" s="1" t="s">
        <v>13878</v>
      </c>
      <c r="U433" s="1" t="str">
        <f>HYPERLINK("http://ictvonline.org/taxonomy/p/taxonomy-history?taxnode_id=202100581","ICTVonline=202100581")</f>
        <v>ICTVonline=202100581</v>
      </c>
    </row>
    <row r="434" spans="1:21" x14ac:dyDescent="0.2">
      <c r="A434" s="3">
        <v>433</v>
      </c>
      <c r="B434" s="1" t="s">
        <v>4875</v>
      </c>
      <c r="D434" s="1" t="s">
        <v>4876</v>
      </c>
      <c r="F434" s="1" t="s">
        <v>4880</v>
      </c>
      <c r="H434" s="1" t="s">
        <v>4881</v>
      </c>
      <c r="L434" s="1" t="s">
        <v>4883</v>
      </c>
      <c r="M434" s="1" t="s">
        <v>4910</v>
      </c>
      <c r="N434" s="1" t="s">
        <v>4588</v>
      </c>
      <c r="P434" s="1" t="s">
        <v>9046</v>
      </c>
      <c r="Q434" s="30" t="s">
        <v>2565</v>
      </c>
      <c r="R434" s="33" t="s">
        <v>3473</v>
      </c>
      <c r="S434">
        <v>37</v>
      </c>
      <c r="T434" s="1" t="s">
        <v>13878</v>
      </c>
      <c r="U434" s="1" t="str">
        <f>HYPERLINK("http://ictvonline.org/taxonomy/p/taxonomy-history?taxnode_id=202108592","ICTVonline=202108592")</f>
        <v>ICTVonline=202108592</v>
      </c>
    </row>
    <row r="435" spans="1:21" x14ac:dyDescent="0.2">
      <c r="A435" s="3">
        <v>434</v>
      </c>
      <c r="B435" s="1" t="s">
        <v>4875</v>
      </c>
      <c r="D435" s="1" t="s">
        <v>4876</v>
      </c>
      <c r="F435" s="1" t="s">
        <v>4880</v>
      </c>
      <c r="H435" s="1" t="s">
        <v>4881</v>
      </c>
      <c r="L435" s="1" t="s">
        <v>4883</v>
      </c>
      <c r="M435" s="1" t="s">
        <v>4916</v>
      </c>
      <c r="N435" s="1" t="s">
        <v>4917</v>
      </c>
      <c r="P435" s="1" t="s">
        <v>9047</v>
      </c>
      <c r="Q435" s="30" t="s">
        <v>2565</v>
      </c>
      <c r="R435" s="33" t="s">
        <v>3473</v>
      </c>
      <c r="S435">
        <v>37</v>
      </c>
      <c r="T435" s="1" t="s">
        <v>13878</v>
      </c>
      <c r="U435" s="1" t="str">
        <f>HYPERLINK("http://ictvonline.org/taxonomy/p/taxonomy-history?taxnode_id=202108337","ICTVonline=202108337")</f>
        <v>ICTVonline=202108337</v>
      </c>
    </row>
    <row r="436" spans="1:21" x14ac:dyDescent="0.2">
      <c r="A436" s="3">
        <v>435</v>
      </c>
      <c r="B436" s="1" t="s">
        <v>4875</v>
      </c>
      <c r="D436" s="1" t="s">
        <v>4876</v>
      </c>
      <c r="F436" s="1" t="s">
        <v>4880</v>
      </c>
      <c r="H436" s="1" t="s">
        <v>4881</v>
      </c>
      <c r="L436" s="1" t="s">
        <v>4883</v>
      </c>
      <c r="M436" s="1" t="s">
        <v>4916</v>
      </c>
      <c r="N436" s="1" t="s">
        <v>4917</v>
      </c>
      <c r="P436" s="1" t="s">
        <v>9048</v>
      </c>
      <c r="Q436" s="30" t="s">
        <v>2565</v>
      </c>
      <c r="R436" s="33" t="s">
        <v>3473</v>
      </c>
      <c r="S436">
        <v>37</v>
      </c>
      <c r="T436" s="1" t="s">
        <v>13878</v>
      </c>
      <c r="U436" s="1" t="str">
        <f>HYPERLINK("http://ictvonline.org/taxonomy/p/taxonomy-history?taxnode_id=202108338","ICTVonline=202108338")</f>
        <v>ICTVonline=202108338</v>
      </c>
    </row>
    <row r="437" spans="1:21" x14ac:dyDescent="0.2">
      <c r="A437" s="3">
        <v>436</v>
      </c>
      <c r="B437" s="1" t="s">
        <v>4875</v>
      </c>
      <c r="D437" s="1" t="s">
        <v>4876</v>
      </c>
      <c r="F437" s="1" t="s">
        <v>4880</v>
      </c>
      <c r="H437" s="1" t="s">
        <v>4881</v>
      </c>
      <c r="L437" s="1" t="s">
        <v>4883</v>
      </c>
      <c r="M437" s="1" t="s">
        <v>4916</v>
      </c>
      <c r="N437" s="1" t="s">
        <v>4918</v>
      </c>
      <c r="P437" s="1" t="s">
        <v>9049</v>
      </c>
      <c r="Q437" s="30" t="s">
        <v>2565</v>
      </c>
      <c r="R437" s="33" t="s">
        <v>3473</v>
      </c>
      <c r="S437">
        <v>37</v>
      </c>
      <c r="T437" s="1" t="s">
        <v>13878</v>
      </c>
      <c r="U437" s="1" t="str">
        <f>HYPERLINK("http://ictvonline.org/taxonomy/p/taxonomy-history?taxnode_id=202108334","ICTVonline=202108334")</f>
        <v>ICTVonline=202108334</v>
      </c>
    </row>
    <row r="438" spans="1:21" x14ac:dyDescent="0.2">
      <c r="A438" s="3">
        <v>437</v>
      </c>
      <c r="B438" s="1" t="s">
        <v>4875</v>
      </c>
      <c r="D438" s="1" t="s">
        <v>4876</v>
      </c>
      <c r="F438" s="1" t="s">
        <v>4880</v>
      </c>
      <c r="H438" s="1" t="s">
        <v>4881</v>
      </c>
      <c r="L438" s="1" t="s">
        <v>4883</v>
      </c>
      <c r="M438" s="1" t="s">
        <v>4916</v>
      </c>
      <c r="N438" s="1" t="s">
        <v>4918</v>
      </c>
      <c r="P438" s="1" t="s">
        <v>9050</v>
      </c>
      <c r="Q438" s="30" t="s">
        <v>2565</v>
      </c>
      <c r="R438" s="33" t="s">
        <v>3473</v>
      </c>
      <c r="S438">
        <v>37</v>
      </c>
      <c r="T438" s="1" t="s">
        <v>13878</v>
      </c>
      <c r="U438" s="1" t="str">
        <f>HYPERLINK("http://ictvonline.org/taxonomy/p/taxonomy-history?taxnode_id=202108335","ICTVonline=202108335")</f>
        <v>ICTVonline=202108335</v>
      </c>
    </row>
    <row r="439" spans="1:21" x14ac:dyDescent="0.2">
      <c r="A439" s="3">
        <v>438</v>
      </c>
      <c r="B439" s="1" t="s">
        <v>4875</v>
      </c>
      <c r="D439" s="1" t="s">
        <v>4876</v>
      </c>
      <c r="F439" s="1" t="s">
        <v>4880</v>
      </c>
      <c r="H439" s="1" t="s">
        <v>4881</v>
      </c>
      <c r="L439" s="1" t="s">
        <v>4883</v>
      </c>
      <c r="M439" s="1" t="s">
        <v>4916</v>
      </c>
      <c r="N439" s="1" t="s">
        <v>4919</v>
      </c>
      <c r="P439" s="1" t="s">
        <v>9051</v>
      </c>
      <c r="Q439" s="30" t="s">
        <v>2565</v>
      </c>
      <c r="R439" s="33" t="s">
        <v>3473</v>
      </c>
      <c r="S439">
        <v>37</v>
      </c>
      <c r="T439" s="1" t="s">
        <v>13878</v>
      </c>
      <c r="U439" s="1" t="str">
        <f>HYPERLINK("http://ictvonline.org/taxonomy/p/taxonomy-history?taxnode_id=202108342","ICTVonline=202108342")</f>
        <v>ICTVonline=202108342</v>
      </c>
    </row>
    <row r="440" spans="1:21" x14ac:dyDescent="0.2">
      <c r="A440" s="3">
        <v>439</v>
      </c>
      <c r="B440" s="1" t="s">
        <v>4875</v>
      </c>
      <c r="D440" s="1" t="s">
        <v>4876</v>
      </c>
      <c r="F440" s="1" t="s">
        <v>4880</v>
      </c>
      <c r="H440" s="1" t="s">
        <v>4881</v>
      </c>
      <c r="L440" s="1" t="s">
        <v>4883</v>
      </c>
      <c r="M440" s="1" t="s">
        <v>4916</v>
      </c>
      <c r="N440" s="1" t="s">
        <v>4920</v>
      </c>
      <c r="P440" s="1" t="s">
        <v>9052</v>
      </c>
      <c r="Q440" s="30" t="s">
        <v>2565</v>
      </c>
      <c r="R440" s="33" t="s">
        <v>3473</v>
      </c>
      <c r="S440">
        <v>37</v>
      </c>
      <c r="T440" s="1" t="s">
        <v>13878</v>
      </c>
      <c r="U440" s="1" t="str">
        <f>HYPERLINK("http://ictvonline.org/taxonomy/p/taxonomy-history?taxnode_id=202108332","ICTVonline=202108332")</f>
        <v>ICTVonline=202108332</v>
      </c>
    </row>
    <row r="441" spans="1:21" x14ac:dyDescent="0.2">
      <c r="A441" s="3">
        <v>440</v>
      </c>
      <c r="B441" s="1" t="s">
        <v>4875</v>
      </c>
      <c r="D441" s="1" t="s">
        <v>4876</v>
      </c>
      <c r="F441" s="1" t="s">
        <v>4880</v>
      </c>
      <c r="H441" s="1" t="s">
        <v>4881</v>
      </c>
      <c r="L441" s="1" t="s">
        <v>4883</v>
      </c>
      <c r="M441" s="1" t="s">
        <v>4916</v>
      </c>
      <c r="N441" s="1" t="s">
        <v>4920</v>
      </c>
      <c r="P441" s="1" t="s">
        <v>9053</v>
      </c>
      <c r="Q441" s="30" t="s">
        <v>2565</v>
      </c>
      <c r="R441" s="33" t="s">
        <v>3473</v>
      </c>
      <c r="S441">
        <v>37</v>
      </c>
      <c r="T441" s="1" t="s">
        <v>13878</v>
      </c>
      <c r="U441" s="1" t="str">
        <f>HYPERLINK("http://ictvonline.org/taxonomy/p/taxonomy-history?taxnode_id=202108331","ICTVonline=202108331")</f>
        <v>ICTVonline=202108331</v>
      </c>
    </row>
    <row r="442" spans="1:21" x14ac:dyDescent="0.2">
      <c r="A442" s="3">
        <v>441</v>
      </c>
      <c r="B442" s="1" t="s">
        <v>4875</v>
      </c>
      <c r="D442" s="1" t="s">
        <v>4876</v>
      </c>
      <c r="F442" s="1" t="s">
        <v>4880</v>
      </c>
      <c r="H442" s="1" t="s">
        <v>4881</v>
      </c>
      <c r="L442" s="1" t="s">
        <v>4883</v>
      </c>
      <c r="M442" s="1" t="s">
        <v>4916</v>
      </c>
      <c r="N442" s="1" t="s">
        <v>4921</v>
      </c>
      <c r="P442" s="1" t="s">
        <v>9054</v>
      </c>
      <c r="Q442" s="30" t="s">
        <v>2565</v>
      </c>
      <c r="R442" s="33" t="s">
        <v>3473</v>
      </c>
      <c r="S442">
        <v>37</v>
      </c>
      <c r="T442" s="1" t="s">
        <v>13878</v>
      </c>
      <c r="U442" s="1" t="str">
        <f>HYPERLINK("http://ictvonline.org/taxonomy/p/taxonomy-history?taxnode_id=202108340","ICTVonline=202108340")</f>
        <v>ICTVonline=202108340</v>
      </c>
    </row>
    <row r="443" spans="1:21" x14ac:dyDescent="0.2">
      <c r="A443" s="3">
        <v>442</v>
      </c>
      <c r="B443" s="1" t="s">
        <v>4875</v>
      </c>
      <c r="D443" s="1" t="s">
        <v>4876</v>
      </c>
      <c r="F443" s="1" t="s">
        <v>4880</v>
      </c>
      <c r="H443" s="1" t="s">
        <v>4881</v>
      </c>
      <c r="L443" s="1" t="s">
        <v>4883</v>
      </c>
      <c r="M443" s="1" t="s">
        <v>4922</v>
      </c>
      <c r="N443" s="1" t="s">
        <v>4923</v>
      </c>
      <c r="P443" s="1" t="s">
        <v>9055</v>
      </c>
      <c r="Q443" s="30" t="s">
        <v>2565</v>
      </c>
      <c r="R443" s="33" t="s">
        <v>3473</v>
      </c>
      <c r="S443">
        <v>37</v>
      </c>
      <c r="T443" s="1" t="s">
        <v>13878</v>
      </c>
      <c r="U443" s="1" t="str">
        <f>HYPERLINK("http://ictvonline.org/taxonomy/p/taxonomy-history?taxnode_id=202108550","ICTVonline=202108550")</f>
        <v>ICTVonline=202108550</v>
      </c>
    </row>
    <row r="444" spans="1:21" x14ac:dyDescent="0.2">
      <c r="A444" s="3">
        <v>443</v>
      </c>
      <c r="B444" s="1" t="s">
        <v>4875</v>
      </c>
      <c r="D444" s="1" t="s">
        <v>4876</v>
      </c>
      <c r="F444" s="1" t="s">
        <v>4880</v>
      </c>
      <c r="H444" s="1" t="s">
        <v>4881</v>
      </c>
      <c r="L444" s="1" t="s">
        <v>4883</v>
      </c>
      <c r="M444" s="1" t="s">
        <v>4922</v>
      </c>
      <c r="N444" s="1" t="s">
        <v>4581</v>
      </c>
      <c r="P444" s="1" t="s">
        <v>9056</v>
      </c>
      <c r="Q444" s="30" t="s">
        <v>2565</v>
      </c>
      <c r="R444" s="33" t="s">
        <v>3473</v>
      </c>
      <c r="S444">
        <v>37</v>
      </c>
      <c r="T444" s="1" t="s">
        <v>13878</v>
      </c>
      <c r="U444" s="1" t="str">
        <f>HYPERLINK("http://ictvonline.org/taxonomy/p/taxonomy-history?taxnode_id=202108543","ICTVonline=202108543")</f>
        <v>ICTVonline=202108543</v>
      </c>
    </row>
    <row r="445" spans="1:21" x14ac:dyDescent="0.2">
      <c r="A445" s="3">
        <v>444</v>
      </c>
      <c r="B445" s="1" t="s">
        <v>4875</v>
      </c>
      <c r="D445" s="1" t="s">
        <v>4876</v>
      </c>
      <c r="F445" s="1" t="s">
        <v>4880</v>
      </c>
      <c r="H445" s="1" t="s">
        <v>4881</v>
      </c>
      <c r="L445" s="1" t="s">
        <v>4883</v>
      </c>
      <c r="M445" s="1" t="s">
        <v>4922</v>
      </c>
      <c r="N445" s="1" t="s">
        <v>4581</v>
      </c>
      <c r="P445" s="1" t="s">
        <v>9057</v>
      </c>
      <c r="Q445" s="30" t="s">
        <v>2565</v>
      </c>
      <c r="R445" s="33" t="s">
        <v>3473</v>
      </c>
      <c r="S445">
        <v>37</v>
      </c>
      <c r="T445" s="1" t="s">
        <v>13878</v>
      </c>
      <c r="U445" s="1" t="str">
        <f>HYPERLINK("http://ictvonline.org/taxonomy/p/taxonomy-history?taxnode_id=202108536","ICTVonline=202108536")</f>
        <v>ICTVonline=202108536</v>
      </c>
    </row>
    <row r="446" spans="1:21" x14ac:dyDescent="0.2">
      <c r="A446" s="3">
        <v>445</v>
      </c>
      <c r="B446" s="1" t="s">
        <v>4875</v>
      </c>
      <c r="D446" s="1" t="s">
        <v>4876</v>
      </c>
      <c r="F446" s="1" t="s">
        <v>4880</v>
      </c>
      <c r="H446" s="1" t="s">
        <v>4881</v>
      </c>
      <c r="L446" s="1" t="s">
        <v>4883</v>
      </c>
      <c r="M446" s="1" t="s">
        <v>4922</v>
      </c>
      <c r="N446" s="1" t="s">
        <v>4581</v>
      </c>
      <c r="P446" s="1" t="s">
        <v>9058</v>
      </c>
      <c r="Q446" s="30" t="s">
        <v>2565</v>
      </c>
      <c r="R446" s="33" t="s">
        <v>3473</v>
      </c>
      <c r="S446">
        <v>37</v>
      </c>
      <c r="T446" s="1" t="s">
        <v>13878</v>
      </c>
      <c r="U446" s="1" t="str">
        <f>HYPERLINK("http://ictvonline.org/taxonomy/p/taxonomy-history?taxnode_id=202100558","ICTVonline=202100558")</f>
        <v>ICTVonline=202100558</v>
      </c>
    </row>
    <row r="447" spans="1:21" x14ac:dyDescent="0.2">
      <c r="A447" s="3">
        <v>446</v>
      </c>
      <c r="B447" s="1" t="s">
        <v>4875</v>
      </c>
      <c r="D447" s="1" t="s">
        <v>4876</v>
      </c>
      <c r="F447" s="1" t="s">
        <v>4880</v>
      </c>
      <c r="H447" s="1" t="s">
        <v>4881</v>
      </c>
      <c r="L447" s="1" t="s">
        <v>4883</v>
      </c>
      <c r="M447" s="1" t="s">
        <v>4922</v>
      </c>
      <c r="N447" s="1" t="s">
        <v>4581</v>
      </c>
      <c r="P447" s="1" t="s">
        <v>9059</v>
      </c>
      <c r="Q447" s="30" t="s">
        <v>2565</v>
      </c>
      <c r="R447" s="33" t="s">
        <v>3473</v>
      </c>
      <c r="S447">
        <v>37</v>
      </c>
      <c r="T447" s="1" t="s">
        <v>13878</v>
      </c>
      <c r="U447" s="1" t="str">
        <f>HYPERLINK("http://ictvonline.org/taxonomy/p/taxonomy-history?taxnode_id=202100559","ICTVonline=202100559")</f>
        <v>ICTVonline=202100559</v>
      </c>
    </row>
    <row r="448" spans="1:21" x14ac:dyDescent="0.2">
      <c r="A448" s="3">
        <v>447</v>
      </c>
      <c r="B448" s="1" t="s">
        <v>4875</v>
      </c>
      <c r="D448" s="1" t="s">
        <v>4876</v>
      </c>
      <c r="F448" s="1" t="s">
        <v>4880</v>
      </c>
      <c r="H448" s="1" t="s">
        <v>4881</v>
      </c>
      <c r="L448" s="1" t="s">
        <v>4883</v>
      </c>
      <c r="M448" s="1" t="s">
        <v>4922</v>
      </c>
      <c r="N448" s="1" t="s">
        <v>4581</v>
      </c>
      <c r="P448" s="1" t="s">
        <v>9060</v>
      </c>
      <c r="Q448" s="30" t="s">
        <v>2565</v>
      </c>
      <c r="R448" s="33" t="s">
        <v>3473</v>
      </c>
      <c r="S448">
        <v>37</v>
      </c>
      <c r="T448" s="1" t="s">
        <v>13878</v>
      </c>
      <c r="U448" s="1" t="str">
        <f>HYPERLINK("http://ictvonline.org/taxonomy/p/taxonomy-history?taxnode_id=202100560","ICTVonline=202100560")</f>
        <v>ICTVonline=202100560</v>
      </c>
    </row>
    <row r="449" spans="1:21" x14ac:dyDescent="0.2">
      <c r="A449" s="3">
        <v>448</v>
      </c>
      <c r="B449" s="1" t="s">
        <v>4875</v>
      </c>
      <c r="D449" s="1" t="s">
        <v>4876</v>
      </c>
      <c r="F449" s="1" t="s">
        <v>4880</v>
      </c>
      <c r="H449" s="1" t="s">
        <v>4881</v>
      </c>
      <c r="L449" s="1" t="s">
        <v>4883</v>
      </c>
      <c r="M449" s="1" t="s">
        <v>4922</v>
      </c>
      <c r="N449" s="1" t="s">
        <v>4581</v>
      </c>
      <c r="P449" s="1" t="s">
        <v>9061</v>
      </c>
      <c r="Q449" s="30" t="s">
        <v>2565</v>
      </c>
      <c r="R449" s="33" t="s">
        <v>3473</v>
      </c>
      <c r="S449">
        <v>37</v>
      </c>
      <c r="T449" s="1" t="s">
        <v>13878</v>
      </c>
      <c r="U449" s="1" t="str">
        <f>HYPERLINK("http://ictvonline.org/taxonomy/p/taxonomy-history?taxnode_id=202100561","ICTVonline=202100561")</f>
        <v>ICTVonline=202100561</v>
      </c>
    </row>
    <row r="450" spans="1:21" x14ac:dyDescent="0.2">
      <c r="A450" s="3">
        <v>449</v>
      </c>
      <c r="B450" s="1" t="s">
        <v>4875</v>
      </c>
      <c r="D450" s="1" t="s">
        <v>4876</v>
      </c>
      <c r="F450" s="1" t="s">
        <v>4880</v>
      </c>
      <c r="H450" s="1" t="s">
        <v>4881</v>
      </c>
      <c r="L450" s="1" t="s">
        <v>4883</v>
      </c>
      <c r="M450" s="1" t="s">
        <v>4922</v>
      </c>
      <c r="N450" s="1" t="s">
        <v>4581</v>
      </c>
      <c r="P450" s="1" t="s">
        <v>9062</v>
      </c>
      <c r="Q450" s="30" t="s">
        <v>2565</v>
      </c>
      <c r="R450" s="33" t="s">
        <v>3473</v>
      </c>
      <c r="S450">
        <v>37</v>
      </c>
      <c r="T450" s="1" t="s">
        <v>13878</v>
      </c>
      <c r="U450" s="1" t="str">
        <f>HYPERLINK("http://ictvonline.org/taxonomy/p/taxonomy-history?taxnode_id=202108539","ICTVonline=202108539")</f>
        <v>ICTVonline=202108539</v>
      </c>
    </row>
    <row r="451" spans="1:21" x14ac:dyDescent="0.2">
      <c r="A451" s="3">
        <v>450</v>
      </c>
      <c r="B451" s="1" t="s">
        <v>4875</v>
      </c>
      <c r="D451" s="1" t="s">
        <v>4876</v>
      </c>
      <c r="F451" s="1" t="s">
        <v>4880</v>
      </c>
      <c r="H451" s="1" t="s">
        <v>4881</v>
      </c>
      <c r="L451" s="1" t="s">
        <v>4883</v>
      </c>
      <c r="M451" s="1" t="s">
        <v>4922</v>
      </c>
      <c r="N451" s="1" t="s">
        <v>4581</v>
      </c>
      <c r="P451" s="1" t="s">
        <v>9063</v>
      </c>
      <c r="Q451" s="30" t="s">
        <v>2565</v>
      </c>
      <c r="R451" s="33" t="s">
        <v>3473</v>
      </c>
      <c r="S451">
        <v>37</v>
      </c>
      <c r="T451" s="1" t="s">
        <v>13878</v>
      </c>
      <c r="U451" s="1" t="str">
        <f>HYPERLINK("http://ictvonline.org/taxonomy/p/taxonomy-history?taxnode_id=202108538","ICTVonline=202108538")</f>
        <v>ICTVonline=202108538</v>
      </c>
    </row>
    <row r="452" spans="1:21" x14ac:dyDescent="0.2">
      <c r="A452" s="3">
        <v>451</v>
      </c>
      <c r="B452" s="1" t="s">
        <v>4875</v>
      </c>
      <c r="D452" s="1" t="s">
        <v>4876</v>
      </c>
      <c r="F452" s="1" t="s">
        <v>4880</v>
      </c>
      <c r="H452" s="1" t="s">
        <v>4881</v>
      </c>
      <c r="L452" s="1" t="s">
        <v>4883</v>
      </c>
      <c r="M452" s="1" t="s">
        <v>4922</v>
      </c>
      <c r="N452" s="1" t="s">
        <v>4581</v>
      </c>
      <c r="P452" s="1" t="s">
        <v>9064</v>
      </c>
      <c r="Q452" s="30" t="s">
        <v>2565</v>
      </c>
      <c r="R452" s="33" t="s">
        <v>3473</v>
      </c>
      <c r="S452">
        <v>37</v>
      </c>
      <c r="T452" s="1" t="s">
        <v>13878</v>
      </c>
      <c r="U452" s="1" t="str">
        <f>HYPERLINK("http://ictvonline.org/taxonomy/p/taxonomy-history?taxnode_id=202100562","ICTVonline=202100562")</f>
        <v>ICTVonline=202100562</v>
      </c>
    </row>
    <row r="453" spans="1:21" x14ac:dyDescent="0.2">
      <c r="A453" s="3">
        <v>452</v>
      </c>
      <c r="B453" s="1" t="s">
        <v>4875</v>
      </c>
      <c r="D453" s="1" t="s">
        <v>4876</v>
      </c>
      <c r="F453" s="1" t="s">
        <v>4880</v>
      </c>
      <c r="H453" s="1" t="s">
        <v>4881</v>
      </c>
      <c r="L453" s="1" t="s">
        <v>4883</v>
      </c>
      <c r="M453" s="1" t="s">
        <v>4922</v>
      </c>
      <c r="N453" s="1" t="s">
        <v>4581</v>
      </c>
      <c r="P453" s="1" t="s">
        <v>9065</v>
      </c>
      <c r="Q453" s="30" t="s">
        <v>2565</v>
      </c>
      <c r="R453" s="33" t="s">
        <v>3473</v>
      </c>
      <c r="S453">
        <v>37</v>
      </c>
      <c r="T453" s="1" t="s">
        <v>13878</v>
      </c>
      <c r="U453" s="1" t="str">
        <f>HYPERLINK("http://ictvonline.org/taxonomy/p/taxonomy-history?taxnode_id=202108537","ICTVonline=202108537")</f>
        <v>ICTVonline=202108537</v>
      </c>
    </row>
    <row r="454" spans="1:21" x14ac:dyDescent="0.2">
      <c r="A454" s="3">
        <v>453</v>
      </c>
      <c r="B454" s="1" t="s">
        <v>4875</v>
      </c>
      <c r="D454" s="1" t="s">
        <v>4876</v>
      </c>
      <c r="F454" s="1" t="s">
        <v>4880</v>
      </c>
      <c r="H454" s="1" t="s">
        <v>4881</v>
      </c>
      <c r="L454" s="1" t="s">
        <v>4883</v>
      </c>
      <c r="M454" s="1" t="s">
        <v>4922</v>
      </c>
      <c r="N454" s="1" t="s">
        <v>4581</v>
      </c>
      <c r="P454" s="1" t="s">
        <v>9066</v>
      </c>
      <c r="Q454" s="30" t="s">
        <v>2565</v>
      </c>
      <c r="R454" s="33" t="s">
        <v>3473</v>
      </c>
      <c r="S454">
        <v>37</v>
      </c>
      <c r="T454" s="1" t="s">
        <v>13878</v>
      </c>
      <c r="U454" s="1" t="str">
        <f>HYPERLINK("http://ictvonline.org/taxonomy/p/taxonomy-history?taxnode_id=202100563","ICTVonline=202100563")</f>
        <v>ICTVonline=202100563</v>
      </c>
    </row>
    <row r="455" spans="1:21" x14ac:dyDescent="0.2">
      <c r="A455" s="3">
        <v>454</v>
      </c>
      <c r="B455" s="1" t="s">
        <v>4875</v>
      </c>
      <c r="D455" s="1" t="s">
        <v>4876</v>
      </c>
      <c r="F455" s="1" t="s">
        <v>4880</v>
      </c>
      <c r="H455" s="1" t="s">
        <v>4881</v>
      </c>
      <c r="L455" s="1" t="s">
        <v>4883</v>
      </c>
      <c r="M455" s="1" t="s">
        <v>4922</v>
      </c>
      <c r="N455" s="1" t="s">
        <v>4581</v>
      </c>
      <c r="P455" s="1" t="s">
        <v>9067</v>
      </c>
      <c r="Q455" s="30" t="s">
        <v>2565</v>
      </c>
      <c r="R455" s="33" t="s">
        <v>3473</v>
      </c>
      <c r="S455">
        <v>37</v>
      </c>
      <c r="T455" s="1" t="s">
        <v>13878</v>
      </c>
      <c r="U455" s="1" t="str">
        <f>HYPERLINK("http://ictvonline.org/taxonomy/p/taxonomy-history?taxnode_id=202108541","ICTVonline=202108541")</f>
        <v>ICTVonline=202108541</v>
      </c>
    </row>
    <row r="456" spans="1:21" x14ac:dyDescent="0.2">
      <c r="A456" s="3">
        <v>455</v>
      </c>
      <c r="B456" s="1" t="s">
        <v>4875</v>
      </c>
      <c r="D456" s="1" t="s">
        <v>4876</v>
      </c>
      <c r="F456" s="1" t="s">
        <v>4880</v>
      </c>
      <c r="H456" s="1" t="s">
        <v>4881</v>
      </c>
      <c r="L456" s="1" t="s">
        <v>4883</v>
      </c>
      <c r="M456" s="1" t="s">
        <v>4922</v>
      </c>
      <c r="N456" s="1" t="s">
        <v>4581</v>
      </c>
      <c r="P456" s="1" t="s">
        <v>9068</v>
      </c>
      <c r="Q456" s="30" t="s">
        <v>2565</v>
      </c>
      <c r="R456" s="33" t="s">
        <v>3473</v>
      </c>
      <c r="S456">
        <v>37</v>
      </c>
      <c r="T456" s="1" t="s">
        <v>13878</v>
      </c>
      <c r="U456" s="1" t="str">
        <f>HYPERLINK("http://ictvonline.org/taxonomy/p/taxonomy-history?taxnode_id=202100564","ICTVonline=202100564")</f>
        <v>ICTVonline=202100564</v>
      </c>
    </row>
    <row r="457" spans="1:21" x14ac:dyDescent="0.2">
      <c r="A457" s="3">
        <v>456</v>
      </c>
      <c r="B457" s="1" t="s">
        <v>4875</v>
      </c>
      <c r="D457" s="1" t="s">
        <v>4876</v>
      </c>
      <c r="F457" s="1" t="s">
        <v>4880</v>
      </c>
      <c r="H457" s="1" t="s">
        <v>4881</v>
      </c>
      <c r="L457" s="1" t="s">
        <v>4883</v>
      </c>
      <c r="M457" s="1" t="s">
        <v>4922</v>
      </c>
      <c r="N457" s="1" t="s">
        <v>4581</v>
      </c>
      <c r="P457" s="1" t="s">
        <v>9069</v>
      </c>
      <c r="Q457" s="30" t="s">
        <v>2565</v>
      </c>
      <c r="R457" s="33" t="s">
        <v>3473</v>
      </c>
      <c r="S457">
        <v>37</v>
      </c>
      <c r="T457" s="1" t="s">
        <v>13878</v>
      </c>
      <c r="U457" s="1" t="str">
        <f>HYPERLINK("http://ictvonline.org/taxonomy/p/taxonomy-history?taxnode_id=202108540","ICTVonline=202108540")</f>
        <v>ICTVonline=202108540</v>
      </c>
    </row>
    <row r="458" spans="1:21" x14ac:dyDescent="0.2">
      <c r="A458" s="3">
        <v>457</v>
      </c>
      <c r="B458" s="1" t="s">
        <v>4875</v>
      </c>
      <c r="D458" s="1" t="s">
        <v>4876</v>
      </c>
      <c r="F458" s="1" t="s">
        <v>4880</v>
      </c>
      <c r="H458" s="1" t="s">
        <v>4881</v>
      </c>
      <c r="L458" s="1" t="s">
        <v>4883</v>
      </c>
      <c r="M458" s="1" t="s">
        <v>4922</v>
      </c>
      <c r="N458" s="1" t="s">
        <v>4581</v>
      </c>
      <c r="P458" s="1" t="s">
        <v>9070</v>
      </c>
      <c r="Q458" s="30" t="s">
        <v>2565</v>
      </c>
      <c r="R458" s="33" t="s">
        <v>3473</v>
      </c>
      <c r="S458">
        <v>37</v>
      </c>
      <c r="T458" s="1" t="s">
        <v>13878</v>
      </c>
      <c r="U458" s="1" t="str">
        <f>HYPERLINK("http://ictvonline.org/taxonomy/p/taxonomy-history?taxnode_id=202108545","ICTVonline=202108545")</f>
        <v>ICTVonline=202108545</v>
      </c>
    </row>
    <row r="459" spans="1:21" x14ac:dyDescent="0.2">
      <c r="A459" s="3">
        <v>458</v>
      </c>
      <c r="B459" s="1" t="s">
        <v>4875</v>
      </c>
      <c r="D459" s="1" t="s">
        <v>4876</v>
      </c>
      <c r="F459" s="1" t="s">
        <v>4880</v>
      </c>
      <c r="H459" s="1" t="s">
        <v>4881</v>
      </c>
      <c r="L459" s="1" t="s">
        <v>4883</v>
      </c>
      <c r="M459" s="1" t="s">
        <v>4922</v>
      </c>
      <c r="N459" s="1" t="s">
        <v>4581</v>
      </c>
      <c r="P459" s="1" t="s">
        <v>9071</v>
      </c>
      <c r="Q459" s="30" t="s">
        <v>2565</v>
      </c>
      <c r="R459" s="33" t="s">
        <v>3473</v>
      </c>
      <c r="S459">
        <v>37</v>
      </c>
      <c r="T459" s="1" t="s">
        <v>13878</v>
      </c>
      <c r="U459" s="1" t="str">
        <f>HYPERLINK("http://ictvonline.org/taxonomy/p/taxonomy-history?taxnode_id=202108544","ICTVonline=202108544")</f>
        <v>ICTVonline=202108544</v>
      </c>
    </row>
    <row r="460" spans="1:21" x14ac:dyDescent="0.2">
      <c r="A460" s="3">
        <v>459</v>
      </c>
      <c r="B460" s="1" t="s">
        <v>4875</v>
      </c>
      <c r="D460" s="1" t="s">
        <v>4876</v>
      </c>
      <c r="F460" s="1" t="s">
        <v>4880</v>
      </c>
      <c r="H460" s="1" t="s">
        <v>4881</v>
      </c>
      <c r="L460" s="1" t="s">
        <v>4883</v>
      </c>
      <c r="M460" s="1" t="s">
        <v>4922</v>
      </c>
      <c r="N460" s="1" t="s">
        <v>4581</v>
      </c>
      <c r="P460" s="1" t="s">
        <v>9072</v>
      </c>
      <c r="Q460" s="30" t="s">
        <v>2565</v>
      </c>
      <c r="R460" s="33" t="s">
        <v>3473</v>
      </c>
      <c r="S460">
        <v>37</v>
      </c>
      <c r="T460" s="1" t="s">
        <v>13878</v>
      </c>
      <c r="U460" s="1" t="str">
        <f>HYPERLINK("http://ictvonline.org/taxonomy/p/taxonomy-history?taxnode_id=202108542","ICTVonline=202108542")</f>
        <v>ICTVonline=202108542</v>
      </c>
    </row>
    <row r="461" spans="1:21" x14ac:dyDescent="0.2">
      <c r="A461" s="3">
        <v>460</v>
      </c>
      <c r="B461" s="1" t="s">
        <v>4875</v>
      </c>
      <c r="D461" s="1" t="s">
        <v>4876</v>
      </c>
      <c r="F461" s="1" t="s">
        <v>4880</v>
      </c>
      <c r="H461" s="1" t="s">
        <v>4881</v>
      </c>
      <c r="L461" s="1" t="s">
        <v>4883</v>
      </c>
      <c r="M461" s="1" t="s">
        <v>4922</v>
      </c>
      <c r="N461" s="1" t="s">
        <v>4581</v>
      </c>
      <c r="P461" s="1" t="s">
        <v>9073</v>
      </c>
      <c r="Q461" s="30" t="s">
        <v>2565</v>
      </c>
      <c r="R461" s="33" t="s">
        <v>3473</v>
      </c>
      <c r="S461">
        <v>37</v>
      </c>
      <c r="T461" s="1" t="s">
        <v>13878</v>
      </c>
      <c r="U461" s="1" t="str">
        <f>HYPERLINK("http://ictvonline.org/taxonomy/p/taxonomy-history?taxnode_id=202100565","ICTVonline=202100565")</f>
        <v>ICTVonline=202100565</v>
      </c>
    </row>
    <row r="462" spans="1:21" x14ac:dyDescent="0.2">
      <c r="A462" s="3">
        <v>461</v>
      </c>
      <c r="B462" s="1" t="s">
        <v>4875</v>
      </c>
      <c r="D462" s="1" t="s">
        <v>4876</v>
      </c>
      <c r="F462" s="1" t="s">
        <v>4880</v>
      </c>
      <c r="H462" s="1" t="s">
        <v>4881</v>
      </c>
      <c r="L462" s="1" t="s">
        <v>4883</v>
      </c>
      <c r="M462" s="1" t="s">
        <v>4922</v>
      </c>
      <c r="N462" s="1" t="s">
        <v>4581</v>
      </c>
      <c r="P462" s="1" t="s">
        <v>9074</v>
      </c>
      <c r="Q462" s="30" t="s">
        <v>2565</v>
      </c>
      <c r="R462" s="33" t="s">
        <v>3473</v>
      </c>
      <c r="S462">
        <v>37</v>
      </c>
      <c r="T462" s="1" t="s">
        <v>13878</v>
      </c>
      <c r="U462" s="1" t="str">
        <f>HYPERLINK("http://ictvonline.org/taxonomy/p/taxonomy-history?taxnode_id=202100566","ICTVonline=202100566")</f>
        <v>ICTVonline=202100566</v>
      </c>
    </row>
    <row r="463" spans="1:21" x14ac:dyDescent="0.2">
      <c r="A463" s="3">
        <v>462</v>
      </c>
      <c r="B463" s="1" t="s">
        <v>4875</v>
      </c>
      <c r="D463" s="1" t="s">
        <v>4876</v>
      </c>
      <c r="F463" s="1" t="s">
        <v>4880</v>
      </c>
      <c r="H463" s="1" t="s">
        <v>4881</v>
      </c>
      <c r="L463" s="1" t="s">
        <v>4883</v>
      </c>
      <c r="M463" s="1" t="s">
        <v>4922</v>
      </c>
      <c r="N463" s="1" t="s">
        <v>4924</v>
      </c>
      <c r="P463" s="1" t="s">
        <v>9075</v>
      </c>
      <c r="Q463" s="30" t="s">
        <v>2565</v>
      </c>
      <c r="R463" s="33" t="s">
        <v>3473</v>
      </c>
      <c r="S463">
        <v>37</v>
      </c>
      <c r="T463" s="1" t="s">
        <v>13878</v>
      </c>
      <c r="U463" s="1" t="str">
        <f>HYPERLINK("http://ictvonline.org/taxonomy/p/taxonomy-history?taxnode_id=202108552","ICTVonline=202108552")</f>
        <v>ICTVonline=202108552</v>
      </c>
    </row>
    <row r="464" spans="1:21" x14ac:dyDescent="0.2">
      <c r="A464" s="3">
        <v>463</v>
      </c>
      <c r="B464" s="1" t="s">
        <v>4875</v>
      </c>
      <c r="D464" s="1" t="s">
        <v>4876</v>
      </c>
      <c r="F464" s="1" t="s">
        <v>4880</v>
      </c>
      <c r="H464" s="1" t="s">
        <v>4881</v>
      </c>
      <c r="L464" s="1" t="s">
        <v>4883</v>
      </c>
      <c r="M464" s="1" t="s">
        <v>4922</v>
      </c>
      <c r="N464" s="1" t="s">
        <v>4925</v>
      </c>
      <c r="P464" s="1" t="s">
        <v>9076</v>
      </c>
      <c r="Q464" s="30" t="s">
        <v>2565</v>
      </c>
      <c r="R464" s="33" t="s">
        <v>3473</v>
      </c>
      <c r="S464">
        <v>37</v>
      </c>
      <c r="T464" s="1" t="s">
        <v>13878</v>
      </c>
      <c r="U464" s="1" t="str">
        <f>HYPERLINK("http://ictvonline.org/taxonomy/p/taxonomy-history?taxnode_id=202108547","ICTVonline=202108547")</f>
        <v>ICTVonline=202108547</v>
      </c>
    </row>
    <row r="465" spans="1:21" x14ac:dyDescent="0.2">
      <c r="A465" s="3">
        <v>464</v>
      </c>
      <c r="B465" s="1" t="s">
        <v>4875</v>
      </c>
      <c r="D465" s="1" t="s">
        <v>4876</v>
      </c>
      <c r="F465" s="1" t="s">
        <v>4880</v>
      </c>
      <c r="H465" s="1" t="s">
        <v>4881</v>
      </c>
      <c r="L465" s="1" t="s">
        <v>4883</v>
      </c>
      <c r="M465" s="1" t="s">
        <v>4922</v>
      </c>
      <c r="N465" s="1" t="s">
        <v>4925</v>
      </c>
      <c r="P465" s="1" t="s">
        <v>9077</v>
      </c>
      <c r="Q465" s="30" t="s">
        <v>2565</v>
      </c>
      <c r="R465" s="33" t="s">
        <v>3473</v>
      </c>
      <c r="S465">
        <v>37</v>
      </c>
      <c r="T465" s="1" t="s">
        <v>13878</v>
      </c>
      <c r="U465" s="1" t="str">
        <f>HYPERLINK("http://ictvonline.org/taxonomy/p/taxonomy-history?taxnode_id=202108548","ICTVonline=202108548")</f>
        <v>ICTVonline=202108548</v>
      </c>
    </row>
    <row r="466" spans="1:21" x14ac:dyDescent="0.2">
      <c r="A466" s="3">
        <v>465</v>
      </c>
      <c r="B466" s="1" t="s">
        <v>4875</v>
      </c>
      <c r="D466" s="1" t="s">
        <v>4876</v>
      </c>
      <c r="F466" s="1" t="s">
        <v>4880</v>
      </c>
      <c r="H466" s="1" t="s">
        <v>4881</v>
      </c>
      <c r="L466" s="1" t="s">
        <v>4883</v>
      </c>
      <c r="M466" s="1" t="s">
        <v>4926</v>
      </c>
      <c r="N466" s="1" t="s">
        <v>4927</v>
      </c>
      <c r="P466" s="1" t="s">
        <v>9078</v>
      </c>
      <c r="Q466" s="30" t="s">
        <v>2565</v>
      </c>
      <c r="R466" s="33" t="s">
        <v>3473</v>
      </c>
      <c r="S466">
        <v>37</v>
      </c>
      <c r="T466" s="1" t="s">
        <v>13878</v>
      </c>
      <c r="U466" s="1" t="str">
        <f>HYPERLINK("http://ictvonline.org/taxonomy/p/taxonomy-history?taxnode_id=202108380","ICTVonline=202108380")</f>
        <v>ICTVonline=202108380</v>
      </c>
    </row>
    <row r="467" spans="1:21" x14ac:dyDescent="0.2">
      <c r="A467" s="3">
        <v>466</v>
      </c>
      <c r="B467" s="1" t="s">
        <v>4875</v>
      </c>
      <c r="D467" s="1" t="s">
        <v>4876</v>
      </c>
      <c r="F467" s="1" t="s">
        <v>4880</v>
      </c>
      <c r="H467" s="1" t="s">
        <v>4881</v>
      </c>
      <c r="L467" s="1" t="s">
        <v>4883</v>
      </c>
      <c r="M467" s="1" t="s">
        <v>4926</v>
      </c>
      <c r="N467" s="1" t="s">
        <v>4927</v>
      </c>
      <c r="P467" s="1" t="s">
        <v>9079</v>
      </c>
      <c r="Q467" s="30" t="s">
        <v>2565</v>
      </c>
      <c r="R467" s="33" t="s">
        <v>3473</v>
      </c>
      <c r="S467">
        <v>37</v>
      </c>
      <c r="T467" s="1" t="s">
        <v>13878</v>
      </c>
      <c r="U467" s="1" t="str">
        <f>HYPERLINK("http://ictvonline.org/taxonomy/p/taxonomy-history?taxnode_id=202108381","ICTVonline=202108381")</f>
        <v>ICTVonline=202108381</v>
      </c>
    </row>
    <row r="468" spans="1:21" x14ac:dyDescent="0.2">
      <c r="A468" s="3">
        <v>467</v>
      </c>
      <c r="B468" s="1" t="s">
        <v>4875</v>
      </c>
      <c r="D468" s="1" t="s">
        <v>4876</v>
      </c>
      <c r="F468" s="1" t="s">
        <v>4880</v>
      </c>
      <c r="H468" s="1" t="s">
        <v>4881</v>
      </c>
      <c r="L468" s="1" t="s">
        <v>4883</v>
      </c>
      <c r="M468" s="1" t="s">
        <v>4926</v>
      </c>
      <c r="N468" s="1" t="s">
        <v>4927</v>
      </c>
      <c r="P468" s="1" t="s">
        <v>9080</v>
      </c>
      <c r="Q468" s="30" t="s">
        <v>2565</v>
      </c>
      <c r="R468" s="33" t="s">
        <v>3473</v>
      </c>
      <c r="S468">
        <v>37</v>
      </c>
      <c r="T468" s="1" t="s">
        <v>13878</v>
      </c>
      <c r="U468" s="1" t="str">
        <f>HYPERLINK("http://ictvonline.org/taxonomy/p/taxonomy-history?taxnode_id=202108382","ICTVonline=202108382")</f>
        <v>ICTVonline=202108382</v>
      </c>
    </row>
    <row r="469" spans="1:21" x14ac:dyDescent="0.2">
      <c r="A469" s="3">
        <v>468</v>
      </c>
      <c r="B469" s="1" t="s">
        <v>4875</v>
      </c>
      <c r="D469" s="1" t="s">
        <v>4876</v>
      </c>
      <c r="F469" s="1" t="s">
        <v>4880</v>
      </c>
      <c r="H469" s="1" t="s">
        <v>4881</v>
      </c>
      <c r="L469" s="1" t="s">
        <v>4883</v>
      </c>
      <c r="M469" s="1" t="s">
        <v>4926</v>
      </c>
      <c r="N469" s="1" t="s">
        <v>4927</v>
      </c>
      <c r="P469" s="1" t="s">
        <v>9081</v>
      </c>
      <c r="Q469" s="30" t="s">
        <v>2565</v>
      </c>
      <c r="R469" s="33" t="s">
        <v>3473</v>
      </c>
      <c r="S469">
        <v>37</v>
      </c>
      <c r="T469" s="1" t="s">
        <v>13878</v>
      </c>
      <c r="U469" s="1" t="str">
        <f>HYPERLINK("http://ictvonline.org/taxonomy/p/taxonomy-history?taxnode_id=202108383","ICTVonline=202108383")</f>
        <v>ICTVonline=202108383</v>
      </c>
    </row>
    <row r="470" spans="1:21" x14ac:dyDescent="0.2">
      <c r="A470" s="3">
        <v>469</v>
      </c>
      <c r="B470" s="1" t="s">
        <v>4875</v>
      </c>
      <c r="D470" s="1" t="s">
        <v>4876</v>
      </c>
      <c r="F470" s="1" t="s">
        <v>4880</v>
      </c>
      <c r="H470" s="1" t="s">
        <v>4881</v>
      </c>
      <c r="L470" s="1" t="s">
        <v>4883</v>
      </c>
      <c r="M470" s="1" t="s">
        <v>4926</v>
      </c>
      <c r="N470" s="1" t="s">
        <v>4928</v>
      </c>
      <c r="P470" s="1" t="s">
        <v>9082</v>
      </c>
      <c r="Q470" s="30" t="s">
        <v>2565</v>
      </c>
      <c r="R470" s="33" t="s">
        <v>3473</v>
      </c>
      <c r="S470">
        <v>37</v>
      </c>
      <c r="T470" s="1" t="s">
        <v>13878</v>
      </c>
      <c r="U470" s="1" t="str">
        <f>HYPERLINK("http://ictvonline.org/taxonomy/p/taxonomy-history?taxnode_id=202108429","ICTVonline=202108429")</f>
        <v>ICTVonline=202108429</v>
      </c>
    </row>
    <row r="471" spans="1:21" x14ac:dyDescent="0.2">
      <c r="A471" s="3">
        <v>470</v>
      </c>
      <c r="B471" s="1" t="s">
        <v>4875</v>
      </c>
      <c r="D471" s="1" t="s">
        <v>4876</v>
      </c>
      <c r="F471" s="1" t="s">
        <v>4880</v>
      </c>
      <c r="H471" s="1" t="s">
        <v>4881</v>
      </c>
      <c r="L471" s="1" t="s">
        <v>4883</v>
      </c>
      <c r="M471" s="1" t="s">
        <v>4926</v>
      </c>
      <c r="N471" s="1" t="s">
        <v>4929</v>
      </c>
      <c r="P471" s="1" t="s">
        <v>9083</v>
      </c>
      <c r="Q471" s="30" t="s">
        <v>2565</v>
      </c>
      <c r="R471" s="33" t="s">
        <v>3473</v>
      </c>
      <c r="S471">
        <v>37</v>
      </c>
      <c r="T471" s="1" t="s">
        <v>13878</v>
      </c>
      <c r="U471" s="1" t="str">
        <f>HYPERLINK("http://ictvonline.org/taxonomy/p/taxonomy-history?taxnode_id=202108391","ICTVonline=202108391")</f>
        <v>ICTVonline=202108391</v>
      </c>
    </row>
    <row r="472" spans="1:21" x14ac:dyDescent="0.2">
      <c r="A472" s="3">
        <v>471</v>
      </c>
      <c r="B472" s="1" t="s">
        <v>4875</v>
      </c>
      <c r="D472" s="1" t="s">
        <v>4876</v>
      </c>
      <c r="F472" s="1" t="s">
        <v>4880</v>
      </c>
      <c r="H472" s="1" t="s">
        <v>4881</v>
      </c>
      <c r="L472" s="1" t="s">
        <v>4883</v>
      </c>
      <c r="M472" s="1" t="s">
        <v>4926</v>
      </c>
      <c r="N472" s="1" t="s">
        <v>4929</v>
      </c>
      <c r="P472" s="1" t="s">
        <v>9084</v>
      </c>
      <c r="Q472" s="30" t="s">
        <v>2565</v>
      </c>
      <c r="R472" s="33" t="s">
        <v>3473</v>
      </c>
      <c r="S472">
        <v>37</v>
      </c>
      <c r="T472" s="1" t="s">
        <v>13878</v>
      </c>
      <c r="U472" s="1" t="str">
        <f>HYPERLINK("http://ictvonline.org/taxonomy/p/taxonomy-history?taxnode_id=202108401","ICTVonline=202108401")</f>
        <v>ICTVonline=202108401</v>
      </c>
    </row>
    <row r="473" spans="1:21" x14ac:dyDescent="0.2">
      <c r="A473" s="3">
        <v>472</v>
      </c>
      <c r="B473" s="1" t="s">
        <v>4875</v>
      </c>
      <c r="D473" s="1" t="s">
        <v>4876</v>
      </c>
      <c r="F473" s="1" t="s">
        <v>4880</v>
      </c>
      <c r="H473" s="1" t="s">
        <v>4881</v>
      </c>
      <c r="L473" s="1" t="s">
        <v>4883</v>
      </c>
      <c r="M473" s="1" t="s">
        <v>4926</v>
      </c>
      <c r="N473" s="1" t="s">
        <v>4929</v>
      </c>
      <c r="P473" s="1" t="s">
        <v>9085</v>
      </c>
      <c r="Q473" s="30" t="s">
        <v>2565</v>
      </c>
      <c r="R473" s="33" t="s">
        <v>3473</v>
      </c>
      <c r="S473">
        <v>37</v>
      </c>
      <c r="T473" s="1" t="s">
        <v>13878</v>
      </c>
      <c r="U473" s="1" t="str">
        <f>HYPERLINK("http://ictvonline.org/taxonomy/p/taxonomy-history?taxnode_id=202108390","ICTVonline=202108390")</f>
        <v>ICTVonline=202108390</v>
      </c>
    </row>
    <row r="474" spans="1:21" x14ac:dyDescent="0.2">
      <c r="A474" s="3">
        <v>473</v>
      </c>
      <c r="B474" s="1" t="s">
        <v>4875</v>
      </c>
      <c r="D474" s="1" t="s">
        <v>4876</v>
      </c>
      <c r="F474" s="1" t="s">
        <v>4880</v>
      </c>
      <c r="H474" s="1" t="s">
        <v>4881</v>
      </c>
      <c r="L474" s="1" t="s">
        <v>4883</v>
      </c>
      <c r="M474" s="1" t="s">
        <v>4926</v>
      </c>
      <c r="N474" s="1" t="s">
        <v>4929</v>
      </c>
      <c r="P474" s="1" t="s">
        <v>9086</v>
      </c>
      <c r="Q474" s="30" t="s">
        <v>2565</v>
      </c>
      <c r="R474" s="33" t="s">
        <v>3473</v>
      </c>
      <c r="S474">
        <v>37</v>
      </c>
      <c r="T474" s="1" t="s">
        <v>13878</v>
      </c>
      <c r="U474" s="1" t="str">
        <f>HYPERLINK("http://ictvonline.org/taxonomy/p/taxonomy-history?taxnode_id=202108388","ICTVonline=202108388")</f>
        <v>ICTVonline=202108388</v>
      </c>
    </row>
    <row r="475" spans="1:21" x14ac:dyDescent="0.2">
      <c r="A475" s="3">
        <v>474</v>
      </c>
      <c r="B475" s="1" t="s">
        <v>4875</v>
      </c>
      <c r="D475" s="1" t="s">
        <v>4876</v>
      </c>
      <c r="F475" s="1" t="s">
        <v>4880</v>
      </c>
      <c r="H475" s="1" t="s">
        <v>4881</v>
      </c>
      <c r="L475" s="1" t="s">
        <v>4883</v>
      </c>
      <c r="M475" s="1" t="s">
        <v>4926</v>
      </c>
      <c r="N475" s="1" t="s">
        <v>4929</v>
      </c>
      <c r="P475" s="1" t="s">
        <v>9087</v>
      </c>
      <c r="Q475" s="30" t="s">
        <v>2565</v>
      </c>
      <c r="R475" s="33" t="s">
        <v>3473</v>
      </c>
      <c r="S475">
        <v>37</v>
      </c>
      <c r="T475" s="1" t="s">
        <v>13878</v>
      </c>
      <c r="U475" s="1" t="str">
        <f>HYPERLINK("http://ictvonline.org/taxonomy/p/taxonomy-history?taxnode_id=202108394","ICTVonline=202108394")</f>
        <v>ICTVonline=202108394</v>
      </c>
    </row>
    <row r="476" spans="1:21" x14ac:dyDescent="0.2">
      <c r="A476" s="3">
        <v>475</v>
      </c>
      <c r="B476" s="1" t="s">
        <v>4875</v>
      </c>
      <c r="D476" s="1" t="s">
        <v>4876</v>
      </c>
      <c r="F476" s="1" t="s">
        <v>4880</v>
      </c>
      <c r="H476" s="1" t="s">
        <v>4881</v>
      </c>
      <c r="L476" s="1" t="s">
        <v>4883</v>
      </c>
      <c r="M476" s="1" t="s">
        <v>4926</v>
      </c>
      <c r="N476" s="1" t="s">
        <v>4929</v>
      </c>
      <c r="P476" s="1" t="s">
        <v>9088</v>
      </c>
      <c r="Q476" s="30" t="s">
        <v>2565</v>
      </c>
      <c r="R476" s="33" t="s">
        <v>3473</v>
      </c>
      <c r="S476">
        <v>37</v>
      </c>
      <c r="T476" s="1" t="s">
        <v>13878</v>
      </c>
      <c r="U476" s="1" t="str">
        <f>HYPERLINK("http://ictvonline.org/taxonomy/p/taxonomy-history?taxnode_id=202108398","ICTVonline=202108398")</f>
        <v>ICTVonline=202108398</v>
      </c>
    </row>
    <row r="477" spans="1:21" x14ac:dyDescent="0.2">
      <c r="A477" s="3">
        <v>476</v>
      </c>
      <c r="B477" s="1" t="s">
        <v>4875</v>
      </c>
      <c r="D477" s="1" t="s">
        <v>4876</v>
      </c>
      <c r="F477" s="1" t="s">
        <v>4880</v>
      </c>
      <c r="H477" s="1" t="s">
        <v>4881</v>
      </c>
      <c r="L477" s="1" t="s">
        <v>4883</v>
      </c>
      <c r="M477" s="1" t="s">
        <v>4926</v>
      </c>
      <c r="N477" s="1" t="s">
        <v>4929</v>
      </c>
      <c r="P477" s="1" t="s">
        <v>9089</v>
      </c>
      <c r="Q477" s="30" t="s">
        <v>2565</v>
      </c>
      <c r="R477" s="33" t="s">
        <v>3473</v>
      </c>
      <c r="S477">
        <v>37</v>
      </c>
      <c r="T477" s="1" t="s">
        <v>13878</v>
      </c>
      <c r="U477" s="1" t="str">
        <f>HYPERLINK("http://ictvonline.org/taxonomy/p/taxonomy-history?taxnode_id=202108393","ICTVonline=202108393")</f>
        <v>ICTVonline=202108393</v>
      </c>
    </row>
    <row r="478" spans="1:21" x14ac:dyDescent="0.2">
      <c r="A478" s="3">
        <v>477</v>
      </c>
      <c r="B478" s="1" t="s">
        <v>4875</v>
      </c>
      <c r="D478" s="1" t="s">
        <v>4876</v>
      </c>
      <c r="F478" s="1" t="s">
        <v>4880</v>
      </c>
      <c r="H478" s="1" t="s">
        <v>4881</v>
      </c>
      <c r="L478" s="1" t="s">
        <v>4883</v>
      </c>
      <c r="M478" s="1" t="s">
        <v>4926</v>
      </c>
      <c r="N478" s="1" t="s">
        <v>4929</v>
      </c>
      <c r="P478" s="1" t="s">
        <v>9090</v>
      </c>
      <c r="Q478" s="30" t="s">
        <v>2565</v>
      </c>
      <c r="R478" s="33" t="s">
        <v>3473</v>
      </c>
      <c r="S478">
        <v>37</v>
      </c>
      <c r="T478" s="1" t="s">
        <v>13878</v>
      </c>
      <c r="U478" s="1" t="str">
        <f>HYPERLINK("http://ictvonline.org/taxonomy/p/taxonomy-history?taxnode_id=202100584","ICTVonline=202100584")</f>
        <v>ICTVonline=202100584</v>
      </c>
    </row>
    <row r="479" spans="1:21" x14ac:dyDescent="0.2">
      <c r="A479" s="3">
        <v>478</v>
      </c>
      <c r="B479" s="1" t="s">
        <v>4875</v>
      </c>
      <c r="D479" s="1" t="s">
        <v>4876</v>
      </c>
      <c r="F479" s="1" t="s">
        <v>4880</v>
      </c>
      <c r="H479" s="1" t="s">
        <v>4881</v>
      </c>
      <c r="L479" s="1" t="s">
        <v>4883</v>
      </c>
      <c r="M479" s="1" t="s">
        <v>4926</v>
      </c>
      <c r="N479" s="1" t="s">
        <v>4929</v>
      </c>
      <c r="P479" s="1" t="s">
        <v>9091</v>
      </c>
      <c r="Q479" s="30" t="s">
        <v>2565</v>
      </c>
      <c r="R479" s="33" t="s">
        <v>3473</v>
      </c>
      <c r="S479">
        <v>37</v>
      </c>
      <c r="T479" s="1" t="s">
        <v>13878</v>
      </c>
      <c r="U479" s="1" t="str">
        <f>HYPERLINK("http://ictvonline.org/taxonomy/p/taxonomy-history?taxnode_id=202108395","ICTVonline=202108395")</f>
        <v>ICTVonline=202108395</v>
      </c>
    </row>
    <row r="480" spans="1:21" x14ac:dyDescent="0.2">
      <c r="A480" s="3">
        <v>479</v>
      </c>
      <c r="B480" s="1" t="s">
        <v>4875</v>
      </c>
      <c r="D480" s="1" t="s">
        <v>4876</v>
      </c>
      <c r="F480" s="1" t="s">
        <v>4880</v>
      </c>
      <c r="H480" s="1" t="s">
        <v>4881</v>
      </c>
      <c r="L480" s="1" t="s">
        <v>4883</v>
      </c>
      <c r="M480" s="1" t="s">
        <v>4926</v>
      </c>
      <c r="N480" s="1" t="s">
        <v>4929</v>
      </c>
      <c r="P480" s="1" t="s">
        <v>9092</v>
      </c>
      <c r="Q480" s="30" t="s">
        <v>2565</v>
      </c>
      <c r="R480" s="33" t="s">
        <v>3473</v>
      </c>
      <c r="S480">
        <v>37</v>
      </c>
      <c r="T480" s="1" t="s">
        <v>13878</v>
      </c>
      <c r="U480" s="1" t="str">
        <f>HYPERLINK("http://ictvonline.org/taxonomy/p/taxonomy-history?taxnode_id=202108396","ICTVonline=202108396")</f>
        <v>ICTVonline=202108396</v>
      </c>
    </row>
    <row r="481" spans="1:21" x14ac:dyDescent="0.2">
      <c r="A481" s="3">
        <v>480</v>
      </c>
      <c r="B481" s="1" t="s">
        <v>4875</v>
      </c>
      <c r="D481" s="1" t="s">
        <v>4876</v>
      </c>
      <c r="F481" s="1" t="s">
        <v>4880</v>
      </c>
      <c r="H481" s="1" t="s">
        <v>4881</v>
      </c>
      <c r="L481" s="1" t="s">
        <v>4883</v>
      </c>
      <c r="M481" s="1" t="s">
        <v>4926</v>
      </c>
      <c r="N481" s="1" t="s">
        <v>4929</v>
      </c>
      <c r="P481" s="1" t="s">
        <v>9093</v>
      </c>
      <c r="Q481" s="30" t="s">
        <v>2565</v>
      </c>
      <c r="R481" s="33" t="s">
        <v>3473</v>
      </c>
      <c r="S481">
        <v>37</v>
      </c>
      <c r="T481" s="1" t="s">
        <v>13878</v>
      </c>
      <c r="U481" s="1" t="str">
        <f>HYPERLINK("http://ictvonline.org/taxonomy/p/taxonomy-history?taxnode_id=202108397","ICTVonline=202108397")</f>
        <v>ICTVonline=202108397</v>
      </c>
    </row>
    <row r="482" spans="1:21" x14ac:dyDescent="0.2">
      <c r="A482" s="3">
        <v>481</v>
      </c>
      <c r="B482" s="1" t="s">
        <v>4875</v>
      </c>
      <c r="D482" s="1" t="s">
        <v>4876</v>
      </c>
      <c r="F482" s="1" t="s">
        <v>4880</v>
      </c>
      <c r="H482" s="1" t="s">
        <v>4881</v>
      </c>
      <c r="L482" s="1" t="s">
        <v>4883</v>
      </c>
      <c r="M482" s="1" t="s">
        <v>4926</v>
      </c>
      <c r="N482" s="1" t="s">
        <v>4929</v>
      </c>
      <c r="P482" s="1" t="s">
        <v>9094</v>
      </c>
      <c r="Q482" s="30" t="s">
        <v>2565</v>
      </c>
      <c r="R482" s="33" t="s">
        <v>3473</v>
      </c>
      <c r="S482">
        <v>37</v>
      </c>
      <c r="T482" s="1" t="s">
        <v>13878</v>
      </c>
      <c r="U482" s="1" t="str">
        <f>HYPERLINK("http://ictvonline.org/taxonomy/p/taxonomy-history?taxnode_id=202108400","ICTVonline=202108400")</f>
        <v>ICTVonline=202108400</v>
      </c>
    </row>
    <row r="483" spans="1:21" x14ac:dyDescent="0.2">
      <c r="A483" s="3">
        <v>482</v>
      </c>
      <c r="B483" s="1" t="s">
        <v>4875</v>
      </c>
      <c r="D483" s="1" t="s">
        <v>4876</v>
      </c>
      <c r="F483" s="1" t="s">
        <v>4880</v>
      </c>
      <c r="H483" s="1" t="s">
        <v>4881</v>
      </c>
      <c r="L483" s="1" t="s">
        <v>4883</v>
      </c>
      <c r="M483" s="1" t="s">
        <v>4926</v>
      </c>
      <c r="N483" s="1" t="s">
        <v>4929</v>
      </c>
      <c r="P483" s="1" t="s">
        <v>9095</v>
      </c>
      <c r="Q483" s="30" t="s">
        <v>2565</v>
      </c>
      <c r="R483" s="33" t="s">
        <v>3473</v>
      </c>
      <c r="S483">
        <v>37</v>
      </c>
      <c r="T483" s="1" t="s">
        <v>13878</v>
      </c>
      <c r="U483" s="1" t="str">
        <f>HYPERLINK("http://ictvonline.org/taxonomy/p/taxonomy-history?taxnode_id=202108399","ICTVonline=202108399")</f>
        <v>ICTVonline=202108399</v>
      </c>
    </row>
    <row r="484" spans="1:21" x14ac:dyDescent="0.2">
      <c r="A484" s="3">
        <v>483</v>
      </c>
      <c r="B484" s="1" t="s">
        <v>4875</v>
      </c>
      <c r="D484" s="1" t="s">
        <v>4876</v>
      </c>
      <c r="F484" s="1" t="s">
        <v>4880</v>
      </c>
      <c r="H484" s="1" t="s">
        <v>4881</v>
      </c>
      <c r="L484" s="1" t="s">
        <v>4883</v>
      </c>
      <c r="M484" s="1" t="s">
        <v>4926</v>
      </c>
      <c r="N484" s="1" t="s">
        <v>4929</v>
      </c>
      <c r="P484" s="1" t="s">
        <v>9096</v>
      </c>
      <c r="Q484" s="30" t="s">
        <v>2565</v>
      </c>
      <c r="R484" s="33" t="s">
        <v>3473</v>
      </c>
      <c r="S484">
        <v>37</v>
      </c>
      <c r="T484" s="1" t="s">
        <v>13878</v>
      </c>
      <c r="U484" s="1" t="str">
        <f>HYPERLINK("http://ictvonline.org/taxonomy/p/taxonomy-history?taxnode_id=202108389","ICTVonline=202108389")</f>
        <v>ICTVonline=202108389</v>
      </c>
    </row>
    <row r="485" spans="1:21" x14ac:dyDescent="0.2">
      <c r="A485" s="3">
        <v>484</v>
      </c>
      <c r="B485" s="1" t="s">
        <v>4875</v>
      </c>
      <c r="D485" s="1" t="s">
        <v>4876</v>
      </c>
      <c r="F485" s="1" t="s">
        <v>4880</v>
      </c>
      <c r="H485" s="1" t="s">
        <v>4881</v>
      </c>
      <c r="L485" s="1" t="s">
        <v>4883</v>
      </c>
      <c r="M485" s="1" t="s">
        <v>4926</v>
      </c>
      <c r="N485" s="1" t="s">
        <v>4929</v>
      </c>
      <c r="P485" s="1" t="s">
        <v>9097</v>
      </c>
      <c r="Q485" s="30" t="s">
        <v>2565</v>
      </c>
      <c r="R485" s="33" t="s">
        <v>3473</v>
      </c>
      <c r="S485">
        <v>37</v>
      </c>
      <c r="T485" s="1" t="s">
        <v>13878</v>
      </c>
      <c r="U485" s="1" t="str">
        <f>HYPERLINK("http://ictvonline.org/taxonomy/p/taxonomy-history?taxnode_id=202108392","ICTVonline=202108392")</f>
        <v>ICTVonline=202108392</v>
      </c>
    </row>
    <row r="486" spans="1:21" x14ac:dyDescent="0.2">
      <c r="A486" s="3">
        <v>485</v>
      </c>
      <c r="B486" s="1" t="s">
        <v>4875</v>
      </c>
      <c r="D486" s="1" t="s">
        <v>4876</v>
      </c>
      <c r="F486" s="1" t="s">
        <v>4880</v>
      </c>
      <c r="H486" s="1" t="s">
        <v>4881</v>
      </c>
      <c r="L486" s="1" t="s">
        <v>4883</v>
      </c>
      <c r="M486" s="1" t="s">
        <v>4926</v>
      </c>
      <c r="N486" s="1" t="s">
        <v>4930</v>
      </c>
      <c r="P486" s="1" t="s">
        <v>9098</v>
      </c>
      <c r="Q486" s="30" t="s">
        <v>2565</v>
      </c>
      <c r="R486" s="33" t="s">
        <v>3473</v>
      </c>
      <c r="S486">
        <v>37</v>
      </c>
      <c r="T486" s="1" t="s">
        <v>13878</v>
      </c>
      <c r="U486" s="1" t="str">
        <f>HYPERLINK("http://ictvonline.org/taxonomy/p/taxonomy-history?taxnode_id=202108454","ICTVonline=202108454")</f>
        <v>ICTVonline=202108454</v>
      </c>
    </row>
    <row r="487" spans="1:21" x14ac:dyDescent="0.2">
      <c r="A487" s="3">
        <v>486</v>
      </c>
      <c r="B487" s="1" t="s">
        <v>4875</v>
      </c>
      <c r="D487" s="1" t="s">
        <v>4876</v>
      </c>
      <c r="F487" s="1" t="s">
        <v>4880</v>
      </c>
      <c r="H487" s="1" t="s">
        <v>4881</v>
      </c>
      <c r="L487" s="1" t="s">
        <v>4883</v>
      </c>
      <c r="M487" s="1" t="s">
        <v>4926</v>
      </c>
      <c r="N487" s="1" t="s">
        <v>4931</v>
      </c>
      <c r="P487" s="1" t="s">
        <v>9099</v>
      </c>
      <c r="Q487" s="30" t="s">
        <v>2565</v>
      </c>
      <c r="R487" s="33" t="s">
        <v>3473</v>
      </c>
      <c r="S487">
        <v>37</v>
      </c>
      <c r="T487" s="1" t="s">
        <v>13878</v>
      </c>
      <c r="U487" s="1" t="str">
        <f>HYPERLINK("http://ictvonline.org/taxonomy/p/taxonomy-history?taxnode_id=202108496","ICTVonline=202108496")</f>
        <v>ICTVonline=202108496</v>
      </c>
    </row>
    <row r="488" spans="1:21" x14ac:dyDescent="0.2">
      <c r="A488" s="3">
        <v>487</v>
      </c>
      <c r="B488" s="1" t="s">
        <v>4875</v>
      </c>
      <c r="D488" s="1" t="s">
        <v>4876</v>
      </c>
      <c r="F488" s="1" t="s">
        <v>4880</v>
      </c>
      <c r="H488" s="1" t="s">
        <v>4881</v>
      </c>
      <c r="L488" s="1" t="s">
        <v>4883</v>
      </c>
      <c r="M488" s="1" t="s">
        <v>4926</v>
      </c>
      <c r="N488" s="1" t="s">
        <v>4931</v>
      </c>
      <c r="P488" s="1" t="s">
        <v>9100</v>
      </c>
      <c r="Q488" s="30" t="s">
        <v>2565</v>
      </c>
      <c r="R488" s="33" t="s">
        <v>3473</v>
      </c>
      <c r="S488">
        <v>37</v>
      </c>
      <c r="T488" s="1" t="s">
        <v>13878</v>
      </c>
      <c r="U488" s="1" t="str">
        <f>HYPERLINK("http://ictvonline.org/taxonomy/p/taxonomy-history?taxnode_id=202108495","ICTVonline=202108495")</f>
        <v>ICTVonline=202108495</v>
      </c>
    </row>
    <row r="489" spans="1:21" x14ac:dyDescent="0.2">
      <c r="A489" s="3">
        <v>488</v>
      </c>
      <c r="B489" s="1" t="s">
        <v>4875</v>
      </c>
      <c r="D489" s="1" t="s">
        <v>4876</v>
      </c>
      <c r="F489" s="1" t="s">
        <v>4880</v>
      </c>
      <c r="H489" s="1" t="s">
        <v>4881</v>
      </c>
      <c r="L489" s="1" t="s">
        <v>4883</v>
      </c>
      <c r="M489" s="1" t="s">
        <v>4926</v>
      </c>
      <c r="N489" s="1" t="s">
        <v>4931</v>
      </c>
      <c r="P489" s="1" t="s">
        <v>9101</v>
      </c>
      <c r="Q489" s="30" t="s">
        <v>2565</v>
      </c>
      <c r="R489" s="33" t="s">
        <v>3473</v>
      </c>
      <c r="S489">
        <v>37</v>
      </c>
      <c r="T489" s="1" t="s">
        <v>13878</v>
      </c>
      <c r="U489" s="1" t="str">
        <f>HYPERLINK("http://ictvonline.org/taxonomy/p/taxonomy-history?taxnode_id=202108497","ICTVonline=202108497")</f>
        <v>ICTVonline=202108497</v>
      </c>
    </row>
    <row r="490" spans="1:21" x14ac:dyDescent="0.2">
      <c r="A490" s="3">
        <v>489</v>
      </c>
      <c r="B490" s="1" t="s">
        <v>4875</v>
      </c>
      <c r="D490" s="1" t="s">
        <v>4876</v>
      </c>
      <c r="F490" s="1" t="s">
        <v>4880</v>
      </c>
      <c r="H490" s="1" t="s">
        <v>4881</v>
      </c>
      <c r="L490" s="1" t="s">
        <v>4883</v>
      </c>
      <c r="M490" s="1" t="s">
        <v>4926</v>
      </c>
      <c r="N490" s="1" t="s">
        <v>4932</v>
      </c>
      <c r="P490" s="1" t="s">
        <v>9102</v>
      </c>
      <c r="Q490" s="30" t="s">
        <v>2565</v>
      </c>
      <c r="R490" s="33" t="s">
        <v>3473</v>
      </c>
      <c r="S490">
        <v>37</v>
      </c>
      <c r="T490" s="1" t="s">
        <v>13878</v>
      </c>
      <c r="U490" s="1" t="str">
        <f>HYPERLINK("http://ictvonline.org/taxonomy/p/taxonomy-history?taxnode_id=202108425","ICTVonline=202108425")</f>
        <v>ICTVonline=202108425</v>
      </c>
    </row>
    <row r="491" spans="1:21" x14ac:dyDescent="0.2">
      <c r="A491" s="3">
        <v>490</v>
      </c>
      <c r="B491" s="1" t="s">
        <v>4875</v>
      </c>
      <c r="D491" s="1" t="s">
        <v>4876</v>
      </c>
      <c r="F491" s="1" t="s">
        <v>4880</v>
      </c>
      <c r="H491" s="1" t="s">
        <v>4881</v>
      </c>
      <c r="L491" s="1" t="s">
        <v>4883</v>
      </c>
      <c r="M491" s="1" t="s">
        <v>4926</v>
      </c>
      <c r="N491" s="1" t="s">
        <v>4933</v>
      </c>
      <c r="P491" s="1" t="s">
        <v>9103</v>
      </c>
      <c r="Q491" s="30" t="s">
        <v>2565</v>
      </c>
      <c r="R491" s="33" t="s">
        <v>3473</v>
      </c>
      <c r="S491">
        <v>37</v>
      </c>
      <c r="T491" s="1" t="s">
        <v>13878</v>
      </c>
      <c r="U491" s="1" t="str">
        <f>HYPERLINK("http://ictvonline.org/taxonomy/p/taxonomy-history?taxnode_id=202108423","ICTVonline=202108423")</f>
        <v>ICTVonline=202108423</v>
      </c>
    </row>
    <row r="492" spans="1:21" x14ac:dyDescent="0.2">
      <c r="A492" s="3">
        <v>491</v>
      </c>
      <c r="B492" s="1" t="s">
        <v>4875</v>
      </c>
      <c r="D492" s="1" t="s">
        <v>4876</v>
      </c>
      <c r="F492" s="1" t="s">
        <v>4880</v>
      </c>
      <c r="H492" s="1" t="s">
        <v>4881</v>
      </c>
      <c r="L492" s="1" t="s">
        <v>4883</v>
      </c>
      <c r="M492" s="1" t="s">
        <v>4926</v>
      </c>
      <c r="N492" s="1" t="s">
        <v>4934</v>
      </c>
      <c r="P492" s="1" t="s">
        <v>9104</v>
      </c>
      <c r="Q492" s="30" t="s">
        <v>2565</v>
      </c>
      <c r="R492" s="33" t="s">
        <v>3473</v>
      </c>
      <c r="S492">
        <v>37</v>
      </c>
      <c r="T492" s="1" t="s">
        <v>13878</v>
      </c>
      <c r="U492" s="1" t="str">
        <f>HYPERLINK("http://ictvonline.org/taxonomy/p/taxonomy-history?taxnode_id=202108427","ICTVonline=202108427")</f>
        <v>ICTVonline=202108427</v>
      </c>
    </row>
    <row r="493" spans="1:21" x14ac:dyDescent="0.2">
      <c r="A493" s="3">
        <v>492</v>
      </c>
      <c r="B493" s="1" t="s">
        <v>4875</v>
      </c>
      <c r="D493" s="1" t="s">
        <v>4876</v>
      </c>
      <c r="F493" s="1" t="s">
        <v>4880</v>
      </c>
      <c r="H493" s="1" t="s">
        <v>4881</v>
      </c>
      <c r="L493" s="1" t="s">
        <v>4883</v>
      </c>
      <c r="M493" s="1" t="s">
        <v>4926</v>
      </c>
      <c r="N493" s="1" t="s">
        <v>4935</v>
      </c>
      <c r="P493" s="1" t="s">
        <v>9105</v>
      </c>
      <c r="Q493" s="30" t="s">
        <v>2565</v>
      </c>
      <c r="R493" s="33" t="s">
        <v>3473</v>
      </c>
      <c r="S493">
        <v>37</v>
      </c>
      <c r="T493" s="1" t="s">
        <v>13878</v>
      </c>
      <c r="U493" s="1" t="str">
        <f>HYPERLINK("http://ictvonline.org/taxonomy/p/taxonomy-history?taxnode_id=202108353","ICTVonline=202108353")</f>
        <v>ICTVonline=202108353</v>
      </c>
    </row>
    <row r="494" spans="1:21" x14ac:dyDescent="0.2">
      <c r="A494" s="3">
        <v>493</v>
      </c>
      <c r="B494" s="1" t="s">
        <v>4875</v>
      </c>
      <c r="D494" s="1" t="s">
        <v>4876</v>
      </c>
      <c r="F494" s="1" t="s">
        <v>4880</v>
      </c>
      <c r="H494" s="1" t="s">
        <v>4881</v>
      </c>
      <c r="L494" s="1" t="s">
        <v>4883</v>
      </c>
      <c r="M494" s="1" t="s">
        <v>4926</v>
      </c>
      <c r="N494" s="1" t="s">
        <v>4935</v>
      </c>
      <c r="P494" s="1" t="s">
        <v>9106</v>
      </c>
      <c r="Q494" s="30" t="s">
        <v>2565</v>
      </c>
      <c r="R494" s="33" t="s">
        <v>3473</v>
      </c>
      <c r="S494">
        <v>37</v>
      </c>
      <c r="T494" s="1" t="s">
        <v>13878</v>
      </c>
      <c r="U494" s="1" t="str">
        <f>HYPERLINK("http://ictvonline.org/taxonomy/p/taxonomy-history?taxnode_id=202100585","ICTVonline=202100585")</f>
        <v>ICTVonline=202100585</v>
      </c>
    </row>
    <row r="495" spans="1:21" x14ac:dyDescent="0.2">
      <c r="A495" s="3">
        <v>494</v>
      </c>
      <c r="B495" s="1" t="s">
        <v>4875</v>
      </c>
      <c r="D495" s="1" t="s">
        <v>4876</v>
      </c>
      <c r="F495" s="1" t="s">
        <v>4880</v>
      </c>
      <c r="H495" s="1" t="s">
        <v>4881</v>
      </c>
      <c r="L495" s="1" t="s">
        <v>4883</v>
      </c>
      <c r="M495" s="1" t="s">
        <v>4926</v>
      </c>
      <c r="N495" s="1" t="s">
        <v>4935</v>
      </c>
      <c r="P495" s="1" t="s">
        <v>9107</v>
      </c>
      <c r="Q495" s="30" t="s">
        <v>2565</v>
      </c>
      <c r="R495" s="33" t="s">
        <v>3473</v>
      </c>
      <c r="S495">
        <v>37</v>
      </c>
      <c r="T495" s="1" t="s">
        <v>13878</v>
      </c>
      <c r="U495" s="1" t="str">
        <f>HYPERLINK("http://ictvonline.org/taxonomy/p/taxonomy-history?taxnode_id=202108352","ICTVonline=202108352")</f>
        <v>ICTVonline=202108352</v>
      </c>
    </row>
    <row r="496" spans="1:21" x14ac:dyDescent="0.2">
      <c r="A496" s="3">
        <v>495</v>
      </c>
      <c r="B496" s="1" t="s">
        <v>4875</v>
      </c>
      <c r="D496" s="1" t="s">
        <v>4876</v>
      </c>
      <c r="F496" s="1" t="s">
        <v>4880</v>
      </c>
      <c r="H496" s="1" t="s">
        <v>4881</v>
      </c>
      <c r="L496" s="1" t="s">
        <v>4883</v>
      </c>
      <c r="M496" s="1" t="s">
        <v>4926</v>
      </c>
      <c r="N496" s="1" t="s">
        <v>4935</v>
      </c>
      <c r="P496" s="1" t="s">
        <v>9108</v>
      </c>
      <c r="Q496" s="30" t="s">
        <v>2565</v>
      </c>
      <c r="R496" s="33" t="s">
        <v>3473</v>
      </c>
      <c r="S496">
        <v>37</v>
      </c>
      <c r="T496" s="1" t="s">
        <v>13878</v>
      </c>
      <c r="U496" s="1" t="str">
        <f>HYPERLINK("http://ictvonline.org/taxonomy/p/taxonomy-history?taxnode_id=202108349","ICTVonline=202108349")</f>
        <v>ICTVonline=202108349</v>
      </c>
    </row>
    <row r="497" spans="1:21" x14ac:dyDescent="0.2">
      <c r="A497" s="3">
        <v>496</v>
      </c>
      <c r="B497" s="1" t="s">
        <v>4875</v>
      </c>
      <c r="D497" s="1" t="s">
        <v>4876</v>
      </c>
      <c r="F497" s="1" t="s">
        <v>4880</v>
      </c>
      <c r="H497" s="1" t="s">
        <v>4881</v>
      </c>
      <c r="L497" s="1" t="s">
        <v>4883</v>
      </c>
      <c r="M497" s="1" t="s">
        <v>4926</v>
      </c>
      <c r="N497" s="1" t="s">
        <v>4935</v>
      </c>
      <c r="P497" s="1" t="s">
        <v>9109</v>
      </c>
      <c r="Q497" s="30" t="s">
        <v>2565</v>
      </c>
      <c r="R497" s="33" t="s">
        <v>3473</v>
      </c>
      <c r="S497">
        <v>37</v>
      </c>
      <c r="T497" s="1" t="s">
        <v>13878</v>
      </c>
      <c r="U497" s="1" t="str">
        <f>HYPERLINK("http://ictvonline.org/taxonomy/p/taxonomy-history?taxnode_id=202108351","ICTVonline=202108351")</f>
        <v>ICTVonline=202108351</v>
      </c>
    </row>
    <row r="498" spans="1:21" x14ac:dyDescent="0.2">
      <c r="A498" s="3">
        <v>497</v>
      </c>
      <c r="B498" s="1" t="s">
        <v>4875</v>
      </c>
      <c r="D498" s="1" t="s">
        <v>4876</v>
      </c>
      <c r="F498" s="1" t="s">
        <v>4880</v>
      </c>
      <c r="H498" s="1" t="s">
        <v>4881</v>
      </c>
      <c r="L498" s="1" t="s">
        <v>4883</v>
      </c>
      <c r="M498" s="1" t="s">
        <v>4926</v>
      </c>
      <c r="N498" s="1" t="s">
        <v>4935</v>
      </c>
      <c r="P498" s="1" t="s">
        <v>9110</v>
      </c>
      <c r="Q498" s="30" t="s">
        <v>2565</v>
      </c>
      <c r="R498" s="33" t="s">
        <v>3473</v>
      </c>
      <c r="S498">
        <v>37</v>
      </c>
      <c r="T498" s="1" t="s">
        <v>13878</v>
      </c>
      <c r="U498" s="1" t="str">
        <f>HYPERLINK("http://ictvonline.org/taxonomy/p/taxonomy-history?taxnode_id=202108347","ICTVonline=202108347")</f>
        <v>ICTVonline=202108347</v>
      </c>
    </row>
    <row r="499" spans="1:21" x14ac:dyDescent="0.2">
      <c r="A499" s="3">
        <v>498</v>
      </c>
      <c r="B499" s="1" t="s">
        <v>4875</v>
      </c>
      <c r="D499" s="1" t="s">
        <v>4876</v>
      </c>
      <c r="F499" s="1" t="s">
        <v>4880</v>
      </c>
      <c r="H499" s="1" t="s">
        <v>4881</v>
      </c>
      <c r="L499" s="1" t="s">
        <v>4883</v>
      </c>
      <c r="M499" s="1" t="s">
        <v>4926</v>
      </c>
      <c r="N499" s="1" t="s">
        <v>4935</v>
      </c>
      <c r="P499" s="1" t="s">
        <v>9111</v>
      </c>
      <c r="Q499" s="30" t="s">
        <v>2565</v>
      </c>
      <c r="R499" s="33" t="s">
        <v>3473</v>
      </c>
      <c r="S499">
        <v>37</v>
      </c>
      <c r="T499" s="1" t="s">
        <v>13878</v>
      </c>
      <c r="U499" s="1" t="str">
        <f>HYPERLINK("http://ictvonline.org/taxonomy/p/taxonomy-history?taxnode_id=202108345","ICTVonline=202108345")</f>
        <v>ICTVonline=202108345</v>
      </c>
    </row>
    <row r="500" spans="1:21" x14ac:dyDescent="0.2">
      <c r="A500" s="3">
        <v>499</v>
      </c>
      <c r="B500" s="1" t="s">
        <v>4875</v>
      </c>
      <c r="D500" s="1" t="s">
        <v>4876</v>
      </c>
      <c r="F500" s="1" t="s">
        <v>4880</v>
      </c>
      <c r="H500" s="1" t="s">
        <v>4881</v>
      </c>
      <c r="L500" s="1" t="s">
        <v>4883</v>
      </c>
      <c r="M500" s="1" t="s">
        <v>4926</v>
      </c>
      <c r="N500" s="1" t="s">
        <v>4935</v>
      </c>
      <c r="P500" s="1" t="s">
        <v>9112</v>
      </c>
      <c r="Q500" s="30" t="s">
        <v>2565</v>
      </c>
      <c r="R500" s="33" t="s">
        <v>3473</v>
      </c>
      <c r="S500">
        <v>37</v>
      </c>
      <c r="T500" s="1" t="s">
        <v>13878</v>
      </c>
      <c r="U500" s="1" t="str">
        <f>HYPERLINK("http://ictvonline.org/taxonomy/p/taxonomy-history?taxnode_id=202108346","ICTVonline=202108346")</f>
        <v>ICTVonline=202108346</v>
      </c>
    </row>
    <row r="501" spans="1:21" x14ac:dyDescent="0.2">
      <c r="A501" s="3">
        <v>500</v>
      </c>
      <c r="B501" s="1" t="s">
        <v>4875</v>
      </c>
      <c r="D501" s="1" t="s">
        <v>4876</v>
      </c>
      <c r="F501" s="1" t="s">
        <v>4880</v>
      </c>
      <c r="H501" s="1" t="s">
        <v>4881</v>
      </c>
      <c r="L501" s="1" t="s">
        <v>4883</v>
      </c>
      <c r="M501" s="1" t="s">
        <v>4926</v>
      </c>
      <c r="N501" s="1" t="s">
        <v>4935</v>
      </c>
      <c r="P501" s="1" t="s">
        <v>9113</v>
      </c>
      <c r="Q501" s="30" t="s">
        <v>2565</v>
      </c>
      <c r="R501" s="33" t="s">
        <v>3473</v>
      </c>
      <c r="S501">
        <v>37</v>
      </c>
      <c r="T501" s="1" t="s">
        <v>13878</v>
      </c>
      <c r="U501" s="1" t="str">
        <f>HYPERLINK("http://ictvonline.org/taxonomy/p/taxonomy-history?taxnode_id=202108350","ICTVonline=202108350")</f>
        <v>ICTVonline=202108350</v>
      </c>
    </row>
    <row r="502" spans="1:21" x14ac:dyDescent="0.2">
      <c r="A502" s="3">
        <v>501</v>
      </c>
      <c r="B502" s="1" t="s">
        <v>4875</v>
      </c>
      <c r="D502" s="1" t="s">
        <v>4876</v>
      </c>
      <c r="F502" s="1" t="s">
        <v>4880</v>
      </c>
      <c r="H502" s="1" t="s">
        <v>4881</v>
      </c>
      <c r="L502" s="1" t="s">
        <v>4883</v>
      </c>
      <c r="M502" s="1" t="s">
        <v>4926</v>
      </c>
      <c r="N502" s="1" t="s">
        <v>4935</v>
      </c>
      <c r="P502" s="1" t="s">
        <v>9114</v>
      </c>
      <c r="Q502" s="30" t="s">
        <v>2565</v>
      </c>
      <c r="R502" s="33" t="s">
        <v>3473</v>
      </c>
      <c r="S502">
        <v>37</v>
      </c>
      <c r="T502" s="1" t="s">
        <v>13878</v>
      </c>
      <c r="U502" s="1" t="str">
        <f>HYPERLINK("http://ictvonline.org/taxonomy/p/taxonomy-history?taxnode_id=202108348","ICTVonline=202108348")</f>
        <v>ICTVonline=202108348</v>
      </c>
    </row>
    <row r="503" spans="1:21" x14ac:dyDescent="0.2">
      <c r="A503" s="3">
        <v>502</v>
      </c>
      <c r="B503" s="1" t="s">
        <v>4875</v>
      </c>
      <c r="D503" s="1" t="s">
        <v>4876</v>
      </c>
      <c r="F503" s="1" t="s">
        <v>4880</v>
      </c>
      <c r="H503" s="1" t="s">
        <v>4881</v>
      </c>
      <c r="L503" s="1" t="s">
        <v>4883</v>
      </c>
      <c r="M503" s="1" t="s">
        <v>4926</v>
      </c>
      <c r="N503" s="1" t="s">
        <v>4936</v>
      </c>
      <c r="P503" s="1" t="s">
        <v>9115</v>
      </c>
      <c r="Q503" s="30" t="s">
        <v>2565</v>
      </c>
      <c r="R503" s="33" t="s">
        <v>3473</v>
      </c>
      <c r="S503">
        <v>37</v>
      </c>
      <c r="T503" s="1" t="s">
        <v>13878</v>
      </c>
      <c r="U503" s="1" t="str">
        <f>HYPERLINK("http://ictvonline.org/taxonomy/p/taxonomy-history?taxnode_id=202108378","ICTVonline=202108378")</f>
        <v>ICTVonline=202108378</v>
      </c>
    </row>
    <row r="504" spans="1:21" x14ac:dyDescent="0.2">
      <c r="A504" s="3">
        <v>503</v>
      </c>
      <c r="B504" s="1" t="s">
        <v>4875</v>
      </c>
      <c r="D504" s="1" t="s">
        <v>4876</v>
      </c>
      <c r="F504" s="1" t="s">
        <v>4880</v>
      </c>
      <c r="H504" s="1" t="s">
        <v>4881</v>
      </c>
      <c r="L504" s="1" t="s">
        <v>4883</v>
      </c>
      <c r="M504" s="1" t="s">
        <v>4926</v>
      </c>
      <c r="N504" s="1" t="s">
        <v>4936</v>
      </c>
      <c r="P504" s="1" t="s">
        <v>9116</v>
      </c>
      <c r="Q504" s="30" t="s">
        <v>2565</v>
      </c>
      <c r="R504" s="33" t="s">
        <v>3473</v>
      </c>
      <c r="S504">
        <v>37</v>
      </c>
      <c r="T504" s="1" t="s">
        <v>13878</v>
      </c>
      <c r="U504" s="1" t="str">
        <f>HYPERLINK("http://ictvonline.org/taxonomy/p/taxonomy-history?taxnode_id=202108376","ICTVonline=202108376")</f>
        <v>ICTVonline=202108376</v>
      </c>
    </row>
    <row r="505" spans="1:21" x14ac:dyDescent="0.2">
      <c r="A505" s="3">
        <v>504</v>
      </c>
      <c r="B505" s="1" t="s">
        <v>4875</v>
      </c>
      <c r="D505" s="1" t="s">
        <v>4876</v>
      </c>
      <c r="F505" s="1" t="s">
        <v>4880</v>
      </c>
      <c r="H505" s="1" t="s">
        <v>4881</v>
      </c>
      <c r="L505" s="1" t="s">
        <v>4883</v>
      </c>
      <c r="M505" s="1" t="s">
        <v>4926</v>
      </c>
      <c r="N505" s="1" t="s">
        <v>4936</v>
      </c>
      <c r="P505" s="1" t="s">
        <v>9117</v>
      </c>
      <c r="Q505" s="30" t="s">
        <v>2565</v>
      </c>
      <c r="R505" s="33" t="s">
        <v>3473</v>
      </c>
      <c r="S505">
        <v>37</v>
      </c>
      <c r="T505" s="1" t="s">
        <v>13878</v>
      </c>
      <c r="U505" s="1" t="str">
        <f>HYPERLINK("http://ictvonline.org/taxonomy/p/taxonomy-history?taxnode_id=202108375","ICTVonline=202108375")</f>
        <v>ICTVonline=202108375</v>
      </c>
    </row>
    <row r="506" spans="1:21" x14ac:dyDescent="0.2">
      <c r="A506" s="3">
        <v>505</v>
      </c>
      <c r="B506" s="1" t="s">
        <v>4875</v>
      </c>
      <c r="D506" s="1" t="s">
        <v>4876</v>
      </c>
      <c r="F506" s="1" t="s">
        <v>4880</v>
      </c>
      <c r="H506" s="1" t="s">
        <v>4881</v>
      </c>
      <c r="L506" s="1" t="s">
        <v>4883</v>
      </c>
      <c r="M506" s="1" t="s">
        <v>4926</v>
      </c>
      <c r="N506" s="1" t="s">
        <v>4936</v>
      </c>
      <c r="P506" s="1" t="s">
        <v>9118</v>
      </c>
      <c r="Q506" s="30" t="s">
        <v>2565</v>
      </c>
      <c r="R506" s="33" t="s">
        <v>3473</v>
      </c>
      <c r="S506">
        <v>37</v>
      </c>
      <c r="T506" s="1" t="s">
        <v>13878</v>
      </c>
      <c r="U506" s="1" t="str">
        <f>HYPERLINK("http://ictvonline.org/taxonomy/p/taxonomy-history?taxnode_id=202108377","ICTVonline=202108377")</f>
        <v>ICTVonline=202108377</v>
      </c>
    </row>
    <row r="507" spans="1:21" x14ac:dyDescent="0.2">
      <c r="A507" s="3">
        <v>506</v>
      </c>
      <c r="B507" s="1" t="s">
        <v>4875</v>
      </c>
      <c r="D507" s="1" t="s">
        <v>4876</v>
      </c>
      <c r="F507" s="1" t="s">
        <v>4880</v>
      </c>
      <c r="H507" s="1" t="s">
        <v>4881</v>
      </c>
      <c r="L507" s="1" t="s">
        <v>4883</v>
      </c>
      <c r="M507" s="1" t="s">
        <v>4926</v>
      </c>
      <c r="N507" s="1" t="s">
        <v>4937</v>
      </c>
      <c r="P507" s="1" t="s">
        <v>9119</v>
      </c>
      <c r="Q507" s="30" t="s">
        <v>2565</v>
      </c>
      <c r="R507" s="33" t="s">
        <v>3473</v>
      </c>
      <c r="S507">
        <v>37</v>
      </c>
      <c r="T507" s="1" t="s">
        <v>13878</v>
      </c>
      <c r="U507" s="1" t="str">
        <f>HYPERLINK("http://ictvonline.org/taxonomy/p/taxonomy-history?taxnode_id=202108458","ICTVonline=202108458")</f>
        <v>ICTVonline=202108458</v>
      </c>
    </row>
    <row r="508" spans="1:21" x14ac:dyDescent="0.2">
      <c r="A508" s="3">
        <v>507</v>
      </c>
      <c r="B508" s="1" t="s">
        <v>4875</v>
      </c>
      <c r="D508" s="1" t="s">
        <v>4876</v>
      </c>
      <c r="F508" s="1" t="s">
        <v>4880</v>
      </c>
      <c r="H508" s="1" t="s">
        <v>4881</v>
      </c>
      <c r="L508" s="1" t="s">
        <v>4883</v>
      </c>
      <c r="M508" s="1" t="s">
        <v>4926</v>
      </c>
      <c r="N508" s="1" t="s">
        <v>4938</v>
      </c>
      <c r="P508" s="1" t="s">
        <v>9120</v>
      </c>
      <c r="Q508" s="30" t="s">
        <v>2565</v>
      </c>
      <c r="R508" s="33" t="s">
        <v>3473</v>
      </c>
      <c r="S508">
        <v>37</v>
      </c>
      <c r="T508" s="1" t="s">
        <v>13878</v>
      </c>
      <c r="U508" s="1" t="str">
        <f>HYPERLINK("http://ictvonline.org/taxonomy/p/taxonomy-history?taxnode_id=202108406","ICTVonline=202108406")</f>
        <v>ICTVonline=202108406</v>
      </c>
    </row>
    <row r="509" spans="1:21" x14ac:dyDescent="0.2">
      <c r="A509" s="3">
        <v>508</v>
      </c>
      <c r="B509" s="1" t="s">
        <v>4875</v>
      </c>
      <c r="D509" s="1" t="s">
        <v>4876</v>
      </c>
      <c r="F509" s="1" t="s">
        <v>4880</v>
      </c>
      <c r="H509" s="1" t="s">
        <v>4881</v>
      </c>
      <c r="L509" s="1" t="s">
        <v>4883</v>
      </c>
      <c r="M509" s="1" t="s">
        <v>4926</v>
      </c>
      <c r="N509" s="1" t="s">
        <v>4938</v>
      </c>
      <c r="P509" s="1" t="s">
        <v>9121</v>
      </c>
      <c r="Q509" s="30" t="s">
        <v>2565</v>
      </c>
      <c r="R509" s="33" t="s">
        <v>3473</v>
      </c>
      <c r="S509">
        <v>37</v>
      </c>
      <c r="T509" s="1" t="s">
        <v>13878</v>
      </c>
      <c r="U509" s="1" t="str">
        <f>HYPERLINK("http://ictvonline.org/taxonomy/p/taxonomy-history?taxnode_id=202108405","ICTVonline=202108405")</f>
        <v>ICTVonline=202108405</v>
      </c>
    </row>
    <row r="510" spans="1:21" x14ac:dyDescent="0.2">
      <c r="A510" s="3">
        <v>509</v>
      </c>
      <c r="B510" s="1" t="s">
        <v>4875</v>
      </c>
      <c r="D510" s="1" t="s">
        <v>4876</v>
      </c>
      <c r="F510" s="1" t="s">
        <v>4880</v>
      </c>
      <c r="H510" s="1" t="s">
        <v>4881</v>
      </c>
      <c r="L510" s="1" t="s">
        <v>4883</v>
      </c>
      <c r="M510" s="1" t="s">
        <v>4926</v>
      </c>
      <c r="N510" s="1" t="s">
        <v>4938</v>
      </c>
      <c r="P510" s="1" t="s">
        <v>9122</v>
      </c>
      <c r="Q510" s="30" t="s">
        <v>2565</v>
      </c>
      <c r="R510" s="33" t="s">
        <v>3473</v>
      </c>
      <c r="S510">
        <v>37</v>
      </c>
      <c r="T510" s="1" t="s">
        <v>13878</v>
      </c>
      <c r="U510" s="1" t="str">
        <f>HYPERLINK("http://ictvonline.org/taxonomy/p/taxonomy-history?taxnode_id=202108404","ICTVonline=202108404")</f>
        <v>ICTVonline=202108404</v>
      </c>
    </row>
    <row r="511" spans="1:21" x14ac:dyDescent="0.2">
      <c r="A511" s="3">
        <v>510</v>
      </c>
      <c r="B511" s="1" t="s">
        <v>4875</v>
      </c>
      <c r="D511" s="1" t="s">
        <v>4876</v>
      </c>
      <c r="F511" s="1" t="s">
        <v>4880</v>
      </c>
      <c r="H511" s="1" t="s">
        <v>4881</v>
      </c>
      <c r="L511" s="1" t="s">
        <v>4883</v>
      </c>
      <c r="M511" s="1" t="s">
        <v>4926</v>
      </c>
      <c r="N511" s="1" t="s">
        <v>4938</v>
      </c>
      <c r="P511" s="1" t="s">
        <v>9123</v>
      </c>
      <c r="Q511" s="30" t="s">
        <v>2565</v>
      </c>
      <c r="R511" s="33" t="s">
        <v>3473</v>
      </c>
      <c r="S511">
        <v>37</v>
      </c>
      <c r="T511" s="1" t="s">
        <v>13878</v>
      </c>
      <c r="U511" s="1" t="str">
        <f>HYPERLINK("http://ictvonline.org/taxonomy/p/taxonomy-history?taxnode_id=202108420","ICTVonline=202108420")</f>
        <v>ICTVonline=202108420</v>
      </c>
    </row>
    <row r="512" spans="1:21" x14ac:dyDescent="0.2">
      <c r="A512" s="3">
        <v>511</v>
      </c>
      <c r="B512" s="1" t="s">
        <v>4875</v>
      </c>
      <c r="D512" s="1" t="s">
        <v>4876</v>
      </c>
      <c r="F512" s="1" t="s">
        <v>4880</v>
      </c>
      <c r="H512" s="1" t="s">
        <v>4881</v>
      </c>
      <c r="L512" s="1" t="s">
        <v>4883</v>
      </c>
      <c r="M512" s="1" t="s">
        <v>4926</v>
      </c>
      <c r="N512" s="1" t="s">
        <v>4938</v>
      </c>
      <c r="P512" s="1" t="s">
        <v>9124</v>
      </c>
      <c r="Q512" s="30" t="s">
        <v>2565</v>
      </c>
      <c r="R512" s="33" t="s">
        <v>3473</v>
      </c>
      <c r="S512">
        <v>37</v>
      </c>
      <c r="T512" s="1" t="s">
        <v>13878</v>
      </c>
      <c r="U512" s="1" t="str">
        <f>HYPERLINK("http://ictvonline.org/taxonomy/p/taxonomy-history?taxnode_id=202108412","ICTVonline=202108412")</f>
        <v>ICTVonline=202108412</v>
      </c>
    </row>
    <row r="513" spans="1:21" x14ac:dyDescent="0.2">
      <c r="A513" s="3">
        <v>512</v>
      </c>
      <c r="B513" s="1" t="s">
        <v>4875</v>
      </c>
      <c r="D513" s="1" t="s">
        <v>4876</v>
      </c>
      <c r="F513" s="1" t="s">
        <v>4880</v>
      </c>
      <c r="H513" s="1" t="s">
        <v>4881</v>
      </c>
      <c r="L513" s="1" t="s">
        <v>4883</v>
      </c>
      <c r="M513" s="1" t="s">
        <v>4926</v>
      </c>
      <c r="N513" s="1" t="s">
        <v>4938</v>
      </c>
      <c r="P513" s="1" t="s">
        <v>9125</v>
      </c>
      <c r="Q513" s="30" t="s">
        <v>2565</v>
      </c>
      <c r="R513" s="33" t="s">
        <v>3473</v>
      </c>
      <c r="S513">
        <v>37</v>
      </c>
      <c r="T513" s="1" t="s">
        <v>13878</v>
      </c>
      <c r="U513" s="1" t="str">
        <f>HYPERLINK("http://ictvonline.org/taxonomy/p/taxonomy-history?taxnode_id=202108408","ICTVonline=202108408")</f>
        <v>ICTVonline=202108408</v>
      </c>
    </row>
    <row r="514" spans="1:21" x14ac:dyDescent="0.2">
      <c r="A514" s="3">
        <v>513</v>
      </c>
      <c r="B514" s="1" t="s">
        <v>4875</v>
      </c>
      <c r="D514" s="1" t="s">
        <v>4876</v>
      </c>
      <c r="F514" s="1" t="s">
        <v>4880</v>
      </c>
      <c r="H514" s="1" t="s">
        <v>4881</v>
      </c>
      <c r="L514" s="1" t="s">
        <v>4883</v>
      </c>
      <c r="M514" s="1" t="s">
        <v>4926</v>
      </c>
      <c r="N514" s="1" t="s">
        <v>4938</v>
      </c>
      <c r="P514" s="1" t="s">
        <v>9126</v>
      </c>
      <c r="Q514" s="30" t="s">
        <v>2565</v>
      </c>
      <c r="R514" s="33" t="s">
        <v>3473</v>
      </c>
      <c r="S514">
        <v>37</v>
      </c>
      <c r="T514" s="1" t="s">
        <v>13878</v>
      </c>
      <c r="U514" s="1" t="str">
        <f>HYPERLINK("http://ictvonline.org/taxonomy/p/taxonomy-history?taxnode_id=202108418","ICTVonline=202108418")</f>
        <v>ICTVonline=202108418</v>
      </c>
    </row>
    <row r="515" spans="1:21" x14ac:dyDescent="0.2">
      <c r="A515" s="3">
        <v>514</v>
      </c>
      <c r="B515" s="1" t="s">
        <v>4875</v>
      </c>
      <c r="D515" s="1" t="s">
        <v>4876</v>
      </c>
      <c r="F515" s="1" t="s">
        <v>4880</v>
      </c>
      <c r="H515" s="1" t="s">
        <v>4881</v>
      </c>
      <c r="L515" s="1" t="s">
        <v>4883</v>
      </c>
      <c r="M515" s="1" t="s">
        <v>4926</v>
      </c>
      <c r="N515" s="1" t="s">
        <v>4938</v>
      </c>
      <c r="P515" s="1" t="s">
        <v>9127</v>
      </c>
      <c r="Q515" s="30" t="s">
        <v>2565</v>
      </c>
      <c r="R515" s="33" t="s">
        <v>3473</v>
      </c>
      <c r="S515">
        <v>37</v>
      </c>
      <c r="T515" s="1" t="s">
        <v>13878</v>
      </c>
      <c r="U515" s="1" t="str">
        <f>HYPERLINK("http://ictvonline.org/taxonomy/p/taxonomy-history?taxnode_id=202108421","ICTVonline=202108421")</f>
        <v>ICTVonline=202108421</v>
      </c>
    </row>
    <row r="516" spans="1:21" x14ac:dyDescent="0.2">
      <c r="A516" s="3">
        <v>515</v>
      </c>
      <c r="B516" s="1" t="s">
        <v>4875</v>
      </c>
      <c r="D516" s="1" t="s">
        <v>4876</v>
      </c>
      <c r="F516" s="1" t="s">
        <v>4880</v>
      </c>
      <c r="H516" s="1" t="s">
        <v>4881</v>
      </c>
      <c r="L516" s="1" t="s">
        <v>4883</v>
      </c>
      <c r="M516" s="1" t="s">
        <v>4926</v>
      </c>
      <c r="N516" s="1" t="s">
        <v>4938</v>
      </c>
      <c r="P516" s="1" t="s">
        <v>9128</v>
      </c>
      <c r="Q516" s="30" t="s">
        <v>2565</v>
      </c>
      <c r="R516" s="33" t="s">
        <v>3473</v>
      </c>
      <c r="S516">
        <v>37</v>
      </c>
      <c r="T516" s="1" t="s">
        <v>13878</v>
      </c>
      <c r="U516" s="1" t="str">
        <f>HYPERLINK("http://ictvonline.org/taxonomy/p/taxonomy-history?taxnode_id=202108403","ICTVonline=202108403")</f>
        <v>ICTVonline=202108403</v>
      </c>
    </row>
    <row r="517" spans="1:21" x14ac:dyDescent="0.2">
      <c r="A517" s="3">
        <v>516</v>
      </c>
      <c r="B517" s="1" t="s">
        <v>4875</v>
      </c>
      <c r="D517" s="1" t="s">
        <v>4876</v>
      </c>
      <c r="F517" s="1" t="s">
        <v>4880</v>
      </c>
      <c r="H517" s="1" t="s">
        <v>4881</v>
      </c>
      <c r="L517" s="1" t="s">
        <v>4883</v>
      </c>
      <c r="M517" s="1" t="s">
        <v>4926</v>
      </c>
      <c r="N517" s="1" t="s">
        <v>4938</v>
      </c>
      <c r="P517" s="1" t="s">
        <v>9129</v>
      </c>
      <c r="Q517" s="30" t="s">
        <v>2565</v>
      </c>
      <c r="R517" s="33" t="s">
        <v>3473</v>
      </c>
      <c r="S517">
        <v>37</v>
      </c>
      <c r="T517" s="1" t="s">
        <v>13878</v>
      </c>
      <c r="U517" s="1" t="str">
        <f>HYPERLINK("http://ictvonline.org/taxonomy/p/taxonomy-history?taxnode_id=202108414","ICTVonline=202108414")</f>
        <v>ICTVonline=202108414</v>
      </c>
    </row>
    <row r="518" spans="1:21" x14ac:dyDescent="0.2">
      <c r="A518" s="3">
        <v>517</v>
      </c>
      <c r="B518" s="1" t="s">
        <v>4875</v>
      </c>
      <c r="D518" s="1" t="s">
        <v>4876</v>
      </c>
      <c r="F518" s="1" t="s">
        <v>4880</v>
      </c>
      <c r="H518" s="1" t="s">
        <v>4881</v>
      </c>
      <c r="L518" s="1" t="s">
        <v>4883</v>
      </c>
      <c r="M518" s="1" t="s">
        <v>4926</v>
      </c>
      <c r="N518" s="1" t="s">
        <v>4938</v>
      </c>
      <c r="P518" s="1" t="s">
        <v>9130</v>
      </c>
      <c r="Q518" s="30" t="s">
        <v>2565</v>
      </c>
      <c r="R518" s="33" t="s">
        <v>3473</v>
      </c>
      <c r="S518">
        <v>37</v>
      </c>
      <c r="T518" s="1" t="s">
        <v>13878</v>
      </c>
      <c r="U518" s="1" t="str">
        <f>HYPERLINK("http://ictvonline.org/taxonomy/p/taxonomy-history?taxnode_id=202108407","ICTVonline=202108407")</f>
        <v>ICTVonline=202108407</v>
      </c>
    </row>
    <row r="519" spans="1:21" x14ac:dyDescent="0.2">
      <c r="A519" s="3">
        <v>518</v>
      </c>
      <c r="B519" s="1" t="s">
        <v>4875</v>
      </c>
      <c r="D519" s="1" t="s">
        <v>4876</v>
      </c>
      <c r="F519" s="1" t="s">
        <v>4880</v>
      </c>
      <c r="H519" s="1" t="s">
        <v>4881</v>
      </c>
      <c r="L519" s="1" t="s">
        <v>4883</v>
      </c>
      <c r="M519" s="1" t="s">
        <v>4926</v>
      </c>
      <c r="N519" s="1" t="s">
        <v>4938</v>
      </c>
      <c r="P519" s="1" t="s">
        <v>9131</v>
      </c>
      <c r="Q519" s="30" t="s">
        <v>2565</v>
      </c>
      <c r="R519" s="33" t="s">
        <v>3473</v>
      </c>
      <c r="S519">
        <v>37</v>
      </c>
      <c r="T519" s="1" t="s">
        <v>13878</v>
      </c>
      <c r="U519" s="1" t="str">
        <f>HYPERLINK("http://ictvonline.org/taxonomy/p/taxonomy-history?taxnode_id=202108419","ICTVonline=202108419")</f>
        <v>ICTVonline=202108419</v>
      </c>
    </row>
    <row r="520" spans="1:21" x14ac:dyDescent="0.2">
      <c r="A520" s="3">
        <v>519</v>
      </c>
      <c r="B520" s="1" t="s">
        <v>4875</v>
      </c>
      <c r="D520" s="1" t="s">
        <v>4876</v>
      </c>
      <c r="F520" s="1" t="s">
        <v>4880</v>
      </c>
      <c r="H520" s="1" t="s">
        <v>4881</v>
      </c>
      <c r="L520" s="1" t="s">
        <v>4883</v>
      </c>
      <c r="M520" s="1" t="s">
        <v>4926</v>
      </c>
      <c r="N520" s="1" t="s">
        <v>4938</v>
      </c>
      <c r="P520" s="1" t="s">
        <v>9132</v>
      </c>
      <c r="Q520" s="30" t="s">
        <v>2565</v>
      </c>
      <c r="R520" s="33" t="s">
        <v>3473</v>
      </c>
      <c r="S520">
        <v>37</v>
      </c>
      <c r="T520" s="1" t="s">
        <v>13878</v>
      </c>
      <c r="U520" s="1" t="str">
        <f>HYPERLINK("http://ictvonline.org/taxonomy/p/taxonomy-history?taxnode_id=202108417","ICTVonline=202108417")</f>
        <v>ICTVonline=202108417</v>
      </c>
    </row>
    <row r="521" spans="1:21" x14ac:dyDescent="0.2">
      <c r="A521" s="3">
        <v>520</v>
      </c>
      <c r="B521" s="1" t="s">
        <v>4875</v>
      </c>
      <c r="D521" s="1" t="s">
        <v>4876</v>
      </c>
      <c r="F521" s="1" t="s">
        <v>4880</v>
      </c>
      <c r="H521" s="1" t="s">
        <v>4881</v>
      </c>
      <c r="L521" s="1" t="s">
        <v>4883</v>
      </c>
      <c r="M521" s="1" t="s">
        <v>4926</v>
      </c>
      <c r="N521" s="1" t="s">
        <v>4938</v>
      </c>
      <c r="P521" s="1" t="s">
        <v>9133</v>
      </c>
      <c r="Q521" s="30" t="s">
        <v>2565</v>
      </c>
      <c r="R521" s="33" t="s">
        <v>3473</v>
      </c>
      <c r="S521">
        <v>37</v>
      </c>
      <c r="T521" s="1" t="s">
        <v>13878</v>
      </c>
      <c r="U521" s="1" t="str">
        <f>HYPERLINK("http://ictvonline.org/taxonomy/p/taxonomy-history?taxnode_id=202108409","ICTVonline=202108409")</f>
        <v>ICTVonline=202108409</v>
      </c>
    </row>
    <row r="522" spans="1:21" x14ac:dyDescent="0.2">
      <c r="A522" s="3">
        <v>521</v>
      </c>
      <c r="B522" s="1" t="s">
        <v>4875</v>
      </c>
      <c r="D522" s="1" t="s">
        <v>4876</v>
      </c>
      <c r="F522" s="1" t="s">
        <v>4880</v>
      </c>
      <c r="H522" s="1" t="s">
        <v>4881</v>
      </c>
      <c r="L522" s="1" t="s">
        <v>4883</v>
      </c>
      <c r="M522" s="1" t="s">
        <v>4926</v>
      </c>
      <c r="N522" s="1" t="s">
        <v>4938</v>
      </c>
      <c r="P522" s="1" t="s">
        <v>9134</v>
      </c>
      <c r="Q522" s="30" t="s">
        <v>2565</v>
      </c>
      <c r="R522" s="33" t="s">
        <v>3473</v>
      </c>
      <c r="S522">
        <v>37</v>
      </c>
      <c r="T522" s="1" t="s">
        <v>13878</v>
      </c>
      <c r="U522" s="1" t="str">
        <f>HYPERLINK("http://ictvonline.org/taxonomy/p/taxonomy-history?taxnode_id=202108410","ICTVonline=202108410")</f>
        <v>ICTVonline=202108410</v>
      </c>
    </row>
    <row r="523" spans="1:21" x14ac:dyDescent="0.2">
      <c r="A523" s="3">
        <v>522</v>
      </c>
      <c r="B523" s="1" t="s">
        <v>4875</v>
      </c>
      <c r="D523" s="1" t="s">
        <v>4876</v>
      </c>
      <c r="F523" s="1" t="s">
        <v>4880</v>
      </c>
      <c r="H523" s="1" t="s">
        <v>4881</v>
      </c>
      <c r="L523" s="1" t="s">
        <v>4883</v>
      </c>
      <c r="M523" s="1" t="s">
        <v>4926</v>
      </c>
      <c r="N523" s="1" t="s">
        <v>4938</v>
      </c>
      <c r="P523" s="1" t="s">
        <v>9135</v>
      </c>
      <c r="Q523" s="30" t="s">
        <v>2565</v>
      </c>
      <c r="R523" s="33" t="s">
        <v>3473</v>
      </c>
      <c r="S523">
        <v>37</v>
      </c>
      <c r="T523" s="1" t="s">
        <v>13878</v>
      </c>
      <c r="U523" s="1" t="str">
        <f>HYPERLINK("http://ictvonline.org/taxonomy/p/taxonomy-history?taxnode_id=202108413","ICTVonline=202108413")</f>
        <v>ICTVonline=202108413</v>
      </c>
    </row>
    <row r="524" spans="1:21" x14ac:dyDescent="0.2">
      <c r="A524" s="3">
        <v>523</v>
      </c>
      <c r="B524" s="1" t="s">
        <v>4875</v>
      </c>
      <c r="D524" s="1" t="s">
        <v>4876</v>
      </c>
      <c r="F524" s="1" t="s">
        <v>4880</v>
      </c>
      <c r="H524" s="1" t="s">
        <v>4881</v>
      </c>
      <c r="L524" s="1" t="s">
        <v>4883</v>
      </c>
      <c r="M524" s="1" t="s">
        <v>4926</v>
      </c>
      <c r="N524" s="1" t="s">
        <v>4938</v>
      </c>
      <c r="P524" s="1" t="s">
        <v>9136</v>
      </c>
      <c r="Q524" s="30" t="s">
        <v>2565</v>
      </c>
      <c r="R524" s="33" t="s">
        <v>3473</v>
      </c>
      <c r="S524">
        <v>37</v>
      </c>
      <c r="T524" s="1" t="s">
        <v>13878</v>
      </c>
      <c r="U524" s="1" t="str">
        <f>HYPERLINK("http://ictvonline.org/taxonomy/p/taxonomy-history?taxnode_id=202108416","ICTVonline=202108416")</f>
        <v>ICTVonline=202108416</v>
      </c>
    </row>
    <row r="525" spans="1:21" x14ac:dyDescent="0.2">
      <c r="A525" s="3">
        <v>524</v>
      </c>
      <c r="B525" s="1" t="s">
        <v>4875</v>
      </c>
      <c r="D525" s="1" t="s">
        <v>4876</v>
      </c>
      <c r="F525" s="1" t="s">
        <v>4880</v>
      </c>
      <c r="H525" s="1" t="s">
        <v>4881</v>
      </c>
      <c r="L525" s="1" t="s">
        <v>4883</v>
      </c>
      <c r="M525" s="1" t="s">
        <v>4926</v>
      </c>
      <c r="N525" s="1" t="s">
        <v>4938</v>
      </c>
      <c r="P525" s="1" t="s">
        <v>9137</v>
      </c>
      <c r="Q525" s="30" t="s">
        <v>2565</v>
      </c>
      <c r="R525" s="33" t="s">
        <v>3473</v>
      </c>
      <c r="S525">
        <v>37</v>
      </c>
      <c r="T525" s="1" t="s">
        <v>13878</v>
      </c>
      <c r="U525" s="1" t="str">
        <f>HYPERLINK("http://ictvonline.org/taxonomy/p/taxonomy-history?taxnode_id=202108415","ICTVonline=202108415")</f>
        <v>ICTVonline=202108415</v>
      </c>
    </row>
    <row r="526" spans="1:21" x14ac:dyDescent="0.2">
      <c r="A526" s="3">
        <v>525</v>
      </c>
      <c r="B526" s="1" t="s">
        <v>4875</v>
      </c>
      <c r="D526" s="1" t="s">
        <v>4876</v>
      </c>
      <c r="F526" s="1" t="s">
        <v>4880</v>
      </c>
      <c r="H526" s="1" t="s">
        <v>4881</v>
      </c>
      <c r="L526" s="1" t="s">
        <v>4883</v>
      </c>
      <c r="M526" s="1" t="s">
        <v>4926</v>
      </c>
      <c r="N526" s="1" t="s">
        <v>4938</v>
      </c>
      <c r="P526" s="1" t="s">
        <v>9138</v>
      </c>
      <c r="Q526" s="30" t="s">
        <v>2565</v>
      </c>
      <c r="R526" s="33" t="s">
        <v>3473</v>
      </c>
      <c r="S526">
        <v>37</v>
      </c>
      <c r="T526" s="1" t="s">
        <v>13878</v>
      </c>
      <c r="U526" s="1" t="str">
        <f>HYPERLINK("http://ictvonline.org/taxonomy/p/taxonomy-history?taxnode_id=202108411","ICTVonline=202108411")</f>
        <v>ICTVonline=202108411</v>
      </c>
    </row>
    <row r="527" spans="1:21" x14ac:dyDescent="0.2">
      <c r="A527" s="3">
        <v>526</v>
      </c>
      <c r="B527" s="1" t="s">
        <v>4875</v>
      </c>
      <c r="D527" s="1" t="s">
        <v>4876</v>
      </c>
      <c r="F527" s="1" t="s">
        <v>4880</v>
      </c>
      <c r="H527" s="1" t="s">
        <v>4881</v>
      </c>
      <c r="L527" s="1" t="s">
        <v>4883</v>
      </c>
      <c r="M527" s="1" t="s">
        <v>4926</v>
      </c>
      <c r="N527" s="1" t="s">
        <v>4939</v>
      </c>
      <c r="P527" s="1" t="s">
        <v>9139</v>
      </c>
      <c r="Q527" s="30" t="s">
        <v>2565</v>
      </c>
      <c r="R527" s="33" t="s">
        <v>3473</v>
      </c>
      <c r="S527">
        <v>37</v>
      </c>
      <c r="T527" s="1" t="s">
        <v>13878</v>
      </c>
      <c r="U527" s="1" t="str">
        <f>HYPERLINK("http://ictvonline.org/taxonomy/p/taxonomy-history?taxnode_id=202108369","ICTVonline=202108369")</f>
        <v>ICTVonline=202108369</v>
      </c>
    </row>
    <row r="528" spans="1:21" x14ac:dyDescent="0.2">
      <c r="A528" s="3">
        <v>527</v>
      </c>
      <c r="B528" s="1" t="s">
        <v>4875</v>
      </c>
      <c r="D528" s="1" t="s">
        <v>4876</v>
      </c>
      <c r="F528" s="1" t="s">
        <v>4880</v>
      </c>
      <c r="H528" s="1" t="s">
        <v>4881</v>
      </c>
      <c r="L528" s="1" t="s">
        <v>4883</v>
      </c>
      <c r="M528" s="1" t="s">
        <v>4926</v>
      </c>
      <c r="N528" s="1" t="s">
        <v>4939</v>
      </c>
      <c r="P528" s="1" t="s">
        <v>9140</v>
      </c>
      <c r="Q528" s="30" t="s">
        <v>2565</v>
      </c>
      <c r="R528" s="33" t="s">
        <v>3473</v>
      </c>
      <c r="S528">
        <v>37</v>
      </c>
      <c r="T528" s="1" t="s">
        <v>13878</v>
      </c>
      <c r="U528" s="1" t="str">
        <f>HYPERLINK("http://ictvonline.org/taxonomy/p/taxonomy-history?taxnode_id=202108368","ICTVonline=202108368")</f>
        <v>ICTVonline=202108368</v>
      </c>
    </row>
    <row r="529" spans="1:21" x14ac:dyDescent="0.2">
      <c r="A529" s="3">
        <v>528</v>
      </c>
      <c r="B529" s="1" t="s">
        <v>4875</v>
      </c>
      <c r="D529" s="1" t="s">
        <v>4876</v>
      </c>
      <c r="F529" s="1" t="s">
        <v>4880</v>
      </c>
      <c r="H529" s="1" t="s">
        <v>4881</v>
      </c>
      <c r="L529" s="1" t="s">
        <v>4883</v>
      </c>
      <c r="M529" s="1" t="s">
        <v>4926</v>
      </c>
      <c r="N529" s="1" t="s">
        <v>4940</v>
      </c>
      <c r="P529" s="1" t="s">
        <v>9141</v>
      </c>
      <c r="Q529" s="30" t="s">
        <v>2565</v>
      </c>
      <c r="R529" s="33" t="s">
        <v>3473</v>
      </c>
      <c r="S529">
        <v>37</v>
      </c>
      <c r="T529" s="1" t="s">
        <v>13878</v>
      </c>
      <c r="U529" s="1" t="str">
        <f>HYPERLINK("http://ictvonline.org/taxonomy/p/taxonomy-history?taxnode_id=202108386","ICTVonline=202108386")</f>
        <v>ICTVonline=202108386</v>
      </c>
    </row>
    <row r="530" spans="1:21" x14ac:dyDescent="0.2">
      <c r="A530" s="3">
        <v>529</v>
      </c>
      <c r="B530" s="1" t="s">
        <v>4875</v>
      </c>
      <c r="D530" s="1" t="s">
        <v>4876</v>
      </c>
      <c r="F530" s="1" t="s">
        <v>4880</v>
      </c>
      <c r="H530" s="1" t="s">
        <v>4881</v>
      </c>
      <c r="L530" s="1" t="s">
        <v>4883</v>
      </c>
      <c r="M530" s="1" t="s">
        <v>4926</v>
      </c>
      <c r="N530" s="1" t="s">
        <v>4940</v>
      </c>
      <c r="P530" s="1" t="s">
        <v>9142</v>
      </c>
      <c r="Q530" s="30" t="s">
        <v>2565</v>
      </c>
      <c r="R530" s="33" t="s">
        <v>3473</v>
      </c>
      <c r="S530">
        <v>37</v>
      </c>
      <c r="T530" s="1" t="s">
        <v>13878</v>
      </c>
      <c r="U530" s="1" t="str">
        <f>HYPERLINK("http://ictvonline.org/taxonomy/p/taxonomy-history?taxnode_id=202108385","ICTVonline=202108385")</f>
        <v>ICTVonline=202108385</v>
      </c>
    </row>
    <row r="531" spans="1:21" x14ac:dyDescent="0.2">
      <c r="A531" s="3">
        <v>530</v>
      </c>
      <c r="B531" s="1" t="s">
        <v>4875</v>
      </c>
      <c r="D531" s="1" t="s">
        <v>4876</v>
      </c>
      <c r="F531" s="1" t="s">
        <v>4880</v>
      </c>
      <c r="H531" s="1" t="s">
        <v>4881</v>
      </c>
      <c r="L531" s="1" t="s">
        <v>4883</v>
      </c>
      <c r="M531" s="1" t="s">
        <v>4926</v>
      </c>
      <c r="N531" s="1" t="s">
        <v>4941</v>
      </c>
      <c r="P531" s="1" t="s">
        <v>9143</v>
      </c>
      <c r="Q531" s="30" t="s">
        <v>2565</v>
      </c>
      <c r="R531" s="33" t="s">
        <v>3473</v>
      </c>
      <c r="S531">
        <v>37</v>
      </c>
      <c r="T531" s="1" t="s">
        <v>13878</v>
      </c>
      <c r="U531" s="1" t="str">
        <f>HYPERLINK("http://ictvonline.org/taxonomy/p/taxonomy-history?taxnode_id=202108371","ICTVonline=202108371")</f>
        <v>ICTVonline=202108371</v>
      </c>
    </row>
    <row r="532" spans="1:21" x14ac:dyDescent="0.2">
      <c r="A532" s="3">
        <v>531</v>
      </c>
      <c r="B532" s="1" t="s">
        <v>4875</v>
      </c>
      <c r="D532" s="1" t="s">
        <v>4876</v>
      </c>
      <c r="F532" s="1" t="s">
        <v>4880</v>
      </c>
      <c r="H532" s="1" t="s">
        <v>4881</v>
      </c>
      <c r="L532" s="1" t="s">
        <v>4883</v>
      </c>
      <c r="M532" s="1" t="s">
        <v>4926</v>
      </c>
      <c r="N532" s="1" t="s">
        <v>4941</v>
      </c>
      <c r="P532" s="1" t="s">
        <v>9144</v>
      </c>
      <c r="Q532" s="30" t="s">
        <v>2565</v>
      </c>
      <c r="R532" s="33" t="s">
        <v>3473</v>
      </c>
      <c r="S532">
        <v>37</v>
      </c>
      <c r="T532" s="1" t="s">
        <v>13878</v>
      </c>
      <c r="U532" s="1" t="str">
        <f>HYPERLINK("http://ictvonline.org/taxonomy/p/taxonomy-history?taxnode_id=202108373","ICTVonline=202108373")</f>
        <v>ICTVonline=202108373</v>
      </c>
    </row>
    <row r="533" spans="1:21" x14ac:dyDescent="0.2">
      <c r="A533" s="3">
        <v>532</v>
      </c>
      <c r="B533" s="1" t="s">
        <v>4875</v>
      </c>
      <c r="D533" s="1" t="s">
        <v>4876</v>
      </c>
      <c r="F533" s="1" t="s">
        <v>4880</v>
      </c>
      <c r="H533" s="1" t="s">
        <v>4881</v>
      </c>
      <c r="L533" s="1" t="s">
        <v>4883</v>
      </c>
      <c r="M533" s="1" t="s">
        <v>4926</v>
      </c>
      <c r="N533" s="1" t="s">
        <v>4941</v>
      </c>
      <c r="P533" s="1" t="s">
        <v>9145</v>
      </c>
      <c r="Q533" s="30" t="s">
        <v>2565</v>
      </c>
      <c r="R533" s="33" t="s">
        <v>3473</v>
      </c>
      <c r="S533">
        <v>37</v>
      </c>
      <c r="T533" s="1" t="s">
        <v>13878</v>
      </c>
      <c r="U533" s="1" t="str">
        <f>HYPERLINK("http://ictvonline.org/taxonomy/p/taxonomy-history?taxnode_id=202108372","ICTVonline=202108372")</f>
        <v>ICTVonline=202108372</v>
      </c>
    </row>
    <row r="534" spans="1:21" x14ac:dyDescent="0.2">
      <c r="A534" s="3">
        <v>533</v>
      </c>
      <c r="B534" s="1" t="s">
        <v>4875</v>
      </c>
      <c r="D534" s="1" t="s">
        <v>4876</v>
      </c>
      <c r="F534" s="1" t="s">
        <v>4880</v>
      </c>
      <c r="H534" s="1" t="s">
        <v>4881</v>
      </c>
      <c r="L534" s="1" t="s">
        <v>4883</v>
      </c>
      <c r="M534" s="1" t="s">
        <v>4926</v>
      </c>
      <c r="N534" s="1" t="s">
        <v>4942</v>
      </c>
      <c r="P534" s="1" t="s">
        <v>9146</v>
      </c>
      <c r="Q534" s="30" t="s">
        <v>2565</v>
      </c>
      <c r="R534" s="33" t="s">
        <v>3473</v>
      </c>
      <c r="S534">
        <v>37</v>
      </c>
      <c r="T534" s="1" t="s">
        <v>13878</v>
      </c>
      <c r="U534" s="1" t="str">
        <f>HYPERLINK("http://ictvonline.org/taxonomy/p/taxonomy-history?taxnode_id=202108357","ICTVonline=202108357")</f>
        <v>ICTVonline=202108357</v>
      </c>
    </row>
    <row r="535" spans="1:21" x14ac:dyDescent="0.2">
      <c r="A535" s="3">
        <v>534</v>
      </c>
      <c r="B535" s="1" t="s">
        <v>4875</v>
      </c>
      <c r="D535" s="1" t="s">
        <v>4876</v>
      </c>
      <c r="F535" s="1" t="s">
        <v>4880</v>
      </c>
      <c r="H535" s="1" t="s">
        <v>4881</v>
      </c>
      <c r="L535" s="1" t="s">
        <v>4883</v>
      </c>
      <c r="M535" s="1" t="s">
        <v>4926</v>
      </c>
      <c r="N535" s="1" t="s">
        <v>4943</v>
      </c>
      <c r="P535" s="1" t="s">
        <v>9147</v>
      </c>
      <c r="Q535" s="30" t="s">
        <v>2565</v>
      </c>
      <c r="R535" s="33" t="s">
        <v>3473</v>
      </c>
      <c r="S535">
        <v>37</v>
      </c>
      <c r="T535" s="1" t="s">
        <v>13878</v>
      </c>
      <c r="U535" s="1" t="str">
        <f>HYPERLINK("http://ictvonline.org/taxonomy/p/taxonomy-history?taxnode_id=202108362","ICTVonline=202108362")</f>
        <v>ICTVonline=202108362</v>
      </c>
    </row>
    <row r="536" spans="1:21" x14ac:dyDescent="0.2">
      <c r="A536" s="3">
        <v>535</v>
      </c>
      <c r="B536" s="1" t="s">
        <v>4875</v>
      </c>
      <c r="D536" s="1" t="s">
        <v>4876</v>
      </c>
      <c r="F536" s="1" t="s">
        <v>4880</v>
      </c>
      <c r="H536" s="1" t="s">
        <v>4881</v>
      </c>
      <c r="L536" s="1" t="s">
        <v>4883</v>
      </c>
      <c r="M536" s="1" t="s">
        <v>4926</v>
      </c>
      <c r="N536" s="1" t="s">
        <v>4943</v>
      </c>
      <c r="P536" s="1" t="s">
        <v>9148</v>
      </c>
      <c r="Q536" s="30" t="s">
        <v>2565</v>
      </c>
      <c r="R536" s="33" t="s">
        <v>3473</v>
      </c>
      <c r="S536">
        <v>37</v>
      </c>
      <c r="T536" s="1" t="s">
        <v>13878</v>
      </c>
      <c r="U536" s="1" t="str">
        <f>HYPERLINK("http://ictvonline.org/taxonomy/p/taxonomy-history?taxnode_id=202108361","ICTVonline=202108361")</f>
        <v>ICTVonline=202108361</v>
      </c>
    </row>
    <row r="537" spans="1:21" x14ac:dyDescent="0.2">
      <c r="A537" s="3">
        <v>536</v>
      </c>
      <c r="B537" s="1" t="s">
        <v>4875</v>
      </c>
      <c r="D537" s="1" t="s">
        <v>4876</v>
      </c>
      <c r="F537" s="1" t="s">
        <v>4880</v>
      </c>
      <c r="H537" s="1" t="s">
        <v>4881</v>
      </c>
      <c r="L537" s="1" t="s">
        <v>4883</v>
      </c>
      <c r="M537" s="1" t="s">
        <v>4926</v>
      </c>
      <c r="N537" s="1" t="s">
        <v>4943</v>
      </c>
      <c r="P537" s="1" t="s">
        <v>9149</v>
      </c>
      <c r="Q537" s="30" t="s">
        <v>2565</v>
      </c>
      <c r="R537" s="33" t="s">
        <v>3473</v>
      </c>
      <c r="S537">
        <v>37</v>
      </c>
      <c r="T537" s="1" t="s">
        <v>13878</v>
      </c>
      <c r="U537" s="1" t="str">
        <f>HYPERLINK("http://ictvonline.org/taxonomy/p/taxonomy-history?taxnode_id=202108366","ICTVonline=202108366")</f>
        <v>ICTVonline=202108366</v>
      </c>
    </row>
    <row r="538" spans="1:21" x14ac:dyDescent="0.2">
      <c r="A538" s="3">
        <v>537</v>
      </c>
      <c r="B538" s="1" t="s">
        <v>4875</v>
      </c>
      <c r="D538" s="1" t="s">
        <v>4876</v>
      </c>
      <c r="F538" s="1" t="s">
        <v>4880</v>
      </c>
      <c r="H538" s="1" t="s">
        <v>4881</v>
      </c>
      <c r="L538" s="1" t="s">
        <v>4883</v>
      </c>
      <c r="M538" s="1" t="s">
        <v>4926</v>
      </c>
      <c r="N538" s="1" t="s">
        <v>4943</v>
      </c>
      <c r="P538" s="1" t="s">
        <v>9150</v>
      </c>
      <c r="Q538" s="30" t="s">
        <v>2565</v>
      </c>
      <c r="R538" s="33" t="s">
        <v>3473</v>
      </c>
      <c r="S538">
        <v>37</v>
      </c>
      <c r="T538" s="1" t="s">
        <v>13878</v>
      </c>
      <c r="U538" s="1" t="str">
        <f>HYPERLINK("http://ictvonline.org/taxonomy/p/taxonomy-history?taxnode_id=202108363","ICTVonline=202108363")</f>
        <v>ICTVonline=202108363</v>
      </c>
    </row>
    <row r="539" spans="1:21" x14ac:dyDescent="0.2">
      <c r="A539" s="3">
        <v>538</v>
      </c>
      <c r="B539" s="1" t="s">
        <v>4875</v>
      </c>
      <c r="D539" s="1" t="s">
        <v>4876</v>
      </c>
      <c r="F539" s="1" t="s">
        <v>4880</v>
      </c>
      <c r="H539" s="1" t="s">
        <v>4881</v>
      </c>
      <c r="L539" s="1" t="s">
        <v>4883</v>
      </c>
      <c r="M539" s="1" t="s">
        <v>4926</v>
      </c>
      <c r="N539" s="1" t="s">
        <v>4943</v>
      </c>
      <c r="P539" s="1" t="s">
        <v>9151</v>
      </c>
      <c r="Q539" s="30" t="s">
        <v>2565</v>
      </c>
      <c r="R539" s="33" t="s">
        <v>3473</v>
      </c>
      <c r="S539">
        <v>37</v>
      </c>
      <c r="T539" s="1" t="s">
        <v>13878</v>
      </c>
      <c r="U539" s="1" t="str">
        <f>HYPERLINK("http://ictvonline.org/taxonomy/p/taxonomy-history?taxnode_id=202108365","ICTVonline=202108365")</f>
        <v>ICTVonline=202108365</v>
      </c>
    </row>
    <row r="540" spans="1:21" x14ac:dyDescent="0.2">
      <c r="A540" s="3">
        <v>539</v>
      </c>
      <c r="B540" s="1" t="s">
        <v>4875</v>
      </c>
      <c r="D540" s="1" t="s">
        <v>4876</v>
      </c>
      <c r="F540" s="1" t="s">
        <v>4880</v>
      </c>
      <c r="H540" s="1" t="s">
        <v>4881</v>
      </c>
      <c r="L540" s="1" t="s">
        <v>4883</v>
      </c>
      <c r="M540" s="1" t="s">
        <v>4926</v>
      </c>
      <c r="N540" s="1" t="s">
        <v>4943</v>
      </c>
      <c r="P540" s="1" t="s">
        <v>9152</v>
      </c>
      <c r="Q540" s="30" t="s">
        <v>2565</v>
      </c>
      <c r="R540" s="33" t="s">
        <v>3473</v>
      </c>
      <c r="S540">
        <v>37</v>
      </c>
      <c r="T540" s="1" t="s">
        <v>13878</v>
      </c>
      <c r="U540" s="1" t="str">
        <f>HYPERLINK("http://ictvonline.org/taxonomy/p/taxonomy-history?taxnode_id=202108364","ICTVonline=202108364")</f>
        <v>ICTVonline=202108364</v>
      </c>
    </row>
    <row r="541" spans="1:21" x14ac:dyDescent="0.2">
      <c r="A541" s="3">
        <v>540</v>
      </c>
      <c r="B541" s="1" t="s">
        <v>4875</v>
      </c>
      <c r="D541" s="1" t="s">
        <v>4876</v>
      </c>
      <c r="F541" s="1" t="s">
        <v>4880</v>
      </c>
      <c r="H541" s="1" t="s">
        <v>4881</v>
      </c>
      <c r="L541" s="1" t="s">
        <v>4883</v>
      </c>
      <c r="M541" s="1" t="s">
        <v>4926</v>
      </c>
      <c r="N541" s="1" t="s">
        <v>4944</v>
      </c>
      <c r="P541" s="1" t="s">
        <v>9153</v>
      </c>
      <c r="Q541" s="30" t="s">
        <v>2565</v>
      </c>
      <c r="R541" s="33" t="s">
        <v>3473</v>
      </c>
      <c r="S541">
        <v>37</v>
      </c>
      <c r="T541" s="1" t="s">
        <v>13878</v>
      </c>
      <c r="U541" s="1" t="str">
        <f>HYPERLINK("http://ictvonline.org/taxonomy/p/taxonomy-history?taxnode_id=202108355","ICTVonline=202108355")</f>
        <v>ICTVonline=202108355</v>
      </c>
    </row>
    <row r="542" spans="1:21" x14ac:dyDescent="0.2">
      <c r="A542" s="3">
        <v>541</v>
      </c>
      <c r="B542" s="1" t="s">
        <v>4875</v>
      </c>
      <c r="D542" s="1" t="s">
        <v>4876</v>
      </c>
      <c r="F542" s="1" t="s">
        <v>4880</v>
      </c>
      <c r="H542" s="1" t="s">
        <v>4881</v>
      </c>
      <c r="L542" s="1" t="s">
        <v>4883</v>
      </c>
      <c r="M542" s="1" t="s">
        <v>4926</v>
      </c>
      <c r="N542" s="1" t="s">
        <v>4586</v>
      </c>
      <c r="P542" s="1" t="s">
        <v>9154</v>
      </c>
      <c r="Q542" s="30" t="s">
        <v>2565</v>
      </c>
      <c r="R542" s="33" t="s">
        <v>3473</v>
      </c>
      <c r="S542">
        <v>37</v>
      </c>
      <c r="T542" s="1" t="s">
        <v>13878</v>
      </c>
      <c r="U542" s="1" t="str">
        <f>HYPERLINK("http://ictvonline.org/taxonomy/p/taxonomy-history?taxnode_id=202108439","ICTVonline=202108439")</f>
        <v>ICTVonline=202108439</v>
      </c>
    </row>
    <row r="543" spans="1:21" x14ac:dyDescent="0.2">
      <c r="A543" s="3">
        <v>542</v>
      </c>
      <c r="B543" s="1" t="s">
        <v>4875</v>
      </c>
      <c r="D543" s="1" t="s">
        <v>4876</v>
      </c>
      <c r="F543" s="1" t="s">
        <v>4880</v>
      </c>
      <c r="H543" s="1" t="s">
        <v>4881</v>
      </c>
      <c r="L543" s="1" t="s">
        <v>4883</v>
      </c>
      <c r="M543" s="1" t="s">
        <v>4926</v>
      </c>
      <c r="N543" s="1" t="s">
        <v>4586</v>
      </c>
      <c r="P543" s="1" t="s">
        <v>9155</v>
      </c>
      <c r="Q543" s="30" t="s">
        <v>2565</v>
      </c>
      <c r="R543" s="33" t="s">
        <v>3473</v>
      </c>
      <c r="S543">
        <v>37</v>
      </c>
      <c r="T543" s="1" t="s">
        <v>13878</v>
      </c>
      <c r="U543" s="1" t="str">
        <f>HYPERLINK("http://ictvonline.org/taxonomy/p/taxonomy-history?taxnode_id=202108438","ICTVonline=202108438")</f>
        <v>ICTVonline=202108438</v>
      </c>
    </row>
    <row r="544" spans="1:21" x14ac:dyDescent="0.2">
      <c r="A544" s="3">
        <v>543</v>
      </c>
      <c r="B544" s="1" t="s">
        <v>4875</v>
      </c>
      <c r="D544" s="1" t="s">
        <v>4876</v>
      </c>
      <c r="F544" s="1" t="s">
        <v>4880</v>
      </c>
      <c r="H544" s="1" t="s">
        <v>4881</v>
      </c>
      <c r="L544" s="1" t="s">
        <v>4883</v>
      </c>
      <c r="M544" s="1" t="s">
        <v>4926</v>
      </c>
      <c r="N544" s="1" t="s">
        <v>4586</v>
      </c>
      <c r="P544" s="1" t="s">
        <v>9156</v>
      </c>
      <c r="Q544" s="30" t="s">
        <v>2565</v>
      </c>
      <c r="R544" s="33" t="s">
        <v>3473</v>
      </c>
      <c r="S544">
        <v>37</v>
      </c>
      <c r="T544" s="1" t="s">
        <v>13878</v>
      </c>
      <c r="U544" s="1" t="str">
        <f>HYPERLINK("http://ictvonline.org/taxonomy/p/taxonomy-history?taxnode_id=202108447","ICTVonline=202108447")</f>
        <v>ICTVonline=202108447</v>
      </c>
    </row>
    <row r="545" spans="1:21" x14ac:dyDescent="0.2">
      <c r="A545" s="3">
        <v>544</v>
      </c>
      <c r="B545" s="1" t="s">
        <v>4875</v>
      </c>
      <c r="D545" s="1" t="s">
        <v>4876</v>
      </c>
      <c r="F545" s="1" t="s">
        <v>4880</v>
      </c>
      <c r="H545" s="1" t="s">
        <v>4881</v>
      </c>
      <c r="L545" s="1" t="s">
        <v>4883</v>
      </c>
      <c r="M545" s="1" t="s">
        <v>4926</v>
      </c>
      <c r="N545" s="1" t="s">
        <v>4586</v>
      </c>
      <c r="P545" s="1" t="s">
        <v>9157</v>
      </c>
      <c r="Q545" s="30" t="s">
        <v>2565</v>
      </c>
      <c r="R545" s="33" t="s">
        <v>3473</v>
      </c>
      <c r="S545">
        <v>37</v>
      </c>
      <c r="T545" s="1" t="s">
        <v>13878</v>
      </c>
      <c r="U545" s="1" t="str">
        <f>HYPERLINK("http://ictvonline.org/taxonomy/p/taxonomy-history?taxnode_id=202108437","ICTVonline=202108437")</f>
        <v>ICTVonline=202108437</v>
      </c>
    </row>
    <row r="546" spans="1:21" x14ac:dyDescent="0.2">
      <c r="A546" s="3">
        <v>545</v>
      </c>
      <c r="B546" s="1" t="s">
        <v>4875</v>
      </c>
      <c r="D546" s="1" t="s">
        <v>4876</v>
      </c>
      <c r="F546" s="1" t="s">
        <v>4880</v>
      </c>
      <c r="H546" s="1" t="s">
        <v>4881</v>
      </c>
      <c r="L546" s="1" t="s">
        <v>4883</v>
      </c>
      <c r="M546" s="1" t="s">
        <v>4926</v>
      </c>
      <c r="N546" s="1" t="s">
        <v>4586</v>
      </c>
      <c r="P546" s="1" t="s">
        <v>9158</v>
      </c>
      <c r="Q546" s="30" t="s">
        <v>2565</v>
      </c>
      <c r="R546" s="33" t="s">
        <v>3473</v>
      </c>
      <c r="S546">
        <v>37</v>
      </c>
      <c r="T546" s="1" t="s">
        <v>13878</v>
      </c>
      <c r="U546" s="1" t="str">
        <f>HYPERLINK("http://ictvonline.org/taxonomy/p/taxonomy-history?taxnode_id=202108430","ICTVonline=202108430")</f>
        <v>ICTVonline=202108430</v>
      </c>
    </row>
    <row r="547" spans="1:21" x14ac:dyDescent="0.2">
      <c r="A547" s="3">
        <v>546</v>
      </c>
      <c r="B547" s="1" t="s">
        <v>4875</v>
      </c>
      <c r="D547" s="1" t="s">
        <v>4876</v>
      </c>
      <c r="F547" s="1" t="s">
        <v>4880</v>
      </c>
      <c r="H547" s="1" t="s">
        <v>4881</v>
      </c>
      <c r="L547" s="1" t="s">
        <v>4883</v>
      </c>
      <c r="M547" s="1" t="s">
        <v>4926</v>
      </c>
      <c r="N547" s="1" t="s">
        <v>4586</v>
      </c>
      <c r="P547" s="1" t="s">
        <v>9159</v>
      </c>
      <c r="Q547" s="30" t="s">
        <v>2565</v>
      </c>
      <c r="R547" s="33" t="s">
        <v>3473</v>
      </c>
      <c r="S547">
        <v>37</v>
      </c>
      <c r="T547" s="1" t="s">
        <v>13878</v>
      </c>
      <c r="U547" s="1" t="str">
        <f>HYPERLINK("http://ictvonline.org/taxonomy/p/taxonomy-history?taxnode_id=202108445","ICTVonline=202108445")</f>
        <v>ICTVonline=202108445</v>
      </c>
    </row>
    <row r="548" spans="1:21" x14ac:dyDescent="0.2">
      <c r="A548" s="3">
        <v>547</v>
      </c>
      <c r="B548" s="1" t="s">
        <v>4875</v>
      </c>
      <c r="D548" s="1" t="s">
        <v>4876</v>
      </c>
      <c r="F548" s="1" t="s">
        <v>4880</v>
      </c>
      <c r="H548" s="1" t="s">
        <v>4881</v>
      </c>
      <c r="L548" s="1" t="s">
        <v>4883</v>
      </c>
      <c r="M548" s="1" t="s">
        <v>4926</v>
      </c>
      <c r="N548" s="1" t="s">
        <v>4586</v>
      </c>
      <c r="P548" s="1" t="s">
        <v>9160</v>
      </c>
      <c r="Q548" s="30" t="s">
        <v>2565</v>
      </c>
      <c r="R548" s="33" t="s">
        <v>3473</v>
      </c>
      <c r="S548">
        <v>37</v>
      </c>
      <c r="T548" s="1" t="s">
        <v>13878</v>
      </c>
      <c r="U548" s="1" t="str">
        <f>HYPERLINK("http://ictvonline.org/taxonomy/p/taxonomy-history?taxnode_id=202100552","ICTVonline=202100552")</f>
        <v>ICTVonline=202100552</v>
      </c>
    </row>
    <row r="549" spans="1:21" x14ac:dyDescent="0.2">
      <c r="A549" s="3">
        <v>548</v>
      </c>
      <c r="B549" s="1" t="s">
        <v>4875</v>
      </c>
      <c r="D549" s="1" t="s">
        <v>4876</v>
      </c>
      <c r="F549" s="1" t="s">
        <v>4880</v>
      </c>
      <c r="H549" s="1" t="s">
        <v>4881</v>
      </c>
      <c r="L549" s="1" t="s">
        <v>4883</v>
      </c>
      <c r="M549" s="1" t="s">
        <v>4926</v>
      </c>
      <c r="N549" s="1" t="s">
        <v>4586</v>
      </c>
      <c r="P549" s="1" t="s">
        <v>9161</v>
      </c>
      <c r="Q549" s="30" t="s">
        <v>2565</v>
      </c>
      <c r="R549" s="33" t="s">
        <v>3473</v>
      </c>
      <c r="S549">
        <v>37</v>
      </c>
      <c r="T549" s="1" t="s">
        <v>13878</v>
      </c>
      <c r="U549" s="1" t="str">
        <f>HYPERLINK("http://ictvonline.org/taxonomy/p/taxonomy-history?taxnode_id=202100553","ICTVonline=202100553")</f>
        <v>ICTVonline=202100553</v>
      </c>
    </row>
    <row r="550" spans="1:21" x14ac:dyDescent="0.2">
      <c r="A550" s="3">
        <v>549</v>
      </c>
      <c r="B550" s="1" t="s">
        <v>4875</v>
      </c>
      <c r="D550" s="1" t="s">
        <v>4876</v>
      </c>
      <c r="F550" s="1" t="s">
        <v>4880</v>
      </c>
      <c r="H550" s="1" t="s">
        <v>4881</v>
      </c>
      <c r="L550" s="1" t="s">
        <v>4883</v>
      </c>
      <c r="M550" s="1" t="s">
        <v>4926</v>
      </c>
      <c r="N550" s="1" t="s">
        <v>4586</v>
      </c>
      <c r="P550" s="1" t="s">
        <v>9162</v>
      </c>
      <c r="Q550" s="30" t="s">
        <v>2565</v>
      </c>
      <c r="R550" s="33" t="s">
        <v>3473</v>
      </c>
      <c r="S550">
        <v>37</v>
      </c>
      <c r="T550" s="1" t="s">
        <v>13878</v>
      </c>
      <c r="U550" s="1" t="str">
        <f>HYPERLINK("http://ictvonline.org/taxonomy/p/taxonomy-history?taxnode_id=202100551","ICTVonline=202100551")</f>
        <v>ICTVonline=202100551</v>
      </c>
    </row>
    <row r="551" spans="1:21" x14ac:dyDescent="0.2">
      <c r="A551" s="3">
        <v>550</v>
      </c>
      <c r="B551" s="1" t="s">
        <v>4875</v>
      </c>
      <c r="D551" s="1" t="s">
        <v>4876</v>
      </c>
      <c r="F551" s="1" t="s">
        <v>4880</v>
      </c>
      <c r="H551" s="1" t="s">
        <v>4881</v>
      </c>
      <c r="L551" s="1" t="s">
        <v>4883</v>
      </c>
      <c r="M551" s="1" t="s">
        <v>4926</v>
      </c>
      <c r="N551" s="1" t="s">
        <v>4586</v>
      </c>
      <c r="P551" s="1" t="s">
        <v>9163</v>
      </c>
      <c r="Q551" s="30" t="s">
        <v>2565</v>
      </c>
      <c r="R551" s="33" t="s">
        <v>3473</v>
      </c>
      <c r="S551">
        <v>37</v>
      </c>
      <c r="T551" s="1" t="s">
        <v>13878</v>
      </c>
      <c r="U551" s="1" t="str">
        <f>HYPERLINK("http://ictvonline.org/taxonomy/p/taxonomy-history?taxnode_id=202108434","ICTVonline=202108434")</f>
        <v>ICTVonline=202108434</v>
      </c>
    </row>
    <row r="552" spans="1:21" x14ac:dyDescent="0.2">
      <c r="A552" s="3">
        <v>551</v>
      </c>
      <c r="B552" s="1" t="s">
        <v>4875</v>
      </c>
      <c r="D552" s="1" t="s">
        <v>4876</v>
      </c>
      <c r="F552" s="1" t="s">
        <v>4880</v>
      </c>
      <c r="H552" s="1" t="s">
        <v>4881</v>
      </c>
      <c r="L552" s="1" t="s">
        <v>4883</v>
      </c>
      <c r="M552" s="1" t="s">
        <v>4926</v>
      </c>
      <c r="N552" s="1" t="s">
        <v>4586</v>
      </c>
      <c r="P552" s="1" t="s">
        <v>9164</v>
      </c>
      <c r="Q552" s="30" t="s">
        <v>2565</v>
      </c>
      <c r="R552" s="33" t="s">
        <v>3473</v>
      </c>
      <c r="S552">
        <v>37</v>
      </c>
      <c r="T552" s="1" t="s">
        <v>13878</v>
      </c>
      <c r="U552" s="1" t="str">
        <f>HYPERLINK("http://ictvonline.org/taxonomy/p/taxonomy-history?taxnode_id=202108435","ICTVonline=202108435")</f>
        <v>ICTVonline=202108435</v>
      </c>
    </row>
    <row r="553" spans="1:21" x14ac:dyDescent="0.2">
      <c r="A553" s="3">
        <v>552</v>
      </c>
      <c r="B553" s="1" t="s">
        <v>4875</v>
      </c>
      <c r="D553" s="1" t="s">
        <v>4876</v>
      </c>
      <c r="F553" s="1" t="s">
        <v>4880</v>
      </c>
      <c r="H553" s="1" t="s">
        <v>4881</v>
      </c>
      <c r="L553" s="1" t="s">
        <v>4883</v>
      </c>
      <c r="M553" s="1" t="s">
        <v>4926</v>
      </c>
      <c r="N553" s="1" t="s">
        <v>4586</v>
      </c>
      <c r="P553" s="1" t="s">
        <v>9165</v>
      </c>
      <c r="Q553" s="30" t="s">
        <v>2565</v>
      </c>
      <c r="R553" s="33" t="s">
        <v>3473</v>
      </c>
      <c r="S553">
        <v>37</v>
      </c>
      <c r="T553" s="1" t="s">
        <v>13878</v>
      </c>
      <c r="U553" s="1" t="str">
        <f>HYPERLINK("http://ictvonline.org/taxonomy/p/taxonomy-history?taxnode_id=202108450","ICTVonline=202108450")</f>
        <v>ICTVonline=202108450</v>
      </c>
    </row>
    <row r="554" spans="1:21" x14ac:dyDescent="0.2">
      <c r="A554" s="3">
        <v>553</v>
      </c>
      <c r="B554" s="1" t="s">
        <v>4875</v>
      </c>
      <c r="D554" s="1" t="s">
        <v>4876</v>
      </c>
      <c r="F554" s="1" t="s">
        <v>4880</v>
      </c>
      <c r="H554" s="1" t="s">
        <v>4881</v>
      </c>
      <c r="L554" s="1" t="s">
        <v>4883</v>
      </c>
      <c r="M554" s="1" t="s">
        <v>4926</v>
      </c>
      <c r="N554" s="1" t="s">
        <v>4586</v>
      </c>
      <c r="P554" s="1" t="s">
        <v>9166</v>
      </c>
      <c r="Q554" s="30" t="s">
        <v>2565</v>
      </c>
      <c r="R554" s="33" t="s">
        <v>3473</v>
      </c>
      <c r="S554">
        <v>37</v>
      </c>
      <c r="T554" s="1" t="s">
        <v>13878</v>
      </c>
      <c r="U554" s="1" t="str">
        <f>HYPERLINK("http://ictvonline.org/taxonomy/p/taxonomy-history?taxnode_id=202108451","ICTVonline=202108451")</f>
        <v>ICTVonline=202108451</v>
      </c>
    </row>
    <row r="555" spans="1:21" x14ac:dyDescent="0.2">
      <c r="A555" s="3">
        <v>554</v>
      </c>
      <c r="B555" s="1" t="s">
        <v>4875</v>
      </c>
      <c r="D555" s="1" t="s">
        <v>4876</v>
      </c>
      <c r="F555" s="1" t="s">
        <v>4880</v>
      </c>
      <c r="H555" s="1" t="s">
        <v>4881</v>
      </c>
      <c r="L555" s="1" t="s">
        <v>4883</v>
      </c>
      <c r="M555" s="1" t="s">
        <v>4926</v>
      </c>
      <c r="N555" s="1" t="s">
        <v>4586</v>
      </c>
      <c r="P555" s="1" t="s">
        <v>9167</v>
      </c>
      <c r="Q555" s="30" t="s">
        <v>2565</v>
      </c>
      <c r="R555" s="33" t="s">
        <v>3473</v>
      </c>
      <c r="S555">
        <v>37</v>
      </c>
      <c r="T555" s="1" t="s">
        <v>13878</v>
      </c>
      <c r="U555" s="1" t="str">
        <f>HYPERLINK("http://ictvonline.org/taxonomy/p/taxonomy-history?taxnode_id=202108452","ICTVonline=202108452")</f>
        <v>ICTVonline=202108452</v>
      </c>
    </row>
    <row r="556" spans="1:21" x14ac:dyDescent="0.2">
      <c r="A556" s="3">
        <v>555</v>
      </c>
      <c r="B556" s="1" t="s">
        <v>4875</v>
      </c>
      <c r="D556" s="1" t="s">
        <v>4876</v>
      </c>
      <c r="F556" s="1" t="s">
        <v>4880</v>
      </c>
      <c r="H556" s="1" t="s">
        <v>4881</v>
      </c>
      <c r="L556" s="1" t="s">
        <v>4883</v>
      </c>
      <c r="M556" s="1" t="s">
        <v>4926</v>
      </c>
      <c r="N556" s="1" t="s">
        <v>4586</v>
      </c>
      <c r="P556" s="1" t="s">
        <v>9168</v>
      </c>
      <c r="Q556" s="30" t="s">
        <v>2565</v>
      </c>
      <c r="R556" s="33" t="s">
        <v>3473</v>
      </c>
      <c r="S556">
        <v>37</v>
      </c>
      <c r="T556" s="1" t="s">
        <v>13878</v>
      </c>
      <c r="U556" s="1" t="str">
        <f>HYPERLINK("http://ictvonline.org/taxonomy/p/taxonomy-history?taxnode_id=202100554","ICTVonline=202100554")</f>
        <v>ICTVonline=202100554</v>
      </c>
    </row>
    <row r="557" spans="1:21" x14ac:dyDescent="0.2">
      <c r="A557" s="3">
        <v>556</v>
      </c>
      <c r="B557" s="1" t="s">
        <v>4875</v>
      </c>
      <c r="D557" s="1" t="s">
        <v>4876</v>
      </c>
      <c r="F557" s="1" t="s">
        <v>4880</v>
      </c>
      <c r="H557" s="1" t="s">
        <v>4881</v>
      </c>
      <c r="L557" s="1" t="s">
        <v>4883</v>
      </c>
      <c r="M557" s="1" t="s">
        <v>4926</v>
      </c>
      <c r="N557" s="1" t="s">
        <v>4586</v>
      </c>
      <c r="P557" s="1" t="s">
        <v>9169</v>
      </c>
      <c r="Q557" s="30" t="s">
        <v>2565</v>
      </c>
      <c r="R557" s="33" t="s">
        <v>3473</v>
      </c>
      <c r="S557">
        <v>37</v>
      </c>
      <c r="T557" s="1" t="s">
        <v>13878</v>
      </c>
      <c r="U557" s="1" t="str">
        <f>HYPERLINK("http://ictvonline.org/taxonomy/p/taxonomy-history?taxnode_id=202100555","ICTVonline=202100555")</f>
        <v>ICTVonline=202100555</v>
      </c>
    </row>
    <row r="558" spans="1:21" x14ac:dyDescent="0.2">
      <c r="A558" s="3">
        <v>557</v>
      </c>
      <c r="B558" s="1" t="s">
        <v>4875</v>
      </c>
      <c r="D558" s="1" t="s">
        <v>4876</v>
      </c>
      <c r="F558" s="1" t="s">
        <v>4880</v>
      </c>
      <c r="H558" s="1" t="s">
        <v>4881</v>
      </c>
      <c r="L558" s="1" t="s">
        <v>4883</v>
      </c>
      <c r="M558" s="1" t="s">
        <v>4926</v>
      </c>
      <c r="N558" s="1" t="s">
        <v>4586</v>
      </c>
      <c r="P558" s="1" t="s">
        <v>9170</v>
      </c>
      <c r="Q558" s="30" t="s">
        <v>2565</v>
      </c>
      <c r="R558" s="33" t="s">
        <v>3473</v>
      </c>
      <c r="S558">
        <v>37</v>
      </c>
      <c r="T558" s="1" t="s">
        <v>13878</v>
      </c>
      <c r="U558" s="1" t="str">
        <f>HYPERLINK("http://ictvonline.org/taxonomy/p/taxonomy-history?taxnode_id=202108441","ICTVonline=202108441")</f>
        <v>ICTVonline=202108441</v>
      </c>
    </row>
    <row r="559" spans="1:21" x14ac:dyDescent="0.2">
      <c r="A559" s="3">
        <v>558</v>
      </c>
      <c r="B559" s="1" t="s">
        <v>4875</v>
      </c>
      <c r="D559" s="1" t="s">
        <v>4876</v>
      </c>
      <c r="F559" s="1" t="s">
        <v>4880</v>
      </c>
      <c r="H559" s="1" t="s">
        <v>4881</v>
      </c>
      <c r="L559" s="1" t="s">
        <v>4883</v>
      </c>
      <c r="M559" s="1" t="s">
        <v>4926</v>
      </c>
      <c r="N559" s="1" t="s">
        <v>4586</v>
      </c>
      <c r="P559" s="1" t="s">
        <v>9171</v>
      </c>
      <c r="Q559" s="30" t="s">
        <v>2565</v>
      </c>
      <c r="R559" s="33" t="s">
        <v>3473</v>
      </c>
      <c r="S559">
        <v>37</v>
      </c>
      <c r="T559" s="1" t="s">
        <v>13878</v>
      </c>
      <c r="U559" s="1" t="str">
        <f>HYPERLINK("http://ictvonline.org/taxonomy/p/taxonomy-history?taxnode_id=202108442","ICTVonline=202108442")</f>
        <v>ICTVonline=202108442</v>
      </c>
    </row>
    <row r="560" spans="1:21" x14ac:dyDescent="0.2">
      <c r="A560" s="3">
        <v>559</v>
      </c>
      <c r="B560" s="1" t="s">
        <v>4875</v>
      </c>
      <c r="D560" s="1" t="s">
        <v>4876</v>
      </c>
      <c r="F560" s="1" t="s">
        <v>4880</v>
      </c>
      <c r="H560" s="1" t="s">
        <v>4881</v>
      </c>
      <c r="L560" s="1" t="s">
        <v>4883</v>
      </c>
      <c r="M560" s="1" t="s">
        <v>4926</v>
      </c>
      <c r="N560" s="1" t="s">
        <v>4586</v>
      </c>
      <c r="P560" s="1" t="s">
        <v>9172</v>
      </c>
      <c r="Q560" s="30" t="s">
        <v>2565</v>
      </c>
      <c r="R560" s="33" t="s">
        <v>3473</v>
      </c>
      <c r="S560">
        <v>37</v>
      </c>
      <c r="T560" s="1" t="s">
        <v>13878</v>
      </c>
      <c r="U560" s="1" t="str">
        <f>HYPERLINK("http://ictvonline.org/taxonomy/p/taxonomy-history?taxnode_id=202108443","ICTVonline=202108443")</f>
        <v>ICTVonline=202108443</v>
      </c>
    </row>
    <row r="561" spans="1:21" x14ac:dyDescent="0.2">
      <c r="A561" s="3">
        <v>560</v>
      </c>
      <c r="B561" s="1" t="s">
        <v>4875</v>
      </c>
      <c r="D561" s="1" t="s">
        <v>4876</v>
      </c>
      <c r="F561" s="1" t="s">
        <v>4880</v>
      </c>
      <c r="H561" s="1" t="s">
        <v>4881</v>
      </c>
      <c r="L561" s="1" t="s">
        <v>4883</v>
      </c>
      <c r="M561" s="1" t="s">
        <v>4926</v>
      </c>
      <c r="N561" s="1" t="s">
        <v>4586</v>
      </c>
      <c r="P561" s="1" t="s">
        <v>9173</v>
      </c>
      <c r="Q561" s="30" t="s">
        <v>2565</v>
      </c>
      <c r="R561" s="33" t="s">
        <v>3473</v>
      </c>
      <c r="S561">
        <v>37</v>
      </c>
      <c r="T561" s="1" t="s">
        <v>13878</v>
      </c>
      <c r="U561" s="1" t="str">
        <f>HYPERLINK("http://ictvonline.org/taxonomy/p/taxonomy-history?taxnode_id=202108444","ICTVonline=202108444")</f>
        <v>ICTVonline=202108444</v>
      </c>
    </row>
    <row r="562" spans="1:21" x14ac:dyDescent="0.2">
      <c r="A562" s="3">
        <v>561</v>
      </c>
      <c r="B562" s="1" t="s">
        <v>4875</v>
      </c>
      <c r="D562" s="1" t="s">
        <v>4876</v>
      </c>
      <c r="F562" s="1" t="s">
        <v>4880</v>
      </c>
      <c r="H562" s="1" t="s">
        <v>4881</v>
      </c>
      <c r="L562" s="1" t="s">
        <v>4883</v>
      </c>
      <c r="M562" s="1" t="s">
        <v>4926</v>
      </c>
      <c r="N562" s="1" t="s">
        <v>4586</v>
      </c>
      <c r="P562" s="1" t="s">
        <v>9174</v>
      </c>
      <c r="Q562" s="30" t="s">
        <v>2565</v>
      </c>
      <c r="R562" s="33" t="s">
        <v>3473</v>
      </c>
      <c r="S562">
        <v>37</v>
      </c>
      <c r="T562" s="1" t="s">
        <v>13878</v>
      </c>
      <c r="U562" s="1" t="str">
        <f>HYPERLINK("http://ictvonline.org/taxonomy/p/taxonomy-history?taxnode_id=202108446","ICTVonline=202108446")</f>
        <v>ICTVonline=202108446</v>
      </c>
    </row>
    <row r="563" spans="1:21" x14ac:dyDescent="0.2">
      <c r="A563" s="3">
        <v>562</v>
      </c>
      <c r="B563" s="1" t="s">
        <v>4875</v>
      </c>
      <c r="D563" s="1" t="s">
        <v>4876</v>
      </c>
      <c r="F563" s="1" t="s">
        <v>4880</v>
      </c>
      <c r="H563" s="1" t="s">
        <v>4881</v>
      </c>
      <c r="L563" s="1" t="s">
        <v>4883</v>
      </c>
      <c r="M563" s="1" t="s">
        <v>4926</v>
      </c>
      <c r="N563" s="1" t="s">
        <v>4586</v>
      </c>
      <c r="P563" s="1" t="s">
        <v>9175</v>
      </c>
      <c r="Q563" s="30" t="s">
        <v>2565</v>
      </c>
      <c r="R563" s="33" t="s">
        <v>3473</v>
      </c>
      <c r="S563">
        <v>37</v>
      </c>
      <c r="T563" s="1" t="s">
        <v>13878</v>
      </c>
      <c r="U563" s="1" t="str">
        <f>HYPERLINK("http://ictvonline.org/taxonomy/p/taxonomy-history?taxnode_id=202100556","ICTVonline=202100556")</f>
        <v>ICTVonline=202100556</v>
      </c>
    </row>
    <row r="564" spans="1:21" x14ac:dyDescent="0.2">
      <c r="A564" s="3">
        <v>563</v>
      </c>
      <c r="B564" s="1" t="s">
        <v>4875</v>
      </c>
      <c r="D564" s="1" t="s">
        <v>4876</v>
      </c>
      <c r="F564" s="1" t="s">
        <v>4880</v>
      </c>
      <c r="H564" s="1" t="s">
        <v>4881</v>
      </c>
      <c r="L564" s="1" t="s">
        <v>4883</v>
      </c>
      <c r="M564" s="1" t="s">
        <v>4926</v>
      </c>
      <c r="N564" s="1" t="s">
        <v>4586</v>
      </c>
      <c r="P564" s="1" t="s">
        <v>9176</v>
      </c>
      <c r="Q564" s="30" t="s">
        <v>2565</v>
      </c>
      <c r="R564" s="33" t="s">
        <v>3473</v>
      </c>
      <c r="S564">
        <v>37</v>
      </c>
      <c r="T564" s="1" t="s">
        <v>13878</v>
      </c>
      <c r="U564" s="1" t="str">
        <f>HYPERLINK("http://ictvonline.org/taxonomy/p/taxonomy-history?taxnode_id=202108431","ICTVonline=202108431")</f>
        <v>ICTVonline=202108431</v>
      </c>
    </row>
    <row r="565" spans="1:21" x14ac:dyDescent="0.2">
      <c r="A565" s="3">
        <v>564</v>
      </c>
      <c r="B565" s="1" t="s">
        <v>4875</v>
      </c>
      <c r="D565" s="1" t="s">
        <v>4876</v>
      </c>
      <c r="F565" s="1" t="s">
        <v>4880</v>
      </c>
      <c r="H565" s="1" t="s">
        <v>4881</v>
      </c>
      <c r="L565" s="1" t="s">
        <v>4883</v>
      </c>
      <c r="M565" s="1" t="s">
        <v>4926</v>
      </c>
      <c r="N565" s="1" t="s">
        <v>4586</v>
      </c>
      <c r="P565" s="1" t="s">
        <v>9177</v>
      </c>
      <c r="Q565" s="30" t="s">
        <v>2565</v>
      </c>
      <c r="R565" s="33" t="s">
        <v>3473</v>
      </c>
      <c r="S565">
        <v>37</v>
      </c>
      <c r="T565" s="1" t="s">
        <v>13878</v>
      </c>
      <c r="U565" s="1" t="str">
        <f>HYPERLINK("http://ictvonline.org/taxonomy/p/taxonomy-history?taxnode_id=202108433","ICTVonline=202108433")</f>
        <v>ICTVonline=202108433</v>
      </c>
    </row>
    <row r="566" spans="1:21" x14ac:dyDescent="0.2">
      <c r="A566" s="3">
        <v>565</v>
      </c>
      <c r="B566" s="1" t="s">
        <v>4875</v>
      </c>
      <c r="D566" s="1" t="s">
        <v>4876</v>
      </c>
      <c r="F566" s="1" t="s">
        <v>4880</v>
      </c>
      <c r="H566" s="1" t="s">
        <v>4881</v>
      </c>
      <c r="L566" s="1" t="s">
        <v>4883</v>
      </c>
      <c r="M566" s="1" t="s">
        <v>4926</v>
      </c>
      <c r="N566" s="1" t="s">
        <v>4586</v>
      </c>
      <c r="P566" s="1" t="s">
        <v>9178</v>
      </c>
      <c r="Q566" s="30" t="s">
        <v>2565</v>
      </c>
      <c r="R566" s="33" t="s">
        <v>3473</v>
      </c>
      <c r="S566">
        <v>37</v>
      </c>
      <c r="T566" s="1" t="s">
        <v>13878</v>
      </c>
      <c r="U566" s="1" t="str">
        <f>HYPERLINK("http://ictvonline.org/taxonomy/p/taxonomy-history?taxnode_id=202108432","ICTVonline=202108432")</f>
        <v>ICTVonline=202108432</v>
      </c>
    </row>
    <row r="567" spans="1:21" x14ac:dyDescent="0.2">
      <c r="A567" s="3">
        <v>566</v>
      </c>
      <c r="B567" s="1" t="s">
        <v>4875</v>
      </c>
      <c r="D567" s="1" t="s">
        <v>4876</v>
      </c>
      <c r="F567" s="1" t="s">
        <v>4880</v>
      </c>
      <c r="H567" s="1" t="s">
        <v>4881</v>
      </c>
      <c r="L567" s="1" t="s">
        <v>4883</v>
      </c>
      <c r="M567" s="1" t="s">
        <v>4926</v>
      </c>
      <c r="N567" s="1" t="s">
        <v>4586</v>
      </c>
      <c r="P567" s="1" t="s">
        <v>9179</v>
      </c>
      <c r="Q567" s="30" t="s">
        <v>2565</v>
      </c>
      <c r="R567" s="33" t="s">
        <v>3473</v>
      </c>
      <c r="S567">
        <v>37</v>
      </c>
      <c r="T567" s="1" t="s">
        <v>13878</v>
      </c>
      <c r="U567" s="1" t="str">
        <f>HYPERLINK("http://ictvonline.org/taxonomy/p/taxonomy-history?taxnode_id=202108448","ICTVonline=202108448")</f>
        <v>ICTVonline=202108448</v>
      </c>
    </row>
    <row r="568" spans="1:21" x14ac:dyDescent="0.2">
      <c r="A568" s="3">
        <v>567</v>
      </c>
      <c r="B568" s="1" t="s">
        <v>4875</v>
      </c>
      <c r="D568" s="1" t="s">
        <v>4876</v>
      </c>
      <c r="F568" s="1" t="s">
        <v>4880</v>
      </c>
      <c r="H568" s="1" t="s">
        <v>4881</v>
      </c>
      <c r="L568" s="1" t="s">
        <v>4883</v>
      </c>
      <c r="M568" s="1" t="s">
        <v>4926</v>
      </c>
      <c r="N568" s="1" t="s">
        <v>4586</v>
      </c>
      <c r="P568" s="1" t="s">
        <v>9180</v>
      </c>
      <c r="Q568" s="30" t="s">
        <v>2565</v>
      </c>
      <c r="R568" s="33" t="s">
        <v>3473</v>
      </c>
      <c r="S568">
        <v>37</v>
      </c>
      <c r="T568" s="1" t="s">
        <v>13878</v>
      </c>
      <c r="U568" s="1" t="str">
        <f>HYPERLINK("http://ictvonline.org/taxonomy/p/taxonomy-history?taxnode_id=202108436","ICTVonline=202108436")</f>
        <v>ICTVonline=202108436</v>
      </c>
    </row>
    <row r="569" spans="1:21" x14ac:dyDescent="0.2">
      <c r="A569" s="3">
        <v>568</v>
      </c>
      <c r="B569" s="1" t="s">
        <v>4875</v>
      </c>
      <c r="D569" s="1" t="s">
        <v>4876</v>
      </c>
      <c r="F569" s="1" t="s">
        <v>4880</v>
      </c>
      <c r="H569" s="1" t="s">
        <v>4881</v>
      </c>
      <c r="L569" s="1" t="s">
        <v>4883</v>
      </c>
      <c r="M569" s="1" t="s">
        <v>4926</v>
      </c>
      <c r="N569" s="1" t="s">
        <v>4586</v>
      </c>
      <c r="P569" s="1" t="s">
        <v>9181</v>
      </c>
      <c r="Q569" s="30" t="s">
        <v>2565</v>
      </c>
      <c r="R569" s="33" t="s">
        <v>3473</v>
      </c>
      <c r="S569">
        <v>37</v>
      </c>
      <c r="T569" s="1" t="s">
        <v>13878</v>
      </c>
      <c r="U569" s="1" t="str">
        <f>HYPERLINK("http://ictvonline.org/taxonomy/p/taxonomy-history?taxnode_id=202108449","ICTVonline=202108449")</f>
        <v>ICTVonline=202108449</v>
      </c>
    </row>
    <row r="570" spans="1:21" x14ac:dyDescent="0.2">
      <c r="A570" s="3">
        <v>569</v>
      </c>
      <c r="B570" s="1" t="s">
        <v>4875</v>
      </c>
      <c r="D570" s="1" t="s">
        <v>4876</v>
      </c>
      <c r="F570" s="1" t="s">
        <v>4880</v>
      </c>
      <c r="H570" s="1" t="s">
        <v>4881</v>
      </c>
      <c r="L570" s="1" t="s">
        <v>4883</v>
      </c>
      <c r="M570" s="1" t="s">
        <v>4926</v>
      </c>
      <c r="N570" s="1" t="s">
        <v>4586</v>
      </c>
      <c r="P570" s="1" t="s">
        <v>9182</v>
      </c>
      <c r="Q570" s="30" t="s">
        <v>2565</v>
      </c>
      <c r="R570" s="33" t="s">
        <v>3473</v>
      </c>
      <c r="S570">
        <v>37</v>
      </c>
      <c r="T570" s="1" t="s">
        <v>13878</v>
      </c>
      <c r="U570" s="1" t="str">
        <f>HYPERLINK("http://ictvonline.org/taxonomy/p/taxonomy-history?taxnode_id=202108440","ICTVonline=202108440")</f>
        <v>ICTVonline=202108440</v>
      </c>
    </row>
    <row r="571" spans="1:21" x14ac:dyDescent="0.2">
      <c r="A571" s="3">
        <v>570</v>
      </c>
      <c r="B571" s="1" t="s">
        <v>4875</v>
      </c>
      <c r="D571" s="1" t="s">
        <v>4876</v>
      </c>
      <c r="F571" s="1" t="s">
        <v>4880</v>
      </c>
      <c r="H571" s="1" t="s">
        <v>4881</v>
      </c>
      <c r="L571" s="1" t="s">
        <v>4883</v>
      </c>
      <c r="M571" s="1" t="s">
        <v>4926</v>
      </c>
      <c r="N571" s="1" t="s">
        <v>4945</v>
      </c>
      <c r="P571" s="1" t="s">
        <v>9183</v>
      </c>
      <c r="Q571" s="30" t="s">
        <v>2565</v>
      </c>
      <c r="R571" s="33" t="s">
        <v>3473</v>
      </c>
      <c r="S571">
        <v>37</v>
      </c>
      <c r="T571" s="1" t="s">
        <v>13878</v>
      </c>
      <c r="U571" s="1" t="str">
        <f>HYPERLINK("http://ictvonline.org/taxonomy/p/taxonomy-history?taxnode_id=202108475","ICTVonline=202108475")</f>
        <v>ICTVonline=202108475</v>
      </c>
    </row>
    <row r="572" spans="1:21" x14ac:dyDescent="0.2">
      <c r="A572" s="3">
        <v>571</v>
      </c>
      <c r="B572" s="1" t="s">
        <v>4875</v>
      </c>
      <c r="D572" s="1" t="s">
        <v>4876</v>
      </c>
      <c r="F572" s="1" t="s">
        <v>4880</v>
      </c>
      <c r="H572" s="1" t="s">
        <v>4881</v>
      </c>
      <c r="L572" s="1" t="s">
        <v>4883</v>
      </c>
      <c r="M572" s="1" t="s">
        <v>4926</v>
      </c>
      <c r="N572" s="1" t="s">
        <v>4945</v>
      </c>
      <c r="P572" s="1" t="s">
        <v>9184</v>
      </c>
      <c r="Q572" s="30" t="s">
        <v>2565</v>
      </c>
      <c r="R572" s="33" t="s">
        <v>3473</v>
      </c>
      <c r="S572">
        <v>37</v>
      </c>
      <c r="T572" s="1" t="s">
        <v>13878</v>
      </c>
      <c r="U572" s="1" t="str">
        <f>HYPERLINK("http://ictvonline.org/taxonomy/p/taxonomy-history?taxnode_id=202108465","ICTVonline=202108465")</f>
        <v>ICTVonline=202108465</v>
      </c>
    </row>
    <row r="573" spans="1:21" x14ac:dyDescent="0.2">
      <c r="A573" s="3">
        <v>572</v>
      </c>
      <c r="B573" s="1" t="s">
        <v>4875</v>
      </c>
      <c r="D573" s="1" t="s">
        <v>4876</v>
      </c>
      <c r="F573" s="1" t="s">
        <v>4880</v>
      </c>
      <c r="H573" s="1" t="s">
        <v>4881</v>
      </c>
      <c r="L573" s="1" t="s">
        <v>4883</v>
      </c>
      <c r="M573" s="1" t="s">
        <v>4926</v>
      </c>
      <c r="N573" s="1" t="s">
        <v>4945</v>
      </c>
      <c r="P573" s="1" t="s">
        <v>9185</v>
      </c>
      <c r="Q573" s="30" t="s">
        <v>2565</v>
      </c>
      <c r="R573" s="33" t="s">
        <v>3473</v>
      </c>
      <c r="S573">
        <v>37</v>
      </c>
      <c r="T573" s="1" t="s">
        <v>13878</v>
      </c>
      <c r="U573" s="1" t="str">
        <f>HYPERLINK("http://ictvonline.org/taxonomy/p/taxonomy-history?taxnode_id=202108466","ICTVonline=202108466")</f>
        <v>ICTVonline=202108466</v>
      </c>
    </row>
    <row r="574" spans="1:21" x14ac:dyDescent="0.2">
      <c r="A574" s="3">
        <v>573</v>
      </c>
      <c r="B574" s="1" t="s">
        <v>4875</v>
      </c>
      <c r="D574" s="1" t="s">
        <v>4876</v>
      </c>
      <c r="F574" s="1" t="s">
        <v>4880</v>
      </c>
      <c r="H574" s="1" t="s">
        <v>4881</v>
      </c>
      <c r="L574" s="1" t="s">
        <v>4883</v>
      </c>
      <c r="M574" s="1" t="s">
        <v>4926</v>
      </c>
      <c r="N574" s="1" t="s">
        <v>4945</v>
      </c>
      <c r="P574" s="1" t="s">
        <v>9186</v>
      </c>
      <c r="Q574" s="30" t="s">
        <v>2565</v>
      </c>
      <c r="R574" s="33" t="s">
        <v>3473</v>
      </c>
      <c r="S574">
        <v>37</v>
      </c>
      <c r="T574" s="1" t="s">
        <v>13878</v>
      </c>
      <c r="U574" s="1" t="str">
        <f>HYPERLINK("http://ictvonline.org/taxonomy/p/taxonomy-history?taxnode_id=202108467","ICTVonline=202108467")</f>
        <v>ICTVonline=202108467</v>
      </c>
    </row>
    <row r="575" spans="1:21" x14ac:dyDescent="0.2">
      <c r="A575" s="3">
        <v>574</v>
      </c>
      <c r="B575" s="1" t="s">
        <v>4875</v>
      </c>
      <c r="D575" s="1" t="s">
        <v>4876</v>
      </c>
      <c r="F575" s="1" t="s">
        <v>4880</v>
      </c>
      <c r="H575" s="1" t="s">
        <v>4881</v>
      </c>
      <c r="L575" s="1" t="s">
        <v>4883</v>
      </c>
      <c r="M575" s="1" t="s">
        <v>4926</v>
      </c>
      <c r="N575" s="1" t="s">
        <v>4945</v>
      </c>
      <c r="P575" s="1" t="s">
        <v>9187</v>
      </c>
      <c r="Q575" s="30" t="s">
        <v>2565</v>
      </c>
      <c r="R575" s="33" t="s">
        <v>3473</v>
      </c>
      <c r="S575">
        <v>37</v>
      </c>
      <c r="T575" s="1" t="s">
        <v>13878</v>
      </c>
      <c r="U575" s="1" t="str">
        <f>HYPERLINK("http://ictvonline.org/taxonomy/p/taxonomy-history?taxnode_id=202108468","ICTVonline=202108468")</f>
        <v>ICTVonline=202108468</v>
      </c>
    </row>
    <row r="576" spans="1:21" x14ac:dyDescent="0.2">
      <c r="A576" s="3">
        <v>575</v>
      </c>
      <c r="B576" s="1" t="s">
        <v>4875</v>
      </c>
      <c r="D576" s="1" t="s">
        <v>4876</v>
      </c>
      <c r="F576" s="1" t="s">
        <v>4880</v>
      </c>
      <c r="H576" s="1" t="s">
        <v>4881</v>
      </c>
      <c r="L576" s="1" t="s">
        <v>4883</v>
      </c>
      <c r="M576" s="1" t="s">
        <v>4926</v>
      </c>
      <c r="N576" s="1" t="s">
        <v>4945</v>
      </c>
      <c r="P576" s="1" t="s">
        <v>9188</v>
      </c>
      <c r="Q576" s="30" t="s">
        <v>2565</v>
      </c>
      <c r="R576" s="33" t="s">
        <v>3473</v>
      </c>
      <c r="S576">
        <v>37</v>
      </c>
      <c r="T576" s="1" t="s">
        <v>13878</v>
      </c>
      <c r="U576" s="1" t="str">
        <f>HYPERLINK("http://ictvonline.org/taxonomy/p/taxonomy-history?taxnode_id=202108472","ICTVonline=202108472")</f>
        <v>ICTVonline=202108472</v>
      </c>
    </row>
    <row r="577" spans="1:21" x14ac:dyDescent="0.2">
      <c r="A577" s="3">
        <v>576</v>
      </c>
      <c r="B577" s="1" t="s">
        <v>4875</v>
      </c>
      <c r="D577" s="1" t="s">
        <v>4876</v>
      </c>
      <c r="F577" s="1" t="s">
        <v>4880</v>
      </c>
      <c r="H577" s="1" t="s">
        <v>4881</v>
      </c>
      <c r="L577" s="1" t="s">
        <v>4883</v>
      </c>
      <c r="M577" s="1" t="s">
        <v>4926</v>
      </c>
      <c r="N577" s="1" t="s">
        <v>4945</v>
      </c>
      <c r="P577" s="1" t="s">
        <v>9189</v>
      </c>
      <c r="Q577" s="30" t="s">
        <v>2565</v>
      </c>
      <c r="R577" s="33" t="s">
        <v>3473</v>
      </c>
      <c r="S577">
        <v>37</v>
      </c>
      <c r="T577" s="1" t="s">
        <v>13878</v>
      </c>
      <c r="U577" s="1" t="str">
        <f>HYPERLINK("http://ictvonline.org/taxonomy/p/taxonomy-history?taxnode_id=202108477","ICTVonline=202108477")</f>
        <v>ICTVonline=202108477</v>
      </c>
    </row>
    <row r="578" spans="1:21" x14ac:dyDescent="0.2">
      <c r="A578" s="3">
        <v>577</v>
      </c>
      <c r="B578" s="1" t="s">
        <v>4875</v>
      </c>
      <c r="D578" s="1" t="s">
        <v>4876</v>
      </c>
      <c r="F578" s="1" t="s">
        <v>4880</v>
      </c>
      <c r="H578" s="1" t="s">
        <v>4881</v>
      </c>
      <c r="L578" s="1" t="s">
        <v>4883</v>
      </c>
      <c r="M578" s="1" t="s">
        <v>4926</v>
      </c>
      <c r="N578" s="1" t="s">
        <v>4945</v>
      </c>
      <c r="P578" s="1" t="s">
        <v>9190</v>
      </c>
      <c r="Q578" s="30" t="s">
        <v>2565</v>
      </c>
      <c r="R578" s="33" t="s">
        <v>3473</v>
      </c>
      <c r="S578">
        <v>37</v>
      </c>
      <c r="T578" s="1" t="s">
        <v>13878</v>
      </c>
      <c r="U578" s="1" t="str">
        <f>HYPERLINK("http://ictvonline.org/taxonomy/p/taxonomy-history?taxnode_id=202108476","ICTVonline=202108476")</f>
        <v>ICTVonline=202108476</v>
      </c>
    </row>
    <row r="579" spans="1:21" x14ac:dyDescent="0.2">
      <c r="A579" s="3">
        <v>578</v>
      </c>
      <c r="B579" s="1" t="s">
        <v>4875</v>
      </c>
      <c r="D579" s="1" t="s">
        <v>4876</v>
      </c>
      <c r="F579" s="1" t="s">
        <v>4880</v>
      </c>
      <c r="H579" s="1" t="s">
        <v>4881</v>
      </c>
      <c r="L579" s="1" t="s">
        <v>4883</v>
      </c>
      <c r="M579" s="1" t="s">
        <v>4926</v>
      </c>
      <c r="N579" s="1" t="s">
        <v>4945</v>
      </c>
      <c r="P579" s="1" t="s">
        <v>9191</v>
      </c>
      <c r="Q579" s="30" t="s">
        <v>2565</v>
      </c>
      <c r="R579" s="33" t="s">
        <v>3473</v>
      </c>
      <c r="S579">
        <v>37</v>
      </c>
      <c r="T579" s="1" t="s">
        <v>13878</v>
      </c>
      <c r="U579" s="1" t="str">
        <f>HYPERLINK("http://ictvonline.org/taxonomy/p/taxonomy-history?taxnode_id=202108463","ICTVonline=202108463")</f>
        <v>ICTVonline=202108463</v>
      </c>
    </row>
    <row r="580" spans="1:21" x14ac:dyDescent="0.2">
      <c r="A580" s="3">
        <v>579</v>
      </c>
      <c r="B580" s="1" t="s">
        <v>4875</v>
      </c>
      <c r="D580" s="1" t="s">
        <v>4876</v>
      </c>
      <c r="F580" s="1" t="s">
        <v>4880</v>
      </c>
      <c r="H580" s="1" t="s">
        <v>4881</v>
      </c>
      <c r="L580" s="1" t="s">
        <v>4883</v>
      </c>
      <c r="M580" s="1" t="s">
        <v>4926</v>
      </c>
      <c r="N580" s="1" t="s">
        <v>4945</v>
      </c>
      <c r="P580" s="1" t="s">
        <v>9192</v>
      </c>
      <c r="Q580" s="30" t="s">
        <v>2565</v>
      </c>
      <c r="R580" s="33" t="s">
        <v>3473</v>
      </c>
      <c r="S580">
        <v>37</v>
      </c>
      <c r="T580" s="1" t="s">
        <v>13878</v>
      </c>
      <c r="U580" s="1" t="str">
        <f>HYPERLINK("http://ictvonline.org/taxonomy/p/taxonomy-history?taxnode_id=202108470","ICTVonline=202108470")</f>
        <v>ICTVonline=202108470</v>
      </c>
    </row>
    <row r="581" spans="1:21" x14ac:dyDescent="0.2">
      <c r="A581" s="3">
        <v>580</v>
      </c>
      <c r="B581" s="1" t="s">
        <v>4875</v>
      </c>
      <c r="D581" s="1" t="s">
        <v>4876</v>
      </c>
      <c r="F581" s="1" t="s">
        <v>4880</v>
      </c>
      <c r="H581" s="1" t="s">
        <v>4881</v>
      </c>
      <c r="L581" s="1" t="s">
        <v>4883</v>
      </c>
      <c r="M581" s="1" t="s">
        <v>4926</v>
      </c>
      <c r="N581" s="1" t="s">
        <v>4945</v>
      </c>
      <c r="P581" s="1" t="s">
        <v>9193</v>
      </c>
      <c r="Q581" s="30" t="s">
        <v>2565</v>
      </c>
      <c r="R581" s="33" t="s">
        <v>3473</v>
      </c>
      <c r="S581">
        <v>37</v>
      </c>
      <c r="T581" s="1" t="s">
        <v>13878</v>
      </c>
      <c r="U581" s="1" t="str">
        <f>HYPERLINK("http://ictvonline.org/taxonomy/p/taxonomy-history?taxnode_id=202108471","ICTVonline=202108471")</f>
        <v>ICTVonline=202108471</v>
      </c>
    </row>
    <row r="582" spans="1:21" x14ac:dyDescent="0.2">
      <c r="A582" s="3">
        <v>581</v>
      </c>
      <c r="B582" s="1" t="s">
        <v>4875</v>
      </c>
      <c r="D582" s="1" t="s">
        <v>4876</v>
      </c>
      <c r="F582" s="1" t="s">
        <v>4880</v>
      </c>
      <c r="H582" s="1" t="s">
        <v>4881</v>
      </c>
      <c r="L582" s="1" t="s">
        <v>4883</v>
      </c>
      <c r="M582" s="1" t="s">
        <v>4926</v>
      </c>
      <c r="N582" s="1" t="s">
        <v>4945</v>
      </c>
      <c r="P582" s="1" t="s">
        <v>9194</v>
      </c>
      <c r="Q582" s="30" t="s">
        <v>2565</v>
      </c>
      <c r="R582" s="33" t="s">
        <v>3473</v>
      </c>
      <c r="S582">
        <v>37</v>
      </c>
      <c r="T582" s="1" t="s">
        <v>13878</v>
      </c>
      <c r="U582" s="1" t="str">
        <f>HYPERLINK("http://ictvonline.org/taxonomy/p/taxonomy-history?taxnode_id=202108473","ICTVonline=202108473")</f>
        <v>ICTVonline=202108473</v>
      </c>
    </row>
    <row r="583" spans="1:21" x14ac:dyDescent="0.2">
      <c r="A583" s="3">
        <v>582</v>
      </c>
      <c r="B583" s="1" t="s">
        <v>4875</v>
      </c>
      <c r="D583" s="1" t="s">
        <v>4876</v>
      </c>
      <c r="F583" s="1" t="s">
        <v>4880</v>
      </c>
      <c r="H583" s="1" t="s">
        <v>4881</v>
      </c>
      <c r="L583" s="1" t="s">
        <v>4883</v>
      </c>
      <c r="M583" s="1" t="s">
        <v>4926</v>
      </c>
      <c r="N583" s="1" t="s">
        <v>4945</v>
      </c>
      <c r="P583" s="1" t="s">
        <v>9195</v>
      </c>
      <c r="Q583" s="30" t="s">
        <v>2565</v>
      </c>
      <c r="R583" s="33" t="s">
        <v>3473</v>
      </c>
      <c r="S583">
        <v>37</v>
      </c>
      <c r="T583" s="1" t="s">
        <v>13878</v>
      </c>
      <c r="U583" s="1" t="str">
        <f>HYPERLINK("http://ictvonline.org/taxonomy/p/taxonomy-history?taxnode_id=202108460","ICTVonline=202108460")</f>
        <v>ICTVonline=202108460</v>
      </c>
    </row>
    <row r="584" spans="1:21" x14ac:dyDescent="0.2">
      <c r="A584" s="3">
        <v>583</v>
      </c>
      <c r="B584" s="1" t="s">
        <v>4875</v>
      </c>
      <c r="D584" s="1" t="s">
        <v>4876</v>
      </c>
      <c r="F584" s="1" t="s">
        <v>4880</v>
      </c>
      <c r="H584" s="1" t="s">
        <v>4881</v>
      </c>
      <c r="L584" s="1" t="s">
        <v>4883</v>
      </c>
      <c r="M584" s="1" t="s">
        <v>4926</v>
      </c>
      <c r="N584" s="1" t="s">
        <v>4945</v>
      </c>
      <c r="P584" s="1" t="s">
        <v>9196</v>
      </c>
      <c r="Q584" s="30" t="s">
        <v>2565</v>
      </c>
      <c r="R584" s="33" t="s">
        <v>3473</v>
      </c>
      <c r="S584">
        <v>37</v>
      </c>
      <c r="T584" s="1" t="s">
        <v>13878</v>
      </c>
      <c r="U584" s="1" t="str">
        <f>HYPERLINK("http://ictvonline.org/taxonomy/p/taxonomy-history?taxnode_id=202108462","ICTVonline=202108462")</f>
        <v>ICTVonline=202108462</v>
      </c>
    </row>
    <row r="585" spans="1:21" x14ac:dyDescent="0.2">
      <c r="A585" s="3">
        <v>584</v>
      </c>
      <c r="B585" s="1" t="s">
        <v>4875</v>
      </c>
      <c r="D585" s="1" t="s">
        <v>4876</v>
      </c>
      <c r="F585" s="1" t="s">
        <v>4880</v>
      </c>
      <c r="H585" s="1" t="s">
        <v>4881</v>
      </c>
      <c r="L585" s="1" t="s">
        <v>4883</v>
      </c>
      <c r="M585" s="1" t="s">
        <v>4926</v>
      </c>
      <c r="N585" s="1" t="s">
        <v>4945</v>
      </c>
      <c r="P585" s="1" t="s">
        <v>9197</v>
      </c>
      <c r="Q585" s="30" t="s">
        <v>2565</v>
      </c>
      <c r="R585" s="33" t="s">
        <v>3473</v>
      </c>
      <c r="S585">
        <v>37</v>
      </c>
      <c r="T585" s="1" t="s">
        <v>13878</v>
      </c>
      <c r="U585" s="1" t="str">
        <f>HYPERLINK("http://ictvonline.org/taxonomy/p/taxonomy-history?taxnode_id=202108464","ICTVonline=202108464")</f>
        <v>ICTVonline=202108464</v>
      </c>
    </row>
    <row r="586" spans="1:21" x14ac:dyDescent="0.2">
      <c r="A586" s="3">
        <v>585</v>
      </c>
      <c r="B586" s="1" t="s">
        <v>4875</v>
      </c>
      <c r="D586" s="1" t="s">
        <v>4876</v>
      </c>
      <c r="F586" s="1" t="s">
        <v>4880</v>
      </c>
      <c r="H586" s="1" t="s">
        <v>4881</v>
      </c>
      <c r="L586" s="1" t="s">
        <v>4883</v>
      </c>
      <c r="M586" s="1" t="s">
        <v>4926</v>
      </c>
      <c r="N586" s="1" t="s">
        <v>4945</v>
      </c>
      <c r="P586" s="1" t="s">
        <v>9198</v>
      </c>
      <c r="Q586" s="30" t="s">
        <v>2565</v>
      </c>
      <c r="R586" s="33" t="s">
        <v>3473</v>
      </c>
      <c r="S586">
        <v>37</v>
      </c>
      <c r="T586" s="1" t="s">
        <v>13878</v>
      </c>
      <c r="U586" s="1" t="str">
        <f>HYPERLINK("http://ictvonline.org/taxonomy/p/taxonomy-history?taxnode_id=202108474","ICTVonline=202108474")</f>
        <v>ICTVonline=202108474</v>
      </c>
    </row>
    <row r="587" spans="1:21" x14ac:dyDescent="0.2">
      <c r="A587" s="3">
        <v>586</v>
      </c>
      <c r="B587" s="1" t="s">
        <v>4875</v>
      </c>
      <c r="D587" s="1" t="s">
        <v>4876</v>
      </c>
      <c r="F587" s="1" t="s">
        <v>4880</v>
      </c>
      <c r="H587" s="1" t="s">
        <v>4881</v>
      </c>
      <c r="L587" s="1" t="s">
        <v>4883</v>
      </c>
      <c r="M587" s="1" t="s">
        <v>4926</v>
      </c>
      <c r="N587" s="1" t="s">
        <v>4945</v>
      </c>
      <c r="P587" s="1" t="s">
        <v>9199</v>
      </c>
      <c r="Q587" s="30" t="s">
        <v>2565</v>
      </c>
      <c r="R587" s="33" t="s">
        <v>3473</v>
      </c>
      <c r="S587">
        <v>37</v>
      </c>
      <c r="T587" s="1" t="s">
        <v>13878</v>
      </c>
      <c r="U587" s="1" t="str">
        <f>HYPERLINK("http://ictvonline.org/taxonomy/p/taxonomy-history?taxnode_id=202108469","ICTVonline=202108469")</f>
        <v>ICTVonline=202108469</v>
      </c>
    </row>
    <row r="588" spans="1:21" x14ac:dyDescent="0.2">
      <c r="A588" s="3">
        <v>587</v>
      </c>
      <c r="B588" s="1" t="s">
        <v>4875</v>
      </c>
      <c r="D588" s="1" t="s">
        <v>4876</v>
      </c>
      <c r="F588" s="1" t="s">
        <v>4880</v>
      </c>
      <c r="H588" s="1" t="s">
        <v>4881</v>
      </c>
      <c r="L588" s="1" t="s">
        <v>4883</v>
      </c>
      <c r="M588" s="1" t="s">
        <v>4926</v>
      </c>
      <c r="N588" s="1" t="s">
        <v>4945</v>
      </c>
      <c r="P588" s="1" t="s">
        <v>9200</v>
      </c>
      <c r="Q588" s="30" t="s">
        <v>2565</v>
      </c>
      <c r="R588" s="33" t="s">
        <v>3473</v>
      </c>
      <c r="S588">
        <v>37</v>
      </c>
      <c r="T588" s="1" t="s">
        <v>13878</v>
      </c>
      <c r="U588" s="1" t="str">
        <f>HYPERLINK("http://ictvonline.org/taxonomy/p/taxonomy-history?taxnode_id=202108461","ICTVonline=202108461")</f>
        <v>ICTVonline=202108461</v>
      </c>
    </row>
    <row r="589" spans="1:21" x14ac:dyDescent="0.2">
      <c r="A589" s="3">
        <v>588</v>
      </c>
      <c r="B589" s="1" t="s">
        <v>4875</v>
      </c>
      <c r="D589" s="1" t="s">
        <v>4876</v>
      </c>
      <c r="F589" s="1" t="s">
        <v>4880</v>
      </c>
      <c r="H589" s="1" t="s">
        <v>4881</v>
      </c>
      <c r="L589" s="1" t="s">
        <v>4883</v>
      </c>
      <c r="M589" s="1" t="s">
        <v>4926</v>
      </c>
      <c r="N589" s="1" t="s">
        <v>4587</v>
      </c>
      <c r="P589" s="1" t="s">
        <v>9201</v>
      </c>
      <c r="Q589" s="30" t="s">
        <v>2565</v>
      </c>
      <c r="R589" s="33" t="s">
        <v>3473</v>
      </c>
      <c r="S589">
        <v>37</v>
      </c>
      <c r="T589" s="1" t="s">
        <v>13878</v>
      </c>
      <c r="U589" s="1" t="str">
        <f>HYPERLINK("http://ictvonline.org/taxonomy/p/taxonomy-history?taxnode_id=202108478","ICTVonline=202108478")</f>
        <v>ICTVonline=202108478</v>
      </c>
    </row>
    <row r="590" spans="1:21" x14ac:dyDescent="0.2">
      <c r="A590" s="3">
        <v>589</v>
      </c>
      <c r="B590" s="1" t="s">
        <v>4875</v>
      </c>
      <c r="D590" s="1" t="s">
        <v>4876</v>
      </c>
      <c r="F590" s="1" t="s">
        <v>4880</v>
      </c>
      <c r="H590" s="1" t="s">
        <v>4881</v>
      </c>
      <c r="L590" s="1" t="s">
        <v>4883</v>
      </c>
      <c r="M590" s="1" t="s">
        <v>4926</v>
      </c>
      <c r="N590" s="1" t="s">
        <v>4587</v>
      </c>
      <c r="P590" s="1" t="s">
        <v>9202</v>
      </c>
      <c r="Q590" s="30" t="s">
        <v>2565</v>
      </c>
      <c r="R590" s="33" t="s">
        <v>3473</v>
      </c>
      <c r="S590">
        <v>37</v>
      </c>
      <c r="T590" s="1" t="s">
        <v>13878</v>
      </c>
      <c r="U590" s="1" t="str">
        <f>HYPERLINK("http://ictvonline.org/taxonomy/p/taxonomy-history?taxnode_id=202108490","ICTVonline=202108490")</f>
        <v>ICTVonline=202108490</v>
      </c>
    </row>
    <row r="591" spans="1:21" x14ac:dyDescent="0.2">
      <c r="A591" s="3">
        <v>590</v>
      </c>
      <c r="B591" s="1" t="s">
        <v>4875</v>
      </c>
      <c r="D591" s="1" t="s">
        <v>4876</v>
      </c>
      <c r="F591" s="1" t="s">
        <v>4880</v>
      </c>
      <c r="H591" s="1" t="s">
        <v>4881</v>
      </c>
      <c r="L591" s="1" t="s">
        <v>4883</v>
      </c>
      <c r="M591" s="1" t="s">
        <v>4926</v>
      </c>
      <c r="N591" s="1" t="s">
        <v>4587</v>
      </c>
      <c r="P591" s="1" t="s">
        <v>9203</v>
      </c>
      <c r="Q591" s="30" t="s">
        <v>2565</v>
      </c>
      <c r="R591" s="33" t="s">
        <v>3473</v>
      </c>
      <c r="S591">
        <v>37</v>
      </c>
      <c r="T591" s="1" t="s">
        <v>13878</v>
      </c>
      <c r="U591" s="1" t="str">
        <f>HYPERLINK("http://ictvonline.org/taxonomy/p/taxonomy-history?taxnode_id=202108483","ICTVonline=202108483")</f>
        <v>ICTVonline=202108483</v>
      </c>
    </row>
    <row r="592" spans="1:21" x14ac:dyDescent="0.2">
      <c r="A592" s="3">
        <v>591</v>
      </c>
      <c r="B592" s="1" t="s">
        <v>4875</v>
      </c>
      <c r="D592" s="1" t="s">
        <v>4876</v>
      </c>
      <c r="F592" s="1" t="s">
        <v>4880</v>
      </c>
      <c r="H592" s="1" t="s">
        <v>4881</v>
      </c>
      <c r="L592" s="1" t="s">
        <v>4883</v>
      </c>
      <c r="M592" s="1" t="s">
        <v>4926</v>
      </c>
      <c r="N592" s="1" t="s">
        <v>4587</v>
      </c>
      <c r="P592" s="1" t="s">
        <v>9204</v>
      </c>
      <c r="Q592" s="30" t="s">
        <v>2565</v>
      </c>
      <c r="R592" s="33" t="s">
        <v>3473</v>
      </c>
      <c r="S592">
        <v>37</v>
      </c>
      <c r="T592" s="1" t="s">
        <v>13878</v>
      </c>
      <c r="U592" s="1" t="str">
        <f>HYPERLINK("http://ictvonline.org/taxonomy/p/taxonomy-history?taxnode_id=202108487","ICTVonline=202108487")</f>
        <v>ICTVonline=202108487</v>
      </c>
    </row>
    <row r="593" spans="1:21" x14ac:dyDescent="0.2">
      <c r="A593" s="3">
        <v>592</v>
      </c>
      <c r="B593" s="1" t="s">
        <v>4875</v>
      </c>
      <c r="D593" s="1" t="s">
        <v>4876</v>
      </c>
      <c r="F593" s="1" t="s">
        <v>4880</v>
      </c>
      <c r="H593" s="1" t="s">
        <v>4881</v>
      </c>
      <c r="L593" s="1" t="s">
        <v>4883</v>
      </c>
      <c r="M593" s="1" t="s">
        <v>4926</v>
      </c>
      <c r="N593" s="1" t="s">
        <v>4587</v>
      </c>
      <c r="P593" s="1" t="s">
        <v>9205</v>
      </c>
      <c r="Q593" s="30" t="s">
        <v>2565</v>
      </c>
      <c r="R593" s="33" t="s">
        <v>3473</v>
      </c>
      <c r="S593">
        <v>37</v>
      </c>
      <c r="T593" s="1" t="s">
        <v>13878</v>
      </c>
      <c r="U593" s="1" t="str">
        <f>HYPERLINK("http://ictvonline.org/taxonomy/p/taxonomy-history?taxnode_id=202108485","ICTVonline=202108485")</f>
        <v>ICTVonline=202108485</v>
      </c>
    </row>
    <row r="594" spans="1:21" x14ac:dyDescent="0.2">
      <c r="A594" s="3">
        <v>593</v>
      </c>
      <c r="B594" s="1" t="s">
        <v>4875</v>
      </c>
      <c r="D594" s="1" t="s">
        <v>4876</v>
      </c>
      <c r="F594" s="1" t="s">
        <v>4880</v>
      </c>
      <c r="H594" s="1" t="s">
        <v>4881</v>
      </c>
      <c r="L594" s="1" t="s">
        <v>4883</v>
      </c>
      <c r="M594" s="1" t="s">
        <v>4926</v>
      </c>
      <c r="N594" s="1" t="s">
        <v>4587</v>
      </c>
      <c r="P594" s="1" t="s">
        <v>9206</v>
      </c>
      <c r="Q594" s="30" t="s">
        <v>2565</v>
      </c>
      <c r="R594" s="33" t="s">
        <v>3473</v>
      </c>
      <c r="S594">
        <v>37</v>
      </c>
      <c r="T594" s="1" t="s">
        <v>13878</v>
      </c>
      <c r="U594" s="1" t="str">
        <f>HYPERLINK("http://ictvonline.org/taxonomy/p/taxonomy-history?taxnode_id=202108486","ICTVonline=202108486")</f>
        <v>ICTVonline=202108486</v>
      </c>
    </row>
    <row r="595" spans="1:21" x14ac:dyDescent="0.2">
      <c r="A595" s="3">
        <v>594</v>
      </c>
      <c r="B595" s="1" t="s">
        <v>4875</v>
      </c>
      <c r="D595" s="1" t="s">
        <v>4876</v>
      </c>
      <c r="F595" s="1" t="s">
        <v>4880</v>
      </c>
      <c r="H595" s="1" t="s">
        <v>4881</v>
      </c>
      <c r="L595" s="1" t="s">
        <v>4883</v>
      </c>
      <c r="M595" s="1" t="s">
        <v>4926</v>
      </c>
      <c r="N595" s="1" t="s">
        <v>4587</v>
      </c>
      <c r="P595" s="1" t="s">
        <v>9207</v>
      </c>
      <c r="Q595" s="30" t="s">
        <v>2565</v>
      </c>
      <c r="R595" s="33" t="s">
        <v>3473</v>
      </c>
      <c r="S595">
        <v>37</v>
      </c>
      <c r="T595" s="1" t="s">
        <v>13878</v>
      </c>
      <c r="U595" s="1" t="str">
        <f>HYPERLINK("http://ictvonline.org/taxonomy/p/taxonomy-history?taxnode_id=202108492","ICTVonline=202108492")</f>
        <v>ICTVonline=202108492</v>
      </c>
    </row>
    <row r="596" spans="1:21" x14ac:dyDescent="0.2">
      <c r="A596" s="3">
        <v>595</v>
      </c>
      <c r="B596" s="1" t="s">
        <v>4875</v>
      </c>
      <c r="D596" s="1" t="s">
        <v>4876</v>
      </c>
      <c r="F596" s="1" t="s">
        <v>4880</v>
      </c>
      <c r="H596" s="1" t="s">
        <v>4881</v>
      </c>
      <c r="L596" s="1" t="s">
        <v>4883</v>
      </c>
      <c r="M596" s="1" t="s">
        <v>4926</v>
      </c>
      <c r="N596" s="1" t="s">
        <v>4587</v>
      </c>
      <c r="P596" s="1" t="s">
        <v>9208</v>
      </c>
      <c r="Q596" s="30" t="s">
        <v>2565</v>
      </c>
      <c r="R596" s="33" t="s">
        <v>3473</v>
      </c>
      <c r="S596">
        <v>37</v>
      </c>
      <c r="T596" s="1" t="s">
        <v>13878</v>
      </c>
      <c r="U596" s="1" t="str">
        <f>HYPERLINK("http://ictvonline.org/taxonomy/p/taxonomy-history?taxnode_id=202108482","ICTVonline=202108482")</f>
        <v>ICTVonline=202108482</v>
      </c>
    </row>
    <row r="597" spans="1:21" x14ac:dyDescent="0.2">
      <c r="A597" s="3">
        <v>596</v>
      </c>
      <c r="B597" s="1" t="s">
        <v>4875</v>
      </c>
      <c r="D597" s="1" t="s">
        <v>4876</v>
      </c>
      <c r="F597" s="1" t="s">
        <v>4880</v>
      </c>
      <c r="H597" s="1" t="s">
        <v>4881</v>
      </c>
      <c r="L597" s="1" t="s">
        <v>4883</v>
      </c>
      <c r="M597" s="1" t="s">
        <v>4926</v>
      </c>
      <c r="N597" s="1" t="s">
        <v>4587</v>
      </c>
      <c r="P597" s="1" t="s">
        <v>9209</v>
      </c>
      <c r="Q597" s="30" t="s">
        <v>2565</v>
      </c>
      <c r="R597" s="33" t="s">
        <v>3473</v>
      </c>
      <c r="S597">
        <v>37</v>
      </c>
      <c r="T597" s="1" t="s">
        <v>13878</v>
      </c>
      <c r="U597" s="1" t="str">
        <f>HYPERLINK("http://ictvonline.org/taxonomy/p/taxonomy-history?taxnode_id=202108491","ICTVonline=202108491")</f>
        <v>ICTVonline=202108491</v>
      </c>
    </row>
    <row r="598" spans="1:21" x14ac:dyDescent="0.2">
      <c r="A598" s="3">
        <v>597</v>
      </c>
      <c r="B598" s="1" t="s">
        <v>4875</v>
      </c>
      <c r="D598" s="1" t="s">
        <v>4876</v>
      </c>
      <c r="F598" s="1" t="s">
        <v>4880</v>
      </c>
      <c r="H598" s="1" t="s">
        <v>4881</v>
      </c>
      <c r="L598" s="1" t="s">
        <v>4883</v>
      </c>
      <c r="M598" s="1" t="s">
        <v>4926</v>
      </c>
      <c r="N598" s="1" t="s">
        <v>4587</v>
      </c>
      <c r="P598" s="1" t="s">
        <v>9210</v>
      </c>
      <c r="Q598" s="30" t="s">
        <v>2565</v>
      </c>
      <c r="R598" s="33" t="s">
        <v>3473</v>
      </c>
      <c r="S598">
        <v>37</v>
      </c>
      <c r="T598" s="1" t="s">
        <v>13878</v>
      </c>
      <c r="U598" s="1" t="str">
        <f>HYPERLINK("http://ictvonline.org/taxonomy/p/taxonomy-history?taxnode_id=202108489","ICTVonline=202108489")</f>
        <v>ICTVonline=202108489</v>
      </c>
    </row>
    <row r="599" spans="1:21" x14ac:dyDescent="0.2">
      <c r="A599" s="3">
        <v>598</v>
      </c>
      <c r="B599" s="1" t="s">
        <v>4875</v>
      </c>
      <c r="D599" s="1" t="s">
        <v>4876</v>
      </c>
      <c r="F599" s="1" t="s">
        <v>4880</v>
      </c>
      <c r="H599" s="1" t="s">
        <v>4881</v>
      </c>
      <c r="L599" s="1" t="s">
        <v>4883</v>
      </c>
      <c r="M599" s="1" t="s">
        <v>4926</v>
      </c>
      <c r="N599" s="1" t="s">
        <v>4587</v>
      </c>
      <c r="P599" s="1" t="s">
        <v>9211</v>
      </c>
      <c r="Q599" s="30" t="s">
        <v>2565</v>
      </c>
      <c r="R599" s="33" t="s">
        <v>3473</v>
      </c>
      <c r="S599">
        <v>37</v>
      </c>
      <c r="T599" s="1" t="s">
        <v>13878</v>
      </c>
      <c r="U599" s="1" t="str">
        <f>HYPERLINK("http://ictvonline.org/taxonomy/p/taxonomy-history?taxnode_id=202108493","ICTVonline=202108493")</f>
        <v>ICTVonline=202108493</v>
      </c>
    </row>
    <row r="600" spans="1:21" x14ac:dyDescent="0.2">
      <c r="A600" s="3">
        <v>599</v>
      </c>
      <c r="B600" s="1" t="s">
        <v>4875</v>
      </c>
      <c r="D600" s="1" t="s">
        <v>4876</v>
      </c>
      <c r="F600" s="1" t="s">
        <v>4880</v>
      </c>
      <c r="H600" s="1" t="s">
        <v>4881</v>
      </c>
      <c r="L600" s="1" t="s">
        <v>4883</v>
      </c>
      <c r="M600" s="1" t="s">
        <v>4926</v>
      </c>
      <c r="N600" s="1" t="s">
        <v>4587</v>
      </c>
      <c r="P600" s="1" t="s">
        <v>9212</v>
      </c>
      <c r="Q600" s="30" t="s">
        <v>2565</v>
      </c>
      <c r="R600" s="33" t="s">
        <v>3473</v>
      </c>
      <c r="S600">
        <v>37</v>
      </c>
      <c r="T600" s="1" t="s">
        <v>13878</v>
      </c>
      <c r="U600" s="1" t="str">
        <f>HYPERLINK("http://ictvonline.org/taxonomy/p/taxonomy-history?taxnode_id=202100583","ICTVonline=202100583")</f>
        <v>ICTVonline=202100583</v>
      </c>
    </row>
    <row r="601" spans="1:21" x14ac:dyDescent="0.2">
      <c r="A601" s="3">
        <v>600</v>
      </c>
      <c r="B601" s="1" t="s">
        <v>4875</v>
      </c>
      <c r="D601" s="1" t="s">
        <v>4876</v>
      </c>
      <c r="F601" s="1" t="s">
        <v>4880</v>
      </c>
      <c r="H601" s="1" t="s">
        <v>4881</v>
      </c>
      <c r="L601" s="1" t="s">
        <v>4883</v>
      </c>
      <c r="M601" s="1" t="s">
        <v>4926</v>
      </c>
      <c r="N601" s="1" t="s">
        <v>4587</v>
      </c>
      <c r="P601" s="1" t="s">
        <v>9213</v>
      </c>
      <c r="Q601" s="30" t="s">
        <v>2565</v>
      </c>
      <c r="R601" s="33" t="s">
        <v>3473</v>
      </c>
      <c r="S601">
        <v>37</v>
      </c>
      <c r="T601" s="1" t="s">
        <v>13878</v>
      </c>
      <c r="U601" s="1" t="str">
        <f>HYPERLINK("http://ictvonline.org/taxonomy/p/taxonomy-history?taxnode_id=202108488","ICTVonline=202108488")</f>
        <v>ICTVonline=202108488</v>
      </c>
    </row>
    <row r="602" spans="1:21" x14ac:dyDescent="0.2">
      <c r="A602" s="3">
        <v>601</v>
      </c>
      <c r="B602" s="1" t="s">
        <v>4875</v>
      </c>
      <c r="D602" s="1" t="s">
        <v>4876</v>
      </c>
      <c r="F602" s="1" t="s">
        <v>4880</v>
      </c>
      <c r="H602" s="1" t="s">
        <v>4881</v>
      </c>
      <c r="L602" s="1" t="s">
        <v>4883</v>
      </c>
      <c r="M602" s="1" t="s">
        <v>4926</v>
      </c>
      <c r="N602" s="1" t="s">
        <v>4587</v>
      </c>
      <c r="P602" s="1" t="s">
        <v>9214</v>
      </c>
      <c r="Q602" s="30" t="s">
        <v>2565</v>
      </c>
      <c r="R602" s="33" t="s">
        <v>3473</v>
      </c>
      <c r="S602">
        <v>37</v>
      </c>
      <c r="T602" s="1" t="s">
        <v>13878</v>
      </c>
      <c r="U602" s="1" t="str">
        <f>HYPERLINK("http://ictvonline.org/taxonomy/p/taxonomy-history?taxnode_id=202108484","ICTVonline=202108484")</f>
        <v>ICTVonline=202108484</v>
      </c>
    </row>
    <row r="603" spans="1:21" x14ac:dyDescent="0.2">
      <c r="A603" s="3">
        <v>602</v>
      </c>
      <c r="B603" s="1" t="s">
        <v>4875</v>
      </c>
      <c r="D603" s="1" t="s">
        <v>4876</v>
      </c>
      <c r="F603" s="1" t="s">
        <v>4880</v>
      </c>
      <c r="H603" s="1" t="s">
        <v>4881</v>
      </c>
      <c r="L603" s="1" t="s">
        <v>4883</v>
      </c>
      <c r="M603" s="1" t="s">
        <v>4926</v>
      </c>
      <c r="N603" s="1" t="s">
        <v>4587</v>
      </c>
      <c r="P603" s="1" t="s">
        <v>9215</v>
      </c>
      <c r="Q603" s="30" t="s">
        <v>2565</v>
      </c>
      <c r="R603" s="33" t="s">
        <v>3473</v>
      </c>
      <c r="S603">
        <v>37</v>
      </c>
      <c r="T603" s="1" t="s">
        <v>13878</v>
      </c>
      <c r="U603" s="1" t="str">
        <f>HYPERLINK("http://ictvonline.org/taxonomy/p/taxonomy-history?taxnode_id=202108479","ICTVonline=202108479")</f>
        <v>ICTVonline=202108479</v>
      </c>
    </row>
    <row r="604" spans="1:21" x14ac:dyDescent="0.2">
      <c r="A604" s="3">
        <v>603</v>
      </c>
      <c r="B604" s="1" t="s">
        <v>4875</v>
      </c>
      <c r="D604" s="1" t="s">
        <v>4876</v>
      </c>
      <c r="F604" s="1" t="s">
        <v>4880</v>
      </c>
      <c r="H604" s="1" t="s">
        <v>4881</v>
      </c>
      <c r="L604" s="1" t="s">
        <v>4883</v>
      </c>
      <c r="M604" s="1" t="s">
        <v>4926</v>
      </c>
      <c r="N604" s="1" t="s">
        <v>4587</v>
      </c>
      <c r="P604" s="1" t="s">
        <v>9216</v>
      </c>
      <c r="Q604" s="30" t="s">
        <v>2565</v>
      </c>
      <c r="R604" s="33" t="s">
        <v>3473</v>
      </c>
      <c r="S604">
        <v>37</v>
      </c>
      <c r="T604" s="1" t="s">
        <v>13878</v>
      </c>
      <c r="U604" s="1" t="str">
        <f>HYPERLINK("http://ictvonline.org/taxonomy/p/taxonomy-history?taxnode_id=202108480","ICTVonline=202108480")</f>
        <v>ICTVonline=202108480</v>
      </c>
    </row>
    <row r="605" spans="1:21" x14ac:dyDescent="0.2">
      <c r="A605" s="3">
        <v>604</v>
      </c>
      <c r="B605" s="1" t="s">
        <v>4875</v>
      </c>
      <c r="D605" s="1" t="s">
        <v>4876</v>
      </c>
      <c r="F605" s="1" t="s">
        <v>4880</v>
      </c>
      <c r="H605" s="1" t="s">
        <v>4881</v>
      </c>
      <c r="L605" s="1" t="s">
        <v>4883</v>
      </c>
      <c r="M605" s="1" t="s">
        <v>4926</v>
      </c>
      <c r="N605" s="1" t="s">
        <v>4587</v>
      </c>
      <c r="P605" s="1" t="s">
        <v>9217</v>
      </c>
      <c r="Q605" s="30" t="s">
        <v>2565</v>
      </c>
      <c r="R605" s="33" t="s">
        <v>3473</v>
      </c>
      <c r="S605">
        <v>37</v>
      </c>
      <c r="T605" s="1" t="s">
        <v>13878</v>
      </c>
      <c r="U605" s="1" t="str">
        <f>HYPERLINK("http://ictvonline.org/taxonomy/p/taxonomy-history?taxnode_id=202108481","ICTVonline=202108481")</f>
        <v>ICTVonline=202108481</v>
      </c>
    </row>
    <row r="606" spans="1:21" x14ac:dyDescent="0.2">
      <c r="A606" s="3">
        <v>605</v>
      </c>
      <c r="B606" s="1" t="s">
        <v>4875</v>
      </c>
      <c r="D606" s="1" t="s">
        <v>4876</v>
      </c>
      <c r="F606" s="1" t="s">
        <v>4880</v>
      </c>
      <c r="H606" s="1" t="s">
        <v>4881</v>
      </c>
      <c r="L606" s="1" t="s">
        <v>4883</v>
      </c>
      <c r="M606" s="1" t="s">
        <v>4926</v>
      </c>
      <c r="N606" s="1" t="s">
        <v>4946</v>
      </c>
      <c r="P606" s="1" t="s">
        <v>9218</v>
      </c>
      <c r="Q606" s="30" t="s">
        <v>2565</v>
      </c>
      <c r="R606" s="33" t="s">
        <v>3473</v>
      </c>
      <c r="S606">
        <v>37</v>
      </c>
      <c r="T606" s="1" t="s">
        <v>13878</v>
      </c>
      <c r="U606" s="1" t="str">
        <f>HYPERLINK("http://ictvonline.org/taxonomy/p/taxonomy-history?taxnode_id=202108359","ICTVonline=202108359")</f>
        <v>ICTVonline=202108359</v>
      </c>
    </row>
    <row r="607" spans="1:21" x14ac:dyDescent="0.2">
      <c r="A607" s="3">
        <v>606</v>
      </c>
      <c r="B607" s="1" t="s">
        <v>4875</v>
      </c>
      <c r="D607" s="1" t="s">
        <v>4876</v>
      </c>
      <c r="F607" s="1" t="s">
        <v>4880</v>
      </c>
      <c r="H607" s="1" t="s">
        <v>4881</v>
      </c>
      <c r="L607" s="1" t="s">
        <v>4883</v>
      </c>
      <c r="M607" s="1" t="s">
        <v>4926</v>
      </c>
      <c r="N607" s="1" t="s">
        <v>4947</v>
      </c>
      <c r="P607" s="1" t="s">
        <v>9219</v>
      </c>
      <c r="Q607" s="30" t="s">
        <v>2565</v>
      </c>
      <c r="R607" s="33" t="s">
        <v>3473</v>
      </c>
      <c r="S607">
        <v>37</v>
      </c>
      <c r="T607" s="1" t="s">
        <v>13878</v>
      </c>
      <c r="U607" s="1" t="str">
        <f>HYPERLINK("http://ictvonline.org/taxonomy/p/taxonomy-history?taxnode_id=202108456","ICTVonline=202108456")</f>
        <v>ICTVonline=202108456</v>
      </c>
    </row>
    <row r="608" spans="1:21" x14ac:dyDescent="0.2">
      <c r="A608" s="3">
        <v>607</v>
      </c>
      <c r="B608" s="1" t="s">
        <v>4875</v>
      </c>
      <c r="D608" s="1" t="s">
        <v>4876</v>
      </c>
      <c r="F608" s="1" t="s">
        <v>4880</v>
      </c>
      <c r="H608" s="1" t="s">
        <v>4881</v>
      </c>
      <c r="L608" s="1" t="s">
        <v>4883</v>
      </c>
      <c r="M608" s="1" t="s">
        <v>4926</v>
      </c>
      <c r="N608" s="1" t="s">
        <v>5958</v>
      </c>
      <c r="P608" s="1" t="s">
        <v>9220</v>
      </c>
      <c r="Q608" s="30" t="s">
        <v>2565</v>
      </c>
      <c r="R608" s="33" t="s">
        <v>3473</v>
      </c>
      <c r="S608">
        <v>37</v>
      </c>
      <c r="T608" s="1" t="s">
        <v>13878</v>
      </c>
      <c r="U608" s="1" t="str">
        <f>HYPERLINK("http://ictvonline.org/taxonomy/p/taxonomy-history?taxnode_id=202112090","ICTVonline=202112090")</f>
        <v>ICTVonline=202112090</v>
      </c>
    </row>
    <row r="609" spans="1:22" x14ac:dyDescent="0.2">
      <c r="A609" s="3">
        <v>608</v>
      </c>
      <c r="B609" s="1" t="s">
        <v>4875</v>
      </c>
      <c r="D609" s="1" t="s">
        <v>4876</v>
      </c>
      <c r="F609" s="1" t="s">
        <v>4880</v>
      </c>
      <c r="H609" s="1" t="s">
        <v>4881</v>
      </c>
      <c r="L609" s="1" t="s">
        <v>4883</v>
      </c>
      <c r="N609" s="1" t="s">
        <v>4948</v>
      </c>
      <c r="P609" s="1" t="s">
        <v>9221</v>
      </c>
      <c r="Q609" s="30" t="s">
        <v>2565</v>
      </c>
      <c r="R609" s="33" t="s">
        <v>3473</v>
      </c>
      <c r="S609">
        <v>37</v>
      </c>
      <c r="T609" s="1" t="s">
        <v>13878</v>
      </c>
      <c r="U609" s="1" t="str">
        <f>HYPERLINK("http://ictvonline.org/taxonomy/p/taxonomy-history?taxnode_id=202108235","ICTVonline=202108235")</f>
        <v>ICTVonline=202108235</v>
      </c>
    </row>
    <row r="610" spans="1:22" x14ac:dyDescent="0.2">
      <c r="A610" s="3">
        <v>609</v>
      </c>
      <c r="B610" s="1" t="s">
        <v>4875</v>
      </c>
      <c r="D610" s="1" t="s">
        <v>4876</v>
      </c>
      <c r="F610" s="1" t="s">
        <v>4880</v>
      </c>
      <c r="H610" s="1" t="s">
        <v>4881</v>
      </c>
      <c r="L610" s="1" t="s">
        <v>4883</v>
      </c>
      <c r="N610" s="1" t="s">
        <v>5959</v>
      </c>
      <c r="P610" s="1" t="s">
        <v>9222</v>
      </c>
      <c r="Q610" s="30" t="s">
        <v>2565</v>
      </c>
      <c r="R610" s="33" t="s">
        <v>3473</v>
      </c>
      <c r="S610">
        <v>37</v>
      </c>
      <c r="T610" s="1" t="s">
        <v>13878</v>
      </c>
      <c r="U610" s="1" t="str">
        <f>HYPERLINK("http://ictvonline.org/taxonomy/p/taxonomy-history?taxnode_id=202111647","ICTVonline=202111647")</f>
        <v>ICTVonline=202111647</v>
      </c>
    </row>
    <row r="611" spans="1:22" x14ac:dyDescent="0.2">
      <c r="A611" s="3">
        <v>610</v>
      </c>
      <c r="B611" s="1" t="s">
        <v>4875</v>
      </c>
      <c r="D611" s="1" t="s">
        <v>4876</v>
      </c>
      <c r="F611" s="1" t="s">
        <v>4880</v>
      </c>
      <c r="H611" s="1" t="s">
        <v>4881</v>
      </c>
      <c r="L611" s="1" t="s">
        <v>4883</v>
      </c>
      <c r="N611" s="1" t="s">
        <v>4596</v>
      </c>
      <c r="P611" s="1" t="s">
        <v>9223</v>
      </c>
      <c r="Q611" s="30" t="s">
        <v>2565</v>
      </c>
      <c r="R611" s="33" t="s">
        <v>3473</v>
      </c>
      <c r="S611">
        <v>37</v>
      </c>
      <c r="T611" s="1" t="s">
        <v>13878</v>
      </c>
      <c r="U611" s="1" t="str">
        <f>HYPERLINK("http://ictvonline.org/taxonomy/p/taxonomy-history?taxnode_id=202106761","ICTVonline=202106761")</f>
        <v>ICTVonline=202106761</v>
      </c>
    </row>
    <row r="612" spans="1:22" x14ac:dyDescent="0.2">
      <c r="A612" s="3">
        <v>611</v>
      </c>
      <c r="B612" s="1" t="s">
        <v>4875</v>
      </c>
      <c r="D612" s="1" t="s">
        <v>4876</v>
      </c>
      <c r="F612" s="1" t="s">
        <v>4880</v>
      </c>
      <c r="H612" s="1" t="s">
        <v>4881</v>
      </c>
      <c r="L612" s="1" t="s">
        <v>4883</v>
      </c>
      <c r="N612" s="1" t="s">
        <v>4949</v>
      </c>
      <c r="P612" s="1" t="s">
        <v>4950</v>
      </c>
      <c r="Q612" s="30" t="s">
        <v>2565</v>
      </c>
      <c r="R612" s="33" t="s">
        <v>3474</v>
      </c>
      <c r="S612">
        <v>37</v>
      </c>
      <c r="T612" s="1" t="s">
        <v>13880</v>
      </c>
      <c r="U612" s="1" t="str">
        <f>HYPERLINK("http://ictvonline.org/taxonomy/p/taxonomy-history?taxnode_id=202108245","ICTVonline=202108245")</f>
        <v>ICTVonline=202108245</v>
      </c>
    </row>
    <row r="613" spans="1:22" x14ac:dyDescent="0.2">
      <c r="A613" s="3">
        <v>612</v>
      </c>
      <c r="B613" s="1" t="s">
        <v>4875</v>
      </c>
      <c r="D613" s="1" t="s">
        <v>4876</v>
      </c>
      <c r="F613" s="1" t="s">
        <v>4880</v>
      </c>
      <c r="H613" s="1" t="s">
        <v>4881</v>
      </c>
      <c r="L613" s="1" t="s">
        <v>4883</v>
      </c>
      <c r="N613" s="1" t="s">
        <v>4951</v>
      </c>
      <c r="P613" s="1" t="s">
        <v>9224</v>
      </c>
      <c r="Q613" s="30" t="s">
        <v>2565</v>
      </c>
      <c r="R613" s="33" t="s">
        <v>3473</v>
      </c>
      <c r="S613">
        <v>37</v>
      </c>
      <c r="T613" s="1" t="s">
        <v>13878</v>
      </c>
      <c r="U613" s="1" t="str">
        <f>HYPERLINK("http://ictvonline.org/taxonomy/p/taxonomy-history?taxnode_id=202108213","ICTVonline=202108213")</f>
        <v>ICTVonline=202108213</v>
      </c>
    </row>
    <row r="614" spans="1:22" x14ac:dyDescent="0.2">
      <c r="A614" s="3">
        <v>613</v>
      </c>
      <c r="B614" s="1" t="s">
        <v>4875</v>
      </c>
      <c r="D614" s="1" t="s">
        <v>4876</v>
      </c>
      <c r="F614" s="1" t="s">
        <v>4880</v>
      </c>
      <c r="H614" s="1" t="s">
        <v>4881</v>
      </c>
      <c r="L614" s="1" t="s">
        <v>4883</v>
      </c>
      <c r="N614" s="1" t="s">
        <v>4951</v>
      </c>
      <c r="P614" s="1" t="s">
        <v>9225</v>
      </c>
      <c r="Q614" s="30" t="s">
        <v>2565</v>
      </c>
      <c r="R614" s="33" t="s">
        <v>3473</v>
      </c>
      <c r="S614">
        <v>37</v>
      </c>
      <c r="T614" s="1" t="s">
        <v>13878</v>
      </c>
      <c r="U614" s="1" t="str">
        <f>HYPERLINK("http://ictvonline.org/taxonomy/p/taxonomy-history?taxnode_id=202108214","ICTVonline=202108214")</f>
        <v>ICTVonline=202108214</v>
      </c>
    </row>
    <row r="615" spans="1:22" x14ac:dyDescent="0.2">
      <c r="A615" s="3">
        <v>614</v>
      </c>
      <c r="B615" s="1" t="s">
        <v>4875</v>
      </c>
      <c r="D615" s="1" t="s">
        <v>4876</v>
      </c>
      <c r="F615" s="1" t="s">
        <v>4880</v>
      </c>
      <c r="H615" s="1" t="s">
        <v>4881</v>
      </c>
      <c r="L615" s="1" t="s">
        <v>4883</v>
      </c>
      <c r="N615" s="1" t="s">
        <v>4952</v>
      </c>
      <c r="P615" s="1" t="s">
        <v>9226</v>
      </c>
      <c r="Q615" s="30" t="s">
        <v>2565</v>
      </c>
      <c r="R615" s="33" t="s">
        <v>3473</v>
      </c>
      <c r="S615">
        <v>37</v>
      </c>
      <c r="T615" s="1" t="s">
        <v>13878</v>
      </c>
      <c r="U615" s="1" t="str">
        <f>HYPERLINK("http://ictvonline.org/taxonomy/p/taxonomy-history?taxnode_id=202108249","ICTVonline=202108249")</f>
        <v>ICTVonline=202108249</v>
      </c>
    </row>
    <row r="616" spans="1:22" s="22" customFormat="1" x14ac:dyDescent="0.2">
      <c r="A616" s="3">
        <v>615</v>
      </c>
      <c r="B616" s="1" t="s">
        <v>4875</v>
      </c>
      <c r="C616" s="1"/>
      <c r="D616" s="1" t="s">
        <v>4876</v>
      </c>
      <c r="E616" s="1"/>
      <c r="F616" s="1" t="s">
        <v>4880</v>
      </c>
      <c r="G616" s="1"/>
      <c r="H616" s="1" t="s">
        <v>4881</v>
      </c>
      <c r="I616" s="1"/>
      <c r="J616" s="1"/>
      <c r="K616" s="1"/>
      <c r="L616" s="1" t="s">
        <v>4883</v>
      </c>
      <c r="M616" s="1"/>
      <c r="N616" s="1" t="s">
        <v>4953</v>
      </c>
      <c r="O616" s="1"/>
      <c r="P616" s="1" t="s">
        <v>4954</v>
      </c>
      <c r="Q616" s="30" t="s">
        <v>2565</v>
      </c>
      <c r="R616" s="33" t="s">
        <v>3474</v>
      </c>
      <c r="S616">
        <v>37</v>
      </c>
      <c r="T616" s="1" t="s">
        <v>13880</v>
      </c>
      <c r="U616" s="22" t="str">
        <f>HYPERLINK("http://ictvonline.org/taxonomy/p/taxonomy-history?taxnode_id=202108284","ICTVonline=202108284")</f>
        <v>ICTVonline=202108284</v>
      </c>
      <c r="V616" s="1"/>
    </row>
    <row r="617" spans="1:22" x14ac:dyDescent="0.2">
      <c r="A617" s="3">
        <v>616</v>
      </c>
      <c r="B617" s="1" t="s">
        <v>4875</v>
      </c>
      <c r="D617" s="1" t="s">
        <v>4876</v>
      </c>
      <c r="F617" s="1" t="s">
        <v>4880</v>
      </c>
      <c r="H617" s="1" t="s">
        <v>4881</v>
      </c>
      <c r="L617" s="1" t="s">
        <v>4883</v>
      </c>
      <c r="N617" s="1" t="s">
        <v>4955</v>
      </c>
      <c r="P617" s="1" t="s">
        <v>9227</v>
      </c>
      <c r="Q617" s="30" t="s">
        <v>2565</v>
      </c>
      <c r="R617" s="33" t="s">
        <v>3473</v>
      </c>
      <c r="S617">
        <v>37</v>
      </c>
      <c r="T617" s="1" t="s">
        <v>13878</v>
      </c>
      <c r="U617" s="1" t="str">
        <f>HYPERLINK("http://ictvonline.org/taxonomy/p/taxonomy-history?taxnode_id=202108274","ICTVonline=202108274")</f>
        <v>ICTVonline=202108274</v>
      </c>
    </row>
    <row r="618" spans="1:22" x14ac:dyDescent="0.2">
      <c r="A618" s="3">
        <v>617</v>
      </c>
      <c r="B618" s="1" t="s">
        <v>4875</v>
      </c>
      <c r="D618" s="1" t="s">
        <v>4876</v>
      </c>
      <c r="F618" s="1" t="s">
        <v>4880</v>
      </c>
      <c r="H618" s="1" t="s">
        <v>4881</v>
      </c>
      <c r="L618" s="1" t="s">
        <v>4883</v>
      </c>
      <c r="N618" s="1" t="s">
        <v>4598</v>
      </c>
      <c r="P618" s="1" t="s">
        <v>9228</v>
      </c>
      <c r="Q618" s="30" t="s">
        <v>2565</v>
      </c>
      <c r="R618" s="33" t="s">
        <v>3473</v>
      </c>
      <c r="S618">
        <v>37</v>
      </c>
      <c r="T618" s="1" t="s">
        <v>13878</v>
      </c>
      <c r="U618" s="1" t="str">
        <f>HYPERLINK("http://ictvonline.org/taxonomy/p/taxonomy-history?taxnode_id=202106804","ICTVonline=202106804")</f>
        <v>ICTVonline=202106804</v>
      </c>
    </row>
    <row r="619" spans="1:22" x14ac:dyDescent="0.2">
      <c r="A619" s="3">
        <v>618</v>
      </c>
      <c r="B619" s="1" t="s">
        <v>4875</v>
      </c>
      <c r="D619" s="1" t="s">
        <v>4876</v>
      </c>
      <c r="F619" s="1" t="s">
        <v>4880</v>
      </c>
      <c r="H619" s="1" t="s">
        <v>4881</v>
      </c>
      <c r="L619" s="1" t="s">
        <v>4883</v>
      </c>
      <c r="N619" s="1" t="s">
        <v>4598</v>
      </c>
      <c r="P619" s="1" t="s">
        <v>9229</v>
      </c>
      <c r="Q619" s="30" t="s">
        <v>2565</v>
      </c>
      <c r="R619" s="33" t="s">
        <v>3473</v>
      </c>
      <c r="S619">
        <v>37</v>
      </c>
      <c r="T619" s="1" t="s">
        <v>13878</v>
      </c>
      <c r="U619" s="1" t="str">
        <f>HYPERLINK("http://ictvonline.org/taxonomy/p/taxonomy-history?taxnode_id=202106803","ICTVonline=202106803")</f>
        <v>ICTVonline=202106803</v>
      </c>
    </row>
    <row r="620" spans="1:22" x14ac:dyDescent="0.2">
      <c r="A620" s="3">
        <v>619</v>
      </c>
      <c r="B620" s="1" t="s">
        <v>4875</v>
      </c>
      <c r="D620" s="1" t="s">
        <v>4876</v>
      </c>
      <c r="F620" s="1" t="s">
        <v>4880</v>
      </c>
      <c r="H620" s="1" t="s">
        <v>4881</v>
      </c>
      <c r="L620" s="1" t="s">
        <v>4883</v>
      </c>
      <c r="N620" s="1" t="s">
        <v>4956</v>
      </c>
      <c r="P620" s="1" t="s">
        <v>9230</v>
      </c>
      <c r="Q620" s="30" t="s">
        <v>2565</v>
      </c>
      <c r="R620" s="33" t="s">
        <v>3473</v>
      </c>
      <c r="S620">
        <v>37</v>
      </c>
      <c r="T620" s="1" t="s">
        <v>13878</v>
      </c>
      <c r="U620" s="1" t="str">
        <f>HYPERLINK("http://ictvonline.org/taxonomy/p/taxonomy-history?taxnode_id=202108229","ICTVonline=202108229")</f>
        <v>ICTVonline=202108229</v>
      </c>
    </row>
    <row r="621" spans="1:22" x14ac:dyDescent="0.2">
      <c r="A621" s="3">
        <v>620</v>
      </c>
      <c r="B621" s="1" t="s">
        <v>4875</v>
      </c>
      <c r="D621" s="1" t="s">
        <v>4876</v>
      </c>
      <c r="F621" s="1" t="s">
        <v>4880</v>
      </c>
      <c r="H621" s="1" t="s">
        <v>4881</v>
      </c>
      <c r="L621" s="1" t="s">
        <v>4883</v>
      </c>
      <c r="N621" s="1" t="s">
        <v>4956</v>
      </c>
      <c r="P621" s="1" t="s">
        <v>9231</v>
      </c>
      <c r="Q621" s="30" t="s">
        <v>2565</v>
      </c>
      <c r="R621" s="33" t="s">
        <v>3473</v>
      </c>
      <c r="S621">
        <v>37</v>
      </c>
      <c r="T621" s="1" t="s">
        <v>13878</v>
      </c>
      <c r="U621" s="1" t="str">
        <f>HYPERLINK("http://ictvonline.org/taxonomy/p/taxonomy-history?taxnode_id=202108230","ICTVonline=202108230")</f>
        <v>ICTVonline=202108230</v>
      </c>
    </row>
    <row r="622" spans="1:22" x14ac:dyDescent="0.2">
      <c r="A622" s="3">
        <v>621</v>
      </c>
      <c r="B622" s="1" t="s">
        <v>4875</v>
      </c>
      <c r="D622" s="1" t="s">
        <v>4876</v>
      </c>
      <c r="F622" s="1" t="s">
        <v>4880</v>
      </c>
      <c r="H622" s="1" t="s">
        <v>4881</v>
      </c>
      <c r="L622" s="1" t="s">
        <v>4883</v>
      </c>
      <c r="N622" s="1" t="s">
        <v>4957</v>
      </c>
      <c r="P622" s="1" t="s">
        <v>9232</v>
      </c>
      <c r="Q622" s="30" t="s">
        <v>2565</v>
      </c>
      <c r="R622" s="33" t="s">
        <v>3473</v>
      </c>
      <c r="S622">
        <v>37</v>
      </c>
      <c r="T622" s="1" t="s">
        <v>13878</v>
      </c>
      <c r="U622" s="1" t="str">
        <f>HYPERLINK("http://ictvonline.org/taxonomy/p/taxonomy-history?taxnode_id=202108316","ICTVonline=202108316")</f>
        <v>ICTVonline=202108316</v>
      </c>
    </row>
    <row r="623" spans="1:22" x14ac:dyDescent="0.2">
      <c r="A623" s="3">
        <v>622</v>
      </c>
      <c r="B623" s="1" t="s">
        <v>4875</v>
      </c>
      <c r="D623" s="1" t="s">
        <v>4876</v>
      </c>
      <c r="F623" s="1" t="s">
        <v>4880</v>
      </c>
      <c r="H623" s="1" t="s">
        <v>4881</v>
      </c>
      <c r="L623" s="1" t="s">
        <v>4883</v>
      </c>
      <c r="N623" s="1" t="s">
        <v>4958</v>
      </c>
      <c r="P623" s="1" t="s">
        <v>4959</v>
      </c>
      <c r="Q623" s="30" t="s">
        <v>2565</v>
      </c>
      <c r="R623" s="33" t="s">
        <v>3474</v>
      </c>
      <c r="S623">
        <v>37</v>
      </c>
      <c r="T623" s="1" t="s">
        <v>13880</v>
      </c>
      <c r="U623" s="1" t="str">
        <f>HYPERLINK("http://ictvonline.org/taxonomy/p/taxonomy-history?taxnode_id=202108314","ICTVonline=202108314")</f>
        <v>ICTVonline=202108314</v>
      </c>
    </row>
    <row r="624" spans="1:22" x14ac:dyDescent="0.2">
      <c r="A624" s="3">
        <v>623</v>
      </c>
      <c r="B624" s="1" t="s">
        <v>4875</v>
      </c>
      <c r="D624" s="1" t="s">
        <v>4876</v>
      </c>
      <c r="F624" s="1" t="s">
        <v>4880</v>
      </c>
      <c r="H624" s="1" t="s">
        <v>4881</v>
      </c>
      <c r="L624" s="1" t="s">
        <v>4883</v>
      </c>
      <c r="N624" s="1" t="s">
        <v>4960</v>
      </c>
      <c r="P624" s="1" t="s">
        <v>9233</v>
      </c>
      <c r="Q624" s="30" t="s">
        <v>2565</v>
      </c>
      <c r="R624" s="33" t="s">
        <v>3473</v>
      </c>
      <c r="S624">
        <v>37</v>
      </c>
      <c r="T624" s="1" t="s">
        <v>13878</v>
      </c>
      <c r="U624" s="1" t="str">
        <f>HYPERLINK("http://ictvonline.org/taxonomy/p/taxonomy-history?taxnode_id=202108225","ICTVonline=202108225")</f>
        <v>ICTVonline=202108225</v>
      </c>
    </row>
    <row r="625" spans="1:21" x14ac:dyDescent="0.2">
      <c r="A625" s="3">
        <v>624</v>
      </c>
      <c r="B625" s="1" t="s">
        <v>4875</v>
      </c>
      <c r="D625" s="1" t="s">
        <v>4876</v>
      </c>
      <c r="F625" s="1" t="s">
        <v>4880</v>
      </c>
      <c r="H625" s="1" t="s">
        <v>4881</v>
      </c>
      <c r="L625" s="1" t="s">
        <v>4883</v>
      </c>
      <c r="N625" s="1" t="s">
        <v>4960</v>
      </c>
      <c r="P625" s="1" t="s">
        <v>9234</v>
      </c>
      <c r="Q625" s="30" t="s">
        <v>2565</v>
      </c>
      <c r="R625" s="33" t="s">
        <v>3473</v>
      </c>
      <c r="S625">
        <v>37</v>
      </c>
      <c r="T625" s="1" t="s">
        <v>13878</v>
      </c>
      <c r="U625" s="1" t="str">
        <f>HYPERLINK("http://ictvonline.org/taxonomy/p/taxonomy-history?taxnode_id=202108226","ICTVonline=202108226")</f>
        <v>ICTVonline=202108226</v>
      </c>
    </row>
    <row r="626" spans="1:21" x14ac:dyDescent="0.2">
      <c r="A626" s="3">
        <v>625</v>
      </c>
      <c r="B626" s="1" t="s">
        <v>4875</v>
      </c>
      <c r="D626" s="1" t="s">
        <v>4876</v>
      </c>
      <c r="F626" s="1" t="s">
        <v>4880</v>
      </c>
      <c r="H626" s="1" t="s">
        <v>4881</v>
      </c>
      <c r="L626" s="1" t="s">
        <v>4883</v>
      </c>
      <c r="N626" s="1" t="s">
        <v>4960</v>
      </c>
      <c r="P626" s="1" t="s">
        <v>9235</v>
      </c>
      <c r="Q626" s="30" t="s">
        <v>2565</v>
      </c>
      <c r="R626" s="33" t="s">
        <v>3473</v>
      </c>
      <c r="S626">
        <v>37</v>
      </c>
      <c r="T626" s="1" t="s">
        <v>13878</v>
      </c>
      <c r="U626" s="1" t="str">
        <f>HYPERLINK("http://ictvonline.org/taxonomy/p/taxonomy-history?taxnode_id=202108227","ICTVonline=202108227")</f>
        <v>ICTVonline=202108227</v>
      </c>
    </row>
    <row r="627" spans="1:21" x14ac:dyDescent="0.2">
      <c r="A627" s="3">
        <v>626</v>
      </c>
      <c r="B627" s="1" t="s">
        <v>4875</v>
      </c>
      <c r="D627" s="1" t="s">
        <v>4876</v>
      </c>
      <c r="F627" s="1" t="s">
        <v>4880</v>
      </c>
      <c r="H627" s="1" t="s">
        <v>4881</v>
      </c>
      <c r="L627" s="1" t="s">
        <v>4883</v>
      </c>
      <c r="N627" s="1" t="s">
        <v>4961</v>
      </c>
      <c r="P627" s="1" t="s">
        <v>9236</v>
      </c>
      <c r="Q627" s="30" t="s">
        <v>2565</v>
      </c>
      <c r="R627" s="33" t="s">
        <v>3473</v>
      </c>
      <c r="S627">
        <v>37</v>
      </c>
      <c r="T627" s="1" t="s">
        <v>13878</v>
      </c>
      <c r="U627" s="1" t="str">
        <f>HYPERLINK("http://ictvonline.org/taxonomy/p/taxonomy-history?taxnode_id=202108310","ICTVonline=202108310")</f>
        <v>ICTVonline=202108310</v>
      </c>
    </row>
    <row r="628" spans="1:21" x14ac:dyDescent="0.2">
      <c r="A628" s="3">
        <v>627</v>
      </c>
      <c r="B628" s="1" t="s">
        <v>4875</v>
      </c>
      <c r="D628" s="1" t="s">
        <v>4876</v>
      </c>
      <c r="F628" s="1" t="s">
        <v>4880</v>
      </c>
      <c r="H628" s="1" t="s">
        <v>4881</v>
      </c>
      <c r="L628" s="1" t="s">
        <v>4883</v>
      </c>
      <c r="N628" s="1" t="s">
        <v>4962</v>
      </c>
      <c r="P628" s="1" t="s">
        <v>9237</v>
      </c>
      <c r="Q628" s="30" t="s">
        <v>2565</v>
      </c>
      <c r="R628" s="33" t="s">
        <v>3473</v>
      </c>
      <c r="S628">
        <v>37</v>
      </c>
      <c r="T628" s="1" t="s">
        <v>13878</v>
      </c>
      <c r="U628" s="1" t="str">
        <f>HYPERLINK("http://ictvonline.org/taxonomy/p/taxonomy-history?taxnode_id=202108211","ICTVonline=202108211")</f>
        <v>ICTVonline=202108211</v>
      </c>
    </row>
    <row r="629" spans="1:21" x14ac:dyDescent="0.2">
      <c r="A629" s="3">
        <v>628</v>
      </c>
      <c r="B629" s="1" t="s">
        <v>4875</v>
      </c>
      <c r="D629" s="1" t="s">
        <v>4876</v>
      </c>
      <c r="F629" s="1" t="s">
        <v>4880</v>
      </c>
      <c r="H629" s="1" t="s">
        <v>4881</v>
      </c>
      <c r="L629" s="1" t="s">
        <v>4883</v>
      </c>
      <c r="N629" s="1" t="s">
        <v>4962</v>
      </c>
      <c r="P629" s="1" t="s">
        <v>9238</v>
      </c>
      <c r="Q629" s="30" t="s">
        <v>2565</v>
      </c>
      <c r="R629" s="33" t="s">
        <v>3473</v>
      </c>
      <c r="S629">
        <v>37</v>
      </c>
      <c r="T629" s="1" t="s">
        <v>13878</v>
      </c>
      <c r="U629" s="1" t="str">
        <f>HYPERLINK("http://ictvonline.org/taxonomy/p/taxonomy-history?taxnode_id=202108210","ICTVonline=202108210")</f>
        <v>ICTVonline=202108210</v>
      </c>
    </row>
    <row r="630" spans="1:21" x14ac:dyDescent="0.2">
      <c r="A630" s="3">
        <v>629</v>
      </c>
      <c r="B630" s="1" t="s">
        <v>4875</v>
      </c>
      <c r="D630" s="1" t="s">
        <v>4876</v>
      </c>
      <c r="F630" s="1" t="s">
        <v>4880</v>
      </c>
      <c r="H630" s="1" t="s">
        <v>4881</v>
      </c>
      <c r="L630" s="1" t="s">
        <v>4883</v>
      </c>
      <c r="N630" s="1" t="s">
        <v>4963</v>
      </c>
      <c r="P630" s="1" t="s">
        <v>9239</v>
      </c>
      <c r="Q630" s="30" t="s">
        <v>2565</v>
      </c>
      <c r="R630" s="33" t="s">
        <v>3473</v>
      </c>
      <c r="S630">
        <v>37</v>
      </c>
      <c r="T630" s="1" t="s">
        <v>13878</v>
      </c>
      <c r="U630" s="1" t="str">
        <f>HYPERLINK("http://ictvonline.org/taxonomy/p/taxonomy-history?taxnode_id=202108308","ICTVonline=202108308")</f>
        <v>ICTVonline=202108308</v>
      </c>
    </row>
    <row r="631" spans="1:21" x14ac:dyDescent="0.2">
      <c r="A631" s="3">
        <v>630</v>
      </c>
      <c r="B631" s="1" t="s">
        <v>4875</v>
      </c>
      <c r="D631" s="1" t="s">
        <v>4876</v>
      </c>
      <c r="F631" s="1" t="s">
        <v>4880</v>
      </c>
      <c r="H631" s="1" t="s">
        <v>4881</v>
      </c>
      <c r="L631" s="1" t="s">
        <v>4883</v>
      </c>
      <c r="N631" s="1" t="s">
        <v>4964</v>
      </c>
      <c r="P631" s="1" t="s">
        <v>4965</v>
      </c>
      <c r="Q631" s="30" t="s">
        <v>2565</v>
      </c>
      <c r="R631" s="33" t="s">
        <v>3474</v>
      </c>
      <c r="S631">
        <v>37</v>
      </c>
      <c r="T631" s="1" t="s">
        <v>13880</v>
      </c>
      <c r="U631" s="1" t="str">
        <f>HYPERLINK("http://ictvonline.org/taxonomy/p/taxonomy-history?taxnode_id=202108326","ICTVonline=202108326")</f>
        <v>ICTVonline=202108326</v>
      </c>
    </row>
    <row r="632" spans="1:21" x14ac:dyDescent="0.2">
      <c r="A632" s="3">
        <v>631</v>
      </c>
      <c r="B632" s="1" t="s">
        <v>4875</v>
      </c>
      <c r="D632" s="1" t="s">
        <v>4876</v>
      </c>
      <c r="F632" s="1" t="s">
        <v>4880</v>
      </c>
      <c r="H632" s="1" t="s">
        <v>4881</v>
      </c>
      <c r="L632" s="1" t="s">
        <v>4883</v>
      </c>
      <c r="N632" s="1" t="s">
        <v>4966</v>
      </c>
      <c r="P632" s="1" t="s">
        <v>4967</v>
      </c>
      <c r="Q632" s="30" t="s">
        <v>2565</v>
      </c>
      <c r="R632" s="33" t="s">
        <v>3474</v>
      </c>
      <c r="S632">
        <v>37</v>
      </c>
      <c r="T632" s="1" t="s">
        <v>13880</v>
      </c>
      <c r="U632" s="1" t="str">
        <f>HYPERLINK("http://ictvonline.org/taxonomy/p/taxonomy-history?taxnode_id=202108253","ICTVonline=202108253")</f>
        <v>ICTVonline=202108253</v>
      </c>
    </row>
    <row r="633" spans="1:21" x14ac:dyDescent="0.2">
      <c r="A633" s="3">
        <v>632</v>
      </c>
      <c r="B633" s="1" t="s">
        <v>4875</v>
      </c>
      <c r="D633" s="1" t="s">
        <v>4876</v>
      </c>
      <c r="F633" s="1" t="s">
        <v>4880</v>
      </c>
      <c r="H633" s="1" t="s">
        <v>4881</v>
      </c>
      <c r="L633" s="1" t="s">
        <v>4883</v>
      </c>
      <c r="N633" s="1" t="s">
        <v>4968</v>
      </c>
      <c r="P633" s="1" t="s">
        <v>9240</v>
      </c>
      <c r="Q633" s="30" t="s">
        <v>2565</v>
      </c>
      <c r="R633" s="33" t="s">
        <v>3473</v>
      </c>
      <c r="S633">
        <v>37</v>
      </c>
      <c r="T633" s="1" t="s">
        <v>13878</v>
      </c>
      <c r="U633" s="1" t="str">
        <f>HYPERLINK("http://ictvonline.org/taxonomy/p/taxonomy-history?taxnode_id=202108207","ICTVonline=202108207")</f>
        <v>ICTVonline=202108207</v>
      </c>
    </row>
    <row r="634" spans="1:21" x14ac:dyDescent="0.2">
      <c r="A634" s="3">
        <v>633</v>
      </c>
      <c r="B634" s="1" t="s">
        <v>4875</v>
      </c>
      <c r="D634" s="1" t="s">
        <v>4876</v>
      </c>
      <c r="F634" s="1" t="s">
        <v>4880</v>
      </c>
      <c r="H634" s="1" t="s">
        <v>4881</v>
      </c>
      <c r="L634" s="1" t="s">
        <v>4883</v>
      </c>
      <c r="N634" s="1" t="s">
        <v>4968</v>
      </c>
      <c r="P634" s="1" t="s">
        <v>9241</v>
      </c>
      <c r="Q634" s="30" t="s">
        <v>2565</v>
      </c>
      <c r="R634" s="33" t="s">
        <v>3473</v>
      </c>
      <c r="S634">
        <v>37</v>
      </c>
      <c r="T634" s="1" t="s">
        <v>13878</v>
      </c>
      <c r="U634" s="1" t="str">
        <f>HYPERLINK("http://ictvonline.org/taxonomy/p/taxonomy-history?taxnode_id=202108208","ICTVonline=202108208")</f>
        <v>ICTVonline=202108208</v>
      </c>
    </row>
    <row r="635" spans="1:21" x14ac:dyDescent="0.2">
      <c r="A635" s="3">
        <v>634</v>
      </c>
      <c r="B635" s="1" t="s">
        <v>4875</v>
      </c>
      <c r="D635" s="1" t="s">
        <v>4876</v>
      </c>
      <c r="F635" s="1" t="s">
        <v>4880</v>
      </c>
      <c r="H635" s="1" t="s">
        <v>4881</v>
      </c>
      <c r="L635" s="1" t="s">
        <v>4883</v>
      </c>
      <c r="N635" s="1" t="s">
        <v>4969</v>
      </c>
      <c r="P635" s="1" t="s">
        <v>9242</v>
      </c>
      <c r="Q635" s="30" t="s">
        <v>2565</v>
      </c>
      <c r="R635" s="33" t="s">
        <v>3473</v>
      </c>
      <c r="S635">
        <v>37</v>
      </c>
      <c r="T635" s="1" t="s">
        <v>13878</v>
      </c>
      <c r="U635" s="1" t="str">
        <f>HYPERLINK("http://ictvonline.org/taxonomy/p/taxonomy-history?taxnode_id=202108216","ICTVonline=202108216")</f>
        <v>ICTVonline=202108216</v>
      </c>
    </row>
    <row r="636" spans="1:21" x14ac:dyDescent="0.2">
      <c r="A636" s="3">
        <v>635</v>
      </c>
      <c r="B636" s="1" t="s">
        <v>4875</v>
      </c>
      <c r="D636" s="1" t="s">
        <v>4876</v>
      </c>
      <c r="F636" s="1" t="s">
        <v>4880</v>
      </c>
      <c r="H636" s="1" t="s">
        <v>4881</v>
      </c>
      <c r="L636" s="1" t="s">
        <v>4883</v>
      </c>
      <c r="N636" s="1" t="s">
        <v>4969</v>
      </c>
      <c r="P636" s="1" t="s">
        <v>9243</v>
      </c>
      <c r="Q636" s="30" t="s">
        <v>2565</v>
      </c>
      <c r="R636" s="33" t="s">
        <v>3473</v>
      </c>
      <c r="S636">
        <v>37</v>
      </c>
      <c r="T636" s="1" t="s">
        <v>13878</v>
      </c>
      <c r="U636" s="1" t="str">
        <f>HYPERLINK("http://ictvonline.org/taxonomy/p/taxonomy-history?taxnode_id=202108217","ICTVonline=202108217")</f>
        <v>ICTVonline=202108217</v>
      </c>
    </row>
    <row r="637" spans="1:21" x14ac:dyDescent="0.2">
      <c r="A637" s="3">
        <v>636</v>
      </c>
      <c r="B637" s="1" t="s">
        <v>4875</v>
      </c>
      <c r="D637" s="1" t="s">
        <v>4876</v>
      </c>
      <c r="F637" s="1" t="s">
        <v>4880</v>
      </c>
      <c r="H637" s="1" t="s">
        <v>4881</v>
      </c>
      <c r="L637" s="1" t="s">
        <v>4883</v>
      </c>
      <c r="N637" s="1" t="s">
        <v>4970</v>
      </c>
      <c r="P637" s="1" t="s">
        <v>9244</v>
      </c>
      <c r="Q637" s="30" t="s">
        <v>2565</v>
      </c>
      <c r="R637" s="33" t="s">
        <v>3473</v>
      </c>
      <c r="S637">
        <v>37</v>
      </c>
      <c r="T637" s="1" t="s">
        <v>13878</v>
      </c>
      <c r="U637" s="1" t="str">
        <f>HYPERLINK("http://ictvonline.org/taxonomy/p/taxonomy-history?taxnode_id=202108278","ICTVonline=202108278")</f>
        <v>ICTVonline=202108278</v>
      </c>
    </row>
    <row r="638" spans="1:21" x14ac:dyDescent="0.2">
      <c r="A638" s="3">
        <v>637</v>
      </c>
      <c r="B638" s="1" t="s">
        <v>4875</v>
      </c>
      <c r="D638" s="1" t="s">
        <v>4876</v>
      </c>
      <c r="F638" s="1" t="s">
        <v>4880</v>
      </c>
      <c r="H638" s="1" t="s">
        <v>4881</v>
      </c>
      <c r="L638" s="1" t="s">
        <v>4883</v>
      </c>
      <c r="N638" s="1" t="s">
        <v>4971</v>
      </c>
      <c r="P638" s="1" t="s">
        <v>4972</v>
      </c>
      <c r="Q638" s="30" t="s">
        <v>2565</v>
      </c>
      <c r="R638" s="33" t="s">
        <v>3474</v>
      </c>
      <c r="S638">
        <v>37</v>
      </c>
      <c r="T638" s="1" t="s">
        <v>13880</v>
      </c>
      <c r="U638" s="1" t="str">
        <f>HYPERLINK("http://ictvonline.org/taxonomy/p/taxonomy-history?taxnode_id=202108296","ICTVonline=202108296")</f>
        <v>ICTVonline=202108296</v>
      </c>
    </row>
    <row r="639" spans="1:21" x14ac:dyDescent="0.2">
      <c r="A639" s="3">
        <v>638</v>
      </c>
      <c r="B639" s="1" t="s">
        <v>4875</v>
      </c>
      <c r="D639" s="1" t="s">
        <v>4876</v>
      </c>
      <c r="F639" s="1" t="s">
        <v>4880</v>
      </c>
      <c r="H639" s="1" t="s">
        <v>4881</v>
      </c>
      <c r="L639" s="1" t="s">
        <v>4883</v>
      </c>
      <c r="N639" s="1" t="s">
        <v>4973</v>
      </c>
      <c r="P639" s="1" t="s">
        <v>9245</v>
      </c>
      <c r="Q639" s="30" t="s">
        <v>2565</v>
      </c>
      <c r="R639" s="33" t="s">
        <v>3473</v>
      </c>
      <c r="S639">
        <v>37</v>
      </c>
      <c r="T639" s="1" t="s">
        <v>13878</v>
      </c>
      <c r="U639" s="1" t="str">
        <f>HYPERLINK("http://ictvonline.org/taxonomy/p/taxonomy-history?taxnode_id=202108247","ICTVonline=202108247")</f>
        <v>ICTVonline=202108247</v>
      </c>
    </row>
    <row r="640" spans="1:21" x14ac:dyDescent="0.2">
      <c r="A640" s="3">
        <v>639</v>
      </c>
      <c r="B640" s="1" t="s">
        <v>4875</v>
      </c>
      <c r="D640" s="1" t="s">
        <v>4876</v>
      </c>
      <c r="F640" s="1" t="s">
        <v>4880</v>
      </c>
      <c r="H640" s="1" t="s">
        <v>4881</v>
      </c>
      <c r="L640" s="1" t="s">
        <v>4883</v>
      </c>
      <c r="N640" s="1" t="s">
        <v>4974</v>
      </c>
      <c r="P640" s="1" t="s">
        <v>9246</v>
      </c>
      <c r="Q640" s="30" t="s">
        <v>2565</v>
      </c>
      <c r="R640" s="33" t="s">
        <v>3473</v>
      </c>
      <c r="S640">
        <v>37</v>
      </c>
      <c r="T640" s="1" t="s">
        <v>13878</v>
      </c>
      <c r="U640" s="1" t="str">
        <f>HYPERLINK("http://ictvonline.org/taxonomy/p/taxonomy-history?taxnode_id=202108304","ICTVonline=202108304")</f>
        <v>ICTVonline=202108304</v>
      </c>
    </row>
    <row r="641" spans="1:21" x14ac:dyDescent="0.2">
      <c r="A641" s="3">
        <v>640</v>
      </c>
      <c r="B641" s="1" t="s">
        <v>4875</v>
      </c>
      <c r="D641" s="1" t="s">
        <v>4876</v>
      </c>
      <c r="F641" s="1" t="s">
        <v>4880</v>
      </c>
      <c r="H641" s="1" t="s">
        <v>4881</v>
      </c>
      <c r="L641" s="1" t="s">
        <v>4883</v>
      </c>
      <c r="N641" s="1" t="s">
        <v>4975</v>
      </c>
      <c r="P641" s="1" t="s">
        <v>9247</v>
      </c>
      <c r="Q641" s="30" t="s">
        <v>2565</v>
      </c>
      <c r="R641" s="33" t="s">
        <v>3473</v>
      </c>
      <c r="S641">
        <v>37</v>
      </c>
      <c r="T641" s="1" t="s">
        <v>13878</v>
      </c>
      <c r="U641" s="1" t="str">
        <f>HYPERLINK("http://ictvonline.org/taxonomy/p/taxonomy-history?taxnode_id=202108322","ICTVonline=202108322")</f>
        <v>ICTVonline=202108322</v>
      </c>
    </row>
    <row r="642" spans="1:21" x14ac:dyDescent="0.2">
      <c r="A642" s="3">
        <v>641</v>
      </c>
      <c r="B642" s="1" t="s">
        <v>4875</v>
      </c>
      <c r="D642" s="1" t="s">
        <v>4876</v>
      </c>
      <c r="F642" s="1" t="s">
        <v>4880</v>
      </c>
      <c r="H642" s="1" t="s">
        <v>4881</v>
      </c>
      <c r="L642" s="1" t="s">
        <v>4883</v>
      </c>
      <c r="N642" s="1" t="s">
        <v>4976</v>
      </c>
      <c r="P642" s="1" t="s">
        <v>9248</v>
      </c>
      <c r="Q642" s="30" t="s">
        <v>2565</v>
      </c>
      <c r="R642" s="33" t="s">
        <v>3473</v>
      </c>
      <c r="S642">
        <v>37</v>
      </c>
      <c r="T642" s="1" t="s">
        <v>13878</v>
      </c>
      <c r="U642" s="1" t="str">
        <f>HYPERLINK("http://ictvonline.org/taxonomy/p/taxonomy-history?taxnode_id=202108312","ICTVonline=202108312")</f>
        <v>ICTVonline=202108312</v>
      </c>
    </row>
    <row r="643" spans="1:21" x14ac:dyDescent="0.2">
      <c r="A643" s="3">
        <v>642</v>
      </c>
      <c r="B643" s="1" t="s">
        <v>4875</v>
      </c>
      <c r="D643" s="1" t="s">
        <v>4876</v>
      </c>
      <c r="F643" s="1" t="s">
        <v>4880</v>
      </c>
      <c r="H643" s="1" t="s">
        <v>4881</v>
      </c>
      <c r="L643" s="1" t="s">
        <v>4883</v>
      </c>
      <c r="N643" s="1" t="s">
        <v>4977</v>
      </c>
      <c r="P643" s="1" t="s">
        <v>9249</v>
      </c>
      <c r="Q643" s="30" t="s">
        <v>2565</v>
      </c>
      <c r="R643" s="33" t="s">
        <v>3473</v>
      </c>
      <c r="S643">
        <v>37</v>
      </c>
      <c r="T643" s="1" t="s">
        <v>13878</v>
      </c>
      <c r="U643" s="1" t="str">
        <f>HYPERLINK("http://ictvonline.org/taxonomy/p/taxonomy-history?taxnode_id=202108265","ICTVonline=202108265")</f>
        <v>ICTVonline=202108265</v>
      </c>
    </row>
    <row r="644" spans="1:21" x14ac:dyDescent="0.2">
      <c r="A644" s="3">
        <v>643</v>
      </c>
      <c r="B644" s="1" t="s">
        <v>4875</v>
      </c>
      <c r="D644" s="1" t="s">
        <v>4876</v>
      </c>
      <c r="F644" s="1" t="s">
        <v>4880</v>
      </c>
      <c r="H644" s="1" t="s">
        <v>4881</v>
      </c>
      <c r="L644" s="1" t="s">
        <v>4883</v>
      </c>
      <c r="N644" s="1" t="s">
        <v>4978</v>
      </c>
      <c r="P644" s="1" t="s">
        <v>9250</v>
      </c>
      <c r="Q644" s="30" t="s">
        <v>2565</v>
      </c>
      <c r="R644" s="33" t="s">
        <v>3473</v>
      </c>
      <c r="S644">
        <v>37</v>
      </c>
      <c r="T644" s="1" t="s">
        <v>13878</v>
      </c>
      <c r="U644" s="1" t="str">
        <f>HYPERLINK("http://ictvonline.org/taxonomy/p/taxonomy-history?taxnode_id=202108501","ICTVonline=202108501")</f>
        <v>ICTVonline=202108501</v>
      </c>
    </row>
    <row r="645" spans="1:21" x14ac:dyDescent="0.2">
      <c r="A645" s="3">
        <v>644</v>
      </c>
      <c r="B645" s="1" t="s">
        <v>4875</v>
      </c>
      <c r="D645" s="1" t="s">
        <v>4876</v>
      </c>
      <c r="F645" s="1" t="s">
        <v>4880</v>
      </c>
      <c r="H645" s="1" t="s">
        <v>4881</v>
      </c>
      <c r="L645" s="1" t="s">
        <v>4883</v>
      </c>
      <c r="N645" s="1" t="s">
        <v>4979</v>
      </c>
      <c r="P645" s="1" t="s">
        <v>9251</v>
      </c>
      <c r="Q645" s="30" t="s">
        <v>2565</v>
      </c>
      <c r="R645" s="33" t="s">
        <v>3473</v>
      </c>
      <c r="S645">
        <v>37</v>
      </c>
      <c r="T645" s="1" t="s">
        <v>13878</v>
      </c>
      <c r="U645" s="1" t="str">
        <f>HYPERLINK("http://ictvonline.org/taxonomy/p/taxonomy-history?taxnode_id=202108276","ICTVonline=202108276")</f>
        <v>ICTVonline=202108276</v>
      </c>
    </row>
    <row r="646" spans="1:21" x14ac:dyDescent="0.2">
      <c r="A646" s="3">
        <v>645</v>
      </c>
      <c r="B646" s="1" t="s">
        <v>4875</v>
      </c>
      <c r="D646" s="1" t="s">
        <v>4876</v>
      </c>
      <c r="F646" s="1" t="s">
        <v>4880</v>
      </c>
      <c r="H646" s="1" t="s">
        <v>4881</v>
      </c>
      <c r="L646" s="1" t="s">
        <v>4883</v>
      </c>
      <c r="N646" s="1" t="s">
        <v>4980</v>
      </c>
      <c r="P646" s="1" t="s">
        <v>4981</v>
      </c>
      <c r="Q646" s="30" t="s">
        <v>2565</v>
      </c>
      <c r="R646" s="33" t="s">
        <v>3474</v>
      </c>
      <c r="S646">
        <v>37</v>
      </c>
      <c r="T646" s="1" t="s">
        <v>13880</v>
      </c>
      <c r="U646" s="1" t="str">
        <f>HYPERLINK("http://ictvonline.org/taxonomy/p/taxonomy-history?taxnode_id=202108292","ICTVonline=202108292")</f>
        <v>ICTVonline=202108292</v>
      </c>
    </row>
    <row r="647" spans="1:21" x14ac:dyDescent="0.2">
      <c r="A647" s="3">
        <v>646</v>
      </c>
      <c r="B647" s="1" t="s">
        <v>4875</v>
      </c>
      <c r="D647" s="1" t="s">
        <v>4876</v>
      </c>
      <c r="F647" s="1" t="s">
        <v>4880</v>
      </c>
      <c r="H647" s="1" t="s">
        <v>4881</v>
      </c>
      <c r="L647" s="1" t="s">
        <v>4883</v>
      </c>
      <c r="N647" s="1" t="s">
        <v>4982</v>
      </c>
      <c r="P647" s="1" t="s">
        <v>9252</v>
      </c>
      <c r="Q647" s="30" t="s">
        <v>2565</v>
      </c>
      <c r="R647" s="33" t="s">
        <v>3473</v>
      </c>
      <c r="S647">
        <v>37</v>
      </c>
      <c r="T647" s="1" t="s">
        <v>13878</v>
      </c>
      <c r="U647" s="1" t="str">
        <f>HYPERLINK("http://ictvonline.org/taxonomy/p/taxonomy-history?taxnode_id=202108238","ICTVonline=202108238")</f>
        <v>ICTVonline=202108238</v>
      </c>
    </row>
    <row r="648" spans="1:21" x14ac:dyDescent="0.2">
      <c r="A648" s="3">
        <v>647</v>
      </c>
      <c r="B648" s="1" t="s">
        <v>4875</v>
      </c>
      <c r="D648" s="1" t="s">
        <v>4876</v>
      </c>
      <c r="F648" s="1" t="s">
        <v>4880</v>
      </c>
      <c r="H648" s="1" t="s">
        <v>4881</v>
      </c>
      <c r="L648" s="1" t="s">
        <v>4883</v>
      </c>
      <c r="N648" s="1" t="s">
        <v>4983</v>
      </c>
      <c r="P648" s="1" t="s">
        <v>9253</v>
      </c>
      <c r="Q648" s="30" t="s">
        <v>2565</v>
      </c>
      <c r="R648" s="33" t="s">
        <v>3473</v>
      </c>
      <c r="S648">
        <v>37</v>
      </c>
      <c r="T648" s="1" t="s">
        <v>13878</v>
      </c>
      <c r="U648" s="1" t="str">
        <f>HYPERLINK("http://ictvonline.org/taxonomy/p/taxonomy-history?taxnode_id=202100568","ICTVonline=202100568")</f>
        <v>ICTVonline=202100568</v>
      </c>
    </row>
    <row r="649" spans="1:21" x14ac:dyDescent="0.2">
      <c r="A649" s="3">
        <v>648</v>
      </c>
      <c r="B649" s="1" t="s">
        <v>4875</v>
      </c>
      <c r="D649" s="1" t="s">
        <v>4876</v>
      </c>
      <c r="F649" s="1" t="s">
        <v>4880</v>
      </c>
      <c r="H649" s="1" t="s">
        <v>4881</v>
      </c>
      <c r="L649" s="1" t="s">
        <v>4883</v>
      </c>
      <c r="N649" s="1" t="s">
        <v>4984</v>
      </c>
      <c r="P649" s="1" t="s">
        <v>9254</v>
      </c>
      <c r="Q649" s="30" t="s">
        <v>2565</v>
      </c>
      <c r="R649" s="33" t="s">
        <v>3473</v>
      </c>
      <c r="S649">
        <v>37</v>
      </c>
      <c r="T649" s="1" t="s">
        <v>13878</v>
      </c>
      <c r="U649" s="1" t="str">
        <f>HYPERLINK("http://ictvonline.org/taxonomy/p/taxonomy-history?taxnode_id=202108318","ICTVonline=202108318")</f>
        <v>ICTVonline=202108318</v>
      </c>
    </row>
    <row r="650" spans="1:21" x14ac:dyDescent="0.2">
      <c r="A650" s="3">
        <v>649</v>
      </c>
      <c r="B650" s="1" t="s">
        <v>4875</v>
      </c>
      <c r="D650" s="1" t="s">
        <v>4876</v>
      </c>
      <c r="F650" s="1" t="s">
        <v>4880</v>
      </c>
      <c r="H650" s="1" t="s">
        <v>4881</v>
      </c>
      <c r="L650" s="1" t="s">
        <v>4883</v>
      </c>
      <c r="N650" s="1" t="s">
        <v>4985</v>
      </c>
      <c r="P650" s="1" t="s">
        <v>9255</v>
      </c>
      <c r="Q650" s="30" t="s">
        <v>2565</v>
      </c>
      <c r="R650" s="33" t="s">
        <v>3473</v>
      </c>
      <c r="S650">
        <v>37</v>
      </c>
      <c r="T650" s="1" t="s">
        <v>13878</v>
      </c>
      <c r="U650" s="1" t="str">
        <f>HYPERLINK("http://ictvonline.org/taxonomy/p/taxonomy-history?taxnode_id=202108320","ICTVonline=202108320")</f>
        <v>ICTVonline=202108320</v>
      </c>
    </row>
    <row r="651" spans="1:21" x14ac:dyDescent="0.2">
      <c r="A651" s="3">
        <v>650</v>
      </c>
      <c r="B651" s="1" t="s">
        <v>4875</v>
      </c>
      <c r="D651" s="1" t="s">
        <v>4876</v>
      </c>
      <c r="F651" s="1" t="s">
        <v>4880</v>
      </c>
      <c r="H651" s="1" t="s">
        <v>4881</v>
      </c>
      <c r="L651" s="1" t="s">
        <v>4883</v>
      </c>
      <c r="N651" s="1" t="s">
        <v>4986</v>
      </c>
      <c r="P651" s="1" t="s">
        <v>9256</v>
      </c>
      <c r="Q651" s="30" t="s">
        <v>2565</v>
      </c>
      <c r="R651" s="33" t="s">
        <v>3473</v>
      </c>
      <c r="S651">
        <v>37</v>
      </c>
      <c r="T651" s="1" t="s">
        <v>13878</v>
      </c>
      <c r="U651" s="1" t="str">
        <f>HYPERLINK("http://ictvonline.org/taxonomy/p/taxonomy-history?taxnode_id=202108267","ICTVonline=202108267")</f>
        <v>ICTVonline=202108267</v>
      </c>
    </row>
    <row r="652" spans="1:21" x14ac:dyDescent="0.2">
      <c r="A652" s="3">
        <v>651</v>
      </c>
      <c r="B652" s="1" t="s">
        <v>4875</v>
      </c>
      <c r="D652" s="1" t="s">
        <v>4876</v>
      </c>
      <c r="F652" s="1" t="s">
        <v>4880</v>
      </c>
      <c r="H652" s="1" t="s">
        <v>4881</v>
      </c>
      <c r="L652" s="1" t="s">
        <v>4883</v>
      </c>
      <c r="N652" s="1" t="s">
        <v>4987</v>
      </c>
      <c r="P652" s="1" t="s">
        <v>9257</v>
      </c>
      <c r="Q652" s="30" t="s">
        <v>2565</v>
      </c>
      <c r="R652" s="33" t="s">
        <v>3473</v>
      </c>
      <c r="S652">
        <v>37</v>
      </c>
      <c r="T652" s="1" t="s">
        <v>13878</v>
      </c>
      <c r="U652" s="1" t="str">
        <f>HYPERLINK("http://ictvonline.org/taxonomy/p/taxonomy-history?taxnode_id=202108198","ICTVonline=202108198")</f>
        <v>ICTVonline=202108198</v>
      </c>
    </row>
    <row r="653" spans="1:21" x14ac:dyDescent="0.2">
      <c r="A653" s="3">
        <v>652</v>
      </c>
      <c r="B653" s="1" t="s">
        <v>4875</v>
      </c>
      <c r="D653" s="1" t="s">
        <v>4876</v>
      </c>
      <c r="F653" s="1" t="s">
        <v>4880</v>
      </c>
      <c r="H653" s="1" t="s">
        <v>4881</v>
      </c>
      <c r="L653" s="1" t="s">
        <v>4883</v>
      </c>
      <c r="N653" s="1" t="s">
        <v>4987</v>
      </c>
      <c r="P653" s="1" t="s">
        <v>9258</v>
      </c>
      <c r="Q653" s="30" t="s">
        <v>2565</v>
      </c>
      <c r="R653" s="33" t="s">
        <v>3473</v>
      </c>
      <c r="S653">
        <v>37</v>
      </c>
      <c r="T653" s="1" t="s">
        <v>13878</v>
      </c>
      <c r="U653" s="1" t="str">
        <f>HYPERLINK("http://ictvonline.org/taxonomy/p/taxonomy-history?taxnode_id=202108199","ICTVonline=202108199")</f>
        <v>ICTVonline=202108199</v>
      </c>
    </row>
    <row r="654" spans="1:21" x14ac:dyDescent="0.2">
      <c r="A654" s="3">
        <v>653</v>
      </c>
      <c r="B654" s="1" t="s">
        <v>4875</v>
      </c>
      <c r="D654" s="1" t="s">
        <v>4876</v>
      </c>
      <c r="F654" s="1" t="s">
        <v>4880</v>
      </c>
      <c r="H654" s="1" t="s">
        <v>4881</v>
      </c>
      <c r="L654" s="1" t="s">
        <v>4883</v>
      </c>
      <c r="N654" s="1" t="s">
        <v>4987</v>
      </c>
      <c r="P654" s="1" t="s">
        <v>9259</v>
      </c>
      <c r="Q654" s="30" t="s">
        <v>2565</v>
      </c>
      <c r="R654" s="33" t="s">
        <v>3473</v>
      </c>
      <c r="S654">
        <v>37</v>
      </c>
      <c r="T654" s="1" t="s">
        <v>13878</v>
      </c>
      <c r="U654" s="1" t="str">
        <f>HYPERLINK("http://ictvonline.org/taxonomy/p/taxonomy-history?taxnode_id=202108200","ICTVonline=202108200")</f>
        <v>ICTVonline=202108200</v>
      </c>
    </row>
    <row r="655" spans="1:21" x14ac:dyDescent="0.2">
      <c r="A655" s="3">
        <v>654</v>
      </c>
      <c r="B655" s="1" t="s">
        <v>4875</v>
      </c>
      <c r="D655" s="1" t="s">
        <v>4876</v>
      </c>
      <c r="F655" s="1" t="s">
        <v>4880</v>
      </c>
      <c r="H655" s="1" t="s">
        <v>4881</v>
      </c>
      <c r="L655" s="1" t="s">
        <v>4883</v>
      </c>
      <c r="N655" s="1" t="s">
        <v>4987</v>
      </c>
      <c r="P655" s="1" t="s">
        <v>9260</v>
      </c>
      <c r="Q655" s="30" t="s">
        <v>2565</v>
      </c>
      <c r="R655" s="33" t="s">
        <v>3473</v>
      </c>
      <c r="S655">
        <v>37</v>
      </c>
      <c r="T655" s="1" t="s">
        <v>13878</v>
      </c>
      <c r="U655" s="1" t="str">
        <f>HYPERLINK("http://ictvonline.org/taxonomy/p/taxonomy-history?taxnode_id=202108197","ICTVonline=202108197")</f>
        <v>ICTVonline=202108197</v>
      </c>
    </row>
    <row r="656" spans="1:21" x14ac:dyDescent="0.2">
      <c r="A656" s="3">
        <v>655</v>
      </c>
      <c r="B656" s="1" t="s">
        <v>4875</v>
      </c>
      <c r="D656" s="1" t="s">
        <v>4876</v>
      </c>
      <c r="F656" s="1" t="s">
        <v>4880</v>
      </c>
      <c r="H656" s="1" t="s">
        <v>4881</v>
      </c>
      <c r="L656" s="1" t="s">
        <v>4883</v>
      </c>
      <c r="N656" s="1" t="s">
        <v>4583</v>
      </c>
      <c r="P656" s="1" t="s">
        <v>9261</v>
      </c>
      <c r="Q656" s="30" t="s">
        <v>2565</v>
      </c>
      <c r="R656" s="33" t="s">
        <v>3473</v>
      </c>
      <c r="S656">
        <v>37</v>
      </c>
      <c r="T656" s="1" t="s">
        <v>13878</v>
      </c>
      <c r="U656" s="1" t="str">
        <f>HYPERLINK("http://ictvonline.org/taxonomy/p/taxonomy-history?taxnode_id=202106881","ICTVonline=202106881")</f>
        <v>ICTVonline=202106881</v>
      </c>
    </row>
    <row r="657" spans="1:21" x14ac:dyDescent="0.2">
      <c r="A657" s="3">
        <v>656</v>
      </c>
      <c r="B657" s="1" t="s">
        <v>4875</v>
      </c>
      <c r="D657" s="1" t="s">
        <v>4876</v>
      </c>
      <c r="F657" s="1" t="s">
        <v>4880</v>
      </c>
      <c r="H657" s="1" t="s">
        <v>4881</v>
      </c>
      <c r="L657" s="1" t="s">
        <v>4883</v>
      </c>
      <c r="N657" s="1" t="s">
        <v>4988</v>
      </c>
      <c r="P657" s="1" t="s">
        <v>4989</v>
      </c>
      <c r="Q657" s="30" t="s">
        <v>2565</v>
      </c>
      <c r="R657" s="33" t="s">
        <v>3474</v>
      </c>
      <c r="S657">
        <v>37</v>
      </c>
      <c r="T657" s="1" t="s">
        <v>13880</v>
      </c>
      <c r="U657" s="1" t="str">
        <f>HYPERLINK("http://ictvonline.org/taxonomy/p/taxonomy-history?taxnode_id=202108288","ICTVonline=202108288")</f>
        <v>ICTVonline=202108288</v>
      </c>
    </row>
    <row r="658" spans="1:21" x14ac:dyDescent="0.2">
      <c r="A658" s="3">
        <v>657</v>
      </c>
      <c r="B658" s="1" t="s">
        <v>4875</v>
      </c>
      <c r="D658" s="1" t="s">
        <v>4876</v>
      </c>
      <c r="F658" s="1" t="s">
        <v>4880</v>
      </c>
      <c r="H658" s="1" t="s">
        <v>4881</v>
      </c>
      <c r="L658" s="1" t="s">
        <v>4883</v>
      </c>
      <c r="N658" s="1" t="s">
        <v>4990</v>
      </c>
      <c r="P658" s="1" t="s">
        <v>4991</v>
      </c>
      <c r="Q658" s="30" t="s">
        <v>2565</v>
      </c>
      <c r="R658" s="33" t="s">
        <v>3474</v>
      </c>
      <c r="S658">
        <v>37</v>
      </c>
      <c r="T658" s="1" t="s">
        <v>13880</v>
      </c>
      <c r="U658" s="1" t="str">
        <f>HYPERLINK("http://ictvonline.org/taxonomy/p/taxonomy-history?taxnode_id=202108286","ICTVonline=202108286")</f>
        <v>ICTVonline=202108286</v>
      </c>
    </row>
    <row r="659" spans="1:21" x14ac:dyDescent="0.2">
      <c r="A659" s="3">
        <v>658</v>
      </c>
      <c r="B659" s="1" t="s">
        <v>4875</v>
      </c>
      <c r="D659" s="1" t="s">
        <v>4876</v>
      </c>
      <c r="F659" s="1" t="s">
        <v>4880</v>
      </c>
      <c r="H659" s="1" t="s">
        <v>4881</v>
      </c>
      <c r="L659" s="1" t="s">
        <v>4883</v>
      </c>
      <c r="N659" s="1" t="s">
        <v>4992</v>
      </c>
      <c r="P659" s="1" t="s">
        <v>9262</v>
      </c>
      <c r="Q659" s="30" t="s">
        <v>2565</v>
      </c>
      <c r="R659" s="33" t="s">
        <v>3473</v>
      </c>
      <c r="S659">
        <v>37</v>
      </c>
      <c r="T659" s="1" t="s">
        <v>13878</v>
      </c>
      <c r="U659" s="1" t="str">
        <f>HYPERLINK("http://ictvonline.org/taxonomy/p/taxonomy-history?taxnode_id=202108257","ICTVonline=202108257")</f>
        <v>ICTVonline=202108257</v>
      </c>
    </row>
    <row r="660" spans="1:21" x14ac:dyDescent="0.2">
      <c r="A660" s="3">
        <v>659</v>
      </c>
      <c r="B660" s="1" t="s">
        <v>4875</v>
      </c>
      <c r="D660" s="1" t="s">
        <v>4876</v>
      </c>
      <c r="F660" s="1" t="s">
        <v>4880</v>
      </c>
      <c r="H660" s="1" t="s">
        <v>4881</v>
      </c>
      <c r="L660" s="1" t="s">
        <v>4883</v>
      </c>
      <c r="N660" s="1" t="s">
        <v>4993</v>
      </c>
      <c r="P660" s="1" t="s">
        <v>4994</v>
      </c>
      <c r="Q660" s="30" t="s">
        <v>2565</v>
      </c>
      <c r="R660" s="33" t="s">
        <v>3474</v>
      </c>
      <c r="S660">
        <v>37</v>
      </c>
      <c r="T660" s="1" t="s">
        <v>13880</v>
      </c>
      <c r="U660" s="1" t="str">
        <f>HYPERLINK("http://ictvonline.org/taxonomy/p/taxonomy-history?taxnode_id=202108302","ICTVonline=202108302")</f>
        <v>ICTVonline=202108302</v>
      </c>
    </row>
    <row r="661" spans="1:21" x14ac:dyDescent="0.2">
      <c r="A661" s="3">
        <v>660</v>
      </c>
      <c r="B661" s="1" t="s">
        <v>4875</v>
      </c>
      <c r="D661" s="1" t="s">
        <v>4876</v>
      </c>
      <c r="F661" s="1" t="s">
        <v>4880</v>
      </c>
      <c r="H661" s="1" t="s">
        <v>4881</v>
      </c>
      <c r="L661" s="1" t="s">
        <v>4883</v>
      </c>
      <c r="N661" s="1" t="s">
        <v>4995</v>
      </c>
      <c r="P661" s="1" t="s">
        <v>9263</v>
      </c>
      <c r="Q661" s="30" t="s">
        <v>2565</v>
      </c>
      <c r="R661" s="33" t="s">
        <v>3473</v>
      </c>
      <c r="S661">
        <v>37</v>
      </c>
      <c r="T661" s="1" t="s">
        <v>13878</v>
      </c>
      <c r="U661" s="1" t="str">
        <f>HYPERLINK("http://ictvonline.org/taxonomy/p/taxonomy-history?taxnode_id=202108259","ICTVonline=202108259")</f>
        <v>ICTVonline=202108259</v>
      </c>
    </row>
    <row r="662" spans="1:21" x14ac:dyDescent="0.2">
      <c r="A662" s="3">
        <v>661</v>
      </c>
      <c r="B662" s="1" t="s">
        <v>4875</v>
      </c>
      <c r="D662" s="1" t="s">
        <v>4876</v>
      </c>
      <c r="F662" s="1" t="s">
        <v>4880</v>
      </c>
      <c r="H662" s="1" t="s">
        <v>4881</v>
      </c>
      <c r="L662" s="1" t="s">
        <v>4883</v>
      </c>
      <c r="N662" s="1" t="s">
        <v>4996</v>
      </c>
      <c r="P662" s="1" t="s">
        <v>4997</v>
      </c>
      <c r="Q662" s="30" t="s">
        <v>2565</v>
      </c>
      <c r="R662" s="33" t="s">
        <v>3474</v>
      </c>
      <c r="S662">
        <v>37</v>
      </c>
      <c r="T662" s="1" t="s">
        <v>13880</v>
      </c>
      <c r="U662" s="1" t="str">
        <f>HYPERLINK("http://ictvonline.org/taxonomy/p/taxonomy-history?taxnode_id=202108324","ICTVonline=202108324")</f>
        <v>ICTVonline=202108324</v>
      </c>
    </row>
    <row r="663" spans="1:21" x14ac:dyDescent="0.2">
      <c r="A663" s="3">
        <v>662</v>
      </c>
      <c r="B663" s="1" t="s">
        <v>4875</v>
      </c>
      <c r="D663" s="1" t="s">
        <v>4876</v>
      </c>
      <c r="F663" s="1" t="s">
        <v>4880</v>
      </c>
      <c r="H663" s="1" t="s">
        <v>4881</v>
      </c>
      <c r="L663" s="1" t="s">
        <v>4883</v>
      </c>
      <c r="N663" s="1" t="s">
        <v>4998</v>
      </c>
      <c r="P663" s="1" t="s">
        <v>4999</v>
      </c>
      <c r="Q663" s="30" t="s">
        <v>2565</v>
      </c>
      <c r="R663" s="33" t="s">
        <v>3474</v>
      </c>
      <c r="S663">
        <v>37</v>
      </c>
      <c r="T663" s="1" t="s">
        <v>13880</v>
      </c>
      <c r="U663" s="1" t="str">
        <f>HYPERLINK("http://ictvonline.org/taxonomy/p/taxonomy-history?taxnode_id=202108298","ICTVonline=202108298")</f>
        <v>ICTVonline=202108298</v>
      </c>
    </row>
    <row r="664" spans="1:21" x14ac:dyDescent="0.2">
      <c r="A664" s="3">
        <v>663</v>
      </c>
      <c r="B664" s="1" t="s">
        <v>4875</v>
      </c>
      <c r="D664" s="1" t="s">
        <v>4876</v>
      </c>
      <c r="F664" s="1" t="s">
        <v>4880</v>
      </c>
      <c r="H664" s="1" t="s">
        <v>4881</v>
      </c>
      <c r="L664" s="1" t="s">
        <v>4883</v>
      </c>
      <c r="N664" s="1" t="s">
        <v>5000</v>
      </c>
      <c r="P664" s="1" t="s">
        <v>9264</v>
      </c>
      <c r="Q664" s="30" t="s">
        <v>2565</v>
      </c>
      <c r="R664" s="33" t="s">
        <v>3473</v>
      </c>
      <c r="S664">
        <v>37</v>
      </c>
      <c r="T664" s="1" t="s">
        <v>13878</v>
      </c>
      <c r="U664" s="1" t="str">
        <f>HYPERLINK("http://ictvonline.org/taxonomy/p/taxonomy-history?taxnode_id=202108232","ICTVonline=202108232")</f>
        <v>ICTVonline=202108232</v>
      </c>
    </row>
    <row r="665" spans="1:21" x14ac:dyDescent="0.2">
      <c r="A665" s="3">
        <v>664</v>
      </c>
      <c r="B665" s="1" t="s">
        <v>4875</v>
      </c>
      <c r="D665" s="1" t="s">
        <v>4876</v>
      </c>
      <c r="F665" s="1" t="s">
        <v>4880</v>
      </c>
      <c r="H665" s="1" t="s">
        <v>4881</v>
      </c>
      <c r="L665" s="1" t="s">
        <v>4883</v>
      </c>
      <c r="N665" s="1" t="s">
        <v>5000</v>
      </c>
      <c r="P665" s="1" t="s">
        <v>5001</v>
      </c>
      <c r="Q665" s="30" t="s">
        <v>2565</v>
      </c>
      <c r="R665" s="33" t="s">
        <v>3474</v>
      </c>
      <c r="S665">
        <v>37</v>
      </c>
      <c r="T665" s="1" t="s">
        <v>13880</v>
      </c>
      <c r="U665" s="1" t="str">
        <f>HYPERLINK("http://ictvonline.org/taxonomy/p/taxonomy-history?taxnode_id=202108233","ICTVonline=202108233")</f>
        <v>ICTVonline=202108233</v>
      </c>
    </row>
    <row r="666" spans="1:21" x14ac:dyDescent="0.2">
      <c r="A666" s="3">
        <v>665</v>
      </c>
      <c r="B666" s="1" t="s">
        <v>4875</v>
      </c>
      <c r="D666" s="1" t="s">
        <v>4876</v>
      </c>
      <c r="F666" s="1" t="s">
        <v>4880</v>
      </c>
      <c r="H666" s="1" t="s">
        <v>4881</v>
      </c>
      <c r="L666" s="1" t="s">
        <v>4883</v>
      </c>
      <c r="N666" s="1" t="s">
        <v>5002</v>
      </c>
      <c r="P666" s="1" t="s">
        <v>9265</v>
      </c>
      <c r="Q666" s="30" t="s">
        <v>2565</v>
      </c>
      <c r="R666" s="33" t="s">
        <v>3473</v>
      </c>
      <c r="S666">
        <v>37</v>
      </c>
      <c r="T666" s="1" t="s">
        <v>13878</v>
      </c>
      <c r="U666" s="1" t="str">
        <f>HYPERLINK("http://ictvonline.org/taxonomy/p/taxonomy-history?taxnode_id=202108263","ICTVonline=202108263")</f>
        <v>ICTVonline=202108263</v>
      </c>
    </row>
    <row r="667" spans="1:21" x14ac:dyDescent="0.2">
      <c r="A667" s="3">
        <v>666</v>
      </c>
      <c r="B667" s="1" t="s">
        <v>4875</v>
      </c>
      <c r="D667" s="1" t="s">
        <v>4876</v>
      </c>
      <c r="F667" s="1" t="s">
        <v>4880</v>
      </c>
      <c r="H667" s="1" t="s">
        <v>4881</v>
      </c>
      <c r="L667" s="1" t="s">
        <v>4883</v>
      </c>
      <c r="N667" s="1" t="s">
        <v>5003</v>
      </c>
      <c r="P667" s="1" t="s">
        <v>9266</v>
      </c>
      <c r="Q667" s="30" t="s">
        <v>2565</v>
      </c>
      <c r="R667" s="33" t="s">
        <v>3473</v>
      </c>
      <c r="S667">
        <v>37</v>
      </c>
      <c r="T667" s="1" t="s">
        <v>13878</v>
      </c>
      <c r="U667" s="1" t="str">
        <f>HYPERLINK("http://ictvonline.org/taxonomy/p/taxonomy-history?taxnode_id=202108261","ICTVonline=202108261")</f>
        <v>ICTVonline=202108261</v>
      </c>
    </row>
    <row r="668" spans="1:21" x14ac:dyDescent="0.2">
      <c r="A668" s="3">
        <v>667</v>
      </c>
      <c r="B668" s="1" t="s">
        <v>4875</v>
      </c>
      <c r="D668" s="1" t="s">
        <v>4876</v>
      </c>
      <c r="F668" s="1" t="s">
        <v>4880</v>
      </c>
      <c r="H668" s="1" t="s">
        <v>4881</v>
      </c>
      <c r="L668" s="1" t="s">
        <v>4883</v>
      </c>
      <c r="N668" s="1" t="s">
        <v>5004</v>
      </c>
      <c r="P668" s="1" t="s">
        <v>5005</v>
      </c>
      <c r="Q668" s="30" t="s">
        <v>2565</v>
      </c>
      <c r="R668" s="33" t="s">
        <v>3474</v>
      </c>
      <c r="S668">
        <v>37</v>
      </c>
      <c r="T668" s="1" t="s">
        <v>13880</v>
      </c>
      <c r="U668" s="1" t="str">
        <f>HYPERLINK("http://ictvonline.org/taxonomy/p/taxonomy-history?taxnode_id=202108300","ICTVonline=202108300")</f>
        <v>ICTVonline=202108300</v>
      </c>
    </row>
    <row r="669" spans="1:21" x14ac:dyDescent="0.2">
      <c r="A669" s="3">
        <v>668</v>
      </c>
      <c r="B669" s="1" t="s">
        <v>4875</v>
      </c>
      <c r="D669" s="1" t="s">
        <v>4876</v>
      </c>
      <c r="F669" s="1" t="s">
        <v>4880</v>
      </c>
      <c r="H669" s="1" t="s">
        <v>4881</v>
      </c>
      <c r="L669" s="1" t="s">
        <v>4883</v>
      </c>
      <c r="N669" s="1" t="s">
        <v>4585</v>
      </c>
      <c r="P669" s="1" t="s">
        <v>9267</v>
      </c>
      <c r="Q669" s="30" t="s">
        <v>2565</v>
      </c>
      <c r="R669" s="33" t="s">
        <v>3473</v>
      </c>
      <c r="S669">
        <v>37</v>
      </c>
      <c r="T669" s="1" t="s">
        <v>13878</v>
      </c>
      <c r="U669" s="1" t="str">
        <f>HYPERLINK("http://ictvonline.org/taxonomy/p/taxonomy-history?taxnode_id=202106861","ICTVonline=202106861")</f>
        <v>ICTVonline=202106861</v>
      </c>
    </row>
    <row r="670" spans="1:21" x14ac:dyDescent="0.2">
      <c r="A670" s="3">
        <v>669</v>
      </c>
      <c r="B670" s="1" t="s">
        <v>4875</v>
      </c>
      <c r="D670" s="1" t="s">
        <v>4876</v>
      </c>
      <c r="F670" s="1" t="s">
        <v>4880</v>
      </c>
      <c r="H670" s="1" t="s">
        <v>4881</v>
      </c>
      <c r="L670" s="1" t="s">
        <v>4883</v>
      </c>
      <c r="N670" s="1" t="s">
        <v>5006</v>
      </c>
      <c r="P670" s="1" t="s">
        <v>9268</v>
      </c>
      <c r="Q670" s="30" t="s">
        <v>2565</v>
      </c>
      <c r="R670" s="33" t="s">
        <v>3473</v>
      </c>
      <c r="S670">
        <v>37</v>
      </c>
      <c r="T670" s="1" t="s">
        <v>13878</v>
      </c>
      <c r="U670" s="1" t="str">
        <f>HYPERLINK("http://ictvonline.org/taxonomy/p/taxonomy-history?taxnode_id=202108202","ICTVonline=202108202")</f>
        <v>ICTVonline=202108202</v>
      </c>
    </row>
    <row r="671" spans="1:21" x14ac:dyDescent="0.2">
      <c r="A671" s="3">
        <v>670</v>
      </c>
      <c r="B671" s="1" t="s">
        <v>4875</v>
      </c>
      <c r="D671" s="1" t="s">
        <v>4876</v>
      </c>
      <c r="F671" s="1" t="s">
        <v>4880</v>
      </c>
      <c r="H671" s="1" t="s">
        <v>4881</v>
      </c>
      <c r="L671" s="1" t="s">
        <v>4883</v>
      </c>
      <c r="N671" s="1" t="s">
        <v>5007</v>
      </c>
      <c r="P671" s="1" t="s">
        <v>5008</v>
      </c>
      <c r="Q671" s="30" t="s">
        <v>2565</v>
      </c>
      <c r="R671" s="33" t="s">
        <v>3474</v>
      </c>
      <c r="S671">
        <v>37</v>
      </c>
      <c r="T671" s="1" t="s">
        <v>13880</v>
      </c>
      <c r="U671" s="1" t="str">
        <f>HYPERLINK("http://ictvonline.org/taxonomy/p/taxonomy-history?taxnode_id=202108272","ICTVonline=202108272")</f>
        <v>ICTVonline=202108272</v>
      </c>
    </row>
    <row r="672" spans="1:21" x14ac:dyDescent="0.2">
      <c r="A672" s="3">
        <v>671</v>
      </c>
      <c r="B672" s="1" t="s">
        <v>4875</v>
      </c>
      <c r="D672" s="1" t="s">
        <v>4876</v>
      </c>
      <c r="F672" s="1" t="s">
        <v>4880</v>
      </c>
      <c r="H672" s="1" t="s">
        <v>4881</v>
      </c>
      <c r="L672" s="1" t="s">
        <v>4883</v>
      </c>
      <c r="N672" s="1" t="s">
        <v>3187</v>
      </c>
      <c r="P672" s="1" t="s">
        <v>9269</v>
      </c>
      <c r="Q672" s="30" t="s">
        <v>2565</v>
      </c>
      <c r="R672" s="33" t="s">
        <v>3473</v>
      </c>
      <c r="S672">
        <v>37</v>
      </c>
      <c r="T672" s="1" t="s">
        <v>13878</v>
      </c>
      <c r="U672" s="1" t="str">
        <f>HYPERLINK("http://ictvonline.org/taxonomy/p/taxonomy-history?taxnode_id=202100573","ICTVonline=202100573")</f>
        <v>ICTVonline=202100573</v>
      </c>
    </row>
    <row r="673" spans="1:21" x14ac:dyDescent="0.2">
      <c r="A673" s="3">
        <v>672</v>
      </c>
      <c r="B673" s="1" t="s">
        <v>4875</v>
      </c>
      <c r="D673" s="1" t="s">
        <v>4876</v>
      </c>
      <c r="F673" s="1" t="s">
        <v>4880</v>
      </c>
      <c r="H673" s="1" t="s">
        <v>4881</v>
      </c>
      <c r="L673" s="1" t="s">
        <v>4883</v>
      </c>
      <c r="N673" s="1" t="s">
        <v>3187</v>
      </c>
      <c r="P673" s="1" t="s">
        <v>9270</v>
      </c>
      <c r="Q673" s="30" t="s">
        <v>2565</v>
      </c>
      <c r="R673" s="33" t="s">
        <v>3473</v>
      </c>
      <c r="S673">
        <v>37</v>
      </c>
      <c r="T673" s="1" t="s">
        <v>13878</v>
      </c>
      <c r="U673" s="1" t="str">
        <f>HYPERLINK("http://ictvonline.org/taxonomy/p/taxonomy-history?taxnode_id=202100574","ICTVonline=202100574")</f>
        <v>ICTVonline=202100574</v>
      </c>
    </row>
    <row r="674" spans="1:21" x14ac:dyDescent="0.2">
      <c r="A674" s="3">
        <v>673</v>
      </c>
      <c r="B674" s="1" t="s">
        <v>4875</v>
      </c>
      <c r="D674" s="1" t="s">
        <v>4876</v>
      </c>
      <c r="F674" s="1" t="s">
        <v>4880</v>
      </c>
      <c r="H674" s="1" t="s">
        <v>4881</v>
      </c>
      <c r="L674" s="1" t="s">
        <v>4883</v>
      </c>
      <c r="N674" s="1" t="s">
        <v>3187</v>
      </c>
      <c r="P674" s="1" t="s">
        <v>9271</v>
      </c>
      <c r="Q674" s="30" t="s">
        <v>2565</v>
      </c>
      <c r="R674" s="33" t="s">
        <v>3473</v>
      </c>
      <c r="S674">
        <v>37</v>
      </c>
      <c r="T674" s="1" t="s">
        <v>13878</v>
      </c>
      <c r="U674" s="1" t="str">
        <f>HYPERLINK("http://ictvonline.org/taxonomy/p/taxonomy-history?taxnode_id=202100575","ICTVonline=202100575")</f>
        <v>ICTVonline=202100575</v>
      </c>
    </row>
    <row r="675" spans="1:21" x14ac:dyDescent="0.2">
      <c r="A675" s="3">
        <v>674</v>
      </c>
      <c r="B675" s="1" t="s">
        <v>4875</v>
      </c>
      <c r="D675" s="1" t="s">
        <v>4876</v>
      </c>
      <c r="F675" s="1" t="s">
        <v>4880</v>
      </c>
      <c r="H675" s="1" t="s">
        <v>4881</v>
      </c>
      <c r="L675" s="1" t="s">
        <v>4883</v>
      </c>
      <c r="N675" s="1" t="s">
        <v>3187</v>
      </c>
      <c r="P675" s="1" t="s">
        <v>9272</v>
      </c>
      <c r="Q675" s="30" t="s">
        <v>2565</v>
      </c>
      <c r="R675" s="33" t="s">
        <v>3473</v>
      </c>
      <c r="S675">
        <v>37</v>
      </c>
      <c r="T675" s="1" t="s">
        <v>13878</v>
      </c>
      <c r="U675" s="1" t="str">
        <f>HYPERLINK("http://ictvonline.org/taxonomy/p/taxonomy-history?taxnode_id=202108242","ICTVonline=202108242")</f>
        <v>ICTVonline=202108242</v>
      </c>
    </row>
    <row r="676" spans="1:21" x14ac:dyDescent="0.2">
      <c r="A676" s="3">
        <v>675</v>
      </c>
      <c r="B676" s="1" t="s">
        <v>4875</v>
      </c>
      <c r="D676" s="1" t="s">
        <v>4876</v>
      </c>
      <c r="F676" s="1" t="s">
        <v>4880</v>
      </c>
      <c r="H676" s="1" t="s">
        <v>4881</v>
      </c>
      <c r="L676" s="1" t="s">
        <v>4883</v>
      </c>
      <c r="N676" s="1" t="s">
        <v>3187</v>
      </c>
      <c r="P676" s="1" t="s">
        <v>9273</v>
      </c>
      <c r="Q676" s="30" t="s">
        <v>2565</v>
      </c>
      <c r="R676" s="33" t="s">
        <v>3473</v>
      </c>
      <c r="S676">
        <v>37</v>
      </c>
      <c r="T676" s="1" t="s">
        <v>13878</v>
      </c>
      <c r="U676" s="1" t="str">
        <f>HYPERLINK("http://ictvonline.org/taxonomy/p/taxonomy-history?taxnode_id=202108243","ICTVonline=202108243")</f>
        <v>ICTVonline=202108243</v>
      </c>
    </row>
    <row r="677" spans="1:21" x14ac:dyDescent="0.2">
      <c r="A677" s="3">
        <v>676</v>
      </c>
      <c r="B677" s="1" t="s">
        <v>4875</v>
      </c>
      <c r="D677" s="1" t="s">
        <v>4876</v>
      </c>
      <c r="F677" s="1" t="s">
        <v>4880</v>
      </c>
      <c r="H677" s="1" t="s">
        <v>4881</v>
      </c>
      <c r="L677" s="1" t="s">
        <v>4883</v>
      </c>
      <c r="N677" s="1" t="s">
        <v>5009</v>
      </c>
      <c r="P677" s="1" t="s">
        <v>9274</v>
      </c>
      <c r="Q677" s="30" t="s">
        <v>2565</v>
      </c>
      <c r="R677" s="33" t="s">
        <v>3473</v>
      </c>
      <c r="S677">
        <v>37</v>
      </c>
      <c r="T677" s="1" t="s">
        <v>13878</v>
      </c>
      <c r="U677" s="1" t="str">
        <f>HYPERLINK("http://ictvonline.org/taxonomy/p/taxonomy-history?taxnode_id=202108280","ICTVonline=202108280")</f>
        <v>ICTVonline=202108280</v>
      </c>
    </row>
    <row r="678" spans="1:21" x14ac:dyDescent="0.2">
      <c r="A678" s="3">
        <v>677</v>
      </c>
      <c r="B678" s="1" t="s">
        <v>4875</v>
      </c>
      <c r="D678" s="1" t="s">
        <v>4876</v>
      </c>
      <c r="F678" s="1" t="s">
        <v>4880</v>
      </c>
      <c r="H678" s="1" t="s">
        <v>4881</v>
      </c>
      <c r="L678" s="1" t="s">
        <v>4883</v>
      </c>
      <c r="N678" s="1" t="s">
        <v>5010</v>
      </c>
      <c r="P678" s="1" t="s">
        <v>9275</v>
      </c>
      <c r="Q678" s="30" t="s">
        <v>2565</v>
      </c>
      <c r="R678" s="33" t="s">
        <v>3473</v>
      </c>
      <c r="S678">
        <v>37</v>
      </c>
      <c r="T678" s="1" t="s">
        <v>13878</v>
      </c>
      <c r="U678" s="1" t="str">
        <f>HYPERLINK("http://ictvonline.org/taxonomy/p/taxonomy-history?taxnode_id=202108269","ICTVonline=202108269")</f>
        <v>ICTVonline=202108269</v>
      </c>
    </row>
    <row r="679" spans="1:21" x14ac:dyDescent="0.2">
      <c r="A679" s="3">
        <v>678</v>
      </c>
      <c r="B679" s="1" t="s">
        <v>4875</v>
      </c>
      <c r="D679" s="1" t="s">
        <v>4876</v>
      </c>
      <c r="F679" s="1" t="s">
        <v>4880</v>
      </c>
      <c r="H679" s="1" t="s">
        <v>4881</v>
      </c>
      <c r="L679" s="1" t="s">
        <v>4883</v>
      </c>
      <c r="N679" s="1" t="s">
        <v>5011</v>
      </c>
      <c r="P679" s="1" t="s">
        <v>9276</v>
      </c>
      <c r="Q679" s="30" t="s">
        <v>2565</v>
      </c>
      <c r="R679" s="33" t="s">
        <v>3473</v>
      </c>
      <c r="S679">
        <v>37</v>
      </c>
      <c r="T679" s="1" t="s">
        <v>13878</v>
      </c>
      <c r="U679" s="1" t="str">
        <f>HYPERLINK("http://ictvonline.org/taxonomy/p/taxonomy-history?taxnode_id=202108219","ICTVonline=202108219")</f>
        <v>ICTVonline=202108219</v>
      </c>
    </row>
    <row r="680" spans="1:21" x14ac:dyDescent="0.2">
      <c r="A680" s="3">
        <v>679</v>
      </c>
      <c r="B680" s="1" t="s">
        <v>4875</v>
      </c>
      <c r="D680" s="1" t="s">
        <v>4876</v>
      </c>
      <c r="F680" s="1" t="s">
        <v>4880</v>
      </c>
      <c r="H680" s="1" t="s">
        <v>4881</v>
      </c>
      <c r="L680" s="1" t="s">
        <v>4883</v>
      </c>
      <c r="N680" s="1" t="s">
        <v>5012</v>
      </c>
      <c r="P680" s="1" t="s">
        <v>9277</v>
      </c>
      <c r="Q680" s="30" t="s">
        <v>2565</v>
      </c>
      <c r="R680" s="33" t="s">
        <v>3473</v>
      </c>
      <c r="S680">
        <v>37</v>
      </c>
      <c r="T680" s="1" t="s">
        <v>13878</v>
      </c>
      <c r="U680" s="1" t="str">
        <f>HYPERLINK("http://ictvonline.org/taxonomy/p/taxonomy-history?taxnode_id=202108499","ICTVonline=202108499")</f>
        <v>ICTVonline=202108499</v>
      </c>
    </row>
    <row r="681" spans="1:21" x14ac:dyDescent="0.2">
      <c r="A681" s="3">
        <v>680</v>
      </c>
      <c r="B681" s="1" t="s">
        <v>4875</v>
      </c>
      <c r="D681" s="1" t="s">
        <v>4876</v>
      </c>
      <c r="F681" s="1" t="s">
        <v>4880</v>
      </c>
      <c r="H681" s="1" t="s">
        <v>4881</v>
      </c>
      <c r="L681" s="1" t="s">
        <v>4883</v>
      </c>
      <c r="N681" s="1" t="s">
        <v>5013</v>
      </c>
      <c r="P681" s="1" t="s">
        <v>5014</v>
      </c>
      <c r="Q681" s="30" t="s">
        <v>2565</v>
      </c>
      <c r="R681" s="33" t="s">
        <v>3474</v>
      </c>
      <c r="S681">
        <v>37</v>
      </c>
      <c r="T681" s="1" t="s">
        <v>13880</v>
      </c>
      <c r="U681" s="1" t="str">
        <f>HYPERLINK("http://ictvonline.org/taxonomy/p/taxonomy-history?taxnode_id=202108328","ICTVonline=202108328")</f>
        <v>ICTVonline=202108328</v>
      </c>
    </row>
    <row r="682" spans="1:21" x14ac:dyDescent="0.2">
      <c r="A682" s="3">
        <v>681</v>
      </c>
      <c r="B682" s="1" t="s">
        <v>4875</v>
      </c>
      <c r="D682" s="1" t="s">
        <v>4876</v>
      </c>
      <c r="F682" s="1" t="s">
        <v>4880</v>
      </c>
      <c r="H682" s="1" t="s">
        <v>4881</v>
      </c>
      <c r="L682" s="1" t="s">
        <v>4883</v>
      </c>
      <c r="N682" s="1" t="s">
        <v>5015</v>
      </c>
      <c r="P682" s="1" t="s">
        <v>9278</v>
      </c>
      <c r="Q682" s="30" t="s">
        <v>2565</v>
      </c>
      <c r="R682" s="33" t="s">
        <v>3473</v>
      </c>
      <c r="S682">
        <v>37</v>
      </c>
      <c r="T682" s="1" t="s">
        <v>13878</v>
      </c>
      <c r="U682" s="1" t="str">
        <f>HYPERLINK("http://ictvonline.org/taxonomy/p/taxonomy-history?taxnode_id=202108503","ICTVonline=202108503")</f>
        <v>ICTVonline=202108503</v>
      </c>
    </row>
    <row r="683" spans="1:21" x14ac:dyDescent="0.2">
      <c r="A683" s="3">
        <v>682</v>
      </c>
      <c r="B683" s="1" t="s">
        <v>4875</v>
      </c>
      <c r="D683" s="1" t="s">
        <v>4876</v>
      </c>
      <c r="F683" s="1" t="s">
        <v>4880</v>
      </c>
      <c r="H683" s="1" t="s">
        <v>4881</v>
      </c>
      <c r="L683" s="1" t="s">
        <v>4883</v>
      </c>
      <c r="N683" s="1" t="s">
        <v>5016</v>
      </c>
      <c r="P683" s="1" t="s">
        <v>5017</v>
      </c>
      <c r="Q683" s="30" t="s">
        <v>2565</v>
      </c>
      <c r="R683" s="33" t="s">
        <v>3474</v>
      </c>
      <c r="S683">
        <v>37</v>
      </c>
      <c r="T683" s="1" t="s">
        <v>13880</v>
      </c>
      <c r="U683" s="1" t="str">
        <f>HYPERLINK("http://ictvonline.org/taxonomy/p/taxonomy-history?taxnode_id=202108290","ICTVonline=202108290")</f>
        <v>ICTVonline=202108290</v>
      </c>
    </row>
    <row r="684" spans="1:21" x14ac:dyDescent="0.2">
      <c r="A684" s="3">
        <v>683</v>
      </c>
      <c r="B684" s="1" t="s">
        <v>4875</v>
      </c>
      <c r="D684" s="1" t="s">
        <v>4876</v>
      </c>
      <c r="F684" s="1" t="s">
        <v>4880</v>
      </c>
      <c r="H684" s="1" t="s">
        <v>4881</v>
      </c>
      <c r="L684" s="1" t="s">
        <v>4883</v>
      </c>
      <c r="N684" s="1" t="s">
        <v>5018</v>
      </c>
      <c r="P684" s="1" t="s">
        <v>9279</v>
      </c>
      <c r="Q684" s="30" t="s">
        <v>2565</v>
      </c>
      <c r="R684" s="33" t="s">
        <v>3473</v>
      </c>
      <c r="S684">
        <v>37</v>
      </c>
      <c r="T684" s="1" t="s">
        <v>13878</v>
      </c>
      <c r="U684" s="1" t="str">
        <f>HYPERLINK("http://ictvonline.org/taxonomy/p/taxonomy-history?taxnode_id=202108251","ICTVonline=202108251")</f>
        <v>ICTVonline=202108251</v>
      </c>
    </row>
    <row r="685" spans="1:21" x14ac:dyDescent="0.2">
      <c r="A685" s="3">
        <v>684</v>
      </c>
      <c r="B685" s="1" t="s">
        <v>4875</v>
      </c>
      <c r="D685" s="1" t="s">
        <v>4876</v>
      </c>
      <c r="F685" s="1" t="s">
        <v>4880</v>
      </c>
      <c r="H685" s="1" t="s">
        <v>4881</v>
      </c>
      <c r="L685" s="1" t="s">
        <v>4883</v>
      </c>
      <c r="N685" s="1" t="s">
        <v>5019</v>
      </c>
      <c r="P685" s="1" t="s">
        <v>5020</v>
      </c>
      <c r="Q685" s="30" t="s">
        <v>2565</v>
      </c>
      <c r="R685" s="33" t="s">
        <v>3474</v>
      </c>
      <c r="S685">
        <v>37</v>
      </c>
      <c r="T685" s="1" t="s">
        <v>13880</v>
      </c>
      <c r="U685" s="1" t="str">
        <f>HYPERLINK("http://ictvonline.org/taxonomy/p/taxonomy-history?taxnode_id=202108255","ICTVonline=202108255")</f>
        <v>ICTVonline=202108255</v>
      </c>
    </row>
    <row r="686" spans="1:21" x14ac:dyDescent="0.2">
      <c r="A686" s="3">
        <v>685</v>
      </c>
      <c r="B686" s="1" t="s">
        <v>4875</v>
      </c>
      <c r="D686" s="1" t="s">
        <v>4876</v>
      </c>
      <c r="F686" s="1" t="s">
        <v>4880</v>
      </c>
      <c r="H686" s="1" t="s">
        <v>4881</v>
      </c>
      <c r="L686" s="1" t="s">
        <v>4883</v>
      </c>
      <c r="N686" s="1" t="s">
        <v>5021</v>
      </c>
      <c r="P686" s="1" t="s">
        <v>9280</v>
      </c>
      <c r="Q686" s="30" t="s">
        <v>2565</v>
      </c>
      <c r="R686" s="33" t="s">
        <v>3473</v>
      </c>
      <c r="S686">
        <v>37</v>
      </c>
      <c r="T686" s="1" t="s">
        <v>13878</v>
      </c>
      <c r="U686" s="1" t="str">
        <f>HYPERLINK("http://ictvonline.org/taxonomy/p/taxonomy-history?taxnode_id=202108221","ICTVonline=202108221")</f>
        <v>ICTVonline=202108221</v>
      </c>
    </row>
    <row r="687" spans="1:21" x14ac:dyDescent="0.2">
      <c r="A687" s="3">
        <v>686</v>
      </c>
      <c r="B687" s="1" t="s">
        <v>4875</v>
      </c>
      <c r="D687" s="1" t="s">
        <v>4876</v>
      </c>
      <c r="F687" s="1" t="s">
        <v>4880</v>
      </c>
      <c r="H687" s="1" t="s">
        <v>4881</v>
      </c>
      <c r="L687" s="1" t="s">
        <v>4883</v>
      </c>
      <c r="N687" s="1" t="s">
        <v>5021</v>
      </c>
      <c r="P687" s="1" t="s">
        <v>9281</v>
      </c>
      <c r="Q687" s="30" t="s">
        <v>2565</v>
      </c>
      <c r="R687" s="33" t="s">
        <v>3473</v>
      </c>
      <c r="S687">
        <v>37</v>
      </c>
      <c r="T687" s="1" t="s">
        <v>13878</v>
      </c>
      <c r="U687" s="1" t="str">
        <f>HYPERLINK("http://ictvonline.org/taxonomy/p/taxonomy-history?taxnode_id=202108222","ICTVonline=202108222")</f>
        <v>ICTVonline=202108222</v>
      </c>
    </row>
    <row r="688" spans="1:21" x14ac:dyDescent="0.2">
      <c r="A688" s="3">
        <v>687</v>
      </c>
      <c r="B688" s="1" t="s">
        <v>4875</v>
      </c>
      <c r="D688" s="1" t="s">
        <v>4876</v>
      </c>
      <c r="F688" s="1" t="s">
        <v>4880</v>
      </c>
      <c r="H688" s="1" t="s">
        <v>4881</v>
      </c>
      <c r="L688" s="1" t="s">
        <v>4883</v>
      </c>
      <c r="N688" s="1" t="s">
        <v>5021</v>
      </c>
      <c r="P688" s="1" t="s">
        <v>9282</v>
      </c>
      <c r="Q688" s="30" t="s">
        <v>2565</v>
      </c>
      <c r="R688" s="33" t="s">
        <v>3473</v>
      </c>
      <c r="S688">
        <v>37</v>
      </c>
      <c r="T688" s="1" t="s">
        <v>13878</v>
      </c>
      <c r="U688" s="1" t="str">
        <f>HYPERLINK("http://ictvonline.org/taxonomy/p/taxonomy-history?taxnode_id=202108223","ICTVonline=202108223")</f>
        <v>ICTVonline=202108223</v>
      </c>
    </row>
    <row r="689" spans="1:21" x14ac:dyDescent="0.2">
      <c r="A689" s="3">
        <v>688</v>
      </c>
      <c r="B689" s="1" t="s">
        <v>4875</v>
      </c>
      <c r="D689" s="1" t="s">
        <v>4876</v>
      </c>
      <c r="F689" s="1" t="s">
        <v>4880</v>
      </c>
      <c r="H689" s="1" t="s">
        <v>4881</v>
      </c>
      <c r="L689" s="1" t="s">
        <v>4883</v>
      </c>
      <c r="N689" s="1" t="s">
        <v>5022</v>
      </c>
      <c r="P689" s="1" t="s">
        <v>9283</v>
      </c>
      <c r="Q689" s="30" t="s">
        <v>2565</v>
      </c>
      <c r="R689" s="33" t="s">
        <v>3473</v>
      </c>
      <c r="S689">
        <v>37</v>
      </c>
      <c r="T689" s="1" t="s">
        <v>13878</v>
      </c>
      <c r="U689" s="1" t="str">
        <f>HYPERLINK("http://ictvonline.org/taxonomy/p/taxonomy-history?taxnode_id=202108306","ICTVonline=202108306")</f>
        <v>ICTVonline=202108306</v>
      </c>
    </row>
    <row r="690" spans="1:21" x14ac:dyDescent="0.2">
      <c r="A690" s="3">
        <v>689</v>
      </c>
      <c r="B690" s="1" t="s">
        <v>4875</v>
      </c>
      <c r="D690" s="1" t="s">
        <v>4876</v>
      </c>
      <c r="F690" s="1" t="s">
        <v>4880</v>
      </c>
      <c r="H690" s="1" t="s">
        <v>4881</v>
      </c>
      <c r="L690" s="1" t="s">
        <v>4883</v>
      </c>
      <c r="N690" s="1" t="s">
        <v>5023</v>
      </c>
      <c r="P690" s="1" t="s">
        <v>9284</v>
      </c>
      <c r="Q690" s="30" t="s">
        <v>2565</v>
      </c>
      <c r="R690" s="33" t="s">
        <v>3473</v>
      </c>
      <c r="S690">
        <v>37</v>
      </c>
      <c r="T690" s="1" t="s">
        <v>13878</v>
      </c>
      <c r="U690" s="1" t="str">
        <f>HYPERLINK("http://ictvonline.org/taxonomy/p/taxonomy-history?taxnode_id=202100587","ICTVonline=202100587")</f>
        <v>ICTVonline=202100587</v>
      </c>
    </row>
    <row r="691" spans="1:21" x14ac:dyDescent="0.2">
      <c r="A691" s="3">
        <v>690</v>
      </c>
      <c r="B691" s="1" t="s">
        <v>4875</v>
      </c>
      <c r="D691" s="1" t="s">
        <v>4876</v>
      </c>
      <c r="F691" s="1" t="s">
        <v>4880</v>
      </c>
      <c r="H691" s="1" t="s">
        <v>4881</v>
      </c>
      <c r="L691" s="1" t="s">
        <v>4883</v>
      </c>
      <c r="N691" s="1" t="s">
        <v>5024</v>
      </c>
      <c r="P691" s="1" t="s">
        <v>9285</v>
      </c>
      <c r="Q691" s="30" t="s">
        <v>2565</v>
      </c>
      <c r="R691" s="33" t="s">
        <v>3473</v>
      </c>
      <c r="S691">
        <v>37</v>
      </c>
      <c r="T691" s="1" t="s">
        <v>13878</v>
      </c>
      <c r="U691" s="1" t="str">
        <f>HYPERLINK("http://ictvonline.org/taxonomy/p/taxonomy-history?taxnode_id=202100588","ICTVonline=202100588")</f>
        <v>ICTVonline=202100588</v>
      </c>
    </row>
    <row r="692" spans="1:21" x14ac:dyDescent="0.2">
      <c r="A692" s="3">
        <v>691</v>
      </c>
      <c r="B692" s="1" t="s">
        <v>4875</v>
      </c>
      <c r="D692" s="1" t="s">
        <v>4876</v>
      </c>
      <c r="F692" s="1" t="s">
        <v>4880</v>
      </c>
      <c r="H692" s="1" t="s">
        <v>4881</v>
      </c>
      <c r="L692" s="1" t="s">
        <v>4883</v>
      </c>
      <c r="N692" s="1" t="s">
        <v>5025</v>
      </c>
      <c r="P692" s="1" t="s">
        <v>9286</v>
      </c>
      <c r="Q692" s="30" t="s">
        <v>2565</v>
      </c>
      <c r="R692" s="33" t="s">
        <v>3473</v>
      </c>
      <c r="S692">
        <v>37</v>
      </c>
      <c r="T692" s="1" t="s">
        <v>13878</v>
      </c>
      <c r="U692" s="1" t="str">
        <f>HYPERLINK("http://ictvonline.org/taxonomy/p/taxonomy-history?taxnode_id=202108205","ICTVonline=202108205")</f>
        <v>ICTVonline=202108205</v>
      </c>
    </row>
    <row r="693" spans="1:21" x14ac:dyDescent="0.2">
      <c r="A693" s="3">
        <v>692</v>
      </c>
      <c r="B693" s="1" t="s">
        <v>4875</v>
      </c>
      <c r="D693" s="1" t="s">
        <v>4876</v>
      </c>
      <c r="F693" s="1" t="s">
        <v>4880</v>
      </c>
      <c r="H693" s="1" t="s">
        <v>4881</v>
      </c>
      <c r="L693" s="1" t="s">
        <v>4883</v>
      </c>
      <c r="N693" s="1" t="s">
        <v>5025</v>
      </c>
      <c r="P693" s="1" t="s">
        <v>9287</v>
      </c>
      <c r="Q693" s="30" t="s">
        <v>2565</v>
      </c>
      <c r="R693" s="33" t="s">
        <v>3473</v>
      </c>
      <c r="S693">
        <v>37</v>
      </c>
      <c r="T693" s="1" t="s">
        <v>13878</v>
      </c>
      <c r="U693" s="1" t="str">
        <f>HYPERLINK("http://ictvonline.org/taxonomy/p/taxonomy-history?taxnode_id=202108204","ICTVonline=202108204")</f>
        <v>ICTVonline=202108204</v>
      </c>
    </row>
    <row r="694" spans="1:21" x14ac:dyDescent="0.2">
      <c r="A694" s="3">
        <v>693</v>
      </c>
      <c r="B694" s="1" t="s">
        <v>4875</v>
      </c>
      <c r="D694" s="1" t="s">
        <v>4876</v>
      </c>
      <c r="F694" s="1" t="s">
        <v>4880</v>
      </c>
      <c r="H694" s="1" t="s">
        <v>4881</v>
      </c>
      <c r="L694" s="1" t="s">
        <v>4883</v>
      </c>
      <c r="N694" s="1" t="s">
        <v>5026</v>
      </c>
      <c r="P694" s="1" t="s">
        <v>9288</v>
      </c>
      <c r="Q694" s="30" t="s">
        <v>2565</v>
      </c>
      <c r="R694" s="33" t="s">
        <v>3473</v>
      </c>
      <c r="S694">
        <v>37</v>
      </c>
      <c r="T694" s="1" t="s">
        <v>13878</v>
      </c>
      <c r="U694" s="1" t="str">
        <f>HYPERLINK("http://ictvonline.org/taxonomy/p/taxonomy-history?taxnode_id=202100589","ICTVonline=202100589")</f>
        <v>ICTVonline=202100589</v>
      </c>
    </row>
    <row r="695" spans="1:21" x14ac:dyDescent="0.2">
      <c r="A695" s="3">
        <v>694</v>
      </c>
      <c r="B695" s="1" t="s">
        <v>4875</v>
      </c>
      <c r="D695" s="1" t="s">
        <v>4876</v>
      </c>
      <c r="F695" s="1" t="s">
        <v>4880</v>
      </c>
      <c r="H695" s="1" t="s">
        <v>4881</v>
      </c>
      <c r="L695" s="1" t="s">
        <v>4883</v>
      </c>
      <c r="N695" s="1" t="s">
        <v>5027</v>
      </c>
      <c r="P695" s="1" t="s">
        <v>5028</v>
      </c>
      <c r="Q695" s="30" t="s">
        <v>2565</v>
      </c>
      <c r="R695" s="33" t="s">
        <v>3474</v>
      </c>
      <c r="S695">
        <v>37</v>
      </c>
      <c r="T695" s="1" t="s">
        <v>13880</v>
      </c>
      <c r="U695" s="1" t="str">
        <f>HYPERLINK("http://ictvonline.org/taxonomy/p/taxonomy-history?taxnode_id=202108282","ICTVonline=202108282")</f>
        <v>ICTVonline=202108282</v>
      </c>
    </row>
    <row r="696" spans="1:21" x14ac:dyDescent="0.2">
      <c r="A696" s="3">
        <v>695</v>
      </c>
      <c r="B696" s="1" t="s">
        <v>4875</v>
      </c>
      <c r="D696" s="1" t="s">
        <v>4876</v>
      </c>
      <c r="F696" s="1" t="s">
        <v>4880</v>
      </c>
      <c r="H696" s="1" t="s">
        <v>4881</v>
      </c>
      <c r="L696" s="1" t="s">
        <v>4883</v>
      </c>
      <c r="N696" s="1" t="s">
        <v>5029</v>
      </c>
      <c r="P696" s="1" t="s">
        <v>9289</v>
      </c>
      <c r="Q696" s="30" t="s">
        <v>2565</v>
      </c>
      <c r="R696" s="33" t="s">
        <v>3473</v>
      </c>
      <c r="S696">
        <v>37</v>
      </c>
      <c r="T696" s="1" t="s">
        <v>13878</v>
      </c>
      <c r="U696" s="1" t="str">
        <f>HYPERLINK("http://ictvonline.org/taxonomy/p/taxonomy-history?taxnode_id=202100569","ICTVonline=202100569")</f>
        <v>ICTVonline=202100569</v>
      </c>
    </row>
    <row r="697" spans="1:21" x14ac:dyDescent="0.2">
      <c r="A697" s="3">
        <v>696</v>
      </c>
      <c r="B697" s="1" t="s">
        <v>4875</v>
      </c>
      <c r="D697" s="1" t="s">
        <v>4876</v>
      </c>
      <c r="F697" s="1" t="s">
        <v>4880</v>
      </c>
      <c r="H697" s="1" t="s">
        <v>4881</v>
      </c>
      <c r="L697" s="1" t="s">
        <v>4883</v>
      </c>
      <c r="N697" s="1" t="s">
        <v>5030</v>
      </c>
      <c r="P697" s="1" t="s">
        <v>9290</v>
      </c>
      <c r="Q697" s="30" t="s">
        <v>2565</v>
      </c>
      <c r="R697" s="33" t="s">
        <v>3473</v>
      </c>
      <c r="S697">
        <v>37</v>
      </c>
      <c r="T697" s="1" t="s">
        <v>13878</v>
      </c>
      <c r="U697" s="1" t="str">
        <f>HYPERLINK("http://ictvonline.org/taxonomy/p/taxonomy-history?taxnode_id=202108195","ICTVonline=202108195")</f>
        <v>ICTVonline=202108195</v>
      </c>
    </row>
    <row r="698" spans="1:21" x14ac:dyDescent="0.2">
      <c r="A698" s="3">
        <v>697</v>
      </c>
      <c r="B698" s="1" t="s">
        <v>4875</v>
      </c>
      <c r="D698" s="1" t="s">
        <v>4876</v>
      </c>
      <c r="F698" s="1" t="s">
        <v>4880</v>
      </c>
      <c r="H698" s="1" t="s">
        <v>4881</v>
      </c>
      <c r="L698" s="1" t="s">
        <v>4883</v>
      </c>
      <c r="N698" s="1" t="s">
        <v>5030</v>
      </c>
      <c r="P698" s="1" t="s">
        <v>9291</v>
      </c>
      <c r="Q698" s="30" t="s">
        <v>2565</v>
      </c>
      <c r="R698" s="33" t="s">
        <v>3473</v>
      </c>
      <c r="S698">
        <v>37</v>
      </c>
      <c r="T698" s="1" t="s">
        <v>13878</v>
      </c>
      <c r="U698" s="1" t="str">
        <f>HYPERLINK("http://ictvonline.org/taxonomy/p/taxonomy-history?taxnode_id=202108194","ICTVonline=202108194")</f>
        <v>ICTVonline=202108194</v>
      </c>
    </row>
    <row r="699" spans="1:21" x14ac:dyDescent="0.2">
      <c r="A699" s="3">
        <v>698</v>
      </c>
      <c r="B699" s="1" t="s">
        <v>4875</v>
      </c>
      <c r="D699" s="1" t="s">
        <v>4876</v>
      </c>
      <c r="F699" s="1" t="s">
        <v>4880</v>
      </c>
      <c r="H699" s="1" t="s">
        <v>4881</v>
      </c>
      <c r="L699" s="1" t="s">
        <v>9292</v>
      </c>
      <c r="N699" s="1" t="s">
        <v>4638</v>
      </c>
      <c r="P699" s="1" t="s">
        <v>4639</v>
      </c>
      <c r="Q699" s="30" t="s">
        <v>2565</v>
      </c>
      <c r="R699" s="33" t="s">
        <v>3474</v>
      </c>
      <c r="S699">
        <v>37</v>
      </c>
      <c r="T699" s="1" t="s">
        <v>13881</v>
      </c>
      <c r="U699" s="1" t="str">
        <f>HYPERLINK("http://ictvonline.org/taxonomy/p/taxonomy-history?taxnode_id=202106759","ICTVonline=202106759")</f>
        <v>ICTVonline=202106759</v>
      </c>
    </row>
    <row r="700" spans="1:21" x14ac:dyDescent="0.2">
      <c r="A700" s="3">
        <v>699</v>
      </c>
      <c r="B700" s="1" t="s">
        <v>4875</v>
      </c>
      <c r="D700" s="1" t="s">
        <v>4876</v>
      </c>
      <c r="F700" s="1" t="s">
        <v>4880</v>
      </c>
      <c r="H700" s="1" t="s">
        <v>4881</v>
      </c>
      <c r="L700" s="1" t="s">
        <v>9292</v>
      </c>
      <c r="N700" s="1" t="s">
        <v>9293</v>
      </c>
      <c r="P700" s="1" t="s">
        <v>9294</v>
      </c>
      <c r="Q700" s="30" t="s">
        <v>2565</v>
      </c>
      <c r="R700" s="33" t="s">
        <v>3472</v>
      </c>
      <c r="S700">
        <v>37</v>
      </c>
      <c r="T700" s="1" t="s">
        <v>13882</v>
      </c>
      <c r="U700" s="1" t="str">
        <f>HYPERLINK("http://ictvonline.org/taxonomy/p/taxonomy-history?taxnode_id=202112990","ICTVonline=202112990")</f>
        <v>ICTVonline=202112990</v>
      </c>
    </row>
    <row r="701" spans="1:21" x14ac:dyDescent="0.2">
      <c r="A701" s="3">
        <v>700</v>
      </c>
      <c r="B701" s="1" t="s">
        <v>4875</v>
      </c>
      <c r="D701" s="1" t="s">
        <v>4876</v>
      </c>
      <c r="F701" s="1" t="s">
        <v>4880</v>
      </c>
      <c r="H701" s="1" t="s">
        <v>4881</v>
      </c>
      <c r="L701" s="1" t="s">
        <v>9292</v>
      </c>
      <c r="N701" s="1" t="s">
        <v>9295</v>
      </c>
      <c r="P701" s="1" t="s">
        <v>9296</v>
      </c>
      <c r="Q701" s="30" t="s">
        <v>2565</v>
      </c>
      <c r="R701" s="33" t="s">
        <v>3472</v>
      </c>
      <c r="S701">
        <v>37</v>
      </c>
      <c r="T701" s="1" t="s">
        <v>13882</v>
      </c>
      <c r="U701" s="1" t="str">
        <f>HYPERLINK("http://ictvonline.org/taxonomy/p/taxonomy-history?taxnode_id=202113003","ICTVonline=202113003")</f>
        <v>ICTVonline=202113003</v>
      </c>
    </row>
    <row r="702" spans="1:21" x14ac:dyDescent="0.2">
      <c r="A702" s="3">
        <v>701</v>
      </c>
      <c r="B702" s="1" t="s">
        <v>4875</v>
      </c>
      <c r="D702" s="1" t="s">
        <v>4876</v>
      </c>
      <c r="F702" s="1" t="s">
        <v>4880</v>
      </c>
      <c r="H702" s="1" t="s">
        <v>4881</v>
      </c>
      <c r="L702" s="1" t="s">
        <v>9292</v>
      </c>
      <c r="N702" s="1" t="s">
        <v>2636</v>
      </c>
      <c r="P702" s="1" t="s">
        <v>9297</v>
      </c>
      <c r="Q702" s="30" t="s">
        <v>2565</v>
      </c>
      <c r="R702" s="33" t="s">
        <v>3473</v>
      </c>
      <c r="S702">
        <v>37</v>
      </c>
      <c r="T702" s="1" t="s">
        <v>13878</v>
      </c>
      <c r="U702" s="1" t="str">
        <f>HYPERLINK("http://ictvonline.org/taxonomy/p/taxonomy-history?taxnode_id=202109872","ICTVonline=202109872")</f>
        <v>ICTVonline=202109872</v>
      </c>
    </row>
    <row r="703" spans="1:21" x14ac:dyDescent="0.2">
      <c r="A703" s="3">
        <v>702</v>
      </c>
      <c r="B703" s="1" t="s">
        <v>4875</v>
      </c>
      <c r="D703" s="1" t="s">
        <v>4876</v>
      </c>
      <c r="F703" s="1" t="s">
        <v>4880</v>
      </c>
      <c r="H703" s="1" t="s">
        <v>4881</v>
      </c>
      <c r="L703" s="1" t="s">
        <v>9292</v>
      </c>
      <c r="N703" s="1" t="s">
        <v>2636</v>
      </c>
      <c r="P703" s="1" t="s">
        <v>9298</v>
      </c>
      <c r="Q703" s="30" t="s">
        <v>2565</v>
      </c>
      <c r="R703" s="33" t="s">
        <v>3473</v>
      </c>
      <c r="S703">
        <v>37</v>
      </c>
      <c r="T703" s="1" t="s">
        <v>13878</v>
      </c>
      <c r="U703" s="1" t="str">
        <f>HYPERLINK("http://ictvonline.org/taxonomy/p/taxonomy-history?taxnode_id=202100924","ICTVonline=202100924")</f>
        <v>ICTVonline=202100924</v>
      </c>
    </row>
    <row r="704" spans="1:21" x14ac:dyDescent="0.2">
      <c r="A704" s="3">
        <v>703</v>
      </c>
      <c r="B704" s="1" t="s">
        <v>4875</v>
      </c>
      <c r="D704" s="1" t="s">
        <v>4876</v>
      </c>
      <c r="F704" s="1" t="s">
        <v>4880</v>
      </c>
      <c r="H704" s="1" t="s">
        <v>4881</v>
      </c>
      <c r="L704" s="1" t="s">
        <v>9292</v>
      </c>
      <c r="N704" s="1" t="s">
        <v>2636</v>
      </c>
      <c r="P704" s="1" t="s">
        <v>9299</v>
      </c>
      <c r="Q704" s="30" t="s">
        <v>2565</v>
      </c>
      <c r="R704" s="33" t="s">
        <v>3473</v>
      </c>
      <c r="S704">
        <v>37</v>
      </c>
      <c r="T704" s="1" t="s">
        <v>13878</v>
      </c>
      <c r="U704" s="1" t="str">
        <f>HYPERLINK("http://ictvonline.org/taxonomy/p/taxonomy-history?taxnode_id=202109868","ICTVonline=202109868")</f>
        <v>ICTVonline=202109868</v>
      </c>
    </row>
    <row r="705" spans="1:21" x14ac:dyDescent="0.2">
      <c r="A705" s="3">
        <v>704</v>
      </c>
      <c r="B705" s="1" t="s">
        <v>4875</v>
      </c>
      <c r="D705" s="1" t="s">
        <v>4876</v>
      </c>
      <c r="F705" s="1" t="s">
        <v>4880</v>
      </c>
      <c r="H705" s="1" t="s">
        <v>4881</v>
      </c>
      <c r="L705" s="1" t="s">
        <v>9292</v>
      </c>
      <c r="N705" s="1" t="s">
        <v>2636</v>
      </c>
      <c r="P705" s="1" t="s">
        <v>9300</v>
      </c>
      <c r="Q705" s="30" t="s">
        <v>2565</v>
      </c>
      <c r="R705" s="33" t="s">
        <v>3473</v>
      </c>
      <c r="S705">
        <v>37</v>
      </c>
      <c r="T705" s="1" t="s">
        <v>13878</v>
      </c>
      <c r="U705" s="1" t="str">
        <f>HYPERLINK("http://ictvonline.org/taxonomy/p/taxonomy-history?taxnode_id=202109866","ICTVonline=202109866")</f>
        <v>ICTVonline=202109866</v>
      </c>
    </row>
    <row r="706" spans="1:21" x14ac:dyDescent="0.2">
      <c r="A706" s="3">
        <v>705</v>
      </c>
      <c r="B706" s="1" t="s">
        <v>4875</v>
      </c>
      <c r="D706" s="1" t="s">
        <v>4876</v>
      </c>
      <c r="F706" s="1" t="s">
        <v>4880</v>
      </c>
      <c r="H706" s="1" t="s">
        <v>4881</v>
      </c>
      <c r="L706" s="1" t="s">
        <v>9292</v>
      </c>
      <c r="N706" s="1" t="s">
        <v>2636</v>
      </c>
      <c r="P706" s="1" t="s">
        <v>9301</v>
      </c>
      <c r="Q706" s="30" t="s">
        <v>2565</v>
      </c>
      <c r="R706" s="33" t="s">
        <v>3473</v>
      </c>
      <c r="S706">
        <v>37</v>
      </c>
      <c r="T706" s="1" t="s">
        <v>13878</v>
      </c>
      <c r="U706" s="1" t="str">
        <f>HYPERLINK("http://ictvonline.org/taxonomy/p/taxonomy-history?taxnode_id=202109871","ICTVonline=202109871")</f>
        <v>ICTVonline=202109871</v>
      </c>
    </row>
    <row r="707" spans="1:21" x14ac:dyDescent="0.2">
      <c r="A707" s="3">
        <v>706</v>
      </c>
      <c r="B707" s="1" t="s">
        <v>4875</v>
      </c>
      <c r="D707" s="1" t="s">
        <v>4876</v>
      </c>
      <c r="F707" s="1" t="s">
        <v>4880</v>
      </c>
      <c r="H707" s="1" t="s">
        <v>4881</v>
      </c>
      <c r="L707" s="1" t="s">
        <v>9292</v>
      </c>
      <c r="N707" s="1" t="s">
        <v>2636</v>
      </c>
      <c r="P707" s="1" t="s">
        <v>9302</v>
      </c>
      <c r="Q707" s="30" t="s">
        <v>2565</v>
      </c>
      <c r="R707" s="33" t="s">
        <v>3472</v>
      </c>
      <c r="S707">
        <v>37</v>
      </c>
      <c r="T707" s="1" t="s">
        <v>13882</v>
      </c>
      <c r="U707" s="1" t="str">
        <f>HYPERLINK("http://ictvonline.org/taxonomy/p/taxonomy-history?taxnode_id=202112987","ICTVonline=202112987")</f>
        <v>ICTVonline=202112987</v>
      </c>
    </row>
    <row r="708" spans="1:21" x14ac:dyDescent="0.2">
      <c r="A708" s="3">
        <v>707</v>
      </c>
      <c r="B708" s="1" t="s">
        <v>4875</v>
      </c>
      <c r="D708" s="1" t="s">
        <v>4876</v>
      </c>
      <c r="F708" s="1" t="s">
        <v>4880</v>
      </c>
      <c r="H708" s="1" t="s">
        <v>4881</v>
      </c>
      <c r="L708" s="1" t="s">
        <v>9292</v>
      </c>
      <c r="N708" s="1" t="s">
        <v>2636</v>
      </c>
      <c r="P708" s="1" t="s">
        <v>9303</v>
      </c>
      <c r="Q708" s="30" t="s">
        <v>2565</v>
      </c>
      <c r="R708" s="33" t="s">
        <v>3473</v>
      </c>
      <c r="S708">
        <v>37</v>
      </c>
      <c r="T708" s="1" t="s">
        <v>13878</v>
      </c>
      <c r="U708" s="1" t="str">
        <f>HYPERLINK("http://ictvonline.org/taxonomy/p/taxonomy-history?taxnode_id=202100925","ICTVonline=202100925")</f>
        <v>ICTVonline=202100925</v>
      </c>
    </row>
    <row r="709" spans="1:21" x14ac:dyDescent="0.2">
      <c r="A709" s="3">
        <v>708</v>
      </c>
      <c r="B709" s="1" t="s">
        <v>4875</v>
      </c>
      <c r="D709" s="1" t="s">
        <v>4876</v>
      </c>
      <c r="F709" s="1" t="s">
        <v>4880</v>
      </c>
      <c r="H709" s="1" t="s">
        <v>4881</v>
      </c>
      <c r="L709" s="1" t="s">
        <v>9292</v>
      </c>
      <c r="N709" s="1" t="s">
        <v>2636</v>
      </c>
      <c r="P709" s="1" t="s">
        <v>9304</v>
      </c>
      <c r="Q709" s="30" t="s">
        <v>2565</v>
      </c>
      <c r="R709" s="33" t="s">
        <v>3473</v>
      </c>
      <c r="S709">
        <v>37</v>
      </c>
      <c r="T709" s="1" t="s">
        <v>13878</v>
      </c>
      <c r="U709" s="1" t="str">
        <f>HYPERLINK("http://ictvonline.org/taxonomy/p/taxonomy-history?taxnode_id=202100926","ICTVonline=202100926")</f>
        <v>ICTVonline=202100926</v>
      </c>
    </row>
    <row r="710" spans="1:21" x14ac:dyDescent="0.2">
      <c r="A710" s="3">
        <v>709</v>
      </c>
      <c r="B710" s="1" t="s">
        <v>4875</v>
      </c>
      <c r="D710" s="1" t="s">
        <v>4876</v>
      </c>
      <c r="F710" s="1" t="s">
        <v>4880</v>
      </c>
      <c r="H710" s="1" t="s">
        <v>4881</v>
      </c>
      <c r="L710" s="1" t="s">
        <v>9292</v>
      </c>
      <c r="N710" s="1" t="s">
        <v>2636</v>
      </c>
      <c r="P710" s="1" t="s">
        <v>9305</v>
      </c>
      <c r="Q710" s="30" t="s">
        <v>2565</v>
      </c>
      <c r="R710" s="33" t="s">
        <v>3473</v>
      </c>
      <c r="S710">
        <v>37</v>
      </c>
      <c r="T710" s="1" t="s">
        <v>13878</v>
      </c>
      <c r="U710" s="1" t="str">
        <f>HYPERLINK("http://ictvonline.org/taxonomy/p/taxonomy-history?taxnode_id=202100927","ICTVonline=202100927")</f>
        <v>ICTVonline=202100927</v>
      </c>
    </row>
    <row r="711" spans="1:21" x14ac:dyDescent="0.2">
      <c r="A711" s="3">
        <v>710</v>
      </c>
      <c r="B711" s="1" t="s">
        <v>4875</v>
      </c>
      <c r="D711" s="1" t="s">
        <v>4876</v>
      </c>
      <c r="F711" s="1" t="s">
        <v>4880</v>
      </c>
      <c r="H711" s="1" t="s">
        <v>4881</v>
      </c>
      <c r="L711" s="1" t="s">
        <v>9292</v>
      </c>
      <c r="N711" s="1" t="s">
        <v>2636</v>
      </c>
      <c r="P711" s="1" t="s">
        <v>9306</v>
      </c>
      <c r="Q711" s="30" t="s">
        <v>2565</v>
      </c>
      <c r="R711" s="33" t="s">
        <v>3473</v>
      </c>
      <c r="S711">
        <v>37</v>
      </c>
      <c r="T711" s="1" t="s">
        <v>13878</v>
      </c>
      <c r="U711" s="1" t="str">
        <f>HYPERLINK("http://ictvonline.org/taxonomy/p/taxonomy-history?taxnode_id=202109869","ICTVonline=202109869")</f>
        <v>ICTVonline=202109869</v>
      </c>
    </row>
    <row r="712" spans="1:21" x14ac:dyDescent="0.2">
      <c r="A712" s="3">
        <v>711</v>
      </c>
      <c r="B712" s="1" t="s">
        <v>4875</v>
      </c>
      <c r="D712" s="1" t="s">
        <v>4876</v>
      </c>
      <c r="F712" s="1" t="s">
        <v>4880</v>
      </c>
      <c r="H712" s="1" t="s">
        <v>4881</v>
      </c>
      <c r="L712" s="1" t="s">
        <v>9292</v>
      </c>
      <c r="N712" s="1" t="s">
        <v>2636</v>
      </c>
      <c r="P712" s="1" t="s">
        <v>9307</v>
      </c>
      <c r="Q712" s="30" t="s">
        <v>2565</v>
      </c>
      <c r="R712" s="33" t="s">
        <v>3472</v>
      </c>
      <c r="S712">
        <v>37</v>
      </c>
      <c r="T712" s="1" t="s">
        <v>13882</v>
      </c>
      <c r="U712" s="1" t="str">
        <f>HYPERLINK("http://ictvonline.org/taxonomy/p/taxonomy-history?taxnode_id=202112986","ICTVonline=202112986")</f>
        <v>ICTVonline=202112986</v>
      </c>
    </row>
    <row r="713" spans="1:21" x14ac:dyDescent="0.2">
      <c r="A713" s="3">
        <v>712</v>
      </c>
      <c r="B713" s="1" t="s">
        <v>4875</v>
      </c>
      <c r="D713" s="1" t="s">
        <v>4876</v>
      </c>
      <c r="F713" s="1" t="s">
        <v>4880</v>
      </c>
      <c r="H713" s="1" t="s">
        <v>4881</v>
      </c>
      <c r="L713" s="1" t="s">
        <v>9292</v>
      </c>
      <c r="N713" s="1" t="s">
        <v>2636</v>
      </c>
      <c r="P713" s="1" t="s">
        <v>9308</v>
      </c>
      <c r="Q713" s="30" t="s">
        <v>2565</v>
      </c>
      <c r="R713" s="33" t="s">
        <v>3472</v>
      </c>
      <c r="S713">
        <v>37</v>
      </c>
      <c r="T713" s="1" t="s">
        <v>13882</v>
      </c>
      <c r="U713" s="1" t="str">
        <f>HYPERLINK("http://ictvonline.org/taxonomy/p/taxonomy-history?taxnode_id=202112988","ICTVonline=202112988")</f>
        <v>ICTVonline=202112988</v>
      </c>
    </row>
    <row r="714" spans="1:21" x14ac:dyDescent="0.2">
      <c r="A714" s="3">
        <v>713</v>
      </c>
      <c r="B714" s="1" t="s">
        <v>4875</v>
      </c>
      <c r="D714" s="1" t="s">
        <v>4876</v>
      </c>
      <c r="F714" s="1" t="s">
        <v>4880</v>
      </c>
      <c r="H714" s="1" t="s">
        <v>4881</v>
      </c>
      <c r="L714" s="1" t="s">
        <v>9292</v>
      </c>
      <c r="N714" s="1" t="s">
        <v>2636</v>
      </c>
      <c r="P714" s="1" t="s">
        <v>9309</v>
      </c>
      <c r="Q714" s="30" t="s">
        <v>2565</v>
      </c>
      <c r="R714" s="33" t="s">
        <v>3473</v>
      </c>
      <c r="S714">
        <v>37</v>
      </c>
      <c r="T714" s="1" t="s">
        <v>13878</v>
      </c>
      <c r="U714" s="1" t="str">
        <f>HYPERLINK("http://ictvonline.org/taxonomy/p/taxonomy-history?taxnode_id=202109873","ICTVonline=202109873")</f>
        <v>ICTVonline=202109873</v>
      </c>
    </row>
    <row r="715" spans="1:21" x14ac:dyDescent="0.2">
      <c r="A715" s="3">
        <v>714</v>
      </c>
      <c r="B715" s="1" t="s">
        <v>4875</v>
      </c>
      <c r="D715" s="1" t="s">
        <v>4876</v>
      </c>
      <c r="F715" s="1" t="s">
        <v>4880</v>
      </c>
      <c r="H715" s="1" t="s">
        <v>4881</v>
      </c>
      <c r="L715" s="1" t="s">
        <v>9292</v>
      </c>
      <c r="N715" s="1" t="s">
        <v>2636</v>
      </c>
      <c r="P715" s="1" t="s">
        <v>9310</v>
      </c>
      <c r="Q715" s="30" t="s">
        <v>2565</v>
      </c>
      <c r="R715" s="33" t="s">
        <v>3473</v>
      </c>
      <c r="S715">
        <v>37</v>
      </c>
      <c r="T715" s="1" t="s">
        <v>13878</v>
      </c>
      <c r="U715" s="1" t="str">
        <f>HYPERLINK("http://ictvonline.org/taxonomy/p/taxonomy-history?taxnode_id=202100928","ICTVonline=202100928")</f>
        <v>ICTVonline=202100928</v>
      </c>
    </row>
    <row r="716" spans="1:21" x14ac:dyDescent="0.2">
      <c r="A716" s="3">
        <v>715</v>
      </c>
      <c r="B716" s="1" t="s">
        <v>4875</v>
      </c>
      <c r="D716" s="1" t="s">
        <v>4876</v>
      </c>
      <c r="F716" s="1" t="s">
        <v>4880</v>
      </c>
      <c r="H716" s="1" t="s">
        <v>4881</v>
      </c>
      <c r="L716" s="1" t="s">
        <v>9292</v>
      </c>
      <c r="N716" s="1" t="s">
        <v>2636</v>
      </c>
      <c r="P716" s="1" t="s">
        <v>9311</v>
      </c>
      <c r="Q716" s="30" t="s">
        <v>2565</v>
      </c>
      <c r="R716" s="33" t="s">
        <v>3473</v>
      </c>
      <c r="S716">
        <v>37</v>
      </c>
      <c r="T716" s="1" t="s">
        <v>13878</v>
      </c>
      <c r="U716" s="1" t="str">
        <f>HYPERLINK("http://ictvonline.org/taxonomy/p/taxonomy-history?taxnode_id=202109867","ICTVonline=202109867")</f>
        <v>ICTVonline=202109867</v>
      </c>
    </row>
    <row r="717" spans="1:21" x14ac:dyDescent="0.2">
      <c r="A717" s="3">
        <v>716</v>
      </c>
      <c r="B717" s="1" t="s">
        <v>4875</v>
      </c>
      <c r="D717" s="1" t="s">
        <v>4876</v>
      </c>
      <c r="F717" s="1" t="s">
        <v>4880</v>
      </c>
      <c r="H717" s="1" t="s">
        <v>4881</v>
      </c>
      <c r="L717" s="1" t="s">
        <v>9292</v>
      </c>
      <c r="N717" s="1" t="s">
        <v>2636</v>
      </c>
      <c r="P717" s="1" t="s">
        <v>9312</v>
      </c>
      <c r="Q717" s="30" t="s">
        <v>2565</v>
      </c>
      <c r="R717" s="33" t="s">
        <v>3473</v>
      </c>
      <c r="S717">
        <v>37</v>
      </c>
      <c r="T717" s="1" t="s">
        <v>13878</v>
      </c>
      <c r="U717" s="1" t="str">
        <f>HYPERLINK("http://ictvonline.org/taxonomy/p/taxonomy-history?taxnode_id=202109874","ICTVonline=202109874")</f>
        <v>ICTVonline=202109874</v>
      </c>
    </row>
    <row r="718" spans="1:21" x14ac:dyDescent="0.2">
      <c r="A718" s="3">
        <v>717</v>
      </c>
      <c r="B718" s="1" t="s">
        <v>4875</v>
      </c>
      <c r="D718" s="1" t="s">
        <v>4876</v>
      </c>
      <c r="F718" s="1" t="s">
        <v>4880</v>
      </c>
      <c r="H718" s="1" t="s">
        <v>4881</v>
      </c>
      <c r="L718" s="1" t="s">
        <v>9292</v>
      </c>
      <c r="N718" s="1" t="s">
        <v>2636</v>
      </c>
      <c r="P718" s="1" t="s">
        <v>6173</v>
      </c>
      <c r="Q718" s="30" t="s">
        <v>2565</v>
      </c>
      <c r="R718" s="33" t="s">
        <v>3474</v>
      </c>
      <c r="S718">
        <v>37</v>
      </c>
      <c r="T718" s="1" t="s">
        <v>13881</v>
      </c>
      <c r="U718" s="1" t="str">
        <f>HYPERLINK("http://ictvonline.org/taxonomy/p/taxonomy-history?taxnode_id=202109870","ICTVonline=202109870")</f>
        <v>ICTVonline=202109870</v>
      </c>
    </row>
    <row r="719" spans="1:21" x14ac:dyDescent="0.2">
      <c r="A719" s="3">
        <v>718</v>
      </c>
      <c r="B719" s="1" t="s">
        <v>4875</v>
      </c>
      <c r="D719" s="1" t="s">
        <v>4876</v>
      </c>
      <c r="F719" s="1" t="s">
        <v>4880</v>
      </c>
      <c r="H719" s="1" t="s">
        <v>4881</v>
      </c>
      <c r="L719" s="1" t="s">
        <v>9292</v>
      </c>
      <c r="N719" s="1" t="s">
        <v>9313</v>
      </c>
      <c r="P719" s="1" t="s">
        <v>9314</v>
      </c>
      <c r="Q719" s="30" t="s">
        <v>2565</v>
      </c>
      <c r="R719" s="33" t="s">
        <v>3472</v>
      </c>
      <c r="S719">
        <v>37</v>
      </c>
      <c r="T719" s="1" t="s">
        <v>13882</v>
      </c>
      <c r="U719" s="1" t="str">
        <f>HYPERLINK("http://ictvonline.org/taxonomy/p/taxonomy-history?taxnode_id=202113023","ICTVonline=202113023")</f>
        <v>ICTVonline=202113023</v>
      </c>
    </row>
    <row r="720" spans="1:21" x14ac:dyDescent="0.2">
      <c r="A720" s="3">
        <v>719</v>
      </c>
      <c r="B720" s="1" t="s">
        <v>4875</v>
      </c>
      <c r="D720" s="1" t="s">
        <v>4876</v>
      </c>
      <c r="F720" s="1" t="s">
        <v>4880</v>
      </c>
      <c r="H720" s="1" t="s">
        <v>4881</v>
      </c>
      <c r="L720" s="1" t="s">
        <v>9292</v>
      </c>
      <c r="N720" s="1" t="s">
        <v>9315</v>
      </c>
      <c r="P720" s="1" t="s">
        <v>9316</v>
      </c>
      <c r="Q720" s="30" t="s">
        <v>2565</v>
      </c>
      <c r="R720" s="33" t="s">
        <v>3472</v>
      </c>
      <c r="S720">
        <v>37</v>
      </c>
      <c r="T720" s="1" t="s">
        <v>13882</v>
      </c>
      <c r="U720" s="1" t="str">
        <f>HYPERLINK("http://ictvonline.org/taxonomy/p/taxonomy-history?taxnode_id=202113033","ICTVonline=202113033")</f>
        <v>ICTVonline=202113033</v>
      </c>
    </row>
    <row r="721" spans="1:21" x14ac:dyDescent="0.2">
      <c r="A721" s="3">
        <v>720</v>
      </c>
      <c r="B721" s="1" t="s">
        <v>4875</v>
      </c>
      <c r="D721" s="1" t="s">
        <v>4876</v>
      </c>
      <c r="F721" s="1" t="s">
        <v>4880</v>
      </c>
      <c r="H721" s="1" t="s">
        <v>4881</v>
      </c>
      <c r="L721" s="1" t="s">
        <v>9292</v>
      </c>
      <c r="N721" s="1" t="s">
        <v>9317</v>
      </c>
      <c r="P721" s="1" t="s">
        <v>9318</v>
      </c>
      <c r="Q721" s="30" t="s">
        <v>2565</v>
      </c>
      <c r="R721" s="33" t="s">
        <v>3472</v>
      </c>
      <c r="S721">
        <v>37</v>
      </c>
      <c r="T721" s="1" t="s">
        <v>13882</v>
      </c>
      <c r="U721" s="1" t="str">
        <f>HYPERLINK("http://ictvonline.org/taxonomy/p/taxonomy-history?taxnode_id=202113027","ICTVonline=202113027")</f>
        <v>ICTVonline=202113027</v>
      </c>
    </row>
    <row r="722" spans="1:21" x14ac:dyDescent="0.2">
      <c r="A722" s="3">
        <v>721</v>
      </c>
      <c r="B722" s="1" t="s">
        <v>4875</v>
      </c>
      <c r="D722" s="1" t="s">
        <v>4876</v>
      </c>
      <c r="F722" s="1" t="s">
        <v>4880</v>
      </c>
      <c r="H722" s="1" t="s">
        <v>4881</v>
      </c>
      <c r="L722" s="1" t="s">
        <v>9292</v>
      </c>
      <c r="N722" s="1" t="s">
        <v>9319</v>
      </c>
      <c r="P722" s="1" t="s">
        <v>9320</v>
      </c>
      <c r="Q722" s="30" t="s">
        <v>2565</v>
      </c>
      <c r="R722" s="33" t="s">
        <v>3472</v>
      </c>
      <c r="S722">
        <v>37</v>
      </c>
      <c r="T722" s="1" t="s">
        <v>13882</v>
      </c>
      <c r="U722" s="1" t="str">
        <f>HYPERLINK("http://ictvonline.org/taxonomy/p/taxonomy-history?taxnode_id=202112996","ICTVonline=202112996")</f>
        <v>ICTVonline=202112996</v>
      </c>
    </row>
    <row r="723" spans="1:21" x14ac:dyDescent="0.2">
      <c r="A723" s="3">
        <v>722</v>
      </c>
      <c r="B723" s="1" t="s">
        <v>4875</v>
      </c>
      <c r="D723" s="1" t="s">
        <v>4876</v>
      </c>
      <c r="F723" s="1" t="s">
        <v>4880</v>
      </c>
      <c r="H723" s="1" t="s">
        <v>4881</v>
      </c>
      <c r="L723" s="1" t="s">
        <v>9292</v>
      </c>
      <c r="N723" s="1" t="s">
        <v>9321</v>
      </c>
      <c r="P723" s="1" t="s">
        <v>9322</v>
      </c>
      <c r="Q723" s="30" t="s">
        <v>2565</v>
      </c>
      <c r="R723" s="33" t="s">
        <v>3472</v>
      </c>
      <c r="S723">
        <v>37</v>
      </c>
      <c r="T723" s="1" t="s">
        <v>13882</v>
      </c>
      <c r="U723" s="1" t="str">
        <f>HYPERLINK("http://ictvonline.org/taxonomy/p/taxonomy-history?taxnode_id=202113025","ICTVonline=202113025")</f>
        <v>ICTVonline=202113025</v>
      </c>
    </row>
    <row r="724" spans="1:21" x14ac:dyDescent="0.2">
      <c r="A724" s="3">
        <v>723</v>
      </c>
      <c r="B724" s="1" t="s">
        <v>4875</v>
      </c>
      <c r="D724" s="1" t="s">
        <v>4876</v>
      </c>
      <c r="F724" s="1" t="s">
        <v>4880</v>
      </c>
      <c r="H724" s="1" t="s">
        <v>4881</v>
      </c>
      <c r="L724" s="1" t="s">
        <v>9292</v>
      </c>
      <c r="N724" s="1" t="s">
        <v>9323</v>
      </c>
      <c r="P724" s="1" t="s">
        <v>9324</v>
      </c>
      <c r="Q724" s="30" t="s">
        <v>2565</v>
      </c>
      <c r="R724" s="33" t="s">
        <v>3472</v>
      </c>
      <c r="S724">
        <v>37</v>
      </c>
      <c r="T724" s="1" t="s">
        <v>13882</v>
      </c>
      <c r="U724" s="1" t="str">
        <f>HYPERLINK("http://ictvonline.org/taxonomy/p/taxonomy-history?taxnode_id=202113015","ICTVonline=202113015")</f>
        <v>ICTVonline=202113015</v>
      </c>
    </row>
    <row r="725" spans="1:21" x14ac:dyDescent="0.2">
      <c r="A725" s="3">
        <v>724</v>
      </c>
      <c r="B725" s="1" t="s">
        <v>4875</v>
      </c>
      <c r="D725" s="1" t="s">
        <v>4876</v>
      </c>
      <c r="F725" s="1" t="s">
        <v>4880</v>
      </c>
      <c r="H725" s="1" t="s">
        <v>4881</v>
      </c>
      <c r="L725" s="1" t="s">
        <v>9292</v>
      </c>
      <c r="N725" s="1" t="s">
        <v>9325</v>
      </c>
      <c r="P725" s="1" t="s">
        <v>9326</v>
      </c>
      <c r="Q725" s="30" t="s">
        <v>2565</v>
      </c>
      <c r="R725" s="33" t="s">
        <v>3472</v>
      </c>
      <c r="S725">
        <v>37</v>
      </c>
      <c r="T725" s="1" t="s">
        <v>13882</v>
      </c>
      <c r="U725" s="1" t="str">
        <f>HYPERLINK("http://ictvonline.org/taxonomy/p/taxonomy-history?taxnode_id=202113005","ICTVonline=202113005")</f>
        <v>ICTVonline=202113005</v>
      </c>
    </row>
    <row r="726" spans="1:21" x14ac:dyDescent="0.2">
      <c r="A726" s="3">
        <v>725</v>
      </c>
      <c r="B726" s="1" t="s">
        <v>4875</v>
      </c>
      <c r="D726" s="1" t="s">
        <v>4876</v>
      </c>
      <c r="F726" s="1" t="s">
        <v>4880</v>
      </c>
      <c r="H726" s="1" t="s">
        <v>4881</v>
      </c>
      <c r="L726" s="1" t="s">
        <v>9292</v>
      </c>
      <c r="N726" s="1" t="s">
        <v>9327</v>
      </c>
      <c r="P726" s="1" t="s">
        <v>9328</v>
      </c>
      <c r="Q726" s="30" t="s">
        <v>2565</v>
      </c>
      <c r="R726" s="33" t="s">
        <v>3472</v>
      </c>
      <c r="S726">
        <v>37</v>
      </c>
      <c r="T726" s="1" t="s">
        <v>13882</v>
      </c>
      <c r="U726" s="1" t="str">
        <f>HYPERLINK("http://ictvonline.org/taxonomy/p/taxonomy-history?taxnode_id=202113009","ICTVonline=202113009")</f>
        <v>ICTVonline=202113009</v>
      </c>
    </row>
    <row r="727" spans="1:21" x14ac:dyDescent="0.2">
      <c r="A727" s="3">
        <v>726</v>
      </c>
      <c r="B727" s="1" t="s">
        <v>4875</v>
      </c>
      <c r="D727" s="1" t="s">
        <v>4876</v>
      </c>
      <c r="F727" s="1" t="s">
        <v>4880</v>
      </c>
      <c r="H727" s="1" t="s">
        <v>4881</v>
      </c>
      <c r="L727" s="1" t="s">
        <v>9292</v>
      </c>
      <c r="N727" s="1" t="s">
        <v>9327</v>
      </c>
      <c r="P727" s="1" t="s">
        <v>9329</v>
      </c>
      <c r="Q727" s="30" t="s">
        <v>2565</v>
      </c>
      <c r="R727" s="33" t="s">
        <v>3472</v>
      </c>
      <c r="S727">
        <v>37</v>
      </c>
      <c r="T727" s="1" t="s">
        <v>13882</v>
      </c>
      <c r="U727" s="1" t="str">
        <f>HYPERLINK("http://ictvonline.org/taxonomy/p/taxonomy-history?taxnode_id=202113007","ICTVonline=202113007")</f>
        <v>ICTVonline=202113007</v>
      </c>
    </row>
    <row r="728" spans="1:21" x14ac:dyDescent="0.2">
      <c r="A728" s="3">
        <v>727</v>
      </c>
      <c r="B728" s="1" t="s">
        <v>4875</v>
      </c>
      <c r="D728" s="1" t="s">
        <v>4876</v>
      </c>
      <c r="F728" s="1" t="s">
        <v>4880</v>
      </c>
      <c r="H728" s="1" t="s">
        <v>4881</v>
      </c>
      <c r="L728" s="1" t="s">
        <v>9292</v>
      </c>
      <c r="N728" s="1" t="s">
        <v>9327</v>
      </c>
      <c r="P728" s="1" t="s">
        <v>9330</v>
      </c>
      <c r="Q728" s="30" t="s">
        <v>2565</v>
      </c>
      <c r="R728" s="33" t="s">
        <v>3472</v>
      </c>
      <c r="S728">
        <v>37</v>
      </c>
      <c r="T728" s="1" t="s">
        <v>13882</v>
      </c>
      <c r="U728" s="1" t="str">
        <f>HYPERLINK("http://ictvonline.org/taxonomy/p/taxonomy-history?taxnode_id=202113008","ICTVonline=202113008")</f>
        <v>ICTVonline=202113008</v>
      </c>
    </row>
    <row r="729" spans="1:21" x14ac:dyDescent="0.2">
      <c r="A729" s="3">
        <v>728</v>
      </c>
      <c r="B729" s="1" t="s">
        <v>4875</v>
      </c>
      <c r="D729" s="1" t="s">
        <v>4876</v>
      </c>
      <c r="F729" s="1" t="s">
        <v>4880</v>
      </c>
      <c r="H729" s="1" t="s">
        <v>4881</v>
      </c>
      <c r="L729" s="1" t="s">
        <v>9292</v>
      </c>
      <c r="N729" s="1" t="s">
        <v>9331</v>
      </c>
      <c r="P729" s="1" t="s">
        <v>9332</v>
      </c>
      <c r="Q729" s="30" t="s">
        <v>2565</v>
      </c>
      <c r="R729" s="33" t="s">
        <v>3472</v>
      </c>
      <c r="S729">
        <v>37</v>
      </c>
      <c r="T729" s="1" t="s">
        <v>13882</v>
      </c>
      <c r="U729" s="1" t="str">
        <f>HYPERLINK("http://ictvonline.org/taxonomy/p/taxonomy-history?taxnode_id=202113029","ICTVonline=202113029")</f>
        <v>ICTVonline=202113029</v>
      </c>
    </row>
    <row r="730" spans="1:21" x14ac:dyDescent="0.2">
      <c r="A730" s="3">
        <v>729</v>
      </c>
      <c r="B730" s="1" t="s">
        <v>4875</v>
      </c>
      <c r="D730" s="1" t="s">
        <v>4876</v>
      </c>
      <c r="F730" s="1" t="s">
        <v>4880</v>
      </c>
      <c r="H730" s="1" t="s">
        <v>4881</v>
      </c>
      <c r="L730" s="1" t="s">
        <v>9292</v>
      </c>
      <c r="N730" s="1" t="s">
        <v>4556</v>
      </c>
      <c r="P730" s="1" t="s">
        <v>4557</v>
      </c>
      <c r="Q730" s="30" t="s">
        <v>2565</v>
      </c>
      <c r="R730" s="33" t="s">
        <v>3474</v>
      </c>
      <c r="S730">
        <v>37</v>
      </c>
      <c r="T730" s="1" t="s">
        <v>13881</v>
      </c>
      <c r="U730" s="1" t="str">
        <f>HYPERLINK("http://ictvonline.org/taxonomy/p/taxonomy-history?taxnode_id=202106776","ICTVonline=202106776")</f>
        <v>ICTVonline=202106776</v>
      </c>
    </row>
    <row r="731" spans="1:21" x14ac:dyDescent="0.2">
      <c r="A731" s="3">
        <v>730</v>
      </c>
      <c r="B731" s="1" t="s">
        <v>4875</v>
      </c>
      <c r="D731" s="1" t="s">
        <v>4876</v>
      </c>
      <c r="F731" s="1" t="s">
        <v>4880</v>
      </c>
      <c r="H731" s="1" t="s">
        <v>4881</v>
      </c>
      <c r="L731" s="1" t="s">
        <v>9292</v>
      </c>
      <c r="N731" s="1" t="s">
        <v>9333</v>
      </c>
      <c r="P731" s="1" t="s">
        <v>9334</v>
      </c>
      <c r="Q731" s="30" t="s">
        <v>2565</v>
      </c>
      <c r="R731" s="33" t="s">
        <v>3472</v>
      </c>
      <c r="S731">
        <v>37</v>
      </c>
      <c r="T731" s="1" t="s">
        <v>13882</v>
      </c>
      <c r="U731" s="1" t="str">
        <f>HYPERLINK("http://ictvonline.org/taxonomy/p/taxonomy-history?taxnode_id=202113031","ICTVonline=202113031")</f>
        <v>ICTVonline=202113031</v>
      </c>
    </row>
    <row r="732" spans="1:21" x14ac:dyDescent="0.2">
      <c r="A732" s="3">
        <v>731</v>
      </c>
      <c r="B732" s="1" t="s">
        <v>4875</v>
      </c>
      <c r="D732" s="1" t="s">
        <v>4876</v>
      </c>
      <c r="F732" s="1" t="s">
        <v>4880</v>
      </c>
      <c r="H732" s="1" t="s">
        <v>4881</v>
      </c>
      <c r="L732" s="1" t="s">
        <v>9292</v>
      </c>
      <c r="N732" s="1" t="s">
        <v>9335</v>
      </c>
      <c r="P732" s="1" t="s">
        <v>9336</v>
      </c>
      <c r="Q732" s="30" t="s">
        <v>2565</v>
      </c>
      <c r="R732" s="33" t="s">
        <v>3472</v>
      </c>
      <c r="S732">
        <v>37</v>
      </c>
      <c r="T732" s="1" t="s">
        <v>13882</v>
      </c>
      <c r="U732" s="1" t="str">
        <f>HYPERLINK("http://ictvonline.org/taxonomy/p/taxonomy-history?taxnode_id=202113000","ICTVonline=202113000")</f>
        <v>ICTVonline=202113000</v>
      </c>
    </row>
    <row r="733" spans="1:21" x14ac:dyDescent="0.2">
      <c r="A733" s="3">
        <v>732</v>
      </c>
      <c r="B733" s="1" t="s">
        <v>4875</v>
      </c>
      <c r="D733" s="1" t="s">
        <v>4876</v>
      </c>
      <c r="F733" s="1" t="s">
        <v>4880</v>
      </c>
      <c r="H733" s="1" t="s">
        <v>4881</v>
      </c>
      <c r="L733" s="1" t="s">
        <v>9292</v>
      </c>
      <c r="N733" s="1" t="s">
        <v>9335</v>
      </c>
      <c r="P733" s="1" t="s">
        <v>9337</v>
      </c>
      <c r="Q733" s="30" t="s">
        <v>2565</v>
      </c>
      <c r="R733" s="33" t="s">
        <v>3472</v>
      </c>
      <c r="S733">
        <v>37</v>
      </c>
      <c r="T733" s="1" t="s">
        <v>13882</v>
      </c>
      <c r="U733" s="1" t="str">
        <f>HYPERLINK("http://ictvonline.org/taxonomy/p/taxonomy-history?taxnode_id=202113001","ICTVonline=202113001")</f>
        <v>ICTVonline=202113001</v>
      </c>
    </row>
    <row r="734" spans="1:21" x14ac:dyDescent="0.2">
      <c r="A734" s="3">
        <v>733</v>
      </c>
      <c r="B734" s="1" t="s">
        <v>4875</v>
      </c>
      <c r="D734" s="1" t="s">
        <v>4876</v>
      </c>
      <c r="F734" s="1" t="s">
        <v>4880</v>
      </c>
      <c r="H734" s="1" t="s">
        <v>4881</v>
      </c>
      <c r="L734" s="1" t="s">
        <v>9292</v>
      </c>
      <c r="N734" s="1" t="s">
        <v>9338</v>
      </c>
      <c r="P734" s="1" t="s">
        <v>9339</v>
      </c>
      <c r="Q734" s="30" t="s">
        <v>2565</v>
      </c>
      <c r="R734" s="33" t="s">
        <v>3472</v>
      </c>
      <c r="S734">
        <v>37</v>
      </c>
      <c r="T734" s="1" t="s">
        <v>13882</v>
      </c>
      <c r="U734" s="1" t="str">
        <f>HYPERLINK("http://ictvonline.org/taxonomy/p/taxonomy-history?taxnode_id=202113020","ICTVonline=202113020")</f>
        <v>ICTVonline=202113020</v>
      </c>
    </row>
    <row r="735" spans="1:21" x14ac:dyDescent="0.2">
      <c r="A735" s="3">
        <v>734</v>
      </c>
      <c r="B735" s="1" t="s">
        <v>4875</v>
      </c>
      <c r="D735" s="1" t="s">
        <v>4876</v>
      </c>
      <c r="F735" s="1" t="s">
        <v>4880</v>
      </c>
      <c r="H735" s="1" t="s">
        <v>4881</v>
      </c>
      <c r="L735" s="1" t="s">
        <v>9292</v>
      </c>
      <c r="N735" s="1" t="s">
        <v>9338</v>
      </c>
      <c r="P735" s="1" t="s">
        <v>9340</v>
      </c>
      <c r="Q735" s="30" t="s">
        <v>2565</v>
      </c>
      <c r="R735" s="33" t="s">
        <v>3472</v>
      </c>
      <c r="S735">
        <v>37</v>
      </c>
      <c r="T735" s="1" t="s">
        <v>13882</v>
      </c>
      <c r="U735" s="1" t="str">
        <f>HYPERLINK("http://ictvonline.org/taxonomy/p/taxonomy-history?taxnode_id=202113019","ICTVonline=202113019")</f>
        <v>ICTVonline=202113019</v>
      </c>
    </row>
    <row r="736" spans="1:21" x14ac:dyDescent="0.2">
      <c r="A736" s="3">
        <v>735</v>
      </c>
      <c r="B736" s="1" t="s">
        <v>4875</v>
      </c>
      <c r="D736" s="1" t="s">
        <v>4876</v>
      </c>
      <c r="F736" s="1" t="s">
        <v>4880</v>
      </c>
      <c r="H736" s="1" t="s">
        <v>4881</v>
      </c>
      <c r="L736" s="1" t="s">
        <v>9292</v>
      </c>
      <c r="N736" s="1" t="s">
        <v>9338</v>
      </c>
      <c r="P736" s="1" t="s">
        <v>9341</v>
      </c>
      <c r="Q736" s="30" t="s">
        <v>2565</v>
      </c>
      <c r="R736" s="33" t="s">
        <v>3472</v>
      </c>
      <c r="S736">
        <v>37</v>
      </c>
      <c r="T736" s="1" t="s">
        <v>13882</v>
      </c>
      <c r="U736" s="1" t="str">
        <f>HYPERLINK("http://ictvonline.org/taxonomy/p/taxonomy-history?taxnode_id=202113021","ICTVonline=202113021")</f>
        <v>ICTVonline=202113021</v>
      </c>
    </row>
    <row r="737" spans="1:21" x14ac:dyDescent="0.2">
      <c r="A737" s="3">
        <v>736</v>
      </c>
      <c r="B737" s="1" t="s">
        <v>4875</v>
      </c>
      <c r="D737" s="1" t="s">
        <v>4876</v>
      </c>
      <c r="F737" s="1" t="s">
        <v>4880</v>
      </c>
      <c r="H737" s="1" t="s">
        <v>4881</v>
      </c>
      <c r="L737" s="1" t="s">
        <v>9292</v>
      </c>
      <c r="N737" s="1" t="s">
        <v>9342</v>
      </c>
      <c r="P737" s="1" t="s">
        <v>9343</v>
      </c>
      <c r="Q737" s="30" t="s">
        <v>2565</v>
      </c>
      <c r="R737" s="33" t="s">
        <v>3472</v>
      </c>
      <c r="S737">
        <v>37</v>
      </c>
      <c r="T737" s="1" t="s">
        <v>13882</v>
      </c>
      <c r="U737" s="1" t="str">
        <f>HYPERLINK("http://ictvonline.org/taxonomy/p/taxonomy-history?taxnode_id=202112994","ICTVonline=202112994")</f>
        <v>ICTVonline=202112994</v>
      </c>
    </row>
    <row r="738" spans="1:21" x14ac:dyDescent="0.2">
      <c r="A738" s="3">
        <v>737</v>
      </c>
      <c r="B738" s="1" t="s">
        <v>4875</v>
      </c>
      <c r="D738" s="1" t="s">
        <v>4876</v>
      </c>
      <c r="F738" s="1" t="s">
        <v>4880</v>
      </c>
      <c r="H738" s="1" t="s">
        <v>4881</v>
      </c>
      <c r="L738" s="1" t="s">
        <v>9292</v>
      </c>
      <c r="N738" s="1" t="s">
        <v>9342</v>
      </c>
      <c r="P738" s="1" t="s">
        <v>9344</v>
      </c>
      <c r="Q738" s="30" t="s">
        <v>2565</v>
      </c>
      <c r="R738" s="33" t="s">
        <v>3473</v>
      </c>
      <c r="S738">
        <v>37</v>
      </c>
      <c r="T738" s="1" t="s">
        <v>13882</v>
      </c>
      <c r="U738" s="1" t="str">
        <f>HYPERLINK("http://ictvonline.org/taxonomy/p/taxonomy-history?taxnode_id=202106884","ICTVonline=202106884")</f>
        <v>ICTVonline=202106884</v>
      </c>
    </row>
    <row r="739" spans="1:21" x14ac:dyDescent="0.2">
      <c r="A739" s="3">
        <v>738</v>
      </c>
      <c r="B739" s="1" t="s">
        <v>4875</v>
      </c>
      <c r="D739" s="1" t="s">
        <v>4876</v>
      </c>
      <c r="F739" s="1" t="s">
        <v>4880</v>
      </c>
      <c r="H739" s="1" t="s">
        <v>4881</v>
      </c>
      <c r="L739" s="1" t="s">
        <v>9292</v>
      </c>
      <c r="N739" s="1" t="s">
        <v>4731</v>
      </c>
      <c r="P739" s="1" t="s">
        <v>4732</v>
      </c>
      <c r="Q739" s="30" t="s">
        <v>2565</v>
      </c>
      <c r="R739" s="33" t="s">
        <v>3474</v>
      </c>
      <c r="S739">
        <v>37</v>
      </c>
      <c r="T739" s="1" t="s">
        <v>13881</v>
      </c>
      <c r="U739" s="1" t="str">
        <f>HYPERLINK("http://ictvonline.org/taxonomy/p/taxonomy-history?taxnode_id=202106883","ICTVonline=202106883")</f>
        <v>ICTVonline=202106883</v>
      </c>
    </row>
    <row r="740" spans="1:21" x14ac:dyDescent="0.2">
      <c r="A740" s="3">
        <v>739</v>
      </c>
      <c r="B740" s="1" t="s">
        <v>4875</v>
      </c>
      <c r="D740" s="1" t="s">
        <v>4876</v>
      </c>
      <c r="F740" s="1" t="s">
        <v>4880</v>
      </c>
      <c r="H740" s="1" t="s">
        <v>4881</v>
      </c>
      <c r="L740" s="1" t="s">
        <v>9292</v>
      </c>
      <c r="N740" s="1" t="s">
        <v>9345</v>
      </c>
      <c r="P740" s="1" t="s">
        <v>9346</v>
      </c>
      <c r="Q740" s="30" t="s">
        <v>2565</v>
      </c>
      <c r="R740" s="33" t="s">
        <v>3472</v>
      </c>
      <c r="S740">
        <v>37</v>
      </c>
      <c r="T740" s="1" t="s">
        <v>13882</v>
      </c>
      <c r="U740" s="1" t="str">
        <f>HYPERLINK("http://ictvonline.org/taxonomy/p/taxonomy-history?taxnode_id=202112998","ICTVonline=202112998")</f>
        <v>ICTVonline=202112998</v>
      </c>
    </row>
    <row r="741" spans="1:21" x14ac:dyDescent="0.2">
      <c r="A741" s="3">
        <v>740</v>
      </c>
      <c r="B741" s="1" t="s">
        <v>4875</v>
      </c>
      <c r="D741" s="1" t="s">
        <v>4876</v>
      </c>
      <c r="F741" s="1" t="s">
        <v>4880</v>
      </c>
      <c r="H741" s="1" t="s">
        <v>4881</v>
      </c>
      <c r="L741" s="1" t="s">
        <v>9292</v>
      </c>
      <c r="N741" s="1" t="s">
        <v>9347</v>
      </c>
      <c r="P741" s="1" t="s">
        <v>9348</v>
      </c>
      <c r="Q741" s="30" t="s">
        <v>2565</v>
      </c>
      <c r="R741" s="33" t="s">
        <v>3472</v>
      </c>
      <c r="S741">
        <v>37</v>
      </c>
      <c r="T741" s="1" t="s">
        <v>13882</v>
      </c>
      <c r="U741" s="1" t="str">
        <f>HYPERLINK("http://ictvonline.org/taxonomy/p/taxonomy-history?taxnode_id=202112992","ICTVonline=202112992")</f>
        <v>ICTVonline=202112992</v>
      </c>
    </row>
    <row r="742" spans="1:21" x14ac:dyDescent="0.2">
      <c r="A742" s="3">
        <v>741</v>
      </c>
      <c r="B742" s="1" t="s">
        <v>4875</v>
      </c>
      <c r="D742" s="1" t="s">
        <v>4876</v>
      </c>
      <c r="F742" s="1" t="s">
        <v>4880</v>
      </c>
      <c r="H742" s="1" t="s">
        <v>4881</v>
      </c>
      <c r="L742" s="1" t="s">
        <v>9292</v>
      </c>
      <c r="N742" s="1" t="s">
        <v>9349</v>
      </c>
      <c r="P742" s="1" t="s">
        <v>9350</v>
      </c>
      <c r="Q742" s="30" t="s">
        <v>2565</v>
      </c>
      <c r="R742" s="33" t="s">
        <v>3472</v>
      </c>
      <c r="S742">
        <v>37</v>
      </c>
      <c r="T742" s="1" t="s">
        <v>13882</v>
      </c>
      <c r="U742" s="1" t="str">
        <f>HYPERLINK("http://ictvonline.org/taxonomy/p/taxonomy-history?taxnode_id=202113013","ICTVonline=202113013")</f>
        <v>ICTVonline=202113013</v>
      </c>
    </row>
    <row r="743" spans="1:21" x14ac:dyDescent="0.2">
      <c r="A743" s="3">
        <v>742</v>
      </c>
      <c r="B743" s="1" t="s">
        <v>4875</v>
      </c>
      <c r="D743" s="1" t="s">
        <v>4876</v>
      </c>
      <c r="F743" s="1" t="s">
        <v>4880</v>
      </c>
      <c r="H743" s="1" t="s">
        <v>4881</v>
      </c>
      <c r="L743" s="1" t="s">
        <v>9292</v>
      </c>
      <c r="N743" s="1" t="s">
        <v>9349</v>
      </c>
      <c r="P743" s="1" t="s">
        <v>9351</v>
      </c>
      <c r="Q743" s="30" t="s">
        <v>2565</v>
      </c>
      <c r="R743" s="33" t="s">
        <v>3472</v>
      </c>
      <c r="S743">
        <v>37</v>
      </c>
      <c r="T743" s="1" t="s">
        <v>13882</v>
      </c>
      <c r="U743" s="1" t="str">
        <f>HYPERLINK("http://ictvonline.org/taxonomy/p/taxonomy-history?taxnode_id=202113012","ICTVonline=202113012")</f>
        <v>ICTVonline=202113012</v>
      </c>
    </row>
    <row r="744" spans="1:21" x14ac:dyDescent="0.2">
      <c r="A744" s="3">
        <v>743</v>
      </c>
      <c r="B744" s="1" t="s">
        <v>4875</v>
      </c>
      <c r="D744" s="1" t="s">
        <v>4876</v>
      </c>
      <c r="F744" s="1" t="s">
        <v>4880</v>
      </c>
      <c r="H744" s="1" t="s">
        <v>4881</v>
      </c>
      <c r="L744" s="1" t="s">
        <v>9292</v>
      </c>
      <c r="N744" s="1" t="s">
        <v>9349</v>
      </c>
      <c r="P744" s="1" t="s">
        <v>9352</v>
      </c>
      <c r="Q744" s="30" t="s">
        <v>2565</v>
      </c>
      <c r="R744" s="33" t="s">
        <v>3472</v>
      </c>
      <c r="S744">
        <v>37</v>
      </c>
      <c r="T744" s="1" t="s">
        <v>13882</v>
      </c>
      <c r="U744" s="1" t="str">
        <f>HYPERLINK("http://ictvonline.org/taxonomy/p/taxonomy-history?taxnode_id=202113011","ICTVonline=202113011")</f>
        <v>ICTVonline=202113011</v>
      </c>
    </row>
    <row r="745" spans="1:21" x14ac:dyDescent="0.2">
      <c r="A745" s="3">
        <v>744</v>
      </c>
      <c r="B745" s="1" t="s">
        <v>4875</v>
      </c>
      <c r="D745" s="1" t="s">
        <v>4876</v>
      </c>
      <c r="F745" s="1" t="s">
        <v>4880</v>
      </c>
      <c r="H745" s="1" t="s">
        <v>4881</v>
      </c>
      <c r="L745" s="1" t="s">
        <v>9292</v>
      </c>
      <c r="N745" s="1" t="s">
        <v>6254</v>
      </c>
      <c r="P745" s="1" t="s">
        <v>9353</v>
      </c>
      <c r="Q745" s="30" t="s">
        <v>2565</v>
      </c>
      <c r="R745" s="33" t="s">
        <v>3473</v>
      </c>
      <c r="S745">
        <v>37</v>
      </c>
      <c r="T745" s="1" t="s">
        <v>13882</v>
      </c>
      <c r="U745" s="1" t="str">
        <f>HYPERLINK("http://ictvonline.org/taxonomy/p/taxonomy-history?taxnode_id=202112126","ICTVonline=202112126")</f>
        <v>ICTVonline=202112126</v>
      </c>
    </row>
    <row r="746" spans="1:21" x14ac:dyDescent="0.2">
      <c r="A746" s="3">
        <v>745</v>
      </c>
      <c r="B746" s="1" t="s">
        <v>4875</v>
      </c>
      <c r="D746" s="1" t="s">
        <v>4876</v>
      </c>
      <c r="F746" s="1" t="s">
        <v>4880</v>
      </c>
      <c r="H746" s="1" t="s">
        <v>4881</v>
      </c>
      <c r="L746" s="1" t="s">
        <v>9292</v>
      </c>
      <c r="N746" s="1" t="s">
        <v>6254</v>
      </c>
      <c r="P746" s="1" t="s">
        <v>9354</v>
      </c>
      <c r="Q746" s="30" t="s">
        <v>2565</v>
      </c>
      <c r="R746" s="33" t="s">
        <v>3473</v>
      </c>
      <c r="S746">
        <v>37</v>
      </c>
      <c r="T746" s="1" t="s">
        <v>13882</v>
      </c>
      <c r="U746" s="1" t="str">
        <f>HYPERLINK("http://ictvonline.org/taxonomy/p/taxonomy-history?taxnode_id=202112127","ICTVonline=202112127")</f>
        <v>ICTVonline=202112127</v>
      </c>
    </row>
    <row r="747" spans="1:21" x14ac:dyDescent="0.2">
      <c r="A747" s="3">
        <v>746</v>
      </c>
      <c r="B747" s="1" t="s">
        <v>4875</v>
      </c>
      <c r="D747" s="1" t="s">
        <v>4876</v>
      </c>
      <c r="F747" s="1" t="s">
        <v>4880</v>
      </c>
      <c r="H747" s="1" t="s">
        <v>4881</v>
      </c>
      <c r="L747" s="1" t="s">
        <v>9292</v>
      </c>
      <c r="N747" s="1" t="s">
        <v>6254</v>
      </c>
      <c r="P747" s="1" t="s">
        <v>9355</v>
      </c>
      <c r="Q747" s="30" t="s">
        <v>2565</v>
      </c>
      <c r="R747" s="33" t="s">
        <v>3473</v>
      </c>
      <c r="S747">
        <v>37</v>
      </c>
      <c r="T747" s="1" t="s">
        <v>13882</v>
      </c>
      <c r="U747" s="1" t="str">
        <f>HYPERLINK("http://ictvonline.org/taxonomy/p/taxonomy-history?taxnode_id=202112128","ICTVonline=202112128")</f>
        <v>ICTVonline=202112128</v>
      </c>
    </row>
    <row r="748" spans="1:21" x14ac:dyDescent="0.2">
      <c r="A748" s="3">
        <v>747</v>
      </c>
      <c r="B748" s="1" t="s">
        <v>4875</v>
      </c>
      <c r="D748" s="1" t="s">
        <v>4876</v>
      </c>
      <c r="F748" s="1" t="s">
        <v>4880</v>
      </c>
      <c r="H748" s="1" t="s">
        <v>4881</v>
      </c>
      <c r="L748" s="1" t="s">
        <v>9292</v>
      </c>
      <c r="N748" s="1" t="s">
        <v>9356</v>
      </c>
      <c r="P748" s="1" t="s">
        <v>9357</v>
      </c>
      <c r="Q748" s="30" t="s">
        <v>2565</v>
      </c>
      <c r="R748" s="33" t="s">
        <v>3472</v>
      </c>
      <c r="S748">
        <v>37</v>
      </c>
      <c r="T748" s="1" t="s">
        <v>13882</v>
      </c>
      <c r="U748" s="1" t="str">
        <f>HYPERLINK("http://ictvonline.org/taxonomy/p/taxonomy-history?taxnode_id=202113017","ICTVonline=202113017")</f>
        <v>ICTVonline=202113017</v>
      </c>
    </row>
    <row r="749" spans="1:21" x14ac:dyDescent="0.2">
      <c r="A749" s="3">
        <v>748</v>
      </c>
      <c r="B749" s="1" t="s">
        <v>4875</v>
      </c>
      <c r="D749" s="1" t="s">
        <v>4876</v>
      </c>
      <c r="F749" s="1" t="s">
        <v>4880</v>
      </c>
      <c r="H749" s="1" t="s">
        <v>4881</v>
      </c>
      <c r="L749" s="1" t="s">
        <v>5031</v>
      </c>
      <c r="M749" s="1" t="s">
        <v>5960</v>
      </c>
      <c r="N749" s="1" t="s">
        <v>5032</v>
      </c>
      <c r="P749" s="1" t="s">
        <v>9358</v>
      </c>
      <c r="Q749" s="30" t="s">
        <v>2565</v>
      </c>
      <c r="R749" s="33" t="s">
        <v>3473</v>
      </c>
      <c r="S749">
        <v>37</v>
      </c>
      <c r="T749" s="1" t="s">
        <v>13878</v>
      </c>
      <c r="U749" s="1" t="str">
        <f>HYPERLINK("http://ictvonline.org/taxonomy/p/taxonomy-history?taxnode_id=202109855","ICTVonline=202109855")</f>
        <v>ICTVonline=202109855</v>
      </c>
    </row>
    <row r="750" spans="1:21" x14ac:dyDescent="0.2">
      <c r="A750" s="3">
        <v>749</v>
      </c>
      <c r="B750" s="1" t="s">
        <v>4875</v>
      </c>
      <c r="D750" s="1" t="s">
        <v>4876</v>
      </c>
      <c r="F750" s="1" t="s">
        <v>4880</v>
      </c>
      <c r="H750" s="1" t="s">
        <v>4881</v>
      </c>
      <c r="L750" s="1" t="s">
        <v>5031</v>
      </c>
      <c r="M750" s="1" t="s">
        <v>5960</v>
      </c>
      <c r="N750" s="1" t="s">
        <v>5032</v>
      </c>
      <c r="P750" s="1" t="s">
        <v>9359</v>
      </c>
      <c r="Q750" s="30" t="s">
        <v>2565</v>
      </c>
      <c r="R750" s="33" t="s">
        <v>3473</v>
      </c>
      <c r="S750">
        <v>37</v>
      </c>
      <c r="T750" s="1" t="s">
        <v>13878</v>
      </c>
      <c r="U750" s="1" t="str">
        <f>HYPERLINK("http://ictvonline.org/taxonomy/p/taxonomy-history?taxnode_id=202107739","ICTVonline=202107739")</f>
        <v>ICTVonline=202107739</v>
      </c>
    </row>
    <row r="751" spans="1:21" x14ac:dyDescent="0.2">
      <c r="A751" s="3">
        <v>750</v>
      </c>
      <c r="B751" s="1" t="s">
        <v>4875</v>
      </c>
      <c r="D751" s="1" t="s">
        <v>4876</v>
      </c>
      <c r="F751" s="1" t="s">
        <v>4880</v>
      </c>
      <c r="H751" s="1" t="s">
        <v>4881</v>
      </c>
      <c r="L751" s="1" t="s">
        <v>5031</v>
      </c>
      <c r="M751" s="1" t="s">
        <v>5960</v>
      </c>
      <c r="N751" s="1" t="s">
        <v>5032</v>
      </c>
      <c r="P751" s="1" t="s">
        <v>9360</v>
      </c>
      <c r="Q751" s="30" t="s">
        <v>2565</v>
      </c>
      <c r="R751" s="33" t="s">
        <v>3473</v>
      </c>
      <c r="S751">
        <v>37</v>
      </c>
      <c r="T751" s="1" t="s">
        <v>13878</v>
      </c>
      <c r="U751" s="1" t="str">
        <f>HYPERLINK("http://ictvonline.org/taxonomy/p/taxonomy-history?taxnode_id=202109854","ICTVonline=202109854")</f>
        <v>ICTVonline=202109854</v>
      </c>
    </row>
    <row r="752" spans="1:21" x14ac:dyDescent="0.2">
      <c r="A752" s="3">
        <v>751</v>
      </c>
      <c r="B752" s="1" t="s">
        <v>4875</v>
      </c>
      <c r="D752" s="1" t="s">
        <v>4876</v>
      </c>
      <c r="F752" s="1" t="s">
        <v>4880</v>
      </c>
      <c r="H752" s="1" t="s">
        <v>4881</v>
      </c>
      <c r="L752" s="1" t="s">
        <v>5031</v>
      </c>
      <c r="M752" s="1" t="s">
        <v>5960</v>
      </c>
      <c r="N752" s="1" t="s">
        <v>5032</v>
      </c>
      <c r="P752" s="1" t="s">
        <v>9361</v>
      </c>
      <c r="Q752" s="30" t="s">
        <v>2565</v>
      </c>
      <c r="R752" s="33" t="s">
        <v>3473</v>
      </c>
      <c r="S752">
        <v>37</v>
      </c>
      <c r="T752" s="1" t="s">
        <v>13878</v>
      </c>
      <c r="U752" s="1" t="str">
        <f>HYPERLINK("http://ictvonline.org/taxonomy/p/taxonomy-history?taxnode_id=202107740","ICTVonline=202107740")</f>
        <v>ICTVonline=202107740</v>
      </c>
    </row>
    <row r="753" spans="1:21" x14ac:dyDescent="0.2">
      <c r="A753" s="3">
        <v>752</v>
      </c>
      <c r="B753" s="1" t="s">
        <v>4875</v>
      </c>
      <c r="D753" s="1" t="s">
        <v>4876</v>
      </c>
      <c r="F753" s="1" t="s">
        <v>4880</v>
      </c>
      <c r="H753" s="1" t="s">
        <v>4881</v>
      </c>
      <c r="L753" s="1" t="s">
        <v>5031</v>
      </c>
      <c r="M753" s="1" t="s">
        <v>5960</v>
      </c>
      <c r="N753" s="1" t="s">
        <v>5033</v>
      </c>
      <c r="P753" s="1" t="s">
        <v>9362</v>
      </c>
      <c r="Q753" s="30" t="s">
        <v>2565</v>
      </c>
      <c r="R753" s="33" t="s">
        <v>3473</v>
      </c>
      <c r="S753">
        <v>37</v>
      </c>
      <c r="T753" s="1" t="s">
        <v>13878</v>
      </c>
      <c r="U753" s="1" t="str">
        <f>HYPERLINK("http://ictvonline.org/taxonomy/p/taxonomy-history?taxnode_id=202107742","ICTVonline=202107742")</f>
        <v>ICTVonline=202107742</v>
      </c>
    </row>
    <row r="754" spans="1:21" x14ac:dyDescent="0.2">
      <c r="A754" s="3">
        <v>753</v>
      </c>
      <c r="B754" s="1" t="s">
        <v>4875</v>
      </c>
      <c r="D754" s="1" t="s">
        <v>4876</v>
      </c>
      <c r="F754" s="1" t="s">
        <v>4880</v>
      </c>
      <c r="H754" s="1" t="s">
        <v>4881</v>
      </c>
      <c r="L754" s="1" t="s">
        <v>5031</v>
      </c>
      <c r="M754" s="1" t="s">
        <v>5960</v>
      </c>
      <c r="N754" s="1" t="s">
        <v>5034</v>
      </c>
      <c r="P754" s="1" t="s">
        <v>9363</v>
      </c>
      <c r="Q754" s="30" t="s">
        <v>2565</v>
      </c>
      <c r="R754" s="33" t="s">
        <v>3473</v>
      </c>
      <c r="S754">
        <v>37</v>
      </c>
      <c r="T754" s="1" t="s">
        <v>13878</v>
      </c>
      <c r="U754" s="1" t="str">
        <f>HYPERLINK("http://ictvonline.org/taxonomy/p/taxonomy-history?taxnode_id=202109858","ICTVonline=202109858")</f>
        <v>ICTVonline=202109858</v>
      </c>
    </row>
    <row r="755" spans="1:21" x14ac:dyDescent="0.2">
      <c r="A755" s="3">
        <v>754</v>
      </c>
      <c r="B755" s="1" t="s">
        <v>4875</v>
      </c>
      <c r="D755" s="1" t="s">
        <v>4876</v>
      </c>
      <c r="F755" s="1" t="s">
        <v>4880</v>
      </c>
      <c r="H755" s="1" t="s">
        <v>4881</v>
      </c>
      <c r="L755" s="1" t="s">
        <v>5031</v>
      </c>
      <c r="M755" s="1" t="s">
        <v>5960</v>
      </c>
      <c r="N755" s="1" t="s">
        <v>5034</v>
      </c>
      <c r="P755" s="1" t="s">
        <v>9364</v>
      </c>
      <c r="Q755" s="30" t="s">
        <v>2565</v>
      </c>
      <c r="R755" s="33" t="s">
        <v>3473</v>
      </c>
      <c r="S755">
        <v>37</v>
      </c>
      <c r="T755" s="1" t="s">
        <v>13878</v>
      </c>
      <c r="U755" s="1" t="str">
        <f>HYPERLINK("http://ictvonline.org/taxonomy/p/taxonomy-history?taxnode_id=202107752","ICTVonline=202107752")</f>
        <v>ICTVonline=202107752</v>
      </c>
    </row>
    <row r="756" spans="1:21" x14ac:dyDescent="0.2">
      <c r="A756" s="3">
        <v>755</v>
      </c>
      <c r="B756" s="1" t="s">
        <v>4875</v>
      </c>
      <c r="D756" s="1" t="s">
        <v>4876</v>
      </c>
      <c r="F756" s="1" t="s">
        <v>4880</v>
      </c>
      <c r="H756" s="1" t="s">
        <v>4881</v>
      </c>
      <c r="L756" s="1" t="s">
        <v>5031</v>
      </c>
      <c r="M756" s="1" t="s">
        <v>5960</v>
      </c>
      <c r="N756" s="1" t="s">
        <v>5961</v>
      </c>
      <c r="P756" s="1" t="s">
        <v>9365</v>
      </c>
      <c r="Q756" s="30" t="s">
        <v>2565</v>
      </c>
      <c r="R756" s="33" t="s">
        <v>3473</v>
      </c>
      <c r="S756">
        <v>37</v>
      </c>
      <c r="T756" s="1" t="s">
        <v>13878</v>
      </c>
      <c r="U756" s="1" t="str">
        <f>HYPERLINK("http://ictvonline.org/taxonomy/p/taxonomy-history?taxnode_id=202109857","ICTVonline=202109857")</f>
        <v>ICTVonline=202109857</v>
      </c>
    </row>
    <row r="757" spans="1:21" x14ac:dyDescent="0.2">
      <c r="A757" s="3">
        <v>756</v>
      </c>
      <c r="B757" s="1" t="s">
        <v>4875</v>
      </c>
      <c r="D757" s="1" t="s">
        <v>4876</v>
      </c>
      <c r="F757" s="1" t="s">
        <v>4880</v>
      </c>
      <c r="H757" s="1" t="s">
        <v>4881</v>
      </c>
      <c r="L757" s="1" t="s">
        <v>5031</v>
      </c>
      <c r="M757" s="1" t="s">
        <v>5960</v>
      </c>
      <c r="N757" s="1" t="s">
        <v>5962</v>
      </c>
      <c r="P757" s="1" t="s">
        <v>9366</v>
      </c>
      <c r="Q757" s="30" t="s">
        <v>2565</v>
      </c>
      <c r="R757" s="33" t="s">
        <v>3473</v>
      </c>
      <c r="S757">
        <v>37</v>
      </c>
      <c r="T757" s="1" t="s">
        <v>13878</v>
      </c>
      <c r="U757" s="1" t="str">
        <f>HYPERLINK("http://ictvonline.org/taxonomy/p/taxonomy-history?taxnode_id=202109860","ICTVonline=202109860")</f>
        <v>ICTVonline=202109860</v>
      </c>
    </row>
    <row r="758" spans="1:21" x14ac:dyDescent="0.2">
      <c r="A758" s="3">
        <v>757</v>
      </c>
      <c r="B758" s="1" t="s">
        <v>4875</v>
      </c>
      <c r="D758" s="1" t="s">
        <v>4876</v>
      </c>
      <c r="F758" s="1" t="s">
        <v>4880</v>
      </c>
      <c r="H758" s="1" t="s">
        <v>4881</v>
      </c>
      <c r="L758" s="1" t="s">
        <v>5031</v>
      </c>
      <c r="M758" s="1" t="s">
        <v>5960</v>
      </c>
      <c r="N758" s="1" t="s">
        <v>5036</v>
      </c>
      <c r="P758" s="1" t="s">
        <v>9367</v>
      </c>
      <c r="Q758" s="30" t="s">
        <v>2565</v>
      </c>
      <c r="R758" s="33" t="s">
        <v>3473</v>
      </c>
      <c r="S758">
        <v>37</v>
      </c>
      <c r="T758" s="1" t="s">
        <v>13878</v>
      </c>
      <c r="U758" s="1" t="str">
        <f>HYPERLINK("http://ictvonline.org/taxonomy/p/taxonomy-history?taxnode_id=202107744","ICTVonline=202107744")</f>
        <v>ICTVonline=202107744</v>
      </c>
    </row>
    <row r="759" spans="1:21" x14ac:dyDescent="0.2">
      <c r="A759" s="3">
        <v>758</v>
      </c>
      <c r="B759" s="1" t="s">
        <v>4875</v>
      </c>
      <c r="D759" s="1" t="s">
        <v>4876</v>
      </c>
      <c r="F759" s="1" t="s">
        <v>4880</v>
      </c>
      <c r="H759" s="1" t="s">
        <v>4881</v>
      </c>
      <c r="L759" s="1" t="s">
        <v>5031</v>
      </c>
      <c r="M759" s="1" t="s">
        <v>5960</v>
      </c>
      <c r="N759" s="1" t="s">
        <v>5036</v>
      </c>
      <c r="P759" s="1" t="s">
        <v>9368</v>
      </c>
      <c r="Q759" s="30" t="s">
        <v>2565</v>
      </c>
      <c r="R759" s="33" t="s">
        <v>3473</v>
      </c>
      <c r="S759">
        <v>37</v>
      </c>
      <c r="T759" s="1" t="s">
        <v>13878</v>
      </c>
      <c r="U759" s="1" t="str">
        <f>HYPERLINK("http://ictvonline.org/taxonomy/p/taxonomy-history?taxnode_id=202107745","ICTVonline=202107745")</f>
        <v>ICTVonline=202107745</v>
      </c>
    </row>
    <row r="760" spans="1:21" x14ac:dyDescent="0.2">
      <c r="A760" s="3">
        <v>759</v>
      </c>
      <c r="B760" s="1" t="s">
        <v>4875</v>
      </c>
      <c r="D760" s="1" t="s">
        <v>4876</v>
      </c>
      <c r="F760" s="1" t="s">
        <v>4880</v>
      </c>
      <c r="H760" s="1" t="s">
        <v>4881</v>
      </c>
      <c r="L760" s="1" t="s">
        <v>5031</v>
      </c>
      <c r="M760" s="1" t="s">
        <v>5963</v>
      </c>
      <c r="N760" s="1" t="s">
        <v>5035</v>
      </c>
      <c r="P760" s="1" t="s">
        <v>9369</v>
      </c>
      <c r="Q760" s="30" t="s">
        <v>2565</v>
      </c>
      <c r="R760" s="33" t="s">
        <v>3473</v>
      </c>
      <c r="S760">
        <v>37</v>
      </c>
      <c r="T760" s="1" t="s">
        <v>13878</v>
      </c>
      <c r="U760" s="1" t="str">
        <f>HYPERLINK("http://ictvonline.org/taxonomy/p/taxonomy-history?taxnode_id=202107750","ICTVonline=202107750")</f>
        <v>ICTVonline=202107750</v>
      </c>
    </row>
    <row r="761" spans="1:21" x14ac:dyDescent="0.2">
      <c r="A761" s="3">
        <v>760</v>
      </c>
      <c r="B761" s="1" t="s">
        <v>4875</v>
      </c>
      <c r="D761" s="1" t="s">
        <v>4876</v>
      </c>
      <c r="F761" s="1" t="s">
        <v>4880</v>
      </c>
      <c r="H761" s="1" t="s">
        <v>4881</v>
      </c>
      <c r="L761" s="1" t="s">
        <v>5031</v>
      </c>
      <c r="M761" s="1" t="s">
        <v>5963</v>
      </c>
      <c r="N761" s="1" t="s">
        <v>5037</v>
      </c>
      <c r="P761" s="1" t="s">
        <v>9370</v>
      </c>
      <c r="Q761" s="30" t="s">
        <v>2565</v>
      </c>
      <c r="R761" s="33" t="s">
        <v>3473</v>
      </c>
      <c r="S761">
        <v>37</v>
      </c>
      <c r="T761" s="1" t="s">
        <v>13878</v>
      </c>
      <c r="U761" s="1" t="str">
        <f>HYPERLINK("http://ictvonline.org/taxonomy/p/taxonomy-history?taxnode_id=202107747","ICTVonline=202107747")</f>
        <v>ICTVonline=202107747</v>
      </c>
    </row>
    <row r="762" spans="1:21" x14ac:dyDescent="0.2">
      <c r="A762" s="3">
        <v>761</v>
      </c>
      <c r="B762" s="1" t="s">
        <v>4875</v>
      </c>
      <c r="D762" s="1" t="s">
        <v>4876</v>
      </c>
      <c r="F762" s="1" t="s">
        <v>4880</v>
      </c>
      <c r="H762" s="1" t="s">
        <v>4881</v>
      </c>
      <c r="L762" s="1" t="s">
        <v>5031</v>
      </c>
      <c r="M762" s="1" t="s">
        <v>5963</v>
      </c>
      <c r="N762" s="1" t="s">
        <v>5037</v>
      </c>
      <c r="P762" s="1" t="s">
        <v>9371</v>
      </c>
      <c r="Q762" s="30" t="s">
        <v>2565</v>
      </c>
      <c r="R762" s="33" t="s">
        <v>3473</v>
      </c>
      <c r="S762">
        <v>37</v>
      </c>
      <c r="T762" s="1" t="s">
        <v>13878</v>
      </c>
      <c r="U762" s="1" t="str">
        <f>HYPERLINK("http://ictvonline.org/taxonomy/p/taxonomy-history?taxnode_id=202107748","ICTVonline=202107748")</f>
        <v>ICTVonline=202107748</v>
      </c>
    </row>
    <row r="763" spans="1:21" x14ac:dyDescent="0.2">
      <c r="A763" s="3">
        <v>762</v>
      </c>
      <c r="B763" s="1" t="s">
        <v>4875</v>
      </c>
      <c r="D763" s="1" t="s">
        <v>4876</v>
      </c>
      <c r="F763" s="1" t="s">
        <v>4880</v>
      </c>
      <c r="H763" s="1" t="s">
        <v>4881</v>
      </c>
      <c r="L763" s="1" t="s">
        <v>5038</v>
      </c>
      <c r="M763" s="1" t="s">
        <v>5039</v>
      </c>
      <c r="N763" s="1" t="s">
        <v>4656</v>
      </c>
      <c r="P763" s="1" t="s">
        <v>9372</v>
      </c>
      <c r="Q763" s="30" t="s">
        <v>2565</v>
      </c>
      <c r="R763" s="33" t="s">
        <v>3473</v>
      </c>
      <c r="S763">
        <v>37</v>
      </c>
      <c r="T763" s="1" t="s">
        <v>13878</v>
      </c>
      <c r="U763" s="1" t="str">
        <f>HYPERLINK("http://ictvonline.org/taxonomy/p/taxonomy-history?taxnode_id=202107086","ICTVonline=202107086")</f>
        <v>ICTVonline=202107086</v>
      </c>
    </row>
    <row r="764" spans="1:21" x14ac:dyDescent="0.2">
      <c r="A764" s="3">
        <v>763</v>
      </c>
      <c r="B764" s="1" t="s">
        <v>4875</v>
      </c>
      <c r="D764" s="1" t="s">
        <v>4876</v>
      </c>
      <c r="F764" s="1" t="s">
        <v>4880</v>
      </c>
      <c r="H764" s="1" t="s">
        <v>4881</v>
      </c>
      <c r="L764" s="1" t="s">
        <v>5038</v>
      </c>
      <c r="M764" s="1" t="s">
        <v>5039</v>
      </c>
      <c r="N764" s="1" t="s">
        <v>4692</v>
      </c>
      <c r="P764" s="1" t="s">
        <v>9373</v>
      </c>
      <c r="Q764" s="30" t="s">
        <v>2565</v>
      </c>
      <c r="R764" s="33" t="s">
        <v>3473</v>
      </c>
      <c r="S764">
        <v>37</v>
      </c>
      <c r="T764" s="1" t="s">
        <v>13878</v>
      </c>
      <c r="U764" s="1" t="str">
        <f>HYPERLINK("http://ictvonline.org/taxonomy/p/taxonomy-history?taxnode_id=202106955","ICTVonline=202106955")</f>
        <v>ICTVonline=202106955</v>
      </c>
    </row>
    <row r="765" spans="1:21" x14ac:dyDescent="0.2">
      <c r="A765" s="3">
        <v>764</v>
      </c>
      <c r="B765" s="1" t="s">
        <v>4875</v>
      </c>
      <c r="D765" s="1" t="s">
        <v>4876</v>
      </c>
      <c r="F765" s="1" t="s">
        <v>4880</v>
      </c>
      <c r="H765" s="1" t="s">
        <v>4881</v>
      </c>
      <c r="L765" s="1" t="s">
        <v>5038</v>
      </c>
      <c r="M765" s="1" t="s">
        <v>5039</v>
      </c>
      <c r="N765" s="1" t="s">
        <v>4692</v>
      </c>
      <c r="P765" s="1" t="s">
        <v>9374</v>
      </c>
      <c r="Q765" s="30" t="s">
        <v>2565</v>
      </c>
      <c r="R765" s="33" t="s">
        <v>3473</v>
      </c>
      <c r="S765">
        <v>37</v>
      </c>
      <c r="T765" s="1" t="s">
        <v>13878</v>
      </c>
      <c r="U765" s="1" t="str">
        <f>HYPERLINK("http://ictvonline.org/taxonomy/p/taxonomy-history?taxnode_id=202108127","ICTVonline=202108127")</f>
        <v>ICTVonline=202108127</v>
      </c>
    </row>
    <row r="766" spans="1:21" x14ac:dyDescent="0.2">
      <c r="A766" s="3">
        <v>765</v>
      </c>
      <c r="B766" s="1" t="s">
        <v>4875</v>
      </c>
      <c r="D766" s="1" t="s">
        <v>4876</v>
      </c>
      <c r="F766" s="1" t="s">
        <v>4880</v>
      </c>
      <c r="H766" s="1" t="s">
        <v>4881</v>
      </c>
      <c r="L766" s="1" t="s">
        <v>5038</v>
      </c>
      <c r="M766" s="1" t="s">
        <v>5039</v>
      </c>
      <c r="N766" s="1" t="s">
        <v>4692</v>
      </c>
      <c r="P766" s="1" t="s">
        <v>9375</v>
      </c>
      <c r="Q766" s="30" t="s">
        <v>2565</v>
      </c>
      <c r="R766" s="33" t="s">
        <v>3473</v>
      </c>
      <c r="S766">
        <v>37</v>
      </c>
      <c r="T766" s="1" t="s">
        <v>13878</v>
      </c>
      <c r="U766" s="1" t="str">
        <f>HYPERLINK("http://ictvonline.org/taxonomy/p/taxonomy-history?taxnode_id=202106956","ICTVonline=202106956")</f>
        <v>ICTVonline=202106956</v>
      </c>
    </row>
    <row r="767" spans="1:21" x14ac:dyDescent="0.2">
      <c r="A767" s="3">
        <v>766</v>
      </c>
      <c r="B767" s="1" t="s">
        <v>4875</v>
      </c>
      <c r="D767" s="1" t="s">
        <v>4876</v>
      </c>
      <c r="F767" s="1" t="s">
        <v>4880</v>
      </c>
      <c r="H767" s="1" t="s">
        <v>4881</v>
      </c>
      <c r="L767" s="1" t="s">
        <v>5038</v>
      </c>
      <c r="M767" s="1" t="s">
        <v>5039</v>
      </c>
      <c r="N767" s="1" t="s">
        <v>9376</v>
      </c>
      <c r="P767" s="1" t="s">
        <v>9377</v>
      </c>
      <c r="Q767" s="30" t="s">
        <v>2565</v>
      </c>
      <c r="R767" s="33" t="s">
        <v>3472</v>
      </c>
      <c r="S767">
        <v>37</v>
      </c>
      <c r="T767" s="1" t="s">
        <v>13883</v>
      </c>
      <c r="U767" s="1" t="str">
        <f>HYPERLINK("http://ictvonline.org/taxonomy/p/taxonomy-history?taxnode_id=202113507","ICTVonline=202113507")</f>
        <v>ICTVonline=202113507</v>
      </c>
    </row>
    <row r="768" spans="1:21" x14ac:dyDescent="0.2">
      <c r="A768" s="3">
        <v>767</v>
      </c>
      <c r="B768" s="1" t="s">
        <v>4875</v>
      </c>
      <c r="D768" s="1" t="s">
        <v>4876</v>
      </c>
      <c r="F768" s="1" t="s">
        <v>4880</v>
      </c>
      <c r="H768" s="1" t="s">
        <v>4881</v>
      </c>
      <c r="L768" s="1" t="s">
        <v>5038</v>
      </c>
      <c r="M768" s="1" t="s">
        <v>5039</v>
      </c>
      <c r="N768" s="1" t="s">
        <v>9376</v>
      </c>
      <c r="P768" s="1" t="s">
        <v>9378</v>
      </c>
      <c r="Q768" s="30" t="s">
        <v>2565</v>
      </c>
      <c r="R768" s="33" t="s">
        <v>3472</v>
      </c>
      <c r="S768">
        <v>37</v>
      </c>
      <c r="T768" s="1" t="s">
        <v>13883</v>
      </c>
      <c r="U768" s="1" t="str">
        <f>HYPERLINK("http://ictvonline.org/taxonomy/p/taxonomy-history?taxnode_id=202113512","ICTVonline=202113512")</f>
        <v>ICTVonline=202113512</v>
      </c>
    </row>
    <row r="769" spans="1:21" x14ac:dyDescent="0.2">
      <c r="A769" s="3">
        <v>768</v>
      </c>
      <c r="B769" s="1" t="s">
        <v>4875</v>
      </c>
      <c r="D769" s="1" t="s">
        <v>4876</v>
      </c>
      <c r="F769" s="1" t="s">
        <v>4880</v>
      </c>
      <c r="H769" s="1" t="s">
        <v>4881</v>
      </c>
      <c r="L769" s="1" t="s">
        <v>5038</v>
      </c>
      <c r="M769" s="1" t="s">
        <v>5039</v>
      </c>
      <c r="N769" s="1" t="s">
        <v>9376</v>
      </c>
      <c r="P769" s="1" t="s">
        <v>9379</v>
      </c>
      <c r="Q769" s="30" t="s">
        <v>2565</v>
      </c>
      <c r="R769" s="33" t="s">
        <v>3472</v>
      </c>
      <c r="S769">
        <v>37</v>
      </c>
      <c r="T769" s="1" t="s">
        <v>13883</v>
      </c>
      <c r="U769" s="1" t="str">
        <f>HYPERLINK("http://ictvonline.org/taxonomy/p/taxonomy-history?taxnode_id=202113510","ICTVonline=202113510")</f>
        <v>ICTVonline=202113510</v>
      </c>
    </row>
    <row r="770" spans="1:21" x14ac:dyDescent="0.2">
      <c r="A770" s="3">
        <v>769</v>
      </c>
      <c r="B770" s="1" t="s">
        <v>4875</v>
      </c>
      <c r="D770" s="1" t="s">
        <v>4876</v>
      </c>
      <c r="F770" s="1" t="s">
        <v>4880</v>
      </c>
      <c r="H770" s="1" t="s">
        <v>4881</v>
      </c>
      <c r="L770" s="1" t="s">
        <v>5038</v>
      </c>
      <c r="M770" s="1" t="s">
        <v>5039</v>
      </c>
      <c r="N770" s="1" t="s">
        <v>9376</v>
      </c>
      <c r="P770" s="1" t="s">
        <v>9380</v>
      </c>
      <c r="Q770" s="30" t="s">
        <v>2565</v>
      </c>
      <c r="R770" s="33" t="s">
        <v>3472</v>
      </c>
      <c r="S770">
        <v>37</v>
      </c>
      <c r="T770" s="1" t="s">
        <v>13883</v>
      </c>
      <c r="U770" s="1" t="str">
        <f>HYPERLINK("http://ictvonline.org/taxonomy/p/taxonomy-history?taxnode_id=202113511","ICTVonline=202113511")</f>
        <v>ICTVonline=202113511</v>
      </c>
    </row>
    <row r="771" spans="1:21" x14ac:dyDescent="0.2">
      <c r="A771" s="3">
        <v>770</v>
      </c>
      <c r="B771" s="1" t="s">
        <v>4875</v>
      </c>
      <c r="D771" s="1" t="s">
        <v>4876</v>
      </c>
      <c r="F771" s="1" t="s">
        <v>4880</v>
      </c>
      <c r="H771" s="1" t="s">
        <v>4881</v>
      </c>
      <c r="L771" s="1" t="s">
        <v>5038</v>
      </c>
      <c r="M771" s="1" t="s">
        <v>5039</v>
      </c>
      <c r="N771" s="1" t="s">
        <v>9376</v>
      </c>
      <c r="P771" s="1" t="s">
        <v>9381</v>
      </c>
      <c r="Q771" s="30" t="s">
        <v>2565</v>
      </c>
      <c r="R771" s="33" t="s">
        <v>3472</v>
      </c>
      <c r="S771">
        <v>37</v>
      </c>
      <c r="T771" s="1" t="s">
        <v>13883</v>
      </c>
      <c r="U771" s="1" t="str">
        <f>HYPERLINK("http://ictvonline.org/taxonomy/p/taxonomy-history?taxnode_id=202113508","ICTVonline=202113508")</f>
        <v>ICTVonline=202113508</v>
      </c>
    </row>
    <row r="772" spans="1:21" x14ac:dyDescent="0.2">
      <c r="A772" s="3">
        <v>771</v>
      </c>
      <c r="B772" s="1" t="s">
        <v>4875</v>
      </c>
      <c r="D772" s="1" t="s">
        <v>4876</v>
      </c>
      <c r="F772" s="1" t="s">
        <v>4880</v>
      </c>
      <c r="H772" s="1" t="s">
        <v>4881</v>
      </c>
      <c r="L772" s="1" t="s">
        <v>5038</v>
      </c>
      <c r="M772" s="1" t="s">
        <v>5039</v>
      </c>
      <c r="N772" s="1" t="s">
        <v>9376</v>
      </c>
      <c r="P772" s="1" t="s">
        <v>9382</v>
      </c>
      <c r="Q772" s="30" t="s">
        <v>2565</v>
      </c>
      <c r="R772" s="33" t="s">
        <v>3472</v>
      </c>
      <c r="S772">
        <v>37</v>
      </c>
      <c r="T772" s="1" t="s">
        <v>13883</v>
      </c>
      <c r="U772" s="1" t="str">
        <f>HYPERLINK("http://ictvonline.org/taxonomy/p/taxonomy-history?taxnode_id=202113513","ICTVonline=202113513")</f>
        <v>ICTVonline=202113513</v>
      </c>
    </row>
    <row r="773" spans="1:21" x14ac:dyDescent="0.2">
      <c r="A773" s="3">
        <v>772</v>
      </c>
      <c r="B773" s="1" t="s">
        <v>4875</v>
      </c>
      <c r="D773" s="1" t="s">
        <v>4876</v>
      </c>
      <c r="F773" s="1" t="s">
        <v>4880</v>
      </c>
      <c r="H773" s="1" t="s">
        <v>4881</v>
      </c>
      <c r="L773" s="1" t="s">
        <v>5038</v>
      </c>
      <c r="M773" s="1" t="s">
        <v>5039</v>
      </c>
      <c r="N773" s="1" t="s">
        <v>9376</v>
      </c>
      <c r="P773" s="1" t="s">
        <v>9383</v>
      </c>
      <c r="Q773" s="30" t="s">
        <v>2565</v>
      </c>
      <c r="R773" s="33" t="s">
        <v>3472</v>
      </c>
      <c r="S773">
        <v>37</v>
      </c>
      <c r="T773" s="1" t="s">
        <v>13883</v>
      </c>
      <c r="U773" s="1" t="str">
        <f>HYPERLINK("http://ictvonline.org/taxonomy/p/taxonomy-history?taxnode_id=202113515","ICTVonline=202113515")</f>
        <v>ICTVonline=202113515</v>
      </c>
    </row>
    <row r="774" spans="1:21" x14ac:dyDescent="0.2">
      <c r="A774" s="3">
        <v>773</v>
      </c>
      <c r="B774" s="1" t="s">
        <v>4875</v>
      </c>
      <c r="D774" s="1" t="s">
        <v>4876</v>
      </c>
      <c r="F774" s="1" t="s">
        <v>4880</v>
      </c>
      <c r="H774" s="1" t="s">
        <v>4881</v>
      </c>
      <c r="L774" s="1" t="s">
        <v>5038</v>
      </c>
      <c r="M774" s="1" t="s">
        <v>5039</v>
      </c>
      <c r="N774" s="1" t="s">
        <v>9376</v>
      </c>
      <c r="P774" s="1" t="s">
        <v>9384</v>
      </c>
      <c r="Q774" s="30" t="s">
        <v>2565</v>
      </c>
      <c r="R774" s="33" t="s">
        <v>3472</v>
      </c>
      <c r="S774">
        <v>37</v>
      </c>
      <c r="T774" s="1" t="s">
        <v>13883</v>
      </c>
      <c r="U774" s="1" t="str">
        <f>HYPERLINK("http://ictvonline.org/taxonomy/p/taxonomy-history?taxnode_id=202113509","ICTVonline=202113509")</f>
        <v>ICTVonline=202113509</v>
      </c>
    </row>
    <row r="775" spans="1:21" x14ac:dyDescent="0.2">
      <c r="A775" s="3">
        <v>774</v>
      </c>
      <c r="B775" s="1" t="s">
        <v>4875</v>
      </c>
      <c r="D775" s="1" t="s">
        <v>4876</v>
      </c>
      <c r="F775" s="1" t="s">
        <v>4880</v>
      </c>
      <c r="H775" s="1" t="s">
        <v>4881</v>
      </c>
      <c r="L775" s="1" t="s">
        <v>5038</v>
      </c>
      <c r="M775" s="1" t="s">
        <v>5039</v>
      </c>
      <c r="N775" s="1" t="s">
        <v>9376</v>
      </c>
      <c r="P775" s="1" t="s">
        <v>9385</v>
      </c>
      <c r="Q775" s="30" t="s">
        <v>2565</v>
      </c>
      <c r="R775" s="33" t="s">
        <v>3472</v>
      </c>
      <c r="S775">
        <v>37</v>
      </c>
      <c r="T775" s="1" t="s">
        <v>13883</v>
      </c>
      <c r="U775" s="1" t="str">
        <f>HYPERLINK("http://ictvonline.org/taxonomy/p/taxonomy-history?taxnode_id=202113506","ICTVonline=202113506")</f>
        <v>ICTVonline=202113506</v>
      </c>
    </row>
    <row r="776" spans="1:21" x14ac:dyDescent="0.2">
      <c r="A776" s="3">
        <v>775</v>
      </c>
      <c r="B776" s="1" t="s">
        <v>4875</v>
      </c>
      <c r="D776" s="1" t="s">
        <v>4876</v>
      </c>
      <c r="F776" s="1" t="s">
        <v>4880</v>
      </c>
      <c r="H776" s="1" t="s">
        <v>4881</v>
      </c>
      <c r="L776" s="1" t="s">
        <v>5038</v>
      </c>
      <c r="M776" s="1" t="s">
        <v>5039</v>
      </c>
      <c r="N776" s="1" t="s">
        <v>9376</v>
      </c>
      <c r="P776" s="1" t="s">
        <v>9386</v>
      </c>
      <c r="Q776" s="30" t="s">
        <v>2565</v>
      </c>
      <c r="R776" s="33" t="s">
        <v>3472</v>
      </c>
      <c r="S776">
        <v>37</v>
      </c>
      <c r="T776" s="1" t="s">
        <v>13883</v>
      </c>
      <c r="U776" s="1" t="str">
        <f>HYPERLINK("http://ictvonline.org/taxonomy/p/taxonomy-history?taxnode_id=202113514","ICTVonline=202113514")</f>
        <v>ICTVonline=202113514</v>
      </c>
    </row>
    <row r="777" spans="1:21" x14ac:dyDescent="0.2">
      <c r="A777" s="3">
        <v>776</v>
      </c>
      <c r="B777" s="1" t="s">
        <v>4875</v>
      </c>
      <c r="D777" s="1" t="s">
        <v>4876</v>
      </c>
      <c r="F777" s="1" t="s">
        <v>4880</v>
      </c>
      <c r="H777" s="1" t="s">
        <v>4881</v>
      </c>
      <c r="L777" s="1" t="s">
        <v>5038</v>
      </c>
      <c r="M777" s="1" t="s">
        <v>5039</v>
      </c>
      <c r="N777" s="1" t="s">
        <v>9376</v>
      </c>
      <c r="P777" s="1" t="s">
        <v>9387</v>
      </c>
      <c r="Q777" s="30" t="s">
        <v>2565</v>
      </c>
      <c r="R777" s="33" t="s">
        <v>3472</v>
      </c>
      <c r="S777">
        <v>37</v>
      </c>
      <c r="T777" s="1" t="s">
        <v>13883</v>
      </c>
      <c r="U777" s="1" t="str">
        <f>HYPERLINK("http://ictvonline.org/taxonomy/p/taxonomy-history?taxnode_id=202113505","ICTVonline=202113505")</f>
        <v>ICTVonline=202113505</v>
      </c>
    </row>
    <row r="778" spans="1:21" x14ac:dyDescent="0.2">
      <c r="A778" s="3">
        <v>777</v>
      </c>
      <c r="B778" s="1" t="s">
        <v>4875</v>
      </c>
      <c r="D778" s="1" t="s">
        <v>4876</v>
      </c>
      <c r="F778" s="1" t="s">
        <v>4880</v>
      </c>
      <c r="H778" s="1" t="s">
        <v>4881</v>
      </c>
      <c r="L778" s="1" t="s">
        <v>5038</v>
      </c>
      <c r="M778" s="1" t="s">
        <v>5039</v>
      </c>
      <c r="N778" s="1" t="s">
        <v>9376</v>
      </c>
      <c r="P778" s="1" t="s">
        <v>9388</v>
      </c>
      <c r="Q778" s="30" t="s">
        <v>2565</v>
      </c>
      <c r="R778" s="33" t="s">
        <v>3473</v>
      </c>
      <c r="S778">
        <v>37</v>
      </c>
      <c r="T778" s="1" t="s">
        <v>13883</v>
      </c>
      <c r="U778" s="1" t="str">
        <f>HYPERLINK("http://ictvonline.org/taxonomy/p/taxonomy-history?taxnode_id=202107087","ICTVonline=202107087")</f>
        <v>ICTVonline=202107087</v>
      </c>
    </row>
    <row r="779" spans="1:21" x14ac:dyDescent="0.2">
      <c r="A779" s="3">
        <v>778</v>
      </c>
      <c r="B779" s="1" t="s">
        <v>4875</v>
      </c>
      <c r="D779" s="1" t="s">
        <v>4876</v>
      </c>
      <c r="F779" s="1" t="s">
        <v>4880</v>
      </c>
      <c r="H779" s="1" t="s">
        <v>4881</v>
      </c>
      <c r="L779" s="1" t="s">
        <v>5038</v>
      </c>
      <c r="M779" s="1" t="s">
        <v>5039</v>
      </c>
      <c r="N779" s="1" t="s">
        <v>5040</v>
      </c>
      <c r="P779" s="1" t="s">
        <v>9389</v>
      </c>
      <c r="Q779" s="30" t="s">
        <v>2565</v>
      </c>
      <c r="R779" s="33" t="s">
        <v>3473</v>
      </c>
      <c r="S779">
        <v>37</v>
      </c>
      <c r="T779" s="1" t="s">
        <v>13878</v>
      </c>
      <c r="U779" s="1" t="str">
        <f>HYPERLINK("http://ictvonline.org/taxonomy/p/taxonomy-history?taxnode_id=202107088","ICTVonline=202107088")</f>
        <v>ICTVonline=202107088</v>
      </c>
    </row>
    <row r="780" spans="1:21" x14ac:dyDescent="0.2">
      <c r="A780" s="3">
        <v>779</v>
      </c>
      <c r="B780" s="1" t="s">
        <v>4875</v>
      </c>
      <c r="D780" s="1" t="s">
        <v>4876</v>
      </c>
      <c r="F780" s="1" t="s">
        <v>4880</v>
      </c>
      <c r="H780" s="1" t="s">
        <v>4881</v>
      </c>
      <c r="L780" s="1" t="s">
        <v>5038</v>
      </c>
      <c r="M780" s="1" t="s">
        <v>5041</v>
      </c>
      <c r="N780" s="1" t="s">
        <v>5042</v>
      </c>
      <c r="P780" s="1" t="s">
        <v>9390</v>
      </c>
      <c r="Q780" s="30" t="s">
        <v>2565</v>
      </c>
      <c r="R780" s="33" t="s">
        <v>3473</v>
      </c>
      <c r="S780">
        <v>37</v>
      </c>
      <c r="T780" s="1" t="s">
        <v>13878</v>
      </c>
      <c r="U780" s="1" t="str">
        <f>HYPERLINK("http://ictvonline.org/taxonomy/p/taxonomy-history?taxnode_id=202109944","ICTVonline=202109944")</f>
        <v>ICTVonline=202109944</v>
      </c>
    </row>
    <row r="781" spans="1:21" x14ac:dyDescent="0.2">
      <c r="A781" s="3">
        <v>780</v>
      </c>
      <c r="B781" s="1" t="s">
        <v>4875</v>
      </c>
      <c r="D781" s="1" t="s">
        <v>4876</v>
      </c>
      <c r="F781" s="1" t="s">
        <v>4880</v>
      </c>
      <c r="H781" s="1" t="s">
        <v>4881</v>
      </c>
      <c r="L781" s="1" t="s">
        <v>5038</v>
      </c>
      <c r="M781" s="1" t="s">
        <v>5041</v>
      </c>
      <c r="N781" s="1" t="s">
        <v>5042</v>
      </c>
      <c r="P781" s="1" t="s">
        <v>9391</v>
      </c>
      <c r="Q781" s="30" t="s">
        <v>2565</v>
      </c>
      <c r="R781" s="33" t="s">
        <v>3473</v>
      </c>
      <c r="S781">
        <v>37</v>
      </c>
      <c r="T781" s="1" t="s">
        <v>13878</v>
      </c>
      <c r="U781" s="1" t="str">
        <f>HYPERLINK("http://ictvonline.org/taxonomy/p/taxonomy-history?taxnode_id=202101329","ICTVonline=202101329")</f>
        <v>ICTVonline=202101329</v>
      </c>
    </row>
    <row r="782" spans="1:21" x14ac:dyDescent="0.2">
      <c r="A782" s="3">
        <v>781</v>
      </c>
      <c r="B782" s="1" t="s">
        <v>4875</v>
      </c>
      <c r="D782" s="1" t="s">
        <v>4876</v>
      </c>
      <c r="F782" s="1" t="s">
        <v>4880</v>
      </c>
      <c r="H782" s="1" t="s">
        <v>4881</v>
      </c>
      <c r="L782" s="1" t="s">
        <v>5038</v>
      </c>
      <c r="M782" s="1" t="s">
        <v>5041</v>
      </c>
      <c r="N782" s="1" t="s">
        <v>5042</v>
      </c>
      <c r="P782" s="1" t="s">
        <v>9392</v>
      </c>
      <c r="Q782" s="30" t="s">
        <v>2565</v>
      </c>
      <c r="R782" s="33" t="s">
        <v>3473</v>
      </c>
      <c r="S782">
        <v>37</v>
      </c>
      <c r="T782" s="1" t="s">
        <v>13878</v>
      </c>
      <c r="U782" s="1" t="str">
        <f>HYPERLINK("http://ictvonline.org/taxonomy/p/taxonomy-history?taxnode_id=202109949","ICTVonline=202109949")</f>
        <v>ICTVonline=202109949</v>
      </c>
    </row>
    <row r="783" spans="1:21" x14ac:dyDescent="0.2">
      <c r="A783" s="3">
        <v>782</v>
      </c>
      <c r="B783" s="1" t="s">
        <v>4875</v>
      </c>
      <c r="D783" s="1" t="s">
        <v>4876</v>
      </c>
      <c r="F783" s="1" t="s">
        <v>4880</v>
      </c>
      <c r="H783" s="1" t="s">
        <v>4881</v>
      </c>
      <c r="L783" s="1" t="s">
        <v>5038</v>
      </c>
      <c r="M783" s="1" t="s">
        <v>5041</v>
      </c>
      <c r="N783" s="1" t="s">
        <v>5042</v>
      </c>
      <c r="P783" s="1" t="s">
        <v>9393</v>
      </c>
      <c r="Q783" s="30" t="s">
        <v>2565</v>
      </c>
      <c r="R783" s="33" t="s">
        <v>3473</v>
      </c>
      <c r="S783">
        <v>37</v>
      </c>
      <c r="T783" s="1" t="s">
        <v>13878</v>
      </c>
      <c r="U783" s="1" t="str">
        <f>HYPERLINK("http://ictvonline.org/taxonomy/p/taxonomy-history?taxnode_id=202109948","ICTVonline=202109948")</f>
        <v>ICTVonline=202109948</v>
      </c>
    </row>
    <row r="784" spans="1:21" x14ac:dyDescent="0.2">
      <c r="A784" s="3">
        <v>783</v>
      </c>
      <c r="B784" s="1" t="s">
        <v>4875</v>
      </c>
      <c r="D784" s="1" t="s">
        <v>4876</v>
      </c>
      <c r="F784" s="1" t="s">
        <v>4880</v>
      </c>
      <c r="H784" s="1" t="s">
        <v>4881</v>
      </c>
      <c r="L784" s="1" t="s">
        <v>5038</v>
      </c>
      <c r="M784" s="1" t="s">
        <v>5041</v>
      </c>
      <c r="N784" s="1" t="s">
        <v>5042</v>
      </c>
      <c r="P784" s="1" t="s">
        <v>9394</v>
      </c>
      <c r="Q784" s="30" t="s">
        <v>2565</v>
      </c>
      <c r="R784" s="33" t="s">
        <v>3473</v>
      </c>
      <c r="S784">
        <v>37</v>
      </c>
      <c r="T784" s="1" t="s">
        <v>13878</v>
      </c>
      <c r="U784" s="1" t="str">
        <f>HYPERLINK("http://ictvonline.org/taxonomy/p/taxonomy-history?taxnode_id=202109943","ICTVonline=202109943")</f>
        <v>ICTVonline=202109943</v>
      </c>
    </row>
    <row r="785" spans="1:21" x14ac:dyDescent="0.2">
      <c r="A785" s="3">
        <v>784</v>
      </c>
      <c r="B785" s="1" t="s">
        <v>4875</v>
      </c>
      <c r="D785" s="1" t="s">
        <v>4876</v>
      </c>
      <c r="F785" s="1" t="s">
        <v>4880</v>
      </c>
      <c r="H785" s="1" t="s">
        <v>4881</v>
      </c>
      <c r="L785" s="1" t="s">
        <v>5038</v>
      </c>
      <c r="M785" s="1" t="s">
        <v>5041</v>
      </c>
      <c r="N785" s="1" t="s">
        <v>5042</v>
      </c>
      <c r="P785" s="1" t="s">
        <v>9395</v>
      </c>
      <c r="Q785" s="30" t="s">
        <v>2565</v>
      </c>
      <c r="R785" s="33" t="s">
        <v>3473</v>
      </c>
      <c r="S785">
        <v>37</v>
      </c>
      <c r="T785" s="1" t="s">
        <v>13878</v>
      </c>
      <c r="U785" s="1" t="str">
        <f>HYPERLINK("http://ictvonline.org/taxonomy/p/taxonomy-history?taxnode_id=202101324","ICTVonline=202101324")</f>
        <v>ICTVonline=202101324</v>
      </c>
    </row>
    <row r="786" spans="1:21" x14ac:dyDescent="0.2">
      <c r="A786" s="3">
        <v>785</v>
      </c>
      <c r="B786" s="1" t="s">
        <v>4875</v>
      </c>
      <c r="D786" s="1" t="s">
        <v>4876</v>
      </c>
      <c r="F786" s="1" t="s">
        <v>4880</v>
      </c>
      <c r="H786" s="1" t="s">
        <v>4881</v>
      </c>
      <c r="L786" s="1" t="s">
        <v>5038</v>
      </c>
      <c r="M786" s="1" t="s">
        <v>5041</v>
      </c>
      <c r="N786" s="1" t="s">
        <v>5042</v>
      </c>
      <c r="P786" s="1" t="s">
        <v>9396</v>
      </c>
      <c r="Q786" s="30" t="s">
        <v>2565</v>
      </c>
      <c r="R786" s="33" t="s">
        <v>3473</v>
      </c>
      <c r="S786">
        <v>37</v>
      </c>
      <c r="T786" s="1" t="s">
        <v>13878</v>
      </c>
      <c r="U786" s="1" t="str">
        <f>HYPERLINK("http://ictvonline.org/taxonomy/p/taxonomy-history?taxnode_id=202109950","ICTVonline=202109950")</f>
        <v>ICTVonline=202109950</v>
      </c>
    </row>
    <row r="787" spans="1:21" x14ac:dyDescent="0.2">
      <c r="A787" s="3">
        <v>786</v>
      </c>
      <c r="B787" s="1" t="s">
        <v>4875</v>
      </c>
      <c r="D787" s="1" t="s">
        <v>4876</v>
      </c>
      <c r="F787" s="1" t="s">
        <v>4880</v>
      </c>
      <c r="H787" s="1" t="s">
        <v>4881</v>
      </c>
      <c r="L787" s="1" t="s">
        <v>5038</v>
      </c>
      <c r="M787" s="1" t="s">
        <v>5041</v>
      </c>
      <c r="N787" s="1" t="s">
        <v>5042</v>
      </c>
      <c r="P787" s="1" t="s">
        <v>9397</v>
      </c>
      <c r="Q787" s="30" t="s">
        <v>2565</v>
      </c>
      <c r="R787" s="33" t="s">
        <v>3473</v>
      </c>
      <c r="S787">
        <v>37</v>
      </c>
      <c r="T787" s="1" t="s">
        <v>13878</v>
      </c>
      <c r="U787" s="1" t="str">
        <f>HYPERLINK("http://ictvonline.org/taxonomy/p/taxonomy-history?taxnode_id=202109938","ICTVonline=202109938")</f>
        <v>ICTVonline=202109938</v>
      </c>
    </row>
    <row r="788" spans="1:21" x14ac:dyDescent="0.2">
      <c r="A788" s="3">
        <v>787</v>
      </c>
      <c r="B788" s="1" t="s">
        <v>4875</v>
      </c>
      <c r="D788" s="1" t="s">
        <v>4876</v>
      </c>
      <c r="F788" s="1" t="s">
        <v>4880</v>
      </c>
      <c r="H788" s="1" t="s">
        <v>4881</v>
      </c>
      <c r="L788" s="1" t="s">
        <v>5038</v>
      </c>
      <c r="M788" s="1" t="s">
        <v>5041</v>
      </c>
      <c r="N788" s="1" t="s">
        <v>5042</v>
      </c>
      <c r="P788" s="1" t="s">
        <v>9398</v>
      </c>
      <c r="Q788" s="30" t="s">
        <v>2565</v>
      </c>
      <c r="R788" s="33" t="s">
        <v>3473</v>
      </c>
      <c r="S788">
        <v>37</v>
      </c>
      <c r="T788" s="1" t="s">
        <v>13878</v>
      </c>
      <c r="U788" s="1" t="str">
        <f>HYPERLINK("http://ictvonline.org/taxonomy/p/taxonomy-history?taxnode_id=202108098","ICTVonline=202108098")</f>
        <v>ICTVonline=202108098</v>
      </c>
    </row>
    <row r="789" spans="1:21" x14ac:dyDescent="0.2">
      <c r="A789" s="3">
        <v>788</v>
      </c>
      <c r="B789" s="1" t="s">
        <v>4875</v>
      </c>
      <c r="D789" s="1" t="s">
        <v>4876</v>
      </c>
      <c r="F789" s="1" t="s">
        <v>4880</v>
      </c>
      <c r="H789" s="1" t="s">
        <v>4881</v>
      </c>
      <c r="L789" s="1" t="s">
        <v>5038</v>
      </c>
      <c r="M789" s="1" t="s">
        <v>5041</v>
      </c>
      <c r="N789" s="1" t="s">
        <v>5042</v>
      </c>
      <c r="P789" s="1" t="s">
        <v>9399</v>
      </c>
      <c r="Q789" s="30" t="s">
        <v>2565</v>
      </c>
      <c r="R789" s="33" t="s">
        <v>3473</v>
      </c>
      <c r="S789">
        <v>37</v>
      </c>
      <c r="T789" s="1" t="s">
        <v>13878</v>
      </c>
      <c r="U789" s="1" t="str">
        <f>HYPERLINK("http://ictvonline.org/taxonomy/p/taxonomy-history?taxnode_id=202109937","ICTVonline=202109937")</f>
        <v>ICTVonline=202109937</v>
      </c>
    </row>
    <row r="790" spans="1:21" x14ac:dyDescent="0.2">
      <c r="A790" s="3">
        <v>789</v>
      </c>
      <c r="B790" s="1" t="s">
        <v>4875</v>
      </c>
      <c r="D790" s="1" t="s">
        <v>4876</v>
      </c>
      <c r="F790" s="1" t="s">
        <v>4880</v>
      </c>
      <c r="H790" s="1" t="s">
        <v>4881</v>
      </c>
      <c r="L790" s="1" t="s">
        <v>5038</v>
      </c>
      <c r="M790" s="1" t="s">
        <v>5041</v>
      </c>
      <c r="N790" s="1" t="s">
        <v>5042</v>
      </c>
      <c r="P790" s="1" t="s">
        <v>9400</v>
      </c>
      <c r="Q790" s="30" t="s">
        <v>2565</v>
      </c>
      <c r="R790" s="33" t="s">
        <v>3473</v>
      </c>
      <c r="S790">
        <v>37</v>
      </c>
      <c r="T790" s="1" t="s">
        <v>13878</v>
      </c>
      <c r="U790" s="1" t="str">
        <f>HYPERLINK("http://ictvonline.org/taxonomy/p/taxonomy-history?taxnode_id=202109936","ICTVonline=202109936")</f>
        <v>ICTVonline=202109936</v>
      </c>
    </row>
    <row r="791" spans="1:21" x14ac:dyDescent="0.2">
      <c r="A791" s="3">
        <v>790</v>
      </c>
      <c r="B791" s="1" t="s">
        <v>4875</v>
      </c>
      <c r="D791" s="1" t="s">
        <v>4876</v>
      </c>
      <c r="F791" s="1" t="s">
        <v>4880</v>
      </c>
      <c r="H791" s="1" t="s">
        <v>4881</v>
      </c>
      <c r="L791" s="1" t="s">
        <v>5038</v>
      </c>
      <c r="M791" s="1" t="s">
        <v>5041</v>
      </c>
      <c r="N791" s="1" t="s">
        <v>5042</v>
      </c>
      <c r="P791" s="1" t="s">
        <v>9401</v>
      </c>
      <c r="Q791" s="30" t="s">
        <v>2565</v>
      </c>
      <c r="R791" s="33" t="s">
        <v>3473</v>
      </c>
      <c r="S791">
        <v>37</v>
      </c>
      <c r="T791" s="1" t="s">
        <v>13878</v>
      </c>
      <c r="U791" s="1" t="str">
        <f>HYPERLINK("http://ictvonline.org/taxonomy/p/taxonomy-history?taxnode_id=202109941","ICTVonline=202109941")</f>
        <v>ICTVonline=202109941</v>
      </c>
    </row>
    <row r="792" spans="1:21" x14ac:dyDescent="0.2">
      <c r="A792" s="3">
        <v>791</v>
      </c>
      <c r="B792" s="1" t="s">
        <v>4875</v>
      </c>
      <c r="D792" s="1" t="s">
        <v>4876</v>
      </c>
      <c r="F792" s="1" t="s">
        <v>4880</v>
      </c>
      <c r="H792" s="1" t="s">
        <v>4881</v>
      </c>
      <c r="L792" s="1" t="s">
        <v>5038</v>
      </c>
      <c r="M792" s="1" t="s">
        <v>5041</v>
      </c>
      <c r="N792" s="1" t="s">
        <v>5042</v>
      </c>
      <c r="P792" s="1" t="s">
        <v>9402</v>
      </c>
      <c r="Q792" s="30" t="s">
        <v>2565</v>
      </c>
      <c r="R792" s="33" t="s">
        <v>3473</v>
      </c>
      <c r="S792">
        <v>37</v>
      </c>
      <c r="T792" s="1" t="s">
        <v>13878</v>
      </c>
      <c r="U792" s="1" t="str">
        <f>HYPERLINK("http://ictvonline.org/taxonomy/p/taxonomy-history?taxnode_id=202109940","ICTVonline=202109940")</f>
        <v>ICTVonline=202109940</v>
      </c>
    </row>
    <row r="793" spans="1:21" x14ac:dyDescent="0.2">
      <c r="A793" s="3">
        <v>792</v>
      </c>
      <c r="B793" s="1" t="s">
        <v>4875</v>
      </c>
      <c r="D793" s="1" t="s">
        <v>4876</v>
      </c>
      <c r="F793" s="1" t="s">
        <v>4880</v>
      </c>
      <c r="H793" s="1" t="s">
        <v>4881</v>
      </c>
      <c r="L793" s="1" t="s">
        <v>5038</v>
      </c>
      <c r="M793" s="1" t="s">
        <v>5041</v>
      </c>
      <c r="N793" s="1" t="s">
        <v>5042</v>
      </c>
      <c r="P793" s="1" t="s">
        <v>9403</v>
      </c>
      <c r="Q793" s="30" t="s">
        <v>2565</v>
      </c>
      <c r="R793" s="33" t="s">
        <v>3473</v>
      </c>
      <c r="S793">
        <v>37</v>
      </c>
      <c r="T793" s="1" t="s">
        <v>13878</v>
      </c>
      <c r="U793" s="1" t="str">
        <f>HYPERLINK("http://ictvonline.org/taxonomy/p/taxonomy-history?taxnode_id=202108112","ICTVonline=202108112")</f>
        <v>ICTVonline=202108112</v>
      </c>
    </row>
    <row r="794" spans="1:21" x14ac:dyDescent="0.2">
      <c r="A794" s="3">
        <v>793</v>
      </c>
      <c r="B794" s="1" t="s">
        <v>4875</v>
      </c>
      <c r="D794" s="1" t="s">
        <v>4876</v>
      </c>
      <c r="F794" s="1" t="s">
        <v>4880</v>
      </c>
      <c r="H794" s="1" t="s">
        <v>4881</v>
      </c>
      <c r="L794" s="1" t="s">
        <v>5038</v>
      </c>
      <c r="M794" s="1" t="s">
        <v>5041</v>
      </c>
      <c r="N794" s="1" t="s">
        <v>5042</v>
      </c>
      <c r="P794" s="1" t="s">
        <v>9404</v>
      </c>
      <c r="Q794" s="30" t="s">
        <v>2565</v>
      </c>
      <c r="R794" s="33" t="s">
        <v>3473</v>
      </c>
      <c r="S794">
        <v>37</v>
      </c>
      <c r="T794" s="1" t="s">
        <v>13878</v>
      </c>
      <c r="U794" s="1" t="str">
        <f>HYPERLINK("http://ictvonline.org/taxonomy/p/taxonomy-history?taxnode_id=202108097","ICTVonline=202108097")</f>
        <v>ICTVonline=202108097</v>
      </c>
    </row>
    <row r="795" spans="1:21" x14ac:dyDescent="0.2">
      <c r="A795" s="3">
        <v>794</v>
      </c>
      <c r="B795" s="1" t="s">
        <v>4875</v>
      </c>
      <c r="D795" s="1" t="s">
        <v>4876</v>
      </c>
      <c r="F795" s="1" t="s">
        <v>4880</v>
      </c>
      <c r="H795" s="1" t="s">
        <v>4881</v>
      </c>
      <c r="L795" s="1" t="s">
        <v>5038</v>
      </c>
      <c r="M795" s="1" t="s">
        <v>5041</v>
      </c>
      <c r="N795" s="1" t="s">
        <v>5042</v>
      </c>
      <c r="P795" s="1" t="s">
        <v>9405</v>
      </c>
      <c r="Q795" s="30" t="s">
        <v>2565</v>
      </c>
      <c r="R795" s="33" t="s">
        <v>3473</v>
      </c>
      <c r="S795">
        <v>37</v>
      </c>
      <c r="T795" s="1" t="s">
        <v>13878</v>
      </c>
      <c r="U795" s="1" t="str">
        <f>HYPERLINK("http://ictvonline.org/taxonomy/p/taxonomy-history?taxnode_id=202109939","ICTVonline=202109939")</f>
        <v>ICTVonline=202109939</v>
      </c>
    </row>
    <row r="796" spans="1:21" x14ac:dyDescent="0.2">
      <c r="A796" s="3">
        <v>795</v>
      </c>
      <c r="B796" s="1" t="s">
        <v>4875</v>
      </c>
      <c r="D796" s="1" t="s">
        <v>4876</v>
      </c>
      <c r="F796" s="1" t="s">
        <v>4880</v>
      </c>
      <c r="H796" s="1" t="s">
        <v>4881</v>
      </c>
      <c r="L796" s="1" t="s">
        <v>5038</v>
      </c>
      <c r="M796" s="1" t="s">
        <v>5041</v>
      </c>
      <c r="N796" s="1" t="s">
        <v>5042</v>
      </c>
      <c r="P796" s="1" t="s">
        <v>9406</v>
      </c>
      <c r="Q796" s="30" t="s">
        <v>2565</v>
      </c>
      <c r="R796" s="33" t="s">
        <v>3473</v>
      </c>
      <c r="S796">
        <v>37</v>
      </c>
      <c r="T796" s="1" t="s">
        <v>13878</v>
      </c>
      <c r="U796" s="1" t="str">
        <f>HYPERLINK("http://ictvonline.org/taxonomy/p/taxonomy-history?taxnode_id=202109935","ICTVonline=202109935")</f>
        <v>ICTVonline=202109935</v>
      </c>
    </row>
    <row r="797" spans="1:21" x14ac:dyDescent="0.2">
      <c r="A797" s="3">
        <v>796</v>
      </c>
      <c r="B797" s="1" t="s">
        <v>4875</v>
      </c>
      <c r="D797" s="1" t="s">
        <v>4876</v>
      </c>
      <c r="F797" s="1" t="s">
        <v>4880</v>
      </c>
      <c r="H797" s="1" t="s">
        <v>4881</v>
      </c>
      <c r="L797" s="1" t="s">
        <v>5038</v>
      </c>
      <c r="M797" s="1" t="s">
        <v>5041</v>
      </c>
      <c r="N797" s="1" t="s">
        <v>5042</v>
      </c>
      <c r="P797" s="1" t="s">
        <v>9407</v>
      </c>
      <c r="Q797" s="30" t="s">
        <v>2565</v>
      </c>
      <c r="R797" s="33" t="s">
        <v>3473</v>
      </c>
      <c r="S797">
        <v>37</v>
      </c>
      <c r="T797" s="1" t="s">
        <v>13878</v>
      </c>
      <c r="U797" s="1" t="str">
        <f>HYPERLINK("http://ictvonline.org/taxonomy/p/taxonomy-history?taxnode_id=202109946","ICTVonline=202109946")</f>
        <v>ICTVonline=202109946</v>
      </c>
    </row>
    <row r="798" spans="1:21" x14ac:dyDescent="0.2">
      <c r="A798" s="3">
        <v>797</v>
      </c>
      <c r="B798" s="1" t="s">
        <v>4875</v>
      </c>
      <c r="D798" s="1" t="s">
        <v>4876</v>
      </c>
      <c r="F798" s="1" t="s">
        <v>4880</v>
      </c>
      <c r="H798" s="1" t="s">
        <v>4881</v>
      </c>
      <c r="L798" s="1" t="s">
        <v>5038</v>
      </c>
      <c r="M798" s="1" t="s">
        <v>5041</v>
      </c>
      <c r="N798" s="1" t="s">
        <v>5042</v>
      </c>
      <c r="P798" s="1" t="s">
        <v>9408</v>
      </c>
      <c r="Q798" s="30" t="s">
        <v>2565</v>
      </c>
      <c r="R798" s="33" t="s">
        <v>3473</v>
      </c>
      <c r="S798">
        <v>37</v>
      </c>
      <c r="T798" s="1" t="s">
        <v>13878</v>
      </c>
      <c r="U798" s="1" t="str">
        <f>HYPERLINK("http://ictvonline.org/taxonomy/p/taxonomy-history?taxnode_id=202108100","ICTVonline=202108100")</f>
        <v>ICTVonline=202108100</v>
      </c>
    </row>
    <row r="799" spans="1:21" x14ac:dyDescent="0.2">
      <c r="A799" s="3">
        <v>798</v>
      </c>
      <c r="B799" s="1" t="s">
        <v>4875</v>
      </c>
      <c r="D799" s="1" t="s">
        <v>4876</v>
      </c>
      <c r="F799" s="1" t="s">
        <v>4880</v>
      </c>
      <c r="H799" s="1" t="s">
        <v>4881</v>
      </c>
      <c r="L799" s="1" t="s">
        <v>5038</v>
      </c>
      <c r="M799" s="1" t="s">
        <v>5041</v>
      </c>
      <c r="N799" s="1" t="s">
        <v>5042</v>
      </c>
      <c r="P799" s="1" t="s">
        <v>9409</v>
      </c>
      <c r="Q799" s="30" t="s">
        <v>2565</v>
      </c>
      <c r="R799" s="33" t="s">
        <v>3473</v>
      </c>
      <c r="S799">
        <v>37</v>
      </c>
      <c r="T799" s="1" t="s">
        <v>13878</v>
      </c>
      <c r="U799" s="1" t="str">
        <f>HYPERLINK("http://ictvonline.org/taxonomy/p/taxonomy-history?taxnode_id=202108102","ICTVonline=202108102")</f>
        <v>ICTVonline=202108102</v>
      </c>
    </row>
    <row r="800" spans="1:21" x14ac:dyDescent="0.2">
      <c r="A800" s="3">
        <v>799</v>
      </c>
      <c r="B800" s="1" t="s">
        <v>4875</v>
      </c>
      <c r="D800" s="1" t="s">
        <v>4876</v>
      </c>
      <c r="F800" s="1" t="s">
        <v>4880</v>
      </c>
      <c r="H800" s="1" t="s">
        <v>4881</v>
      </c>
      <c r="L800" s="1" t="s">
        <v>5038</v>
      </c>
      <c r="M800" s="1" t="s">
        <v>5041</v>
      </c>
      <c r="N800" s="1" t="s">
        <v>5042</v>
      </c>
      <c r="P800" s="1" t="s">
        <v>9410</v>
      </c>
      <c r="Q800" s="30" t="s">
        <v>2565</v>
      </c>
      <c r="R800" s="33" t="s">
        <v>3473</v>
      </c>
      <c r="S800">
        <v>37</v>
      </c>
      <c r="T800" s="1" t="s">
        <v>13878</v>
      </c>
      <c r="U800" s="1" t="str">
        <f>HYPERLINK("http://ictvonline.org/taxonomy/p/taxonomy-history?taxnode_id=202108106","ICTVonline=202108106")</f>
        <v>ICTVonline=202108106</v>
      </c>
    </row>
    <row r="801" spans="1:21" x14ac:dyDescent="0.2">
      <c r="A801" s="3">
        <v>800</v>
      </c>
      <c r="B801" s="1" t="s">
        <v>4875</v>
      </c>
      <c r="D801" s="1" t="s">
        <v>4876</v>
      </c>
      <c r="F801" s="1" t="s">
        <v>4880</v>
      </c>
      <c r="H801" s="1" t="s">
        <v>4881</v>
      </c>
      <c r="L801" s="1" t="s">
        <v>5038</v>
      </c>
      <c r="M801" s="1" t="s">
        <v>5041</v>
      </c>
      <c r="N801" s="1" t="s">
        <v>5042</v>
      </c>
      <c r="P801" s="1" t="s">
        <v>9411</v>
      </c>
      <c r="Q801" s="30" t="s">
        <v>2565</v>
      </c>
      <c r="R801" s="33" t="s">
        <v>3473</v>
      </c>
      <c r="S801">
        <v>37</v>
      </c>
      <c r="T801" s="1" t="s">
        <v>13878</v>
      </c>
      <c r="U801" s="1" t="str">
        <f>HYPERLINK("http://ictvonline.org/taxonomy/p/taxonomy-history?taxnode_id=202108096","ICTVonline=202108096")</f>
        <v>ICTVonline=202108096</v>
      </c>
    </row>
    <row r="802" spans="1:21" x14ac:dyDescent="0.2">
      <c r="A802" s="3">
        <v>801</v>
      </c>
      <c r="B802" s="1" t="s">
        <v>4875</v>
      </c>
      <c r="D802" s="1" t="s">
        <v>4876</v>
      </c>
      <c r="F802" s="1" t="s">
        <v>4880</v>
      </c>
      <c r="H802" s="1" t="s">
        <v>4881</v>
      </c>
      <c r="L802" s="1" t="s">
        <v>5038</v>
      </c>
      <c r="M802" s="1" t="s">
        <v>5041</v>
      </c>
      <c r="N802" s="1" t="s">
        <v>5042</v>
      </c>
      <c r="P802" s="1" t="s">
        <v>9412</v>
      </c>
      <c r="Q802" s="30" t="s">
        <v>2565</v>
      </c>
      <c r="R802" s="33" t="s">
        <v>3473</v>
      </c>
      <c r="S802">
        <v>37</v>
      </c>
      <c r="T802" s="1" t="s">
        <v>13878</v>
      </c>
      <c r="U802" s="1" t="str">
        <f>HYPERLINK("http://ictvonline.org/taxonomy/p/taxonomy-history?taxnode_id=202108099","ICTVonline=202108099")</f>
        <v>ICTVonline=202108099</v>
      </c>
    </row>
    <row r="803" spans="1:21" x14ac:dyDescent="0.2">
      <c r="A803" s="3">
        <v>802</v>
      </c>
      <c r="B803" s="1" t="s">
        <v>4875</v>
      </c>
      <c r="D803" s="1" t="s">
        <v>4876</v>
      </c>
      <c r="F803" s="1" t="s">
        <v>4880</v>
      </c>
      <c r="H803" s="1" t="s">
        <v>4881</v>
      </c>
      <c r="L803" s="1" t="s">
        <v>5038</v>
      </c>
      <c r="M803" s="1" t="s">
        <v>5041</v>
      </c>
      <c r="N803" s="1" t="s">
        <v>5042</v>
      </c>
      <c r="P803" s="1" t="s">
        <v>9413</v>
      </c>
      <c r="Q803" s="30" t="s">
        <v>2565</v>
      </c>
      <c r="R803" s="33" t="s">
        <v>3473</v>
      </c>
      <c r="S803">
        <v>37</v>
      </c>
      <c r="T803" s="1" t="s">
        <v>13878</v>
      </c>
      <c r="U803" s="1" t="str">
        <f>HYPERLINK("http://ictvonline.org/taxonomy/p/taxonomy-history?taxnode_id=202108109","ICTVonline=202108109")</f>
        <v>ICTVonline=202108109</v>
      </c>
    </row>
    <row r="804" spans="1:21" x14ac:dyDescent="0.2">
      <c r="A804" s="3">
        <v>803</v>
      </c>
      <c r="B804" s="1" t="s">
        <v>4875</v>
      </c>
      <c r="D804" s="1" t="s">
        <v>4876</v>
      </c>
      <c r="F804" s="1" t="s">
        <v>4880</v>
      </c>
      <c r="H804" s="1" t="s">
        <v>4881</v>
      </c>
      <c r="L804" s="1" t="s">
        <v>5038</v>
      </c>
      <c r="M804" s="1" t="s">
        <v>5041</v>
      </c>
      <c r="N804" s="1" t="s">
        <v>5042</v>
      </c>
      <c r="P804" s="1" t="s">
        <v>9414</v>
      </c>
      <c r="Q804" s="30" t="s">
        <v>2565</v>
      </c>
      <c r="R804" s="33" t="s">
        <v>3473</v>
      </c>
      <c r="S804">
        <v>37</v>
      </c>
      <c r="T804" s="1" t="s">
        <v>13878</v>
      </c>
      <c r="U804" s="1" t="str">
        <f>HYPERLINK("http://ictvonline.org/taxonomy/p/taxonomy-history?taxnode_id=202108103","ICTVonline=202108103")</f>
        <v>ICTVonline=202108103</v>
      </c>
    </row>
    <row r="805" spans="1:21" x14ac:dyDescent="0.2">
      <c r="A805" s="3">
        <v>804</v>
      </c>
      <c r="B805" s="1" t="s">
        <v>4875</v>
      </c>
      <c r="D805" s="1" t="s">
        <v>4876</v>
      </c>
      <c r="F805" s="1" t="s">
        <v>4880</v>
      </c>
      <c r="H805" s="1" t="s">
        <v>4881</v>
      </c>
      <c r="L805" s="1" t="s">
        <v>5038</v>
      </c>
      <c r="M805" s="1" t="s">
        <v>5041</v>
      </c>
      <c r="N805" s="1" t="s">
        <v>5042</v>
      </c>
      <c r="P805" s="1" t="s">
        <v>9415</v>
      </c>
      <c r="Q805" s="30" t="s">
        <v>2565</v>
      </c>
      <c r="R805" s="33" t="s">
        <v>3473</v>
      </c>
      <c r="S805">
        <v>37</v>
      </c>
      <c r="T805" s="1" t="s">
        <v>13878</v>
      </c>
      <c r="U805" s="1" t="str">
        <f>HYPERLINK("http://ictvonline.org/taxonomy/p/taxonomy-history?taxnode_id=202108101","ICTVonline=202108101")</f>
        <v>ICTVonline=202108101</v>
      </c>
    </row>
    <row r="806" spans="1:21" x14ac:dyDescent="0.2">
      <c r="A806" s="3">
        <v>805</v>
      </c>
      <c r="B806" s="1" t="s">
        <v>4875</v>
      </c>
      <c r="D806" s="1" t="s">
        <v>4876</v>
      </c>
      <c r="F806" s="1" t="s">
        <v>4880</v>
      </c>
      <c r="H806" s="1" t="s">
        <v>4881</v>
      </c>
      <c r="L806" s="1" t="s">
        <v>5038</v>
      </c>
      <c r="M806" s="1" t="s">
        <v>5041</v>
      </c>
      <c r="N806" s="1" t="s">
        <v>5042</v>
      </c>
      <c r="P806" s="1" t="s">
        <v>9416</v>
      </c>
      <c r="Q806" s="30" t="s">
        <v>2565</v>
      </c>
      <c r="R806" s="33" t="s">
        <v>3473</v>
      </c>
      <c r="S806">
        <v>37</v>
      </c>
      <c r="T806" s="1" t="s">
        <v>13878</v>
      </c>
      <c r="U806" s="1" t="str">
        <f>HYPERLINK("http://ictvonline.org/taxonomy/p/taxonomy-history?taxnode_id=202108111","ICTVonline=202108111")</f>
        <v>ICTVonline=202108111</v>
      </c>
    </row>
    <row r="807" spans="1:21" x14ac:dyDescent="0.2">
      <c r="A807" s="3">
        <v>806</v>
      </c>
      <c r="B807" s="1" t="s">
        <v>4875</v>
      </c>
      <c r="D807" s="1" t="s">
        <v>4876</v>
      </c>
      <c r="F807" s="1" t="s">
        <v>4880</v>
      </c>
      <c r="H807" s="1" t="s">
        <v>4881</v>
      </c>
      <c r="L807" s="1" t="s">
        <v>5038</v>
      </c>
      <c r="M807" s="1" t="s">
        <v>5041</v>
      </c>
      <c r="N807" s="1" t="s">
        <v>5042</v>
      </c>
      <c r="P807" s="1" t="s">
        <v>9417</v>
      </c>
      <c r="Q807" s="30" t="s">
        <v>2565</v>
      </c>
      <c r="R807" s="33" t="s">
        <v>3473</v>
      </c>
      <c r="S807">
        <v>37</v>
      </c>
      <c r="T807" s="1" t="s">
        <v>13878</v>
      </c>
      <c r="U807" s="1" t="str">
        <f>HYPERLINK("http://ictvonline.org/taxonomy/p/taxonomy-history?taxnode_id=202109942","ICTVonline=202109942")</f>
        <v>ICTVonline=202109942</v>
      </c>
    </row>
    <row r="808" spans="1:21" x14ac:dyDescent="0.2">
      <c r="A808" s="3">
        <v>807</v>
      </c>
      <c r="B808" s="1" t="s">
        <v>4875</v>
      </c>
      <c r="D808" s="1" t="s">
        <v>4876</v>
      </c>
      <c r="F808" s="1" t="s">
        <v>4880</v>
      </c>
      <c r="H808" s="1" t="s">
        <v>4881</v>
      </c>
      <c r="L808" s="1" t="s">
        <v>5038</v>
      </c>
      <c r="M808" s="1" t="s">
        <v>5041</v>
      </c>
      <c r="N808" s="1" t="s">
        <v>5042</v>
      </c>
      <c r="P808" s="1" t="s">
        <v>9418</v>
      </c>
      <c r="Q808" s="30" t="s">
        <v>2565</v>
      </c>
      <c r="R808" s="33" t="s">
        <v>3473</v>
      </c>
      <c r="S808">
        <v>37</v>
      </c>
      <c r="T808" s="1" t="s">
        <v>13878</v>
      </c>
      <c r="U808" s="1" t="str">
        <f>HYPERLINK("http://ictvonline.org/taxonomy/p/taxonomy-history?taxnode_id=202109947","ICTVonline=202109947")</f>
        <v>ICTVonline=202109947</v>
      </c>
    </row>
    <row r="809" spans="1:21" x14ac:dyDescent="0.2">
      <c r="A809" s="3">
        <v>808</v>
      </c>
      <c r="B809" s="1" t="s">
        <v>4875</v>
      </c>
      <c r="D809" s="1" t="s">
        <v>4876</v>
      </c>
      <c r="F809" s="1" t="s">
        <v>4880</v>
      </c>
      <c r="H809" s="1" t="s">
        <v>4881</v>
      </c>
      <c r="L809" s="1" t="s">
        <v>5038</v>
      </c>
      <c r="M809" s="1" t="s">
        <v>5041</v>
      </c>
      <c r="N809" s="1" t="s">
        <v>5042</v>
      </c>
      <c r="P809" s="1" t="s">
        <v>9419</v>
      </c>
      <c r="Q809" s="30" t="s">
        <v>2565</v>
      </c>
      <c r="R809" s="33" t="s">
        <v>3473</v>
      </c>
      <c r="S809">
        <v>37</v>
      </c>
      <c r="T809" s="1" t="s">
        <v>13878</v>
      </c>
      <c r="U809" s="1" t="str">
        <f>HYPERLINK("http://ictvonline.org/taxonomy/p/taxonomy-history?taxnode_id=202108104","ICTVonline=202108104")</f>
        <v>ICTVonline=202108104</v>
      </c>
    </row>
    <row r="810" spans="1:21" x14ac:dyDescent="0.2">
      <c r="A810" s="3">
        <v>809</v>
      </c>
      <c r="B810" s="1" t="s">
        <v>4875</v>
      </c>
      <c r="D810" s="1" t="s">
        <v>4876</v>
      </c>
      <c r="F810" s="1" t="s">
        <v>4880</v>
      </c>
      <c r="H810" s="1" t="s">
        <v>4881</v>
      </c>
      <c r="L810" s="1" t="s">
        <v>5038</v>
      </c>
      <c r="M810" s="1" t="s">
        <v>5041</v>
      </c>
      <c r="N810" s="1" t="s">
        <v>5042</v>
      </c>
      <c r="P810" s="1" t="s">
        <v>9420</v>
      </c>
      <c r="Q810" s="30" t="s">
        <v>2565</v>
      </c>
      <c r="R810" s="33" t="s">
        <v>3473</v>
      </c>
      <c r="S810">
        <v>37</v>
      </c>
      <c r="T810" s="1" t="s">
        <v>13878</v>
      </c>
      <c r="U810" s="1" t="str">
        <f>HYPERLINK("http://ictvonline.org/taxonomy/p/taxonomy-history?taxnode_id=202109945","ICTVonline=202109945")</f>
        <v>ICTVonline=202109945</v>
      </c>
    </row>
    <row r="811" spans="1:21" x14ac:dyDescent="0.2">
      <c r="A811" s="3">
        <v>810</v>
      </c>
      <c r="B811" s="1" t="s">
        <v>4875</v>
      </c>
      <c r="D811" s="1" t="s">
        <v>4876</v>
      </c>
      <c r="F811" s="1" t="s">
        <v>4880</v>
      </c>
      <c r="H811" s="1" t="s">
        <v>4881</v>
      </c>
      <c r="L811" s="1" t="s">
        <v>5038</v>
      </c>
      <c r="M811" s="1" t="s">
        <v>5041</v>
      </c>
      <c r="N811" s="1" t="s">
        <v>5042</v>
      </c>
      <c r="P811" s="1" t="s">
        <v>9421</v>
      </c>
      <c r="Q811" s="30" t="s">
        <v>2565</v>
      </c>
      <c r="R811" s="33" t="s">
        <v>3473</v>
      </c>
      <c r="S811">
        <v>37</v>
      </c>
      <c r="T811" s="1" t="s">
        <v>13878</v>
      </c>
      <c r="U811" s="1" t="str">
        <f>HYPERLINK("http://ictvonline.org/taxonomy/p/taxonomy-history?taxnode_id=202108107","ICTVonline=202108107")</f>
        <v>ICTVonline=202108107</v>
      </c>
    </row>
    <row r="812" spans="1:21" x14ac:dyDescent="0.2">
      <c r="A812" s="3">
        <v>811</v>
      </c>
      <c r="B812" s="1" t="s">
        <v>4875</v>
      </c>
      <c r="D812" s="1" t="s">
        <v>4876</v>
      </c>
      <c r="F812" s="1" t="s">
        <v>4880</v>
      </c>
      <c r="H812" s="1" t="s">
        <v>4881</v>
      </c>
      <c r="L812" s="1" t="s">
        <v>5038</v>
      </c>
      <c r="M812" s="1" t="s">
        <v>5041</v>
      </c>
      <c r="N812" s="1" t="s">
        <v>5042</v>
      </c>
      <c r="P812" s="1" t="s">
        <v>9422</v>
      </c>
      <c r="Q812" s="30" t="s">
        <v>2565</v>
      </c>
      <c r="R812" s="33" t="s">
        <v>3473</v>
      </c>
      <c r="S812">
        <v>37</v>
      </c>
      <c r="T812" s="1" t="s">
        <v>13878</v>
      </c>
      <c r="U812" s="1" t="str">
        <f>HYPERLINK("http://ictvonline.org/taxonomy/p/taxonomy-history?taxnode_id=202108110","ICTVonline=202108110")</f>
        <v>ICTVonline=202108110</v>
      </c>
    </row>
    <row r="813" spans="1:21" x14ac:dyDescent="0.2">
      <c r="A813" s="3">
        <v>812</v>
      </c>
      <c r="B813" s="1" t="s">
        <v>4875</v>
      </c>
      <c r="D813" s="1" t="s">
        <v>4876</v>
      </c>
      <c r="F813" s="1" t="s">
        <v>4880</v>
      </c>
      <c r="H813" s="1" t="s">
        <v>4881</v>
      </c>
      <c r="L813" s="1" t="s">
        <v>5038</v>
      </c>
      <c r="M813" s="1" t="s">
        <v>5041</v>
      </c>
      <c r="N813" s="1" t="s">
        <v>5042</v>
      </c>
      <c r="P813" s="1" t="s">
        <v>9423</v>
      </c>
      <c r="Q813" s="30" t="s">
        <v>2565</v>
      </c>
      <c r="R813" s="33" t="s">
        <v>3473</v>
      </c>
      <c r="S813">
        <v>37</v>
      </c>
      <c r="T813" s="1" t="s">
        <v>13878</v>
      </c>
      <c r="U813" s="1" t="str">
        <f>HYPERLINK("http://ictvonline.org/taxonomy/p/taxonomy-history?taxnode_id=202101332","ICTVonline=202101332")</f>
        <v>ICTVonline=202101332</v>
      </c>
    </row>
    <row r="814" spans="1:21" x14ac:dyDescent="0.2">
      <c r="A814" s="3">
        <v>813</v>
      </c>
      <c r="B814" s="1" t="s">
        <v>4875</v>
      </c>
      <c r="D814" s="1" t="s">
        <v>4876</v>
      </c>
      <c r="F814" s="1" t="s">
        <v>4880</v>
      </c>
      <c r="H814" s="1" t="s">
        <v>4881</v>
      </c>
      <c r="L814" s="1" t="s">
        <v>5038</v>
      </c>
      <c r="M814" s="1" t="s">
        <v>5041</v>
      </c>
      <c r="N814" s="1" t="s">
        <v>5042</v>
      </c>
      <c r="P814" s="1" t="s">
        <v>9424</v>
      </c>
      <c r="Q814" s="30" t="s">
        <v>2565</v>
      </c>
      <c r="R814" s="33" t="s">
        <v>3473</v>
      </c>
      <c r="S814">
        <v>37</v>
      </c>
      <c r="T814" s="1" t="s">
        <v>13878</v>
      </c>
      <c r="U814" s="1" t="str">
        <f>HYPERLINK("http://ictvonline.org/taxonomy/p/taxonomy-history?taxnode_id=202108108","ICTVonline=202108108")</f>
        <v>ICTVonline=202108108</v>
      </c>
    </row>
    <row r="815" spans="1:21" x14ac:dyDescent="0.2">
      <c r="A815" s="3">
        <v>814</v>
      </c>
      <c r="B815" s="1" t="s">
        <v>4875</v>
      </c>
      <c r="D815" s="1" t="s">
        <v>4876</v>
      </c>
      <c r="F815" s="1" t="s">
        <v>4880</v>
      </c>
      <c r="H815" s="1" t="s">
        <v>4881</v>
      </c>
      <c r="L815" s="1" t="s">
        <v>5038</v>
      </c>
      <c r="M815" s="1" t="s">
        <v>5041</v>
      </c>
      <c r="N815" s="1" t="s">
        <v>5042</v>
      </c>
      <c r="P815" s="1" t="s">
        <v>5043</v>
      </c>
      <c r="Q815" s="30" t="s">
        <v>2565</v>
      </c>
      <c r="R815" s="33" t="s">
        <v>3474</v>
      </c>
      <c r="S815">
        <v>37</v>
      </c>
      <c r="T815" s="1" t="s">
        <v>13880</v>
      </c>
      <c r="U815" s="1" t="str">
        <f>HYPERLINK("http://ictvonline.org/taxonomy/p/taxonomy-history?taxnode_id=202108105","ICTVonline=202108105")</f>
        <v>ICTVonline=202108105</v>
      </c>
    </row>
    <row r="816" spans="1:21" x14ac:dyDescent="0.2">
      <c r="A816" s="3">
        <v>815</v>
      </c>
      <c r="B816" s="1" t="s">
        <v>4875</v>
      </c>
      <c r="D816" s="1" t="s">
        <v>4876</v>
      </c>
      <c r="F816" s="1" t="s">
        <v>4880</v>
      </c>
      <c r="H816" s="1" t="s">
        <v>4881</v>
      </c>
      <c r="L816" s="1" t="s">
        <v>5038</v>
      </c>
      <c r="M816" s="1" t="s">
        <v>5041</v>
      </c>
      <c r="N816" s="1" t="s">
        <v>5044</v>
      </c>
      <c r="P816" s="1" t="s">
        <v>9425</v>
      </c>
      <c r="Q816" s="30" t="s">
        <v>2565</v>
      </c>
      <c r="R816" s="33" t="s">
        <v>3473</v>
      </c>
      <c r="S816">
        <v>37</v>
      </c>
      <c r="T816" s="1" t="s">
        <v>13878</v>
      </c>
      <c r="U816" s="1" t="str">
        <f>HYPERLINK("http://ictvonline.org/taxonomy/p/taxonomy-history?taxnode_id=202108114","ICTVonline=202108114")</f>
        <v>ICTVonline=202108114</v>
      </c>
    </row>
    <row r="817" spans="1:21" x14ac:dyDescent="0.2">
      <c r="A817" s="3">
        <v>816</v>
      </c>
      <c r="B817" s="1" t="s">
        <v>4875</v>
      </c>
      <c r="D817" s="1" t="s">
        <v>4876</v>
      </c>
      <c r="F817" s="1" t="s">
        <v>4880</v>
      </c>
      <c r="H817" s="1" t="s">
        <v>4881</v>
      </c>
      <c r="L817" s="1" t="s">
        <v>5038</v>
      </c>
      <c r="M817" s="1" t="s">
        <v>5041</v>
      </c>
      <c r="N817" s="1" t="s">
        <v>4743</v>
      </c>
      <c r="P817" s="1" t="s">
        <v>9426</v>
      </c>
      <c r="Q817" s="30" t="s">
        <v>2565</v>
      </c>
      <c r="R817" s="33" t="s">
        <v>3473</v>
      </c>
      <c r="S817">
        <v>37</v>
      </c>
      <c r="T817" s="1" t="s">
        <v>13878</v>
      </c>
      <c r="U817" s="1" t="str">
        <f>HYPERLINK("http://ictvonline.org/taxonomy/p/taxonomy-history?taxnode_id=202101321","ICTVonline=202101321")</f>
        <v>ICTVonline=202101321</v>
      </c>
    </row>
    <row r="818" spans="1:21" x14ac:dyDescent="0.2">
      <c r="A818" s="3">
        <v>817</v>
      </c>
      <c r="B818" s="1" t="s">
        <v>4875</v>
      </c>
      <c r="D818" s="1" t="s">
        <v>4876</v>
      </c>
      <c r="F818" s="1" t="s">
        <v>4880</v>
      </c>
      <c r="H818" s="1" t="s">
        <v>4881</v>
      </c>
      <c r="L818" s="1" t="s">
        <v>5038</v>
      </c>
      <c r="M818" s="1" t="s">
        <v>5041</v>
      </c>
      <c r="N818" s="1" t="s">
        <v>4743</v>
      </c>
      <c r="P818" s="1" t="s">
        <v>9427</v>
      </c>
      <c r="Q818" s="30" t="s">
        <v>2565</v>
      </c>
      <c r="R818" s="33" t="s">
        <v>3473</v>
      </c>
      <c r="S818">
        <v>37</v>
      </c>
      <c r="T818" s="1" t="s">
        <v>13878</v>
      </c>
      <c r="U818" s="1" t="str">
        <f>HYPERLINK("http://ictvonline.org/taxonomy/p/taxonomy-history?taxnode_id=202108092","ICTVonline=202108092")</f>
        <v>ICTVonline=202108092</v>
      </c>
    </row>
    <row r="819" spans="1:21" x14ac:dyDescent="0.2">
      <c r="A819" s="3">
        <v>818</v>
      </c>
      <c r="B819" s="1" t="s">
        <v>4875</v>
      </c>
      <c r="D819" s="1" t="s">
        <v>4876</v>
      </c>
      <c r="F819" s="1" t="s">
        <v>4880</v>
      </c>
      <c r="H819" s="1" t="s">
        <v>4881</v>
      </c>
      <c r="L819" s="1" t="s">
        <v>5038</v>
      </c>
      <c r="M819" s="1" t="s">
        <v>5041</v>
      </c>
      <c r="N819" s="1" t="s">
        <v>4743</v>
      </c>
      <c r="P819" s="1" t="s">
        <v>9428</v>
      </c>
      <c r="Q819" s="30" t="s">
        <v>2565</v>
      </c>
      <c r="R819" s="33" t="s">
        <v>3473</v>
      </c>
      <c r="S819">
        <v>37</v>
      </c>
      <c r="T819" s="1" t="s">
        <v>13878</v>
      </c>
      <c r="U819" s="1" t="str">
        <f>HYPERLINK("http://ictvonline.org/taxonomy/p/taxonomy-history?taxnode_id=202101322","ICTVonline=202101322")</f>
        <v>ICTVonline=202101322</v>
      </c>
    </row>
    <row r="820" spans="1:21" x14ac:dyDescent="0.2">
      <c r="A820" s="3">
        <v>819</v>
      </c>
      <c r="B820" s="1" t="s">
        <v>4875</v>
      </c>
      <c r="D820" s="1" t="s">
        <v>4876</v>
      </c>
      <c r="F820" s="1" t="s">
        <v>4880</v>
      </c>
      <c r="H820" s="1" t="s">
        <v>4881</v>
      </c>
      <c r="L820" s="1" t="s">
        <v>5038</v>
      </c>
      <c r="M820" s="1" t="s">
        <v>5041</v>
      </c>
      <c r="N820" s="1" t="s">
        <v>4743</v>
      </c>
      <c r="P820" s="1" t="s">
        <v>9429</v>
      </c>
      <c r="Q820" s="30" t="s">
        <v>2565</v>
      </c>
      <c r="R820" s="33" t="s">
        <v>3473</v>
      </c>
      <c r="S820">
        <v>37</v>
      </c>
      <c r="T820" s="1" t="s">
        <v>13878</v>
      </c>
      <c r="U820" s="1" t="str">
        <f>HYPERLINK("http://ictvonline.org/taxonomy/p/taxonomy-history?taxnode_id=202108093","ICTVonline=202108093")</f>
        <v>ICTVonline=202108093</v>
      </c>
    </row>
    <row r="821" spans="1:21" x14ac:dyDescent="0.2">
      <c r="A821" s="3">
        <v>820</v>
      </c>
      <c r="B821" s="1" t="s">
        <v>4875</v>
      </c>
      <c r="D821" s="1" t="s">
        <v>4876</v>
      </c>
      <c r="F821" s="1" t="s">
        <v>4880</v>
      </c>
      <c r="H821" s="1" t="s">
        <v>4881</v>
      </c>
      <c r="L821" s="1" t="s">
        <v>5038</v>
      </c>
      <c r="M821" s="1" t="s">
        <v>5041</v>
      </c>
      <c r="N821" s="1" t="s">
        <v>4743</v>
      </c>
      <c r="P821" s="1" t="s">
        <v>9430</v>
      </c>
      <c r="Q821" s="30" t="s">
        <v>2565</v>
      </c>
      <c r="R821" s="33" t="s">
        <v>3473</v>
      </c>
      <c r="S821">
        <v>37</v>
      </c>
      <c r="T821" s="1" t="s">
        <v>13878</v>
      </c>
      <c r="U821" s="1" t="str">
        <f>HYPERLINK("http://ictvonline.org/taxonomy/p/taxonomy-history?taxnode_id=202108083","ICTVonline=202108083")</f>
        <v>ICTVonline=202108083</v>
      </c>
    </row>
    <row r="822" spans="1:21" x14ac:dyDescent="0.2">
      <c r="A822" s="3">
        <v>821</v>
      </c>
      <c r="B822" s="1" t="s">
        <v>4875</v>
      </c>
      <c r="D822" s="1" t="s">
        <v>4876</v>
      </c>
      <c r="F822" s="1" t="s">
        <v>4880</v>
      </c>
      <c r="H822" s="1" t="s">
        <v>4881</v>
      </c>
      <c r="L822" s="1" t="s">
        <v>5038</v>
      </c>
      <c r="M822" s="1" t="s">
        <v>5041</v>
      </c>
      <c r="N822" s="1" t="s">
        <v>4743</v>
      </c>
      <c r="P822" s="1" t="s">
        <v>9431</v>
      </c>
      <c r="Q822" s="30" t="s">
        <v>2565</v>
      </c>
      <c r="R822" s="33" t="s">
        <v>3473</v>
      </c>
      <c r="S822">
        <v>37</v>
      </c>
      <c r="T822" s="1" t="s">
        <v>13878</v>
      </c>
      <c r="U822" s="1" t="str">
        <f>HYPERLINK("http://ictvonline.org/taxonomy/p/taxonomy-history?taxnode_id=202101323","ICTVonline=202101323")</f>
        <v>ICTVonline=202101323</v>
      </c>
    </row>
    <row r="823" spans="1:21" x14ac:dyDescent="0.2">
      <c r="A823" s="3">
        <v>822</v>
      </c>
      <c r="B823" s="1" t="s">
        <v>4875</v>
      </c>
      <c r="D823" s="1" t="s">
        <v>4876</v>
      </c>
      <c r="F823" s="1" t="s">
        <v>4880</v>
      </c>
      <c r="H823" s="1" t="s">
        <v>4881</v>
      </c>
      <c r="L823" s="1" t="s">
        <v>5038</v>
      </c>
      <c r="M823" s="1" t="s">
        <v>5041</v>
      </c>
      <c r="N823" s="1" t="s">
        <v>4743</v>
      </c>
      <c r="P823" s="1" t="s">
        <v>9432</v>
      </c>
      <c r="Q823" s="30" t="s">
        <v>2565</v>
      </c>
      <c r="R823" s="33" t="s">
        <v>3473</v>
      </c>
      <c r="S823">
        <v>37</v>
      </c>
      <c r="T823" s="1" t="s">
        <v>13878</v>
      </c>
      <c r="U823" s="1" t="str">
        <f>HYPERLINK("http://ictvonline.org/taxonomy/p/taxonomy-history?taxnode_id=202101325","ICTVonline=202101325")</f>
        <v>ICTVonline=202101325</v>
      </c>
    </row>
    <row r="824" spans="1:21" x14ac:dyDescent="0.2">
      <c r="A824" s="3">
        <v>823</v>
      </c>
      <c r="B824" s="1" t="s">
        <v>4875</v>
      </c>
      <c r="D824" s="1" t="s">
        <v>4876</v>
      </c>
      <c r="F824" s="1" t="s">
        <v>4880</v>
      </c>
      <c r="H824" s="1" t="s">
        <v>4881</v>
      </c>
      <c r="L824" s="1" t="s">
        <v>5038</v>
      </c>
      <c r="M824" s="1" t="s">
        <v>5041</v>
      </c>
      <c r="N824" s="1" t="s">
        <v>4743</v>
      </c>
      <c r="P824" s="1" t="s">
        <v>9433</v>
      </c>
      <c r="Q824" s="30" t="s">
        <v>2565</v>
      </c>
      <c r="R824" s="33" t="s">
        <v>3473</v>
      </c>
      <c r="S824">
        <v>37</v>
      </c>
      <c r="T824" s="1" t="s">
        <v>13878</v>
      </c>
      <c r="U824" s="1" t="str">
        <f>HYPERLINK("http://ictvonline.org/taxonomy/p/taxonomy-history?taxnode_id=202109961","ICTVonline=202109961")</f>
        <v>ICTVonline=202109961</v>
      </c>
    </row>
    <row r="825" spans="1:21" x14ac:dyDescent="0.2">
      <c r="A825" s="3">
        <v>824</v>
      </c>
      <c r="B825" s="1" t="s">
        <v>4875</v>
      </c>
      <c r="D825" s="1" t="s">
        <v>4876</v>
      </c>
      <c r="F825" s="1" t="s">
        <v>4880</v>
      </c>
      <c r="H825" s="1" t="s">
        <v>4881</v>
      </c>
      <c r="L825" s="1" t="s">
        <v>5038</v>
      </c>
      <c r="M825" s="1" t="s">
        <v>5041</v>
      </c>
      <c r="N825" s="1" t="s">
        <v>4743</v>
      </c>
      <c r="P825" s="1" t="s">
        <v>9434</v>
      </c>
      <c r="Q825" s="30" t="s">
        <v>2565</v>
      </c>
      <c r="R825" s="33" t="s">
        <v>3473</v>
      </c>
      <c r="S825">
        <v>37</v>
      </c>
      <c r="T825" s="1" t="s">
        <v>13878</v>
      </c>
      <c r="U825" s="1" t="str">
        <f>HYPERLINK("http://ictvonline.org/taxonomy/p/taxonomy-history?taxnode_id=202108082","ICTVonline=202108082")</f>
        <v>ICTVonline=202108082</v>
      </c>
    </row>
    <row r="826" spans="1:21" x14ac:dyDescent="0.2">
      <c r="A826" s="3">
        <v>825</v>
      </c>
      <c r="B826" s="1" t="s">
        <v>4875</v>
      </c>
      <c r="D826" s="1" t="s">
        <v>4876</v>
      </c>
      <c r="F826" s="1" t="s">
        <v>4880</v>
      </c>
      <c r="H826" s="1" t="s">
        <v>4881</v>
      </c>
      <c r="L826" s="1" t="s">
        <v>5038</v>
      </c>
      <c r="M826" s="1" t="s">
        <v>5041</v>
      </c>
      <c r="N826" s="1" t="s">
        <v>4743</v>
      </c>
      <c r="P826" s="1" t="s">
        <v>9435</v>
      </c>
      <c r="Q826" s="30" t="s">
        <v>2565</v>
      </c>
      <c r="R826" s="33" t="s">
        <v>3473</v>
      </c>
      <c r="S826">
        <v>37</v>
      </c>
      <c r="T826" s="1" t="s">
        <v>13878</v>
      </c>
      <c r="U826" s="1" t="str">
        <f>HYPERLINK("http://ictvonline.org/taxonomy/p/taxonomy-history?taxnode_id=202101326","ICTVonline=202101326")</f>
        <v>ICTVonline=202101326</v>
      </c>
    </row>
    <row r="827" spans="1:21" x14ac:dyDescent="0.2">
      <c r="A827" s="3">
        <v>826</v>
      </c>
      <c r="B827" s="1" t="s">
        <v>4875</v>
      </c>
      <c r="D827" s="1" t="s">
        <v>4876</v>
      </c>
      <c r="F827" s="1" t="s">
        <v>4880</v>
      </c>
      <c r="H827" s="1" t="s">
        <v>4881</v>
      </c>
      <c r="L827" s="1" t="s">
        <v>5038</v>
      </c>
      <c r="M827" s="1" t="s">
        <v>5041</v>
      </c>
      <c r="N827" s="1" t="s">
        <v>4743</v>
      </c>
      <c r="P827" s="1" t="s">
        <v>9436</v>
      </c>
      <c r="Q827" s="30" t="s">
        <v>2565</v>
      </c>
      <c r="R827" s="33" t="s">
        <v>3473</v>
      </c>
      <c r="S827">
        <v>37</v>
      </c>
      <c r="T827" s="1" t="s">
        <v>13878</v>
      </c>
      <c r="U827" s="1" t="str">
        <f>HYPERLINK("http://ictvonline.org/taxonomy/p/taxonomy-history?taxnode_id=202109954","ICTVonline=202109954")</f>
        <v>ICTVonline=202109954</v>
      </c>
    </row>
    <row r="828" spans="1:21" x14ac:dyDescent="0.2">
      <c r="A828" s="3">
        <v>827</v>
      </c>
      <c r="B828" s="1" t="s">
        <v>4875</v>
      </c>
      <c r="D828" s="1" t="s">
        <v>4876</v>
      </c>
      <c r="F828" s="1" t="s">
        <v>4880</v>
      </c>
      <c r="H828" s="1" t="s">
        <v>4881</v>
      </c>
      <c r="L828" s="1" t="s">
        <v>5038</v>
      </c>
      <c r="M828" s="1" t="s">
        <v>5041</v>
      </c>
      <c r="N828" s="1" t="s">
        <v>4743</v>
      </c>
      <c r="P828" s="1" t="s">
        <v>9437</v>
      </c>
      <c r="Q828" s="30" t="s">
        <v>2565</v>
      </c>
      <c r="R828" s="33" t="s">
        <v>3473</v>
      </c>
      <c r="S828">
        <v>37</v>
      </c>
      <c r="T828" s="1" t="s">
        <v>13878</v>
      </c>
      <c r="U828" s="1" t="str">
        <f>HYPERLINK("http://ictvonline.org/taxonomy/p/taxonomy-history?taxnode_id=202109959","ICTVonline=202109959")</f>
        <v>ICTVonline=202109959</v>
      </c>
    </row>
    <row r="829" spans="1:21" x14ac:dyDescent="0.2">
      <c r="A829" s="3">
        <v>828</v>
      </c>
      <c r="B829" s="1" t="s">
        <v>4875</v>
      </c>
      <c r="D829" s="1" t="s">
        <v>4876</v>
      </c>
      <c r="F829" s="1" t="s">
        <v>4880</v>
      </c>
      <c r="H829" s="1" t="s">
        <v>4881</v>
      </c>
      <c r="L829" s="1" t="s">
        <v>5038</v>
      </c>
      <c r="M829" s="1" t="s">
        <v>5041</v>
      </c>
      <c r="N829" s="1" t="s">
        <v>4743</v>
      </c>
      <c r="P829" s="1" t="s">
        <v>9438</v>
      </c>
      <c r="Q829" s="30" t="s">
        <v>2565</v>
      </c>
      <c r="R829" s="33" t="s">
        <v>3473</v>
      </c>
      <c r="S829">
        <v>37</v>
      </c>
      <c r="T829" s="1" t="s">
        <v>13878</v>
      </c>
      <c r="U829" s="1" t="str">
        <f>HYPERLINK("http://ictvonline.org/taxonomy/p/taxonomy-history?taxnode_id=202108089","ICTVonline=202108089")</f>
        <v>ICTVonline=202108089</v>
      </c>
    </row>
    <row r="830" spans="1:21" x14ac:dyDescent="0.2">
      <c r="A830" s="3">
        <v>829</v>
      </c>
      <c r="B830" s="1" t="s">
        <v>4875</v>
      </c>
      <c r="D830" s="1" t="s">
        <v>4876</v>
      </c>
      <c r="F830" s="1" t="s">
        <v>4880</v>
      </c>
      <c r="H830" s="1" t="s">
        <v>4881</v>
      </c>
      <c r="L830" s="1" t="s">
        <v>5038</v>
      </c>
      <c r="M830" s="1" t="s">
        <v>5041</v>
      </c>
      <c r="N830" s="1" t="s">
        <v>4743</v>
      </c>
      <c r="P830" s="1" t="s">
        <v>9439</v>
      </c>
      <c r="Q830" s="30" t="s">
        <v>2565</v>
      </c>
      <c r="R830" s="33" t="s">
        <v>3473</v>
      </c>
      <c r="S830">
        <v>37</v>
      </c>
      <c r="T830" s="1" t="s">
        <v>13878</v>
      </c>
      <c r="U830" s="1" t="str">
        <f>HYPERLINK("http://ictvonline.org/taxonomy/p/taxonomy-history?taxnode_id=202108088","ICTVonline=202108088")</f>
        <v>ICTVonline=202108088</v>
      </c>
    </row>
    <row r="831" spans="1:21" x14ac:dyDescent="0.2">
      <c r="A831" s="3">
        <v>830</v>
      </c>
      <c r="B831" s="1" t="s">
        <v>4875</v>
      </c>
      <c r="D831" s="1" t="s">
        <v>4876</v>
      </c>
      <c r="F831" s="1" t="s">
        <v>4880</v>
      </c>
      <c r="H831" s="1" t="s">
        <v>4881</v>
      </c>
      <c r="L831" s="1" t="s">
        <v>5038</v>
      </c>
      <c r="M831" s="1" t="s">
        <v>5041</v>
      </c>
      <c r="N831" s="1" t="s">
        <v>4743</v>
      </c>
      <c r="P831" s="1" t="s">
        <v>9440</v>
      </c>
      <c r="Q831" s="30" t="s">
        <v>2565</v>
      </c>
      <c r="R831" s="33" t="s">
        <v>3473</v>
      </c>
      <c r="S831">
        <v>37</v>
      </c>
      <c r="T831" s="1" t="s">
        <v>13878</v>
      </c>
      <c r="U831" s="1" t="str">
        <f>HYPERLINK("http://ictvonline.org/taxonomy/p/taxonomy-history?taxnode_id=202109955","ICTVonline=202109955")</f>
        <v>ICTVonline=202109955</v>
      </c>
    </row>
    <row r="832" spans="1:21" x14ac:dyDescent="0.2">
      <c r="A832" s="3">
        <v>831</v>
      </c>
      <c r="B832" s="1" t="s">
        <v>4875</v>
      </c>
      <c r="D832" s="1" t="s">
        <v>4876</v>
      </c>
      <c r="F832" s="1" t="s">
        <v>4880</v>
      </c>
      <c r="H832" s="1" t="s">
        <v>4881</v>
      </c>
      <c r="L832" s="1" t="s">
        <v>5038</v>
      </c>
      <c r="M832" s="1" t="s">
        <v>5041</v>
      </c>
      <c r="N832" s="1" t="s">
        <v>4743</v>
      </c>
      <c r="P832" s="1" t="s">
        <v>9441</v>
      </c>
      <c r="Q832" s="30" t="s">
        <v>2565</v>
      </c>
      <c r="R832" s="33" t="s">
        <v>3473</v>
      </c>
      <c r="S832">
        <v>37</v>
      </c>
      <c r="T832" s="1" t="s">
        <v>13878</v>
      </c>
      <c r="U832" s="1" t="str">
        <f>HYPERLINK("http://ictvonline.org/taxonomy/p/taxonomy-history?taxnode_id=202109958","ICTVonline=202109958")</f>
        <v>ICTVonline=202109958</v>
      </c>
    </row>
    <row r="833" spans="1:21" x14ac:dyDescent="0.2">
      <c r="A833" s="3">
        <v>832</v>
      </c>
      <c r="B833" s="1" t="s">
        <v>4875</v>
      </c>
      <c r="D833" s="1" t="s">
        <v>4876</v>
      </c>
      <c r="F833" s="1" t="s">
        <v>4880</v>
      </c>
      <c r="H833" s="1" t="s">
        <v>4881</v>
      </c>
      <c r="L833" s="1" t="s">
        <v>5038</v>
      </c>
      <c r="M833" s="1" t="s">
        <v>5041</v>
      </c>
      <c r="N833" s="1" t="s">
        <v>4743</v>
      </c>
      <c r="P833" s="1" t="s">
        <v>9442</v>
      </c>
      <c r="Q833" s="30" t="s">
        <v>2565</v>
      </c>
      <c r="R833" s="33" t="s">
        <v>3473</v>
      </c>
      <c r="S833">
        <v>37</v>
      </c>
      <c r="T833" s="1" t="s">
        <v>13878</v>
      </c>
      <c r="U833" s="1" t="str">
        <f>HYPERLINK("http://ictvonline.org/taxonomy/p/taxonomy-history?taxnode_id=202109951","ICTVonline=202109951")</f>
        <v>ICTVonline=202109951</v>
      </c>
    </row>
    <row r="834" spans="1:21" x14ac:dyDescent="0.2">
      <c r="A834" s="3">
        <v>833</v>
      </c>
      <c r="B834" s="1" t="s">
        <v>4875</v>
      </c>
      <c r="D834" s="1" t="s">
        <v>4876</v>
      </c>
      <c r="F834" s="1" t="s">
        <v>4880</v>
      </c>
      <c r="H834" s="1" t="s">
        <v>4881</v>
      </c>
      <c r="L834" s="1" t="s">
        <v>5038</v>
      </c>
      <c r="M834" s="1" t="s">
        <v>5041</v>
      </c>
      <c r="N834" s="1" t="s">
        <v>4743</v>
      </c>
      <c r="P834" s="1" t="s">
        <v>9443</v>
      </c>
      <c r="Q834" s="30" t="s">
        <v>2565</v>
      </c>
      <c r="R834" s="33" t="s">
        <v>3473</v>
      </c>
      <c r="S834">
        <v>37</v>
      </c>
      <c r="T834" s="1" t="s">
        <v>13878</v>
      </c>
      <c r="U834" s="1" t="str">
        <f>HYPERLINK("http://ictvonline.org/taxonomy/p/taxonomy-history?taxnode_id=202109962","ICTVonline=202109962")</f>
        <v>ICTVonline=202109962</v>
      </c>
    </row>
    <row r="835" spans="1:21" x14ac:dyDescent="0.2">
      <c r="A835" s="3">
        <v>834</v>
      </c>
      <c r="B835" s="1" t="s">
        <v>4875</v>
      </c>
      <c r="D835" s="1" t="s">
        <v>4876</v>
      </c>
      <c r="F835" s="1" t="s">
        <v>4880</v>
      </c>
      <c r="H835" s="1" t="s">
        <v>4881</v>
      </c>
      <c r="L835" s="1" t="s">
        <v>5038</v>
      </c>
      <c r="M835" s="1" t="s">
        <v>5041</v>
      </c>
      <c r="N835" s="1" t="s">
        <v>4743</v>
      </c>
      <c r="P835" s="1" t="s">
        <v>9444</v>
      </c>
      <c r="Q835" s="30" t="s">
        <v>2565</v>
      </c>
      <c r="R835" s="33" t="s">
        <v>3473</v>
      </c>
      <c r="S835">
        <v>37</v>
      </c>
      <c r="T835" s="1" t="s">
        <v>13878</v>
      </c>
      <c r="U835" s="1" t="str">
        <f>HYPERLINK("http://ictvonline.org/taxonomy/p/taxonomy-history?taxnode_id=202108084","ICTVonline=202108084")</f>
        <v>ICTVonline=202108084</v>
      </c>
    </row>
    <row r="836" spans="1:21" x14ac:dyDescent="0.2">
      <c r="A836" s="3">
        <v>835</v>
      </c>
      <c r="B836" s="1" t="s">
        <v>4875</v>
      </c>
      <c r="D836" s="1" t="s">
        <v>4876</v>
      </c>
      <c r="F836" s="1" t="s">
        <v>4880</v>
      </c>
      <c r="H836" s="1" t="s">
        <v>4881</v>
      </c>
      <c r="L836" s="1" t="s">
        <v>5038</v>
      </c>
      <c r="M836" s="1" t="s">
        <v>5041</v>
      </c>
      <c r="N836" s="1" t="s">
        <v>4743</v>
      </c>
      <c r="P836" s="1" t="s">
        <v>9445</v>
      </c>
      <c r="Q836" s="30" t="s">
        <v>2565</v>
      </c>
      <c r="R836" s="33" t="s">
        <v>3473</v>
      </c>
      <c r="S836">
        <v>37</v>
      </c>
      <c r="T836" s="1" t="s">
        <v>13878</v>
      </c>
      <c r="U836" s="1" t="str">
        <f>HYPERLINK("http://ictvonline.org/taxonomy/p/taxonomy-history?taxnode_id=202109952","ICTVonline=202109952")</f>
        <v>ICTVonline=202109952</v>
      </c>
    </row>
    <row r="837" spans="1:21" x14ac:dyDescent="0.2">
      <c r="A837" s="3">
        <v>836</v>
      </c>
      <c r="B837" s="1" t="s">
        <v>4875</v>
      </c>
      <c r="D837" s="1" t="s">
        <v>4876</v>
      </c>
      <c r="F837" s="1" t="s">
        <v>4880</v>
      </c>
      <c r="H837" s="1" t="s">
        <v>4881</v>
      </c>
      <c r="L837" s="1" t="s">
        <v>5038</v>
      </c>
      <c r="M837" s="1" t="s">
        <v>5041</v>
      </c>
      <c r="N837" s="1" t="s">
        <v>4743</v>
      </c>
      <c r="P837" s="1" t="s">
        <v>9446</v>
      </c>
      <c r="Q837" s="30" t="s">
        <v>2565</v>
      </c>
      <c r="R837" s="33" t="s">
        <v>3473</v>
      </c>
      <c r="S837">
        <v>37</v>
      </c>
      <c r="T837" s="1" t="s">
        <v>13878</v>
      </c>
      <c r="U837" s="1" t="str">
        <f>HYPERLINK("http://ictvonline.org/taxonomy/p/taxonomy-history?taxnode_id=202108091","ICTVonline=202108091")</f>
        <v>ICTVonline=202108091</v>
      </c>
    </row>
    <row r="838" spans="1:21" x14ac:dyDescent="0.2">
      <c r="A838" s="3">
        <v>837</v>
      </c>
      <c r="B838" s="1" t="s">
        <v>4875</v>
      </c>
      <c r="D838" s="1" t="s">
        <v>4876</v>
      </c>
      <c r="F838" s="1" t="s">
        <v>4880</v>
      </c>
      <c r="H838" s="1" t="s">
        <v>4881</v>
      </c>
      <c r="L838" s="1" t="s">
        <v>5038</v>
      </c>
      <c r="M838" s="1" t="s">
        <v>5041</v>
      </c>
      <c r="N838" s="1" t="s">
        <v>4743</v>
      </c>
      <c r="P838" s="1" t="s">
        <v>9447</v>
      </c>
      <c r="Q838" s="30" t="s">
        <v>2565</v>
      </c>
      <c r="R838" s="33" t="s">
        <v>3473</v>
      </c>
      <c r="S838">
        <v>37</v>
      </c>
      <c r="T838" s="1" t="s">
        <v>13878</v>
      </c>
      <c r="U838" s="1" t="str">
        <f>HYPERLINK("http://ictvonline.org/taxonomy/p/taxonomy-history?taxnode_id=202108090","ICTVonline=202108090")</f>
        <v>ICTVonline=202108090</v>
      </c>
    </row>
    <row r="839" spans="1:21" x14ac:dyDescent="0.2">
      <c r="A839" s="3">
        <v>838</v>
      </c>
      <c r="B839" s="1" t="s">
        <v>4875</v>
      </c>
      <c r="D839" s="1" t="s">
        <v>4876</v>
      </c>
      <c r="F839" s="1" t="s">
        <v>4880</v>
      </c>
      <c r="H839" s="1" t="s">
        <v>4881</v>
      </c>
      <c r="L839" s="1" t="s">
        <v>5038</v>
      </c>
      <c r="M839" s="1" t="s">
        <v>5041</v>
      </c>
      <c r="N839" s="1" t="s">
        <v>4743</v>
      </c>
      <c r="P839" s="1" t="s">
        <v>9448</v>
      </c>
      <c r="Q839" s="30" t="s">
        <v>2565</v>
      </c>
      <c r="R839" s="33" t="s">
        <v>3473</v>
      </c>
      <c r="S839">
        <v>37</v>
      </c>
      <c r="T839" s="1" t="s">
        <v>13878</v>
      </c>
      <c r="U839" s="1" t="str">
        <f>HYPERLINK("http://ictvonline.org/taxonomy/p/taxonomy-history?taxnode_id=202109963","ICTVonline=202109963")</f>
        <v>ICTVonline=202109963</v>
      </c>
    </row>
    <row r="840" spans="1:21" x14ac:dyDescent="0.2">
      <c r="A840" s="3">
        <v>839</v>
      </c>
      <c r="B840" s="1" t="s">
        <v>4875</v>
      </c>
      <c r="D840" s="1" t="s">
        <v>4876</v>
      </c>
      <c r="F840" s="1" t="s">
        <v>4880</v>
      </c>
      <c r="H840" s="1" t="s">
        <v>4881</v>
      </c>
      <c r="L840" s="1" t="s">
        <v>5038</v>
      </c>
      <c r="M840" s="1" t="s">
        <v>5041</v>
      </c>
      <c r="N840" s="1" t="s">
        <v>4743</v>
      </c>
      <c r="P840" s="1" t="s">
        <v>9449</v>
      </c>
      <c r="Q840" s="30" t="s">
        <v>2565</v>
      </c>
      <c r="R840" s="33" t="s">
        <v>3473</v>
      </c>
      <c r="S840">
        <v>37</v>
      </c>
      <c r="T840" s="1" t="s">
        <v>13878</v>
      </c>
      <c r="U840" s="1" t="str">
        <f>HYPERLINK("http://ictvonline.org/taxonomy/p/taxonomy-history?taxnode_id=202101330","ICTVonline=202101330")</f>
        <v>ICTVonline=202101330</v>
      </c>
    </row>
    <row r="841" spans="1:21" x14ac:dyDescent="0.2">
      <c r="A841" s="3">
        <v>840</v>
      </c>
      <c r="B841" s="1" t="s">
        <v>4875</v>
      </c>
      <c r="D841" s="1" t="s">
        <v>4876</v>
      </c>
      <c r="F841" s="1" t="s">
        <v>4880</v>
      </c>
      <c r="H841" s="1" t="s">
        <v>4881</v>
      </c>
      <c r="L841" s="1" t="s">
        <v>5038</v>
      </c>
      <c r="M841" s="1" t="s">
        <v>5041</v>
      </c>
      <c r="N841" s="1" t="s">
        <v>4743</v>
      </c>
      <c r="P841" s="1" t="s">
        <v>9450</v>
      </c>
      <c r="Q841" s="30" t="s">
        <v>2565</v>
      </c>
      <c r="R841" s="33" t="s">
        <v>3473</v>
      </c>
      <c r="S841">
        <v>37</v>
      </c>
      <c r="T841" s="1" t="s">
        <v>13878</v>
      </c>
      <c r="U841" s="1" t="str">
        <f>HYPERLINK("http://ictvonline.org/taxonomy/p/taxonomy-history?taxnode_id=202108094","ICTVonline=202108094")</f>
        <v>ICTVonline=202108094</v>
      </c>
    </row>
    <row r="842" spans="1:21" x14ac:dyDescent="0.2">
      <c r="A842" s="3">
        <v>841</v>
      </c>
      <c r="B842" s="1" t="s">
        <v>4875</v>
      </c>
      <c r="D842" s="1" t="s">
        <v>4876</v>
      </c>
      <c r="F842" s="1" t="s">
        <v>4880</v>
      </c>
      <c r="H842" s="1" t="s">
        <v>4881</v>
      </c>
      <c r="L842" s="1" t="s">
        <v>5038</v>
      </c>
      <c r="M842" s="1" t="s">
        <v>5041</v>
      </c>
      <c r="N842" s="1" t="s">
        <v>4743</v>
      </c>
      <c r="P842" s="1" t="s">
        <v>9451</v>
      </c>
      <c r="Q842" s="30" t="s">
        <v>2565</v>
      </c>
      <c r="R842" s="33" t="s">
        <v>3473</v>
      </c>
      <c r="S842">
        <v>37</v>
      </c>
      <c r="T842" s="1" t="s">
        <v>13878</v>
      </c>
      <c r="U842" s="1" t="str">
        <f>HYPERLINK("http://ictvonline.org/taxonomy/p/taxonomy-history?taxnode_id=202101327","ICTVonline=202101327")</f>
        <v>ICTVonline=202101327</v>
      </c>
    </row>
    <row r="843" spans="1:21" x14ac:dyDescent="0.2">
      <c r="A843" s="3">
        <v>842</v>
      </c>
      <c r="B843" s="1" t="s">
        <v>4875</v>
      </c>
      <c r="D843" s="1" t="s">
        <v>4876</v>
      </c>
      <c r="F843" s="1" t="s">
        <v>4880</v>
      </c>
      <c r="H843" s="1" t="s">
        <v>4881</v>
      </c>
      <c r="L843" s="1" t="s">
        <v>5038</v>
      </c>
      <c r="M843" s="1" t="s">
        <v>5041</v>
      </c>
      <c r="N843" s="1" t="s">
        <v>4743</v>
      </c>
      <c r="P843" s="1" t="s">
        <v>9452</v>
      </c>
      <c r="Q843" s="30" t="s">
        <v>2565</v>
      </c>
      <c r="R843" s="33" t="s">
        <v>3473</v>
      </c>
      <c r="S843">
        <v>37</v>
      </c>
      <c r="T843" s="1" t="s">
        <v>13878</v>
      </c>
      <c r="U843" s="1" t="str">
        <f>HYPERLINK("http://ictvonline.org/taxonomy/p/taxonomy-history?taxnode_id=202108086","ICTVonline=202108086")</f>
        <v>ICTVonline=202108086</v>
      </c>
    </row>
    <row r="844" spans="1:21" x14ac:dyDescent="0.2">
      <c r="A844" s="3">
        <v>843</v>
      </c>
      <c r="B844" s="1" t="s">
        <v>4875</v>
      </c>
      <c r="D844" s="1" t="s">
        <v>4876</v>
      </c>
      <c r="F844" s="1" t="s">
        <v>4880</v>
      </c>
      <c r="H844" s="1" t="s">
        <v>4881</v>
      </c>
      <c r="L844" s="1" t="s">
        <v>5038</v>
      </c>
      <c r="M844" s="1" t="s">
        <v>5041</v>
      </c>
      <c r="N844" s="1" t="s">
        <v>4743</v>
      </c>
      <c r="P844" s="1" t="s">
        <v>9453</v>
      </c>
      <c r="Q844" s="30" t="s">
        <v>2565</v>
      </c>
      <c r="R844" s="33" t="s">
        <v>3473</v>
      </c>
      <c r="S844">
        <v>37</v>
      </c>
      <c r="T844" s="1" t="s">
        <v>13878</v>
      </c>
      <c r="U844" s="1" t="str">
        <f>HYPERLINK("http://ictvonline.org/taxonomy/p/taxonomy-history?taxnode_id=202108085","ICTVonline=202108085")</f>
        <v>ICTVonline=202108085</v>
      </c>
    </row>
    <row r="845" spans="1:21" x14ac:dyDescent="0.2">
      <c r="A845" s="3">
        <v>844</v>
      </c>
      <c r="B845" s="1" t="s">
        <v>4875</v>
      </c>
      <c r="D845" s="1" t="s">
        <v>4876</v>
      </c>
      <c r="F845" s="1" t="s">
        <v>4880</v>
      </c>
      <c r="H845" s="1" t="s">
        <v>4881</v>
      </c>
      <c r="L845" s="1" t="s">
        <v>5038</v>
      </c>
      <c r="M845" s="1" t="s">
        <v>5041</v>
      </c>
      <c r="N845" s="1" t="s">
        <v>4743</v>
      </c>
      <c r="P845" s="1" t="s">
        <v>9454</v>
      </c>
      <c r="Q845" s="30" t="s">
        <v>2565</v>
      </c>
      <c r="R845" s="33" t="s">
        <v>3473</v>
      </c>
      <c r="S845">
        <v>37</v>
      </c>
      <c r="T845" s="1" t="s">
        <v>13878</v>
      </c>
      <c r="U845" s="1" t="str">
        <f>HYPERLINK("http://ictvonline.org/taxonomy/p/taxonomy-history?taxnode_id=202109960","ICTVonline=202109960")</f>
        <v>ICTVonline=202109960</v>
      </c>
    </row>
    <row r="846" spans="1:21" x14ac:dyDescent="0.2">
      <c r="A846" s="3">
        <v>845</v>
      </c>
      <c r="B846" s="1" t="s">
        <v>4875</v>
      </c>
      <c r="D846" s="1" t="s">
        <v>4876</v>
      </c>
      <c r="F846" s="1" t="s">
        <v>4880</v>
      </c>
      <c r="H846" s="1" t="s">
        <v>4881</v>
      </c>
      <c r="L846" s="1" t="s">
        <v>5038</v>
      </c>
      <c r="M846" s="1" t="s">
        <v>5041</v>
      </c>
      <c r="N846" s="1" t="s">
        <v>4743</v>
      </c>
      <c r="P846" s="1" t="s">
        <v>9455</v>
      </c>
      <c r="Q846" s="30" t="s">
        <v>2565</v>
      </c>
      <c r="R846" s="33" t="s">
        <v>3473</v>
      </c>
      <c r="S846">
        <v>37</v>
      </c>
      <c r="T846" s="1" t="s">
        <v>13878</v>
      </c>
      <c r="U846" s="1" t="str">
        <f>HYPERLINK("http://ictvonline.org/taxonomy/p/taxonomy-history?taxnode_id=202101331","ICTVonline=202101331")</f>
        <v>ICTVonline=202101331</v>
      </c>
    </row>
    <row r="847" spans="1:21" x14ac:dyDescent="0.2">
      <c r="A847" s="3">
        <v>846</v>
      </c>
      <c r="B847" s="1" t="s">
        <v>4875</v>
      </c>
      <c r="D847" s="1" t="s">
        <v>4876</v>
      </c>
      <c r="F847" s="1" t="s">
        <v>4880</v>
      </c>
      <c r="H847" s="1" t="s">
        <v>4881</v>
      </c>
      <c r="L847" s="1" t="s">
        <v>5038</v>
      </c>
      <c r="M847" s="1" t="s">
        <v>5041</v>
      </c>
      <c r="N847" s="1" t="s">
        <v>4743</v>
      </c>
      <c r="P847" s="1" t="s">
        <v>9456</v>
      </c>
      <c r="Q847" s="30" t="s">
        <v>2565</v>
      </c>
      <c r="R847" s="33" t="s">
        <v>3473</v>
      </c>
      <c r="S847">
        <v>37</v>
      </c>
      <c r="T847" s="1" t="s">
        <v>13878</v>
      </c>
      <c r="U847" s="1" t="str">
        <f>HYPERLINK("http://ictvonline.org/taxonomy/p/taxonomy-history?taxnode_id=202108087","ICTVonline=202108087")</f>
        <v>ICTVonline=202108087</v>
      </c>
    </row>
    <row r="848" spans="1:21" x14ac:dyDescent="0.2">
      <c r="A848" s="3">
        <v>847</v>
      </c>
      <c r="B848" s="1" t="s">
        <v>4875</v>
      </c>
      <c r="D848" s="1" t="s">
        <v>4876</v>
      </c>
      <c r="F848" s="1" t="s">
        <v>4880</v>
      </c>
      <c r="H848" s="1" t="s">
        <v>4881</v>
      </c>
      <c r="L848" s="1" t="s">
        <v>5038</v>
      </c>
      <c r="M848" s="1" t="s">
        <v>5041</v>
      </c>
      <c r="N848" s="1" t="s">
        <v>4743</v>
      </c>
      <c r="P848" s="1" t="s">
        <v>9457</v>
      </c>
      <c r="Q848" s="30" t="s">
        <v>2565</v>
      </c>
      <c r="R848" s="33" t="s">
        <v>3473</v>
      </c>
      <c r="S848">
        <v>37</v>
      </c>
      <c r="T848" s="1" t="s">
        <v>13878</v>
      </c>
      <c r="U848" s="1" t="str">
        <f>HYPERLINK("http://ictvonline.org/taxonomy/p/taxonomy-history?taxnode_id=202101328","ICTVonline=202101328")</f>
        <v>ICTVonline=202101328</v>
      </c>
    </row>
    <row r="849" spans="1:21" x14ac:dyDescent="0.2">
      <c r="A849" s="3">
        <v>848</v>
      </c>
      <c r="B849" s="1" t="s">
        <v>4875</v>
      </c>
      <c r="D849" s="1" t="s">
        <v>4876</v>
      </c>
      <c r="F849" s="1" t="s">
        <v>4880</v>
      </c>
      <c r="H849" s="1" t="s">
        <v>4881</v>
      </c>
      <c r="L849" s="1" t="s">
        <v>5038</v>
      </c>
      <c r="M849" s="1" t="s">
        <v>5041</v>
      </c>
      <c r="N849" s="1" t="s">
        <v>4743</v>
      </c>
      <c r="P849" s="1" t="s">
        <v>9458</v>
      </c>
      <c r="Q849" s="30" t="s">
        <v>2565</v>
      </c>
      <c r="R849" s="33" t="s">
        <v>3473</v>
      </c>
      <c r="S849">
        <v>37</v>
      </c>
      <c r="T849" s="1" t="s">
        <v>13878</v>
      </c>
      <c r="U849" s="1" t="str">
        <f>HYPERLINK("http://ictvonline.org/taxonomy/p/taxonomy-history?taxnode_id=202109953","ICTVonline=202109953")</f>
        <v>ICTVonline=202109953</v>
      </c>
    </row>
    <row r="850" spans="1:21" x14ac:dyDescent="0.2">
      <c r="A850" s="3">
        <v>849</v>
      </c>
      <c r="B850" s="1" t="s">
        <v>4875</v>
      </c>
      <c r="D850" s="1" t="s">
        <v>4876</v>
      </c>
      <c r="F850" s="1" t="s">
        <v>4880</v>
      </c>
      <c r="H850" s="1" t="s">
        <v>4881</v>
      </c>
      <c r="L850" s="1" t="s">
        <v>5038</v>
      </c>
      <c r="M850" s="1" t="s">
        <v>5041</v>
      </c>
      <c r="N850" s="1" t="s">
        <v>4743</v>
      </c>
      <c r="P850" s="1" t="s">
        <v>9459</v>
      </c>
      <c r="Q850" s="30" t="s">
        <v>2565</v>
      </c>
      <c r="R850" s="33" t="s">
        <v>3473</v>
      </c>
      <c r="S850">
        <v>37</v>
      </c>
      <c r="T850" s="1" t="s">
        <v>13878</v>
      </c>
      <c r="U850" s="1" t="str">
        <f>HYPERLINK("http://ictvonline.org/taxonomy/p/taxonomy-history?taxnode_id=202109956","ICTVonline=202109956")</f>
        <v>ICTVonline=202109956</v>
      </c>
    </row>
    <row r="851" spans="1:21" x14ac:dyDescent="0.2">
      <c r="A851" s="3">
        <v>850</v>
      </c>
      <c r="B851" s="1" t="s">
        <v>4875</v>
      </c>
      <c r="D851" s="1" t="s">
        <v>4876</v>
      </c>
      <c r="F851" s="1" t="s">
        <v>4880</v>
      </c>
      <c r="H851" s="1" t="s">
        <v>4881</v>
      </c>
      <c r="L851" s="1" t="s">
        <v>5038</v>
      </c>
      <c r="M851" s="1" t="s">
        <v>5041</v>
      </c>
      <c r="N851" s="1" t="s">
        <v>4743</v>
      </c>
      <c r="P851" s="1" t="s">
        <v>9460</v>
      </c>
      <c r="Q851" s="30" t="s">
        <v>2565</v>
      </c>
      <c r="R851" s="33" t="s">
        <v>3473</v>
      </c>
      <c r="S851">
        <v>37</v>
      </c>
      <c r="T851" s="1" t="s">
        <v>13878</v>
      </c>
      <c r="U851" s="1" t="str">
        <f>HYPERLINK("http://ictvonline.org/taxonomy/p/taxonomy-history?taxnode_id=202109957","ICTVonline=202109957")</f>
        <v>ICTVonline=202109957</v>
      </c>
    </row>
    <row r="852" spans="1:21" x14ac:dyDescent="0.2">
      <c r="A852" s="3">
        <v>851</v>
      </c>
      <c r="B852" s="1" t="s">
        <v>4875</v>
      </c>
      <c r="D852" s="1" t="s">
        <v>4876</v>
      </c>
      <c r="F852" s="1" t="s">
        <v>4880</v>
      </c>
      <c r="H852" s="1" t="s">
        <v>4881</v>
      </c>
      <c r="L852" s="1" t="s">
        <v>5038</v>
      </c>
      <c r="M852" s="1" t="s">
        <v>5045</v>
      </c>
      <c r="N852" s="1" t="s">
        <v>5046</v>
      </c>
      <c r="P852" s="1" t="s">
        <v>9461</v>
      </c>
      <c r="Q852" s="30" t="s">
        <v>2565</v>
      </c>
      <c r="R852" s="33" t="s">
        <v>3473</v>
      </c>
      <c r="S852">
        <v>37</v>
      </c>
      <c r="T852" s="1" t="s">
        <v>13878</v>
      </c>
      <c r="U852" s="1" t="str">
        <f>HYPERLINK("http://ictvonline.org/taxonomy/p/taxonomy-history?taxnode_id=202108124","ICTVonline=202108124")</f>
        <v>ICTVonline=202108124</v>
      </c>
    </row>
    <row r="853" spans="1:21" x14ac:dyDescent="0.2">
      <c r="A853" s="3">
        <v>852</v>
      </c>
      <c r="B853" s="1" t="s">
        <v>4875</v>
      </c>
      <c r="D853" s="1" t="s">
        <v>4876</v>
      </c>
      <c r="F853" s="1" t="s">
        <v>4880</v>
      </c>
      <c r="H853" s="1" t="s">
        <v>4881</v>
      </c>
      <c r="L853" s="1" t="s">
        <v>5038</v>
      </c>
      <c r="M853" s="1" t="s">
        <v>5045</v>
      </c>
      <c r="N853" s="1" t="s">
        <v>4708</v>
      </c>
      <c r="P853" s="1" t="s">
        <v>9462</v>
      </c>
      <c r="Q853" s="30" t="s">
        <v>2565</v>
      </c>
      <c r="R853" s="33" t="s">
        <v>3473</v>
      </c>
      <c r="S853">
        <v>37</v>
      </c>
      <c r="T853" s="1" t="s">
        <v>13878</v>
      </c>
      <c r="U853" s="1" t="str">
        <f>HYPERLINK("http://ictvonline.org/taxonomy/p/taxonomy-history?taxnode_id=202107058","ICTVonline=202107058")</f>
        <v>ICTVonline=202107058</v>
      </c>
    </row>
    <row r="854" spans="1:21" x14ac:dyDescent="0.2">
      <c r="A854" s="3">
        <v>853</v>
      </c>
      <c r="B854" s="1" t="s">
        <v>4875</v>
      </c>
      <c r="D854" s="1" t="s">
        <v>4876</v>
      </c>
      <c r="F854" s="1" t="s">
        <v>4880</v>
      </c>
      <c r="H854" s="1" t="s">
        <v>4881</v>
      </c>
      <c r="L854" s="1" t="s">
        <v>5038</v>
      </c>
      <c r="N854" s="1" t="s">
        <v>4712</v>
      </c>
      <c r="P854" s="1" t="s">
        <v>9463</v>
      </c>
      <c r="Q854" s="30" t="s">
        <v>2565</v>
      </c>
      <c r="R854" s="33" t="s">
        <v>3473</v>
      </c>
      <c r="S854">
        <v>37</v>
      </c>
      <c r="T854" s="1" t="s">
        <v>13878</v>
      </c>
      <c r="U854" s="1" t="str">
        <f>HYPERLINK("http://ictvonline.org/taxonomy/p/taxonomy-history?taxnode_id=202107060","ICTVonline=202107060")</f>
        <v>ICTVonline=202107060</v>
      </c>
    </row>
    <row r="855" spans="1:21" x14ac:dyDescent="0.2">
      <c r="A855" s="3">
        <v>854</v>
      </c>
      <c r="B855" s="1" t="s">
        <v>4875</v>
      </c>
      <c r="D855" s="1" t="s">
        <v>4876</v>
      </c>
      <c r="F855" s="1" t="s">
        <v>4880</v>
      </c>
      <c r="H855" s="1" t="s">
        <v>4881</v>
      </c>
      <c r="L855" s="1" t="s">
        <v>5038</v>
      </c>
      <c r="N855" s="1" t="s">
        <v>4712</v>
      </c>
      <c r="P855" s="1" t="s">
        <v>9464</v>
      </c>
      <c r="Q855" s="30" t="s">
        <v>2565</v>
      </c>
      <c r="R855" s="33" t="s">
        <v>3473</v>
      </c>
      <c r="S855">
        <v>37</v>
      </c>
      <c r="T855" s="1" t="s">
        <v>13878</v>
      </c>
      <c r="U855" s="1" t="str">
        <f>HYPERLINK("http://ictvonline.org/taxonomy/p/taxonomy-history?taxnode_id=202108118","ICTVonline=202108118")</f>
        <v>ICTVonline=202108118</v>
      </c>
    </row>
    <row r="856" spans="1:21" x14ac:dyDescent="0.2">
      <c r="A856" s="3">
        <v>855</v>
      </c>
      <c r="B856" s="1" t="s">
        <v>4875</v>
      </c>
      <c r="D856" s="1" t="s">
        <v>4876</v>
      </c>
      <c r="F856" s="1" t="s">
        <v>4880</v>
      </c>
      <c r="H856" s="1" t="s">
        <v>4881</v>
      </c>
      <c r="L856" s="1" t="s">
        <v>5038</v>
      </c>
      <c r="N856" s="1" t="s">
        <v>5047</v>
      </c>
      <c r="P856" s="1" t="s">
        <v>9465</v>
      </c>
      <c r="Q856" s="30" t="s">
        <v>2565</v>
      </c>
      <c r="R856" s="33" t="s">
        <v>3473</v>
      </c>
      <c r="S856">
        <v>37</v>
      </c>
      <c r="T856" s="1" t="s">
        <v>13878</v>
      </c>
      <c r="U856" s="1" t="str">
        <f>HYPERLINK("http://ictvonline.org/taxonomy/p/taxonomy-history?taxnode_id=202108120","ICTVonline=202108120")</f>
        <v>ICTVonline=202108120</v>
      </c>
    </row>
    <row r="857" spans="1:21" x14ac:dyDescent="0.2">
      <c r="A857" s="3">
        <v>856</v>
      </c>
      <c r="B857" s="1" t="s">
        <v>4875</v>
      </c>
      <c r="D857" s="1" t="s">
        <v>4876</v>
      </c>
      <c r="F857" s="1" t="s">
        <v>4880</v>
      </c>
      <c r="H857" s="1" t="s">
        <v>4881</v>
      </c>
      <c r="L857" s="1" t="s">
        <v>5038</v>
      </c>
      <c r="N857" s="1" t="s">
        <v>5047</v>
      </c>
      <c r="P857" s="1" t="s">
        <v>9466</v>
      </c>
      <c r="Q857" s="30" t="s">
        <v>2565</v>
      </c>
      <c r="R857" s="33" t="s">
        <v>3473</v>
      </c>
      <c r="S857">
        <v>37</v>
      </c>
      <c r="T857" s="1" t="s">
        <v>13878</v>
      </c>
      <c r="U857" s="1" t="str">
        <f>HYPERLINK("http://ictvonline.org/taxonomy/p/taxonomy-history?taxnode_id=202108121","ICTVonline=202108121")</f>
        <v>ICTVonline=202108121</v>
      </c>
    </row>
    <row r="858" spans="1:21" x14ac:dyDescent="0.2">
      <c r="A858" s="3">
        <v>857</v>
      </c>
      <c r="B858" s="1" t="s">
        <v>4875</v>
      </c>
      <c r="D858" s="1" t="s">
        <v>4876</v>
      </c>
      <c r="F858" s="1" t="s">
        <v>4880</v>
      </c>
      <c r="H858" s="1" t="s">
        <v>4881</v>
      </c>
      <c r="L858" s="1" t="s">
        <v>5038</v>
      </c>
      <c r="N858" s="1" t="s">
        <v>4722</v>
      </c>
      <c r="P858" s="1" t="s">
        <v>9467</v>
      </c>
      <c r="Q858" s="30" t="s">
        <v>2565</v>
      </c>
      <c r="R858" s="33" t="s">
        <v>3473</v>
      </c>
      <c r="S858">
        <v>37</v>
      </c>
      <c r="T858" s="1" t="s">
        <v>13883</v>
      </c>
      <c r="U858" s="1" t="str">
        <f>HYPERLINK("http://ictvonline.org/taxonomy/p/taxonomy-history?taxnode_id=202107062","ICTVonline=202107062")</f>
        <v>ICTVonline=202107062</v>
      </c>
    </row>
    <row r="859" spans="1:21" x14ac:dyDescent="0.2">
      <c r="A859" s="3">
        <v>858</v>
      </c>
      <c r="B859" s="1" t="s">
        <v>4875</v>
      </c>
      <c r="D859" s="1" t="s">
        <v>4876</v>
      </c>
      <c r="F859" s="1" t="s">
        <v>4880</v>
      </c>
      <c r="H859" s="1" t="s">
        <v>4881</v>
      </c>
      <c r="L859" s="1" t="s">
        <v>5038</v>
      </c>
      <c r="N859" s="1" t="s">
        <v>4722</v>
      </c>
      <c r="P859" s="1" t="s">
        <v>9468</v>
      </c>
      <c r="Q859" s="30" t="s">
        <v>2565</v>
      </c>
      <c r="R859" s="33" t="s">
        <v>3472</v>
      </c>
      <c r="S859">
        <v>37</v>
      </c>
      <c r="T859" s="1" t="s">
        <v>13883</v>
      </c>
      <c r="U859" s="1" t="str">
        <f>HYPERLINK("http://ictvonline.org/taxonomy/p/taxonomy-history?taxnode_id=202113516","ICTVonline=202113516")</f>
        <v>ICTVonline=202113516</v>
      </c>
    </row>
    <row r="860" spans="1:21" x14ac:dyDescent="0.2">
      <c r="A860" s="3">
        <v>859</v>
      </c>
      <c r="B860" s="1" t="s">
        <v>4875</v>
      </c>
      <c r="D860" s="1" t="s">
        <v>4876</v>
      </c>
      <c r="F860" s="1" t="s">
        <v>4880</v>
      </c>
      <c r="H860" s="1" t="s">
        <v>4881</v>
      </c>
      <c r="L860" s="1" t="s">
        <v>5038</v>
      </c>
      <c r="N860" s="1" t="s">
        <v>5048</v>
      </c>
      <c r="P860" s="1" t="s">
        <v>9469</v>
      </c>
      <c r="Q860" s="30" t="s">
        <v>2565</v>
      </c>
      <c r="R860" s="33" t="s">
        <v>3473</v>
      </c>
      <c r="S860">
        <v>37</v>
      </c>
      <c r="T860" s="1" t="s">
        <v>13878</v>
      </c>
      <c r="U860" s="1" t="str">
        <f>HYPERLINK("http://ictvonline.org/taxonomy/p/taxonomy-history?taxnode_id=202108117","ICTVonline=202108117")</f>
        <v>ICTVonline=202108117</v>
      </c>
    </row>
    <row r="861" spans="1:21" x14ac:dyDescent="0.2">
      <c r="A861" s="3">
        <v>860</v>
      </c>
      <c r="B861" s="1" t="s">
        <v>4875</v>
      </c>
      <c r="D861" s="1" t="s">
        <v>4876</v>
      </c>
      <c r="F861" s="1" t="s">
        <v>4880</v>
      </c>
      <c r="H861" s="1" t="s">
        <v>4881</v>
      </c>
      <c r="L861" s="1" t="s">
        <v>5038</v>
      </c>
      <c r="N861" s="1" t="s">
        <v>5048</v>
      </c>
      <c r="P861" s="1" t="s">
        <v>9470</v>
      </c>
      <c r="Q861" s="30" t="s">
        <v>2565</v>
      </c>
      <c r="R861" s="33" t="s">
        <v>3473</v>
      </c>
      <c r="S861">
        <v>37</v>
      </c>
      <c r="T861" s="1" t="s">
        <v>13878</v>
      </c>
      <c r="U861" s="1" t="str">
        <f>HYPERLINK("http://ictvonline.org/taxonomy/p/taxonomy-history?taxnode_id=202108116","ICTVonline=202108116")</f>
        <v>ICTVonline=202108116</v>
      </c>
    </row>
    <row r="862" spans="1:21" x14ac:dyDescent="0.2">
      <c r="A862" s="3">
        <v>861</v>
      </c>
      <c r="B862" s="1" t="s">
        <v>4875</v>
      </c>
      <c r="D862" s="1" t="s">
        <v>4876</v>
      </c>
      <c r="F862" s="1" t="s">
        <v>4880</v>
      </c>
      <c r="H862" s="1" t="s">
        <v>4881</v>
      </c>
      <c r="L862" s="1" t="s">
        <v>5038</v>
      </c>
      <c r="N862" s="1" t="s">
        <v>4742</v>
      </c>
      <c r="P862" s="1" t="s">
        <v>9471</v>
      </c>
      <c r="Q862" s="30" t="s">
        <v>2565</v>
      </c>
      <c r="R862" s="33" t="s">
        <v>3473</v>
      </c>
      <c r="S862">
        <v>37</v>
      </c>
      <c r="T862" s="1" t="s">
        <v>13878</v>
      </c>
      <c r="U862" s="1" t="str">
        <f>HYPERLINK("http://ictvonline.org/taxonomy/p/taxonomy-history?taxnode_id=202107065","ICTVonline=202107065")</f>
        <v>ICTVonline=202107065</v>
      </c>
    </row>
    <row r="863" spans="1:21" x14ac:dyDescent="0.2">
      <c r="A863" s="3">
        <v>862</v>
      </c>
      <c r="B863" s="1" t="s">
        <v>4875</v>
      </c>
      <c r="D863" s="1" t="s">
        <v>4876</v>
      </c>
      <c r="F863" s="1" t="s">
        <v>4880</v>
      </c>
      <c r="H863" s="1" t="s">
        <v>4881</v>
      </c>
      <c r="L863" s="1" t="s">
        <v>5038</v>
      </c>
      <c r="N863" s="1" t="s">
        <v>4742</v>
      </c>
      <c r="P863" s="1" t="s">
        <v>9472</v>
      </c>
      <c r="Q863" s="30" t="s">
        <v>2565</v>
      </c>
      <c r="R863" s="33" t="s">
        <v>3473</v>
      </c>
      <c r="S863">
        <v>37</v>
      </c>
      <c r="T863" s="1" t="s">
        <v>13878</v>
      </c>
      <c r="U863" s="1" t="str">
        <f>HYPERLINK("http://ictvonline.org/taxonomy/p/taxonomy-history?taxnode_id=202107064","ICTVonline=202107064")</f>
        <v>ICTVonline=202107064</v>
      </c>
    </row>
    <row r="864" spans="1:21" x14ac:dyDescent="0.2">
      <c r="A864" s="3">
        <v>863</v>
      </c>
      <c r="B864" s="1" t="s">
        <v>4875</v>
      </c>
      <c r="D864" s="1" t="s">
        <v>4876</v>
      </c>
      <c r="F864" s="1" t="s">
        <v>4880</v>
      </c>
      <c r="H864" s="1" t="s">
        <v>4881</v>
      </c>
      <c r="L864" s="1" t="s">
        <v>5049</v>
      </c>
      <c r="M864" s="1" t="s">
        <v>5050</v>
      </c>
      <c r="N864" s="1" t="s">
        <v>5051</v>
      </c>
      <c r="P864" s="1" t="s">
        <v>9473</v>
      </c>
      <c r="Q864" s="30" t="s">
        <v>2565</v>
      </c>
      <c r="R864" s="33" t="s">
        <v>3473</v>
      </c>
      <c r="S864">
        <v>37</v>
      </c>
      <c r="T864" s="1" t="s">
        <v>13878</v>
      </c>
      <c r="U864" s="1" t="str">
        <f>HYPERLINK("http://ictvonline.org/taxonomy/p/taxonomy-history?taxnode_id=202108146","ICTVonline=202108146")</f>
        <v>ICTVonline=202108146</v>
      </c>
    </row>
    <row r="865" spans="1:21" x14ac:dyDescent="0.2">
      <c r="A865" s="3">
        <v>864</v>
      </c>
      <c r="B865" s="1" t="s">
        <v>4875</v>
      </c>
      <c r="D865" s="1" t="s">
        <v>4876</v>
      </c>
      <c r="F865" s="1" t="s">
        <v>4880</v>
      </c>
      <c r="H865" s="1" t="s">
        <v>4881</v>
      </c>
      <c r="L865" s="1" t="s">
        <v>5049</v>
      </c>
      <c r="M865" s="1" t="s">
        <v>5050</v>
      </c>
      <c r="N865" s="1" t="s">
        <v>5052</v>
      </c>
      <c r="P865" s="1" t="s">
        <v>9474</v>
      </c>
      <c r="Q865" s="30" t="s">
        <v>2565</v>
      </c>
      <c r="R865" s="33" t="s">
        <v>3473</v>
      </c>
      <c r="S865">
        <v>37</v>
      </c>
      <c r="T865" s="1" t="s">
        <v>13878</v>
      </c>
      <c r="U865" s="1" t="str">
        <f>HYPERLINK("http://ictvonline.org/taxonomy/p/taxonomy-history?taxnode_id=202100822","ICTVonline=202100822")</f>
        <v>ICTVonline=202100822</v>
      </c>
    </row>
    <row r="866" spans="1:21" x14ac:dyDescent="0.2">
      <c r="A866" s="3">
        <v>865</v>
      </c>
      <c r="B866" s="1" t="s">
        <v>4875</v>
      </c>
      <c r="D866" s="1" t="s">
        <v>4876</v>
      </c>
      <c r="F866" s="1" t="s">
        <v>4880</v>
      </c>
      <c r="H866" s="1" t="s">
        <v>4881</v>
      </c>
      <c r="L866" s="1" t="s">
        <v>5049</v>
      </c>
      <c r="M866" s="1" t="s">
        <v>5050</v>
      </c>
      <c r="N866" s="1" t="s">
        <v>5052</v>
      </c>
      <c r="P866" s="1" t="s">
        <v>9475</v>
      </c>
      <c r="Q866" s="30" t="s">
        <v>2565</v>
      </c>
      <c r="R866" s="33" t="s">
        <v>3473</v>
      </c>
      <c r="S866">
        <v>37</v>
      </c>
      <c r="T866" s="1" t="s">
        <v>13878</v>
      </c>
      <c r="U866" s="1" t="str">
        <f>HYPERLINK("http://ictvonline.org/taxonomy/p/taxonomy-history?taxnode_id=202108150","ICTVonline=202108150")</f>
        <v>ICTVonline=202108150</v>
      </c>
    </row>
    <row r="867" spans="1:21" x14ac:dyDescent="0.2">
      <c r="A867" s="3">
        <v>866</v>
      </c>
      <c r="B867" s="1" t="s">
        <v>4875</v>
      </c>
      <c r="D867" s="1" t="s">
        <v>4876</v>
      </c>
      <c r="F867" s="1" t="s">
        <v>4880</v>
      </c>
      <c r="H867" s="1" t="s">
        <v>4881</v>
      </c>
      <c r="L867" s="1" t="s">
        <v>5049</v>
      </c>
      <c r="M867" s="1" t="s">
        <v>5050</v>
      </c>
      <c r="N867" s="1" t="s">
        <v>5053</v>
      </c>
      <c r="P867" s="1" t="s">
        <v>9476</v>
      </c>
      <c r="Q867" s="30" t="s">
        <v>2565</v>
      </c>
      <c r="R867" s="33" t="s">
        <v>3473</v>
      </c>
      <c r="S867">
        <v>37</v>
      </c>
      <c r="T867" s="1" t="s">
        <v>13878</v>
      </c>
      <c r="U867" s="1" t="str">
        <f>HYPERLINK("http://ictvonline.org/taxonomy/p/taxonomy-history?taxnode_id=202108148","ICTVonline=202108148")</f>
        <v>ICTVonline=202108148</v>
      </c>
    </row>
    <row r="868" spans="1:21" x14ac:dyDescent="0.2">
      <c r="A868" s="3">
        <v>867</v>
      </c>
      <c r="B868" s="1" t="s">
        <v>4875</v>
      </c>
      <c r="D868" s="1" t="s">
        <v>4876</v>
      </c>
      <c r="F868" s="1" t="s">
        <v>4880</v>
      </c>
      <c r="H868" s="1" t="s">
        <v>4881</v>
      </c>
      <c r="L868" s="1" t="s">
        <v>5049</v>
      </c>
      <c r="M868" s="1" t="s">
        <v>5050</v>
      </c>
      <c r="N868" s="1" t="s">
        <v>2604</v>
      </c>
      <c r="P868" s="1" t="s">
        <v>9477</v>
      </c>
      <c r="Q868" s="30" t="s">
        <v>2565</v>
      </c>
      <c r="R868" s="33" t="s">
        <v>3473</v>
      </c>
      <c r="S868">
        <v>37</v>
      </c>
      <c r="T868" s="1" t="s">
        <v>13878</v>
      </c>
      <c r="U868" s="1" t="str">
        <f>HYPERLINK("http://ictvonline.org/taxonomy/p/taxonomy-history?taxnode_id=202108144","ICTVonline=202108144")</f>
        <v>ICTVonline=202108144</v>
      </c>
    </row>
    <row r="869" spans="1:21" x14ac:dyDescent="0.2">
      <c r="A869" s="3">
        <v>868</v>
      </c>
      <c r="B869" s="1" t="s">
        <v>4875</v>
      </c>
      <c r="D869" s="1" t="s">
        <v>4876</v>
      </c>
      <c r="F869" s="1" t="s">
        <v>4880</v>
      </c>
      <c r="H869" s="1" t="s">
        <v>4881</v>
      </c>
      <c r="L869" s="1" t="s">
        <v>5049</v>
      </c>
      <c r="M869" s="1" t="s">
        <v>5050</v>
      </c>
      <c r="N869" s="1" t="s">
        <v>2604</v>
      </c>
      <c r="P869" s="1" t="s">
        <v>9478</v>
      </c>
      <c r="Q869" s="30" t="s">
        <v>2565</v>
      </c>
      <c r="R869" s="33" t="s">
        <v>3473</v>
      </c>
      <c r="S869">
        <v>37</v>
      </c>
      <c r="T869" s="1" t="s">
        <v>13878</v>
      </c>
      <c r="U869" s="1" t="str">
        <f>HYPERLINK("http://ictvonline.org/taxonomy/p/taxonomy-history?taxnode_id=202100823","ICTVonline=202100823")</f>
        <v>ICTVonline=202100823</v>
      </c>
    </row>
    <row r="870" spans="1:21" x14ac:dyDescent="0.2">
      <c r="A870" s="3">
        <v>869</v>
      </c>
      <c r="B870" s="1" t="s">
        <v>4875</v>
      </c>
      <c r="D870" s="1" t="s">
        <v>4876</v>
      </c>
      <c r="F870" s="1" t="s">
        <v>4880</v>
      </c>
      <c r="H870" s="1" t="s">
        <v>4881</v>
      </c>
      <c r="L870" s="1" t="s">
        <v>5049</v>
      </c>
      <c r="M870" s="1" t="s">
        <v>5050</v>
      </c>
      <c r="N870" s="1" t="s">
        <v>5964</v>
      </c>
      <c r="P870" s="1" t="s">
        <v>9479</v>
      </c>
      <c r="Q870" s="30" t="s">
        <v>2565</v>
      </c>
      <c r="R870" s="33" t="s">
        <v>3473</v>
      </c>
      <c r="S870">
        <v>37</v>
      </c>
      <c r="T870" s="1" t="s">
        <v>13878</v>
      </c>
      <c r="U870" s="1" t="str">
        <f>HYPERLINK("http://ictvonline.org/taxonomy/p/taxonomy-history?taxnode_id=202112086","ICTVonline=202112086")</f>
        <v>ICTVonline=202112086</v>
      </c>
    </row>
    <row r="871" spans="1:21" x14ac:dyDescent="0.2">
      <c r="A871" s="3">
        <v>870</v>
      </c>
      <c r="B871" s="1" t="s">
        <v>4875</v>
      </c>
      <c r="D871" s="1" t="s">
        <v>4876</v>
      </c>
      <c r="F871" s="1" t="s">
        <v>4880</v>
      </c>
      <c r="H871" s="1" t="s">
        <v>4881</v>
      </c>
      <c r="L871" s="1" t="s">
        <v>5049</v>
      </c>
      <c r="M871" s="1" t="s">
        <v>5054</v>
      </c>
      <c r="N871" s="1" t="s">
        <v>5055</v>
      </c>
      <c r="P871" s="1" t="s">
        <v>9480</v>
      </c>
      <c r="Q871" s="30" t="s">
        <v>2565</v>
      </c>
      <c r="R871" s="33" t="s">
        <v>3473</v>
      </c>
      <c r="S871">
        <v>37</v>
      </c>
      <c r="T871" s="1" t="s">
        <v>13878</v>
      </c>
      <c r="U871" s="1" t="str">
        <f>HYPERLINK("http://ictvonline.org/taxonomy/p/taxonomy-history?taxnode_id=202108154","ICTVonline=202108154")</f>
        <v>ICTVonline=202108154</v>
      </c>
    </row>
    <row r="872" spans="1:21" x14ac:dyDescent="0.2">
      <c r="A872" s="3">
        <v>871</v>
      </c>
      <c r="B872" s="1" t="s">
        <v>4875</v>
      </c>
      <c r="D872" s="1" t="s">
        <v>4876</v>
      </c>
      <c r="F872" s="1" t="s">
        <v>4880</v>
      </c>
      <c r="H872" s="1" t="s">
        <v>4881</v>
      </c>
      <c r="L872" s="1" t="s">
        <v>5049</v>
      </c>
      <c r="M872" s="1" t="s">
        <v>5054</v>
      </c>
      <c r="N872" s="1" t="s">
        <v>5056</v>
      </c>
      <c r="P872" s="1" t="s">
        <v>9481</v>
      </c>
      <c r="Q872" s="30" t="s">
        <v>2565</v>
      </c>
      <c r="R872" s="33" t="s">
        <v>3473</v>
      </c>
      <c r="S872">
        <v>37</v>
      </c>
      <c r="T872" s="1" t="s">
        <v>13878</v>
      </c>
      <c r="U872" s="1" t="str">
        <f>HYPERLINK("http://ictvonline.org/taxonomy/p/taxonomy-history?taxnode_id=202108158","ICTVonline=202108158")</f>
        <v>ICTVonline=202108158</v>
      </c>
    </row>
    <row r="873" spans="1:21" x14ac:dyDescent="0.2">
      <c r="A873" s="3">
        <v>872</v>
      </c>
      <c r="B873" s="1" t="s">
        <v>4875</v>
      </c>
      <c r="D873" s="1" t="s">
        <v>4876</v>
      </c>
      <c r="F873" s="1" t="s">
        <v>4880</v>
      </c>
      <c r="H873" s="1" t="s">
        <v>4881</v>
      </c>
      <c r="L873" s="1" t="s">
        <v>5049</v>
      </c>
      <c r="M873" s="1" t="s">
        <v>5054</v>
      </c>
      <c r="N873" s="1" t="s">
        <v>4633</v>
      </c>
      <c r="P873" s="1" t="s">
        <v>9482</v>
      </c>
      <c r="Q873" s="30" t="s">
        <v>2565</v>
      </c>
      <c r="R873" s="33" t="s">
        <v>3473</v>
      </c>
      <c r="S873">
        <v>37</v>
      </c>
      <c r="T873" s="1" t="s">
        <v>13878</v>
      </c>
      <c r="U873" s="1" t="str">
        <f>HYPERLINK("http://ictvonline.org/taxonomy/p/taxonomy-history?taxnode_id=202100812","ICTVonline=202100812")</f>
        <v>ICTVonline=202100812</v>
      </c>
    </row>
    <row r="874" spans="1:21" x14ac:dyDescent="0.2">
      <c r="A874" s="3">
        <v>873</v>
      </c>
      <c r="B874" s="1" t="s">
        <v>4875</v>
      </c>
      <c r="D874" s="1" t="s">
        <v>4876</v>
      </c>
      <c r="F874" s="1" t="s">
        <v>4880</v>
      </c>
      <c r="H874" s="1" t="s">
        <v>4881</v>
      </c>
      <c r="L874" s="1" t="s">
        <v>5049</v>
      </c>
      <c r="M874" s="1" t="s">
        <v>5054</v>
      </c>
      <c r="N874" s="1" t="s">
        <v>4633</v>
      </c>
      <c r="P874" s="1" t="s">
        <v>9483</v>
      </c>
      <c r="Q874" s="30" t="s">
        <v>2565</v>
      </c>
      <c r="R874" s="33" t="s">
        <v>3473</v>
      </c>
      <c r="S874">
        <v>37</v>
      </c>
      <c r="T874" s="1" t="s">
        <v>13878</v>
      </c>
      <c r="U874" s="1" t="str">
        <f>HYPERLINK("http://ictvonline.org/taxonomy/p/taxonomy-history?taxnode_id=202100813","ICTVonline=202100813")</f>
        <v>ICTVonline=202100813</v>
      </c>
    </row>
    <row r="875" spans="1:21" x14ac:dyDescent="0.2">
      <c r="A875" s="3">
        <v>874</v>
      </c>
      <c r="B875" s="1" t="s">
        <v>4875</v>
      </c>
      <c r="D875" s="1" t="s">
        <v>4876</v>
      </c>
      <c r="F875" s="1" t="s">
        <v>4880</v>
      </c>
      <c r="H875" s="1" t="s">
        <v>4881</v>
      </c>
      <c r="L875" s="1" t="s">
        <v>5049</v>
      </c>
      <c r="M875" s="1" t="s">
        <v>5054</v>
      </c>
      <c r="N875" s="1" t="s">
        <v>4633</v>
      </c>
      <c r="P875" s="1" t="s">
        <v>9484</v>
      </c>
      <c r="Q875" s="30" t="s">
        <v>2565</v>
      </c>
      <c r="R875" s="33" t="s">
        <v>3473</v>
      </c>
      <c r="S875">
        <v>37</v>
      </c>
      <c r="T875" s="1" t="s">
        <v>13878</v>
      </c>
      <c r="U875" s="1" t="str">
        <f>HYPERLINK("http://ictvonline.org/taxonomy/p/taxonomy-history?taxnode_id=202100814","ICTVonline=202100814")</f>
        <v>ICTVonline=202100814</v>
      </c>
    </row>
    <row r="876" spans="1:21" x14ac:dyDescent="0.2">
      <c r="A876" s="3">
        <v>875</v>
      </c>
      <c r="B876" s="1" t="s">
        <v>4875</v>
      </c>
      <c r="D876" s="1" t="s">
        <v>4876</v>
      </c>
      <c r="F876" s="1" t="s">
        <v>4880</v>
      </c>
      <c r="H876" s="1" t="s">
        <v>4881</v>
      </c>
      <c r="L876" s="1" t="s">
        <v>5049</v>
      </c>
      <c r="M876" s="1" t="s">
        <v>5054</v>
      </c>
      <c r="N876" s="1" t="s">
        <v>4633</v>
      </c>
      <c r="P876" s="1" t="s">
        <v>9485</v>
      </c>
      <c r="Q876" s="30" t="s">
        <v>2565</v>
      </c>
      <c r="R876" s="33" t="s">
        <v>3473</v>
      </c>
      <c r="S876">
        <v>37</v>
      </c>
      <c r="T876" s="1" t="s">
        <v>13878</v>
      </c>
      <c r="U876" s="1" t="str">
        <f>HYPERLINK("http://ictvonline.org/taxonomy/p/taxonomy-history?taxnode_id=202100815","ICTVonline=202100815")</f>
        <v>ICTVonline=202100815</v>
      </c>
    </row>
    <row r="877" spans="1:21" x14ac:dyDescent="0.2">
      <c r="A877" s="3">
        <v>876</v>
      </c>
      <c r="B877" s="1" t="s">
        <v>4875</v>
      </c>
      <c r="D877" s="1" t="s">
        <v>4876</v>
      </c>
      <c r="F877" s="1" t="s">
        <v>4880</v>
      </c>
      <c r="H877" s="1" t="s">
        <v>4881</v>
      </c>
      <c r="L877" s="1" t="s">
        <v>5049</v>
      </c>
      <c r="M877" s="1" t="s">
        <v>5054</v>
      </c>
      <c r="N877" s="1" t="s">
        <v>4633</v>
      </c>
      <c r="P877" s="1" t="s">
        <v>9486</v>
      </c>
      <c r="Q877" s="30" t="s">
        <v>2565</v>
      </c>
      <c r="R877" s="33" t="s">
        <v>3473</v>
      </c>
      <c r="S877">
        <v>37</v>
      </c>
      <c r="T877" s="1" t="s">
        <v>13878</v>
      </c>
      <c r="U877" s="1" t="str">
        <f>HYPERLINK("http://ictvonline.org/taxonomy/p/taxonomy-history?taxnode_id=202100816","ICTVonline=202100816")</f>
        <v>ICTVonline=202100816</v>
      </c>
    </row>
    <row r="878" spans="1:21" x14ac:dyDescent="0.2">
      <c r="A878" s="3">
        <v>877</v>
      </c>
      <c r="B878" s="1" t="s">
        <v>4875</v>
      </c>
      <c r="D878" s="1" t="s">
        <v>4876</v>
      </c>
      <c r="F878" s="1" t="s">
        <v>4880</v>
      </c>
      <c r="H878" s="1" t="s">
        <v>4881</v>
      </c>
      <c r="L878" s="1" t="s">
        <v>5049</v>
      </c>
      <c r="M878" s="1" t="s">
        <v>5054</v>
      </c>
      <c r="N878" s="1" t="s">
        <v>4633</v>
      </c>
      <c r="P878" s="1" t="s">
        <v>9487</v>
      </c>
      <c r="Q878" s="30" t="s">
        <v>2565</v>
      </c>
      <c r="R878" s="33" t="s">
        <v>3473</v>
      </c>
      <c r="S878">
        <v>37</v>
      </c>
      <c r="T878" s="1" t="s">
        <v>13878</v>
      </c>
      <c r="U878" s="1" t="str">
        <f>HYPERLINK("http://ictvonline.org/taxonomy/p/taxonomy-history?taxnode_id=202100818","ICTVonline=202100818")</f>
        <v>ICTVonline=202100818</v>
      </c>
    </row>
    <row r="879" spans="1:21" x14ac:dyDescent="0.2">
      <c r="A879" s="3">
        <v>878</v>
      </c>
      <c r="B879" s="1" t="s">
        <v>4875</v>
      </c>
      <c r="D879" s="1" t="s">
        <v>4876</v>
      </c>
      <c r="F879" s="1" t="s">
        <v>4880</v>
      </c>
      <c r="H879" s="1" t="s">
        <v>4881</v>
      </c>
      <c r="L879" s="1" t="s">
        <v>5049</v>
      </c>
      <c r="M879" s="1" t="s">
        <v>5054</v>
      </c>
      <c r="N879" s="1" t="s">
        <v>4633</v>
      </c>
      <c r="P879" s="1" t="s">
        <v>9488</v>
      </c>
      <c r="Q879" s="30" t="s">
        <v>2565</v>
      </c>
      <c r="R879" s="33" t="s">
        <v>3473</v>
      </c>
      <c r="S879">
        <v>37</v>
      </c>
      <c r="T879" s="1" t="s">
        <v>13878</v>
      </c>
      <c r="U879" s="1" t="str">
        <f>HYPERLINK("http://ictvonline.org/taxonomy/p/taxonomy-history?taxnode_id=202108152","ICTVonline=202108152")</f>
        <v>ICTVonline=202108152</v>
      </c>
    </row>
    <row r="880" spans="1:21" x14ac:dyDescent="0.2">
      <c r="A880" s="3">
        <v>879</v>
      </c>
      <c r="B880" s="1" t="s">
        <v>4875</v>
      </c>
      <c r="D880" s="1" t="s">
        <v>4876</v>
      </c>
      <c r="F880" s="1" t="s">
        <v>4880</v>
      </c>
      <c r="H880" s="1" t="s">
        <v>4881</v>
      </c>
      <c r="L880" s="1" t="s">
        <v>5049</v>
      </c>
      <c r="M880" s="1" t="s">
        <v>5054</v>
      </c>
      <c r="N880" s="1" t="s">
        <v>4633</v>
      </c>
      <c r="P880" s="1" t="s">
        <v>9489</v>
      </c>
      <c r="Q880" s="30" t="s">
        <v>2565</v>
      </c>
      <c r="R880" s="33" t="s">
        <v>3473</v>
      </c>
      <c r="S880">
        <v>37</v>
      </c>
      <c r="T880" s="1" t="s">
        <v>13878</v>
      </c>
      <c r="U880" s="1" t="str">
        <f>HYPERLINK("http://ictvonline.org/taxonomy/p/taxonomy-history?taxnode_id=202100819","ICTVonline=202100819")</f>
        <v>ICTVonline=202100819</v>
      </c>
    </row>
    <row r="881" spans="1:21" x14ac:dyDescent="0.2">
      <c r="A881" s="3">
        <v>880</v>
      </c>
      <c r="B881" s="1" t="s">
        <v>4875</v>
      </c>
      <c r="D881" s="1" t="s">
        <v>4876</v>
      </c>
      <c r="F881" s="1" t="s">
        <v>4880</v>
      </c>
      <c r="H881" s="1" t="s">
        <v>4881</v>
      </c>
      <c r="L881" s="1" t="s">
        <v>5049</v>
      </c>
      <c r="M881" s="1" t="s">
        <v>5054</v>
      </c>
      <c r="N881" s="1" t="s">
        <v>4633</v>
      </c>
      <c r="P881" s="1" t="s">
        <v>9490</v>
      </c>
      <c r="Q881" s="30" t="s">
        <v>2565</v>
      </c>
      <c r="R881" s="33" t="s">
        <v>3473</v>
      </c>
      <c r="S881">
        <v>37</v>
      </c>
      <c r="T881" s="1" t="s">
        <v>13878</v>
      </c>
      <c r="U881" s="1" t="str">
        <f>HYPERLINK("http://ictvonline.org/taxonomy/p/taxonomy-history?taxnode_id=202100820","ICTVonline=202100820")</f>
        <v>ICTVonline=202100820</v>
      </c>
    </row>
    <row r="882" spans="1:21" x14ac:dyDescent="0.2">
      <c r="A882" s="3">
        <v>881</v>
      </c>
      <c r="B882" s="1" t="s">
        <v>4875</v>
      </c>
      <c r="D882" s="1" t="s">
        <v>4876</v>
      </c>
      <c r="F882" s="1" t="s">
        <v>4880</v>
      </c>
      <c r="H882" s="1" t="s">
        <v>4881</v>
      </c>
      <c r="L882" s="1" t="s">
        <v>5049</v>
      </c>
      <c r="M882" s="1" t="s">
        <v>5054</v>
      </c>
      <c r="N882" s="1" t="s">
        <v>5057</v>
      </c>
      <c r="P882" s="1" t="s">
        <v>9491</v>
      </c>
      <c r="Q882" s="30" t="s">
        <v>2565</v>
      </c>
      <c r="R882" s="33" t="s">
        <v>3473</v>
      </c>
      <c r="S882">
        <v>37</v>
      </c>
      <c r="T882" s="1" t="s">
        <v>13878</v>
      </c>
      <c r="U882" s="1" t="str">
        <f>HYPERLINK("http://ictvonline.org/taxonomy/p/taxonomy-history?taxnode_id=202108156","ICTVonline=202108156")</f>
        <v>ICTVonline=202108156</v>
      </c>
    </row>
    <row r="883" spans="1:21" x14ac:dyDescent="0.2">
      <c r="A883" s="3">
        <v>882</v>
      </c>
      <c r="B883" s="1" t="s">
        <v>4875</v>
      </c>
      <c r="D883" s="1" t="s">
        <v>4876</v>
      </c>
      <c r="F883" s="1" t="s">
        <v>4880</v>
      </c>
      <c r="H883" s="1" t="s">
        <v>4881</v>
      </c>
      <c r="L883" s="1" t="s">
        <v>5049</v>
      </c>
      <c r="M883" s="1" t="s">
        <v>5058</v>
      </c>
      <c r="N883" s="1" t="s">
        <v>5965</v>
      </c>
      <c r="P883" s="1" t="s">
        <v>9492</v>
      </c>
      <c r="Q883" s="30" t="s">
        <v>2565</v>
      </c>
      <c r="R883" s="33" t="s">
        <v>3473</v>
      </c>
      <c r="S883">
        <v>37</v>
      </c>
      <c r="T883" s="1" t="s">
        <v>13878</v>
      </c>
      <c r="U883" s="1" t="str">
        <f>HYPERLINK("http://ictvonline.org/taxonomy/p/taxonomy-history?taxnode_id=202109975","ICTVonline=202109975")</f>
        <v>ICTVonline=202109975</v>
      </c>
    </row>
    <row r="884" spans="1:21" x14ac:dyDescent="0.2">
      <c r="A884" s="3">
        <v>883</v>
      </c>
      <c r="B884" s="1" t="s">
        <v>4875</v>
      </c>
      <c r="D884" s="1" t="s">
        <v>4876</v>
      </c>
      <c r="F884" s="1" t="s">
        <v>4880</v>
      </c>
      <c r="H884" s="1" t="s">
        <v>4881</v>
      </c>
      <c r="L884" s="1" t="s">
        <v>5049</v>
      </c>
      <c r="M884" s="1" t="s">
        <v>5058</v>
      </c>
      <c r="N884" s="1" t="s">
        <v>5965</v>
      </c>
      <c r="P884" s="1" t="s">
        <v>9493</v>
      </c>
      <c r="Q884" s="30" t="s">
        <v>2565</v>
      </c>
      <c r="R884" s="33" t="s">
        <v>3473</v>
      </c>
      <c r="S884">
        <v>37</v>
      </c>
      <c r="T884" s="1" t="s">
        <v>13878</v>
      </c>
      <c r="U884" s="1" t="str">
        <f>HYPERLINK("http://ictvonline.org/taxonomy/p/taxonomy-history?taxnode_id=202109974","ICTVonline=202109974")</f>
        <v>ICTVonline=202109974</v>
      </c>
    </row>
    <row r="885" spans="1:21" x14ac:dyDescent="0.2">
      <c r="A885" s="3">
        <v>884</v>
      </c>
      <c r="B885" s="1" t="s">
        <v>4875</v>
      </c>
      <c r="D885" s="1" t="s">
        <v>4876</v>
      </c>
      <c r="F885" s="1" t="s">
        <v>4880</v>
      </c>
      <c r="H885" s="1" t="s">
        <v>4881</v>
      </c>
      <c r="L885" s="1" t="s">
        <v>5049</v>
      </c>
      <c r="M885" s="1" t="s">
        <v>5058</v>
      </c>
      <c r="N885" s="1" t="s">
        <v>4632</v>
      </c>
      <c r="P885" s="1" t="s">
        <v>9494</v>
      </c>
      <c r="Q885" s="30" t="s">
        <v>2565</v>
      </c>
      <c r="R885" s="33" t="s">
        <v>3473</v>
      </c>
      <c r="S885">
        <v>37</v>
      </c>
      <c r="T885" s="1" t="s">
        <v>13878</v>
      </c>
      <c r="U885" s="1" t="str">
        <f>HYPERLINK("http://ictvonline.org/taxonomy/p/taxonomy-history?taxnode_id=202110090","ICTVonline=202110090")</f>
        <v>ICTVonline=202110090</v>
      </c>
    </row>
    <row r="886" spans="1:21" x14ac:dyDescent="0.2">
      <c r="A886" s="3">
        <v>885</v>
      </c>
      <c r="B886" s="1" t="s">
        <v>4875</v>
      </c>
      <c r="D886" s="1" t="s">
        <v>4876</v>
      </c>
      <c r="F886" s="1" t="s">
        <v>4880</v>
      </c>
      <c r="H886" s="1" t="s">
        <v>4881</v>
      </c>
      <c r="L886" s="1" t="s">
        <v>5049</v>
      </c>
      <c r="M886" s="1" t="s">
        <v>5058</v>
      </c>
      <c r="N886" s="1" t="s">
        <v>4632</v>
      </c>
      <c r="P886" s="1" t="s">
        <v>9495</v>
      </c>
      <c r="Q886" s="30" t="s">
        <v>2565</v>
      </c>
      <c r="R886" s="33" t="s">
        <v>3473</v>
      </c>
      <c r="S886">
        <v>37</v>
      </c>
      <c r="T886" s="1" t="s">
        <v>13878</v>
      </c>
      <c r="U886" s="1" t="str">
        <f>HYPERLINK("http://ictvonline.org/taxonomy/p/taxonomy-history?taxnode_id=202110087","ICTVonline=202110087")</f>
        <v>ICTVonline=202110087</v>
      </c>
    </row>
    <row r="887" spans="1:21" x14ac:dyDescent="0.2">
      <c r="A887" s="3">
        <v>886</v>
      </c>
      <c r="B887" s="1" t="s">
        <v>4875</v>
      </c>
      <c r="D887" s="1" t="s">
        <v>4876</v>
      </c>
      <c r="F887" s="1" t="s">
        <v>4880</v>
      </c>
      <c r="H887" s="1" t="s">
        <v>4881</v>
      </c>
      <c r="L887" s="1" t="s">
        <v>5049</v>
      </c>
      <c r="M887" s="1" t="s">
        <v>5058</v>
      </c>
      <c r="N887" s="1" t="s">
        <v>4632</v>
      </c>
      <c r="P887" s="1" t="s">
        <v>9496</v>
      </c>
      <c r="Q887" s="30" t="s">
        <v>2565</v>
      </c>
      <c r="R887" s="33" t="s">
        <v>3473</v>
      </c>
      <c r="S887">
        <v>37</v>
      </c>
      <c r="T887" s="1" t="s">
        <v>13878</v>
      </c>
      <c r="U887" s="1" t="str">
        <f>HYPERLINK("http://ictvonline.org/taxonomy/p/taxonomy-history?taxnode_id=202110088","ICTVonline=202110088")</f>
        <v>ICTVonline=202110088</v>
      </c>
    </row>
    <row r="888" spans="1:21" x14ac:dyDescent="0.2">
      <c r="A888" s="3">
        <v>887</v>
      </c>
      <c r="B888" s="1" t="s">
        <v>4875</v>
      </c>
      <c r="D888" s="1" t="s">
        <v>4876</v>
      </c>
      <c r="F888" s="1" t="s">
        <v>4880</v>
      </c>
      <c r="H888" s="1" t="s">
        <v>4881</v>
      </c>
      <c r="L888" s="1" t="s">
        <v>5049</v>
      </c>
      <c r="M888" s="1" t="s">
        <v>5058</v>
      </c>
      <c r="N888" s="1" t="s">
        <v>4632</v>
      </c>
      <c r="P888" s="1" t="s">
        <v>9497</v>
      </c>
      <c r="Q888" s="30" t="s">
        <v>2565</v>
      </c>
      <c r="R888" s="33" t="s">
        <v>3473</v>
      </c>
      <c r="S888">
        <v>37</v>
      </c>
      <c r="T888" s="1" t="s">
        <v>13878</v>
      </c>
      <c r="U888" s="1" t="str">
        <f>HYPERLINK("http://ictvonline.org/taxonomy/p/taxonomy-history?taxnode_id=202110084","ICTVonline=202110084")</f>
        <v>ICTVonline=202110084</v>
      </c>
    </row>
    <row r="889" spans="1:21" x14ac:dyDescent="0.2">
      <c r="A889" s="3">
        <v>888</v>
      </c>
      <c r="B889" s="1" t="s">
        <v>4875</v>
      </c>
      <c r="D889" s="1" t="s">
        <v>4876</v>
      </c>
      <c r="F889" s="1" t="s">
        <v>4880</v>
      </c>
      <c r="H889" s="1" t="s">
        <v>4881</v>
      </c>
      <c r="L889" s="1" t="s">
        <v>5049</v>
      </c>
      <c r="M889" s="1" t="s">
        <v>5058</v>
      </c>
      <c r="N889" s="1" t="s">
        <v>4632</v>
      </c>
      <c r="P889" s="1" t="s">
        <v>9498</v>
      </c>
      <c r="Q889" s="30" t="s">
        <v>2565</v>
      </c>
      <c r="R889" s="33" t="s">
        <v>3473</v>
      </c>
      <c r="S889">
        <v>37</v>
      </c>
      <c r="T889" s="1" t="s">
        <v>13878</v>
      </c>
      <c r="U889" s="1" t="str">
        <f>HYPERLINK("http://ictvonline.org/taxonomy/p/taxonomy-history?taxnode_id=202110081","ICTVonline=202110081")</f>
        <v>ICTVonline=202110081</v>
      </c>
    </row>
    <row r="890" spans="1:21" x14ac:dyDescent="0.2">
      <c r="A890" s="3">
        <v>889</v>
      </c>
      <c r="B890" s="1" t="s">
        <v>4875</v>
      </c>
      <c r="D890" s="1" t="s">
        <v>4876</v>
      </c>
      <c r="F890" s="1" t="s">
        <v>4880</v>
      </c>
      <c r="H890" s="1" t="s">
        <v>4881</v>
      </c>
      <c r="L890" s="1" t="s">
        <v>5049</v>
      </c>
      <c r="M890" s="1" t="s">
        <v>5058</v>
      </c>
      <c r="N890" s="1" t="s">
        <v>4632</v>
      </c>
      <c r="P890" s="1" t="s">
        <v>9499</v>
      </c>
      <c r="Q890" s="30" t="s">
        <v>2565</v>
      </c>
      <c r="R890" s="33" t="s">
        <v>3473</v>
      </c>
      <c r="S890">
        <v>37</v>
      </c>
      <c r="T890" s="1" t="s">
        <v>13878</v>
      </c>
      <c r="U890" s="1" t="str">
        <f>HYPERLINK("http://ictvonline.org/taxonomy/p/taxonomy-history?taxnode_id=202110086","ICTVonline=202110086")</f>
        <v>ICTVonline=202110086</v>
      </c>
    </row>
    <row r="891" spans="1:21" x14ac:dyDescent="0.2">
      <c r="A891" s="3">
        <v>890</v>
      </c>
      <c r="B891" s="1" t="s">
        <v>4875</v>
      </c>
      <c r="D891" s="1" t="s">
        <v>4876</v>
      </c>
      <c r="F891" s="1" t="s">
        <v>4880</v>
      </c>
      <c r="H891" s="1" t="s">
        <v>4881</v>
      </c>
      <c r="L891" s="1" t="s">
        <v>5049</v>
      </c>
      <c r="M891" s="1" t="s">
        <v>5058</v>
      </c>
      <c r="N891" s="1" t="s">
        <v>4632</v>
      </c>
      <c r="P891" s="1" t="s">
        <v>9500</v>
      </c>
      <c r="Q891" s="30" t="s">
        <v>2565</v>
      </c>
      <c r="R891" s="33" t="s">
        <v>3473</v>
      </c>
      <c r="S891">
        <v>37</v>
      </c>
      <c r="T891" s="1" t="s">
        <v>13878</v>
      </c>
      <c r="U891" s="1" t="str">
        <f>HYPERLINK("http://ictvonline.org/taxonomy/p/taxonomy-history?taxnode_id=202110089","ICTVonline=202110089")</f>
        <v>ICTVonline=202110089</v>
      </c>
    </row>
    <row r="892" spans="1:21" x14ac:dyDescent="0.2">
      <c r="A892" s="3">
        <v>891</v>
      </c>
      <c r="B892" s="1" t="s">
        <v>4875</v>
      </c>
      <c r="D892" s="1" t="s">
        <v>4876</v>
      </c>
      <c r="F892" s="1" t="s">
        <v>4880</v>
      </c>
      <c r="H892" s="1" t="s">
        <v>4881</v>
      </c>
      <c r="L892" s="1" t="s">
        <v>5049</v>
      </c>
      <c r="M892" s="1" t="s">
        <v>5058</v>
      </c>
      <c r="N892" s="1" t="s">
        <v>4632</v>
      </c>
      <c r="P892" s="1" t="s">
        <v>9501</v>
      </c>
      <c r="Q892" s="30" t="s">
        <v>2565</v>
      </c>
      <c r="R892" s="33" t="s">
        <v>3473</v>
      </c>
      <c r="S892">
        <v>37</v>
      </c>
      <c r="T892" s="1" t="s">
        <v>13878</v>
      </c>
      <c r="U892" s="1" t="str">
        <f>HYPERLINK("http://ictvonline.org/taxonomy/p/taxonomy-history?taxnode_id=202110085","ICTVonline=202110085")</f>
        <v>ICTVonline=202110085</v>
      </c>
    </row>
    <row r="893" spans="1:21" x14ac:dyDescent="0.2">
      <c r="A893" s="3">
        <v>892</v>
      </c>
      <c r="B893" s="1" t="s">
        <v>4875</v>
      </c>
      <c r="D893" s="1" t="s">
        <v>4876</v>
      </c>
      <c r="F893" s="1" t="s">
        <v>4880</v>
      </c>
      <c r="H893" s="1" t="s">
        <v>4881</v>
      </c>
      <c r="L893" s="1" t="s">
        <v>5049</v>
      </c>
      <c r="M893" s="1" t="s">
        <v>5058</v>
      </c>
      <c r="N893" s="1" t="s">
        <v>4632</v>
      </c>
      <c r="P893" s="1" t="s">
        <v>9502</v>
      </c>
      <c r="Q893" s="30" t="s">
        <v>2565</v>
      </c>
      <c r="R893" s="33" t="s">
        <v>3473</v>
      </c>
      <c r="S893">
        <v>37</v>
      </c>
      <c r="T893" s="1" t="s">
        <v>13878</v>
      </c>
      <c r="U893" s="1" t="str">
        <f>HYPERLINK("http://ictvonline.org/taxonomy/p/taxonomy-history?taxnode_id=202110082","ICTVonline=202110082")</f>
        <v>ICTVonline=202110082</v>
      </c>
    </row>
    <row r="894" spans="1:21" x14ac:dyDescent="0.2">
      <c r="A894" s="3">
        <v>893</v>
      </c>
      <c r="B894" s="1" t="s">
        <v>4875</v>
      </c>
      <c r="D894" s="1" t="s">
        <v>4876</v>
      </c>
      <c r="F894" s="1" t="s">
        <v>4880</v>
      </c>
      <c r="H894" s="1" t="s">
        <v>4881</v>
      </c>
      <c r="L894" s="1" t="s">
        <v>5049</v>
      </c>
      <c r="M894" s="1" t="s">
        <v>5058</v>
      </c>
      <c r="N894" s="1" t="s">
        <v>4632</v>
      </c>
      <c r="P894" s="1" t="s">
        <v>9503</v>
      </c>
      <c r="Q894" s="30" t="s">
        <v>2565</v>
      </c>
      <c r="R894" s="33" t="s">
        <v>3473</v>
      </c>
      <c r="S894">
        <v>37</v>
      </c>
      <c r="T894" s="1" t="s">
        <v>13878</v>
      </c>
      <c r="U894" s="1" t="str">
        <f>HYPERLINK("http://ictvonline.org/taxonomy/p/taxonomy-history?taxnode_id=202110079","ICTVonline=202110079")</f>
        <v>ICTVonline=202110079</v>
      </c>
    </row>
    <row r="895" spans="1:21" x14ac:dyDescent="0.2">
      <c r="A895" s="3">
        <v>894</v>
      </c>
      <c r="B895" s="1" t="s">
        <v>4875</v>
      </c>
      <c r="D895" s="1" t="s">
        <v>4876</v>
      </c>
      <c r="F895" s="1" t="s">
        <v>4880</v>
      </c>
      <c r="H895" s="1" t="s">
        <v>4881</v>
      </c>
      <c r="L895" s="1" t="s">
        <v>5049</v>
      </c>
      <c r="M895" s="1" t="s">
        <v>5058</v>
      </c>
      <c r="N895" s="1" t="s">
        <v>4632</v>
      </c>
      <c r="P895" s="1" t="s">
        <v>9504</v>
      </c>
      <c r="Q895" s="30" t="s">
        <v>2565</v>
      </c>
      <c r="R895" s="33" t="s">
        <v>3473</v>
      </c>
      <c r="S895">
        <v>37</v>
      </c>
      <c r="T895" s="1" t="s">
        <v>13878</v>
      </c>
      <c r="U895" s="1" t="str">
        <f>HYPERLINK("http://ictvonline.org/taxonomy/p/taxonomy-history?taxnode_id=202110091","ICTVonline=202110091")</f>
        <v>ICTVonline=202110091</v>
      </c>
    </row>
    <row r="896" spans="1:21" x14ac:dyDescent="0.2">
      <c r="A896" s="3">
        <v>895</v>
      </c>
      <c r="B896" s="1" t="s">
        <v>4875</v>
      </c>
      <c r="D896" s="1" t="s">
        <v>4876</v>
      </c>
      <c r="F896" s="1" t="s">
        <v>4880</v>
      </c>
      <c r="H896" s="1" t="s">
        <v>4881</v>
      </c>
      <c r="L896" s="1" t="s">
        <v>5049</v>
      </c>
      <c r="M896" s="1" t="s">
        <v>5058</v>
      </c>
      <c r="N896" s="1" t="s">
        <v>4632</v>
      </c>
      <c r="P896" s="1" t="s">
        <v>9505</v>
      </c>
      <c r="Q896" s="30" t="s">
        <v>2565</v>
      </c>
      <c r="R896" s="33" t="s">
        <v>3473</v>
      </c>
      <c r="S896">
        <v>37</v>
      </c>
      <c r="T896" s="1" t="s">
        <v>13878</v>
      </c>
      <c r="U896" s="1" t="str">
        <f>HYPERLINK("http://ictvonline.org/taxonomy/p/taxonomy-history?taxnode_id=202107069","ICTVonline=202107069")</f>
        <v>ICTVonline=202107069</v>
      </c>
    </row>
    <row r="897" spans="1:21" x14ac:dyDescent="0.2">
      <c r="A897" s="3">
        <v>896</v>
      </c>
      <c r="B897" s="1" t="s">
        <v>4875</v>
      </c>
      <c r="D897" s="1" t="s">
        <v>4876</v>
      </c>
      <c r="F897" s="1" t="s">
        <v>4880</v>
      </c>
      <c r="H897" s="1" t="s">
        <v>4881</v>
      </c>
      <c r="L897" s="1" t="s">
        <v>5049</v>
      </c>
      <c r="M897" s="1" t="s">
        <v>5058</v>
      </c>
      <c r="N897" s="1" t="s">
        <v>4632</v>
      </c>
      <c r="P897" s="1" t="s">
        <v>9506</v>
      </c>
      <c r="Q897" s="30" t="s">
        <v>2565</v>
      </c>
      <c r="R897" s="33" t="s">
        <v>3473</v>
      </c>
      <c r="S897">
        <v>37</v>
      </c>
      <c r="T897" s="1" t="s">
        <v>13878</v>
      </c>
      <c r="U897" s="1" t="str">
        <f>HYPERLINK("http://ictvonline.org/taxonomy/p/taxonomy-history?taxnode_id=202110080","ICTVonline=202110080")</f>
        <v>ICTVonline=202110080</v>
      </c>
    </row>
    <row r="898" spans="1:21" x14ac:dyDescent="0.2">
      <c r="A898" s="3">
        <v>897</v>
      </c>
      <c r="B898" s="1" t="s">
        <v>4875</v>
      </c>
      <c r="D898" s="1" t="s">
        <v>4876</v>
      </c>
      <c r="F898" s="1" t="s">
        <v>4880</v>
      </c>
      <c r="H898" s="1" t="s">
        <v>4881</v>
      </c>
      <c r="L898" s="1" t="s">
        <v>5049</v>
      </c>
      <c r="M898" s="1" t="s">
        <v>5058</v>
      </c>
      <c r="N898" s="1" t="s">
        <v>4632</v>
      </c>
      <c r="P898" s="1" t="s">
        <v>9507</v>
      </c>
      <c r="Q898" s="30" t="s">
        <v>2565</v>
      </c>
      <c r="R898" s="33" t="s">
        <v>3473</v>
      </c>
      <c r="S898">
        <v>37</v>
      </c>
      <c r="T898" s="1" t="s">
        <v>13878</v>
      </c>
      <c r="U898" s="1" t="str">
        <f>HYPERLINK("http://ictvonline.org/taxonomy/p/taxonomy-history?taxnode_id=202110083","ICTVonline=202110083")</f>
        <v>ICTVonline=202110083</v>
      </c>
    </row>
    <row r="899" spans="1:21" x14ac:dyDescent="0.2">
      <c r="A899" s="3">
        <v>898</v>
      </c>
      <c r="B899" s="1" t="s">
        <v>4875</v>
      </c>
      <c r="D899" s="1" t="s">
        <v>4876</v>
      </c>
      <c r="F899" s="1" t="s">
        <v>4880</v>
      </c>
      <c r="H899" s="1" t="s">
        <v>4881</v>
      </c>
      <c r="L899" s="1" t="s">
        <v>5049</v>
      </c>
      <c r="M899" s="1" t="s">
        <v>5058</v>
      </c>
      <c r="N899" s="1" t="s">
        <v>5966</v>
      </c>
      <c r="P899" s="1" t="s">
        <v>9508</v>
      </c>
      <c r="Q899" s="30" t="s">
        <v>2565</v>
      </c>
      <c r="R899" s="33" t="s">
        <v>3473</v>
      </c>
      <c r="S899">
        <v>37</v>
      </c>
      <c r="T899" s="1" t="s">
        <v>13878</v>
      </c>
      <c r="U899" s="1" t="str">
        <f>HYPERLINK("http://ictvonline.org/taxonomy/p/taxonomy-history?taxnode_id=202109972","ICTVonline=202109972")</f>
        <v>ICTVonline=202109972</v>
      </c>
    </row>
    <row r="900" spans="1:21" x14ac:dyDescent="0.2">
      <c r="A900" s="3">
        <v>899</v>
      </c>
      <c r="B900" s="1" t="s">
        <v>4875</v>
      </c>
      <c r="D900" s="1" t="s">
        <v>4876</v>
      </c>
      <c r="F900" s="1" t="s">
        <v>4880</v>
      </c>
      <c r="H900" s="1" t="s">
        <v>4881</v>
      </c>
      <c r="L900" s="1" t="s">
        <v>5049</v>
      </c>
      <c r="M900" s="1" t="s">
        <v>5058</v>
      </c>
      <c r="N900" s="1" t="s">
        <v>2605</v>
      </c>
      <c r="P900" s="1" t="s">
        <v>9509</v>
      </c>
      <c r="Q900" s="30" t="s">
        <v>2565</v>
      </c>
      <c r="R900" s="33" t="s">
        <v>3473</v>
      </c>
      <c r="S900">
        <v>37</v>
      </c>
      <c r="T900" s="1" t="s">
        <v>13878</v>
      </c>
      <c r="U900" s="1" t="str">
        <f>HYPERLINK("http://ictvonline.org/taxonomy/p/taxonomy-history?taxnode_id=202108140","ICTVonline=202108140")</f>
        <v>ICTVonline=202108140</v>
      </c>
    </row>
    <row r="901" spans="1:21" x14ac:dyDescent="0.2">
      <c r="A901" s="3">
        <v>900</v>
      </c>
      <c r="B901" s="1" t="s">
        <v>4875</v>
      </c>
      <c r="D901" s="1" t="s">
        <v>4876</v>
      </c>
      <c r="F901" s="1" t="s">
        <v>4880</v>
      </c>
      <c r="H901" s="1" t="s">
        <v>4881</v>
      </c>
      <c r="L901" s="1" t="s">
        <v>5049</v>
      </c>
      <c r="M901" s="1" t="s">
        <v>5058</v>
      </c>
      <c r="N901" s="1" t="s">
        <v>2605</v>
      </c>
      <c r="P901" s="1" t="s">
        <v>9510</v>
      </c>
      <c r="Q901" s="30" t="s">
        <v>2565</v>
      </c>
      <c r="R901" s="33" t="s">
        <v>3473</v>
      </c>
      <c r="S901">
        <v>37</v>
      </c>
      <c r="T901" s="1" t="s">
        <v>13878</v>
      </c>
      <c r="U901" s="1" t="str">
        <f>HYPERLINK("http://ictvonline.org/taxonomy/p/taxonomy-history?taxnode_id=202108139","ICTVonline=202108139")</f>
        <v>ICTVonline=202108139</v>
      </c>
    </row>
    <row r="902" spans="1:21" x14ac:dyDescent="0.2">
      <c r="A902" s="3">
        <v>901</v>
      </c>
      <c r="B902" s="1" t="s">
        <v>4875</v>
      </c>
      <c r="D902" s="1" t="s">
        <v>4876</v>
      </c>
      <c r="F902" s="1" t="s">
        <v>4880</v>
      </c>
      <c r="H902" s="1" t="s">
        <v>4881</v>
      </c>
      <c r="L902" s="1" t="s">
        <v>5049</v>
      </c>
      <c r="M902" s="1" t="s">
        <v>5058</v>
      </c>
      <c r="N902" s="1" t="s">
        <v>2605</v>
      </c>
      <c r="P902" s="1" t="s">
        <v>9511</v>
      </c>
      <c r="Q902" s="30" t="s">
        <v>2565</v>
      </c>
      <c r="R902" s="33" t="s">
        <v>3473</v>
      </c>
      <c r="S902">
        <v>37</v>
      </c>
      <c r="T902" s="1" t="s">
        <v>13878</v>
      </c>
      <c r="U902" s="1" t="str">
        <f>HYPERLINK("http://ictvonline.org/taxonomy/p/taxonomy-history?taxnode_id=202108137","ICTVonline=202108137")</f>
        <v>ICTVonline=202108137</v>
      </c>
    </row>
    <row r="903" spans="1:21" x14ac:dyDescent="0.2">
      <c r="A903" s="3">
        <v>902</v>
      </c>
      <c r="B903" s="1" t="s">
        <v>4875</v>
      </c>
      <c r="D903" s="1" t="s">
        <v>4876</v>
      </c>
      <c r="F903" s="1" t="s">
        <v>4880</v>
      </c>
      <c r="H903" s="1" t="s">
        <v>4881</v>
      </c>
      <c r="L903" s="1" t="s">
        <v>5049</v>
      </c>
      <c r="M903" s="1" t="s">
        <v>5058</v>
      </c>
      <c r="N903" s="1" t="s">
        <v>2605</v>
      </c>
      <c r="P903" s="1" t="s">
        <v>9512</v>
      </c>
      <c r="Q903" s="30" t="s">
        <v>2565</v>
      </c>
      <c r="R903" s="33" t="s">
        <v>3473</v>
      </c>
      <c r="S903">
        <v>37</v>
      </c>
      <c r="T903" s="1" t="s">
        <v>13878</v>
      </c>
      <c r="U903" s="1" t="str">
        <f>HYPERLINK("http://ictvonline.org/taxonomy/p/taxonomy-history?taxnode_id=202108141","ICTVonline=202108141")</f>
        <v>ICTVonline=202108141</v>
      </c>
    </row>
    <row r="904" spans="1:21" x14ac:dyDescent="0.2">
      <c r="A904" s="3">
        <v>903</v>
      </c>
      <c r="B904" s="1" t="s">
        <v>4875</v>
      </c>
      <c r="D904" s="1" t="s">
        <v>4876</v>
      </c>
      <c r="F904" s="1" t="s">
        <v>4880</v>
      </c>
      <c r="H904" s="1" t="s">
        <v>4881</v>
      </c>
      <c r="L904" s="1" t="s">
        <v>5049</v>
      </c>
      <c r="M904" s="1" t="s">
        <v>5058</v>
      </c>
      <c r="N904" s="1" t="s">
        <v>2605</v>
      </c>
      <c r="P904" s="1" t="s">
        <v>9513</v>
      </c>
      <c r="Q904" s="30" t="s">
        <v>2565</v>
      </c>
      <c r="R904" s="33" t="s">
        <v>3473</v>
      </c>
      <c r="S904">
        <v>37</v>
      </c>
      <c r="T904" s="1" t="s">
        <v>13878</v>
      </c>
      <c r="U904" s="1" t="str">
        <f>HYPERLINK("http://ictvonline.org/taxonomy/p/taxonomy-history?taxnode_id=202108142","ICTVonline=202108142")</f>
        <v>ICTVonline=202108142</v>
      </c>
    </row>
    <row r="905" spans="1:21" x14ac:dyDescent="0.2">
      <c r="A905" s="3">
        <v>904</v>
      </c>
      <c r="B905" s="1" t="s">
        <v>4875</v>
      </c>
      <c r="D905" s="1" t="s">
        <v>4876</v>
      </c>
      <c r="F905" s="1" t="s">
        <v>4880</v>
      </c>
      <c r="H905" s="1" t="s">
        <v>4881</v>
      </c>
      <c r="L905" s="1" t="s">
        <v>5049</v>
      </c>
      <c r="M905" s="1" t="s">
        <v>5058</v>
      </c>
      <c r="N905" s="1" t="s">
        <v>2605</v>
      </c>
      <c r="P905" s="1" t="s">
        <v>9514</v>
      </c>
      <c r="Q905" s="30" t="s">
        <v>2565</v>
      </c>
      <c r="R905" s="33" t="s">
        <v>3473</v>
      </c>
      <c r="S905">
        <v>37</v>
      </c>
      <c r="T905" s="1" t="s">
        <v>13878</v>
      </c>
      <c r="U905" s="1" t="str">
        <f>HYPERLINK("http://ictvonline.org/taxonomy/p/taxonomy-history?taxnode_id=202100834","ICTVonline=202100834")</f>
        <v>ICTVonline=202100834</v>
      </c>
    </row>
    <row r="906" spans="1:21" x14ac:dyDescent="0.2">
      <c r="A906" s="3">
        <v>905</v>
      </c>
      <c r="B906" s="1" t="s">
        <v>4875</v>
      </c>
      <c r="D906" s="1" t="s">
        <v>4876</v>
      </c>
      <c r="F906" s="1" t="s">
        <v>4880</v>
      </c>
      <c r="H906" s="1" t="s">
        <v>4881</v>
      </c>
      <c r="L906" s="1" t="s">
        <v>5049</v>
      </c>
      <c r="M906" s="1" t="s">
        <v>5058</v>
      </c>
      <c r="N906" s="1" t="s">
        <v>2605</v>
      </c>
      <c r="P906" s="1" t="s">
        <v>9515</v>
      </c>
      <c r="Q906" s="30" t="s">
        <v>2565</v>
      </c>
      <c r="R906" s="33" t="s">
        <v>3473</v>
      </c>
      <c r="S906">
        <v>37</v>
      </c>
      <c r="T906" s="1" t="s">
        <v>13878</v>
      </c>
      <c r="U906" s="1" t="str">
        <f>HYPERLINK("http://ictvonline.org/taxonomy/p/taxonomy-history?taxnode_id=202100832","ICTVonline=202100832")</f>
        <v>ICTVonline=202100832</v>
      </c>
    </row>
    <row r="907" spans="1:21" x14ac:dyDescent="0.2">
      <c r="A907" s="3">
        <v>906</v>
      </c>
      <c r="B907" s="1" t="s">
        <v>4875</v>
      </c>
      <c r="D907" s="1" t="s">
        <v>4876</v>
      </c>
      <c r="F907" s="1" t="s">
        <v>4880</v>
      </c>
      <c r="H907" s="1" t="s">
        <v>4881</v>
      </c>
      <c r="L907" s="1" t="s">
        <v>5049</v>
      </c>
      <c r="M907" s="1" t="s">
        <v>5058</v>
      </c>
      <c r="N907" s="1" t="s">
        <v>2605</v>
      </c>
      <c r="P907" s="1" t="s">
        <v>9516</v>
      </c>
      <c r="Q907" s="30" t="s">
        <v>2565</v>
      </c>
      <c r="R907" s="33" t="s">
        <v>3473</v>
      </c>
      <c r="S907">
        <v>37</v>
      </c>
      <c r="T907" s="1" t="s">
        <v>13878</v>
      </c>
      <c r="U907" s="1" t="str">
        <f>HYPERLINK("http://ictvonline.org/taxonomy/p/taxonomy-history?taxnode_id=202100833","ICTVonline=202100833")</f>
        <v>ICTVonline=202100833</v>
      </c>
    </row>
    <row r="908" spans="1:21" x14ac:dyDescent="0.2">
      <c r="A908" s="3">
        <v>907</v>
      </c>
      <c r="B908" s="1" t="s">
        <v>4875</v>
      </c>
      <c r="D908" s="1" t="s">
        <v>4876</v>
      </c>
      <c r="F908" s="1" t="s">
        <v>4880</v>
      </c>
      <c r="H908" s="1" t="s">
        <v>4881</v>
      </c>
      <c r="L908" s="1" t="s">
        <v>5049</v>
      </c>
      <c r="M908" s="1" t="s">
        <v>5058</v>
      </c>
      <c r="N908" s="1" t="s">
        <v>2605</v>
      </c>
      <c r="P908" s="1" t="s">
        <v>9517</v>
      </c>
      <c r="Q908" s="30" t="s">
        <v>2565</v>
      </c>
      <c r="R908" s="33" t="s">
        <v>3473</v>
      </c>
      <c r="S908">
        <v>37</v>
      </c>
      <c r="T908" s="1" t="s">
        <v>13878</v>
      </c>
      <c r="U908" s="1" t="str">
        <f>HYPERLINK("http://ictvonline.org/taxonomy/p/taxonomy-history?taxnode_id=202108136","ICTVonline=202108136")</f>
        <v>ICTVonline=202108136</v>
      </c>
    </row>
    <row r="909" spans="1:21" x14ac:dyDescent="0.2">
      <c r="A909" s="3">
        <v>908</v>
      </c>
      <c r="B909" s="1" t="s">
        <v>4875</v>
      </c>
      <c r="D909" s="1" t="s">
        <v>4876</v>
      </c>
      <c r="F909" s="1" t="s">
        <v>4880</v>
      </c>
      <c r="H909" s="1" t="s">
        <v>4881</v>
      </c>
      <c r="L909" s="1" t="s">
        <v>5049</v>
      </c>
      <c r="M909" s="1" t="s">
        <v>5058</v>
      </c>
      <c r="N909" s="1" t="s">
        <v>2605</v>
      </c>
      <c r="P909" s="1" t="s">
        <v>9518</v>
      </c>
      <c r="Q909" s="30" t="s">
        <v>2565</v>
      </c>
      <c r="R909" s="33" t="s">
        <v>3473</v>
      </c>
      <c r="S909">
        <v>37</v>
      </c>
      <c r="T909" s="1" t="s">
        <v>13878</v>
      </c>
      <c r="U909" s="1" t="str">
        <f>HYPERLINK("http://ictvonline.org/taxonomy/p/taxonomy-history?taxnode_id=202108138","ICTVonline=202108138")</f>
        <v>ICTVonline=202108138</v>
      </c>
    </row>
    <row r="910" spans="1:21" x14ac:dyDescent="0.2">
      <c r="A910" s="3">
        <v>909</v>
      </c>
      <c r="B910" s="1" t="s">
        <v>4875</v>
      </c>
      <c r="D910" s="1" t="s">
        <v>4876</v>
      </c>
      <c r="F910" s="1" t="s">
        <v>4880</v>
      </c>
      <c r="H910" s="1" t="s">
        <v>4881</v>
      </c>
      <c r="L910" s="1" t="s">
        <v>5049</v>
      </c>
      <c r="M910" s="1" t="s">
        <v>5058</v>
      </c>
      <c r="N910" s="1" t="s">
        <v>5059</v>
      </c>
      <c r="P910" s="1" t="s">
        <v>9519</v>
      </c>
      <c r="Q910" s="30" t="s">
        <v>2565</v>
      </c>
      <c r="R910" s="33" t="s">
        <v>3473</v>
      </c>
      <c r="S910">
        <v>37</v>
      </c>
      <c r="T910" s="1" t="s">
        <v>13878</v>
      </c>
      <c r="U910" s="1" t="str">
        <f>HYPERLINK("http://ictvonline.org/taxonomy/p/taxonomy-history?taxnode_id=202112096","ICTVonline=202112096")</f>
        <v>ICTVonline=202112096</v>
      </c>
    </row>
    <row r="911" spans="1:21" x14ac:dyDescent="0.2">
      <c r="A911" s="3">
        <v>910</v>
      </c>
      <c r="B911" s="1" t="s">
        <v>4875</v>
      </c>
      <c r="D911" s="1" t="s">
        <v>4876</v>
      </c>
      <c r="F911" s="1" t="s">
        <v>4880</v>
      </c>
      <c r="H911" s="1" t="s">
        <v>4881</v>
      </c>
      <c r="L911" s="1" t="s">
        <v>5049</v>
      </c>
      <c r="M911" s="1" t="s">
        <v>5058</v>
      </c>
      <c r="N911" s="1" t="s">
        <v>5059</v>
      </c>
      <c r="P911" s="1" t="s">
        <v>9520</v>
      </c>
      <c r="Q911" s="30" t="s">
        <v>2565</v>
      </c>
      <c r="R911" s="33" t="s">
        <v>3473</v>
      </c>
      <c r="S911">
        <v>37</v>
      </c>
      <c r="T911" s="1" t="s">
        <v>13878</v>
      </c>
      <c r="U911" s="1" t="str">
        <f>HYPERLINK("http://ictvonline.org/taxonomy/p/taxonomy-history?taxnode_id=202112091","ICTVonline=202112091")</f>
        <v>ICTVonline=202112091</v>
      </c>
    </row>
    <row r="912" spans="1:21" x14ac:dyDescent="0.2">
      <c r="A912" s="3">
        <v>911</v>
      </c>
      <c r="B912" s="1" t="s">
        <v>4875</v>
      </c>
      <c r="D912" s="1" t="s">
        <v>4876</v>
      </c>
      <c r="F912" s="1" t="s">
        <v>4880</v>
      </c>
      <c r="H912" s="1" t="s">
        <v>4881</v>
      </c>
      <c r="L912" s="1" t="s">
        <v>5049</v>
      </c>
      <c r="M912" s="1" t="s">
        <v>5058</v>
      </c>
      <c r="N912" s="1" t="s">
        <v>5059</v>
      </c>
      <c r="P912" s="1" t="s">
        <v>9521</v>
      </c>
      <c r="Q912" s="30" t="s">
        <v>2565</v>
      </c>
      <c r="R912" s="33" t="s">
        <v>3473</v>
      </c>
      <c r="S912">
        <v>37</v>
      </c>
      <c r="T912" s="1" t="s">
        <v>13878</v>
      </c>
      <c r="U912" s="1" t="str">
        <f>HYPERLINK("http://ictvonline.org/taxonomy/p/taxonomy-history?taxnode_id=202108134","ICTVonline=202108134")</f>
        <v>ICTVonline=202108134</v>
      </c>
    </row>
    <row r="913" spans="1:21" x14ac:dyDescent="0.2">
      <c r="A913" s="3">
        <v>912</v>
      </c>
      <c r="B913" s="1" t="s">
        <v>4875</v>
      </c>
      <c r="D913" s="1" t="s">
        <v>4876</v>
      </c>
      <c r="F913" s="1" t="s">
        <v>4880</v>
      </c>
      <c r="H913" s="1" t="s">
        <v>4881</v>
      </c>
      <c r="L913" s="1" t="s">
        <v>5049</v>
      </c>
      <c r="M913" s="1" t="s">
        <v>5058</v>
      </c>
      <c r="N913" s="1" t="s">
        <v>5059</v>
      </c>
      <c r="P913" s="1" t="s">
        <v>9522</v>
      </c>
      <c r="Q913" s="30" t="s">
        <v>2565</v>
      </c>
      <c r="R913" s="33" t="s">
        <v>3473</v>
      </c>
      <c r="S913">
        <v>37</v>
      </c>
      <c r="T913" s="1" t="s">
        <v>13878</v>
      </c>
      <c r="U913" s="1" t="str">
        <f>HYPERLINK("http://ictvonline.org/taxonomy/p/taxonomy-history?taxnode_id=202108133","ICTVonline=202108133")</f>
        <v>ICTVonline=202108133</v>
      </c>
    </row>
    <row r="914" spans="1:21" x14ac:dyDescent="0.2">
      <c r="A914" s="3">
        <v>913</v>
      </c>
      <c r="B914" s="1" t="s">
        <v>4875</v>
      </c>
      <c r="D914" s="1" t="s">
        <v>4876</v>
      </c>
      <c r="F914" s="1" t="s">
        <v>4880</v>
      </c>
      <c r="H914" s="1" t="s">
        <v>4881</v>
      </c>
      <c r="L914" s="1" t="s">
        <v>5049</v>
      </c>
      <c r="M914" s="1" t="s">
        <v>5058</v>
      </c>
      <c r="N914" s="1" t="s">
        <v>5059</v>
      </c>
      <c r="P914" s="1" t="s">
        <v>9523</v>
      </c>
      <c r="Q914" s="30" t="s">
        <v>2565</v>
      </c>
      <c r="R914" s="33" t="s">
        <v>3473</v>
      </c>
      <c r="S914">
        <v>37</v>
      </c>
      <c r="T914" s="1" t="s">
        <v>13878</v>
      </c>
      <c r="U914" s="1" t="str">
        <f>HYPERLINK("http://ictvonline.org/taxonomy/p/taxonomy-history?taxnode_id=202112098","ICTVonline=202112098")</f>
        <v>ICTVonline=202112098</v>
      </c>
    </row>
    <row r="915" spans="1:21" x14ac:dyDescent="0.2">
      <c r="A915" s="3">
        <v>914</v>
      </c>
      <c r="B915" s="1" t="s">
        <v>4875</v>
      </c>
      <c r="D915" s="1" t="s">
        <v>4876</v>
      </c>
      <c r="F915" s="1" t="s">
        <v>4880</v>
      </c>
      <c r="H915" s="1" t="s">
        <v>4881</v>
      </c>
      <c r="L915" s="1" t="s">
        <v>5049</v>
      </c>
      <c r="M915" s="1" t="s">
        <v>5058</v>
      </c>
      <c r="N915" s="1" t="s">
        <v>5059</v>
      </c>
      <c r="P915" s="1" t="s">
        <v>9524</v>
      </c>
      <c r="Q915" s="30" t="s">
        <v>2565</v>
      </c>
      <c r="R915" s="33" t="s">
        <v>3473</v>
      </c>
      <c r="S915">
        <v>37</v>
      </c>
      <c r="T915" s="1" t="s">
        <v>13878</v>
      </c>
      <c r="U915" s="1" t="str">
        <f>HYPERLINK("http://ictvonline.org/taxonomy/p/taxonomy-history?taxnode_id=202108131","ICTVonline=202108131")</f>
        <v>ICTVonline=202108131</v>
      </c>
    </row>
    <row r="916" spans="1:21" x14ac:dyDescent="0.2">
      <c r="A916" s="3">
        <v>915</v>
      </c>
      <c r="B916" s="1" t="s">
        <v>4875</v>
      </c>
      <c r="D916" s="1" t="s">
        <v>4876</v>
      </c>
      <c r="F916" s="1" t="s">
        <v>4880</v>
      </c>
      <c r="H916" s="1" t="s">
        <v>4881</v>
      </c>
      <c r="L916" s="1" t="s">
        <v>5049</v>
      </c>
      <c r="M916" s="1" t="s">
        <v>5058</v>
      </c>
      <c r="N916" s="1" t="s">
        <v>5059</v>
      </c>
      <c r="P916" s="1" t="s">
        <v>9525</v>
      </c>
      <c r="Q916" s="30" t="s">
        <v>2565</v>
      </c>
      <c r="R916" s="33" t="s">
        <v>3473</v>
      </c>
      <c r="S916">
        <v>37</v>
      </c>
      <c r="T916" s="1" t="s">
        <v>13878</v>
      </c>
      <c r="U916" s="1" t="str">
        <f>HYPERLINK("http://ictvonline.org/taxonomy/p/taxonomy-history?taxnode_id=202112097","ICTVonline=202112097")</f>
        <v>ICTVonline=202112097</v>
      </c>
    </row>
    <row r="917" spans="1:21" x14ac:dyDescent="0.2">
      <c r="A917" s="3">
        <v>916</v>
      </c>
      <c r="B917" s="1" t="s">
        <v>4875</v>
      </c>
      <c r="D917" s="1" t="s">
        <v>4876</v>
      </c>
      <c r="F917" s="1" t="s">
        <v>4880</v>
      </c>
      <c r="H917" s="1" t="s">
        <v>4881</v>
      </c>
      <c r="L917" s="1" t="s">
        <v>5049</v>
      </c>
      <c r="M917" s="1" t="s">
        <v>5058</v>
      </c>
      <c r="N917" s="1" t="s">
        <v>5059</v>
      </c>
      <c r="P917" s="1" t="s">
        <v>9526</v>
      </c>
      <c r="Q917" s="30" t="s">
        <v>2565</v>
      </c>
      <c r="R917" s="33" t="s">
        <v>3473</v>
      </c>
      <c r="S917">
        <v>37</v>
      </c>
      <c r="T917" s="1" t="s">
        <v>13878</v>
      </c>
      <c r="U917" s="1" t="str">
        <f>HYPERLINK("http://ictvonline.org/taxonomy/p/taxonomy-history?taxnode_id=202112095","ICTVonline=202112095")</f>
        <v>ICTVonline=202112095</v>
      </c>
    </row>
    <row r="918" spans="1:21" x14ac:dyDescent="0.2">
      <c r="A918" s="3">
        <v>917</v>
      </c>
      <c r="B918" s="1" t="s">
        <v>4875</v>
      </c>
      <c r="D918" s="1" t="s">
        <v>4876</v>
      </c>
      <c r="F918" s="1" t="s">
        <v>4880</v>
      </c>
      <c r="H918" s="1" t="s">
        <v>4881</v>
      </c>
      <c r="L918" s="1" t="s">
        <v>5049</v>
      </c>
      <c r="M918" s="1" t="s">
        <v>5058</v>
      </c>
      <c r="N918" s="1" t="s">
        <v>5059</v>
      </c>
      <c r="P918" s="1" t="s">
        <v>9527</v>
      </c>
      <c r="Q918" s="30" t="s">
        <v>2565</v>
      </c>
      <c r="R918" s="33" t="s">
        <v>3473</v>
      </c>
      <c r="S918">
        <v>37</v>
      </c>
      <c r="T918" s="1" t="s">
        <v>13878</v>
      </c>
      <c r="U918" s="1" t="str">
        <f>HYPERLINK("http://ictvonline.org/taxonomy/p/taxonomy-history?taxnode_id=202112092","ICTVonline=202112092")</f>
        <v>ICTVonline=202112092</v>
      </c>
    </row>
    <row r="919" spans="1:21" x14ac:dyDescent="0.2">
      <c r="A919" s="3">
        <v>918</v>
      </c>
      <c r="B919" s="1" t="s">
        <v>4875</v>
      </c>
      <c r="D919" s="1" t="s">
        <v>4876</v>
      </c>
      <c r="F919" s="1" t="s">
        <v>4880</v>
      </c>
      <c r="H919" s="1" t="s">
        <v>4881</v>
      </c>
      <c r="L919" s="1" t="s">
        <v>5049</v>
      </c>
      <c r="M919" s="1" t="s">
        <v>5058</v>
      </c>
      <c r="N919" s="1" t="s">
        <v>5059</v>
      </c>
      <c r="P919" s="1" t="s">
        <v>9528</v>
      </c>
      <c r="Q919" s="30" t="s">
        <v>2565</v>
      </c>
      <c r="R919" s="33" t="s">
        <v>3473</v>
      </c>
      <c r="S919">
        <v>37</v>
      </c>
      <c r="T919" s="1" t="s">
        <v>13878</v>
      </c>
      <c r="U919" s="1" t="str">
        <f>HYPERLINK("http://ictvonline.org/taxonomy/p/taxonomy-history?taxnode_id=202112094","ICTVonline=202112094")</f>
        <v>ICTVonline=202112094</v>
      </c>
    </row>
    <row r="920" spans="1:21" x14ac:dyDescent="0.2">
      <c r="A920" s="3">
        <v>919</v>
      </c>
      <c r="B920" s="1" t="s">
        <v>4875</v>
      </c>
      <c r="D920" s="1" t="s">
        <v>4876</v>
      </c>
      <c r="F920" s="1" t="s">
        <v>4880</v>
      </c>
      <c r="H920" s="1" t="s">
        <v>4881</v>
      </c>
      <c r="L920" s="1" t="s">
        <v>5049</v>
      </c>
      <c r="M920" s="1" t="s">
        <v>5058</v>
      </c>
      <c r="N920" s="1" t="s">
        <v>5059</v>
      </c>
      <c r="P920" s="1" t="s">
        <v>9529</v>
      </c>
      <c r="Q920" s="30" t="s">
        <v>2565</v>
      </c>
      <c r="R920" s="33" t="s">
        <v>3473</v>
      </c>
      <c r="S920">
        <v>37</v>
      </c>
      <c r="T920" s="1" t="s">
        <v>13878</v>
      </c>
      <c r="U920" s="1" t="str">
        <f>HYPERLINK("http://ictvonline.org/taxonomy/p/taxonomy-history?taxnode_id=202112093","ICTVonline=202112093")</f>
        <v>ICTVonline=202112093</v>
      </c>
    </row>
    <row r="921" spans="1:21" x14ac:dyDescent="0.2">
      <c r="A921" s="3">
        <v>920</v>
      </c>
      <c r="B921" s="1" t="s">
        <v>4875</v>
      </c>
      <c r="D921" s="1" t="s">
        <v>4876</v>
      </c>
      <c r="F921" s="1" t="s">
        <v>4880</v>
      </c>
      <c r="H921" s="1" t="s">
        <v>4881</v>
      </c>
      <c r="L921" s="1" t="s">
        <v>5049</v>
      </c>
      <c r="M921" s="1" t="s">
        <v>5058</v>
      </c>
      <c r="N921" s="1" t="s">
        <v>5059</v>
      </c>
      <c r="P921" s="1" t="s">
        <v>9530</v>
      </c>
      <c r="Q921" s="30" t="s">
        <v>2565</v>
      </c>
      <c r="R921" s="33" t="s">
        <v>3473</v>
      </c>
      <c r="S921">
        <v>37</v>
      </c>
      <c r="T921" s="1" t="s">
        <v>13878</v>
      </c>
      <c r="U921" s="1" t="str">
        <f>HYPERLINK("http://ictvonline.org/taxonomy/p/taxonomy-history?taxnode_id=202108132","ICTVonline=202108132")</f>
        <v>ICTVonline=202108132</v>
      </c>
    </row>
    <row r="922" spans="1:21" x14ac:dyDescent="0.2">
      <c r="A922" s="3">
        <v>921</v>
      </c>
      <c r="B922" s="1" t="s">
        <v>4875</v>
      </c>
      <c r="D922" s="1" t="s">
        <v>4876</v>
      </c>
      <c r="F922" s="1" t="s">
        <v>4880</v>
      </c>
      <c r="H922" s="1" t="s">
        <v>4881</v>
      </c>
      <c r="L922" s="1" t="s">
        <v>5049</v>
      </c>
      <c r="M922" s="1" t="s">
        <v>2603</v>
      </c>
      <c r="N922" s="1" t="s">
        <v>5060</v>
      </c>
      <c r="P922" s="1" t="s">
        <v>9531</v>
      </c>
      <c r="Q922" s="30" t="s">
        <v>2565</v>
      </c>
      <c r="R922" s="33" t="s">
        <v>3473</v>
      </c>
      <c r="S922">
        <v>37</v>
      </c>
      <c r="T922" s="1" t="s">
        <v>13878</v>
      </c>
      <c r="U922" s="1" t="str">
        <f>HYPERLINK("http://ictvonline.org/taxonomy/p/taxonomy-history?taxnode_id=202108167","ICTVonline=202108167")</f>
        <v>ICTVonline=202108167</v>
      </c>
    </row>
    <row r="923" spans="1:21" x14ac:dyDescent="0.2">
      <c r="A923" s="3">
        <v>922</v>
      </c>
      <c r="B923" s="1" t="s">
        <v>4875</v>
      </c>
      <c r="D923" s="1" t="s">
        <v>4876</v>
      </c>
      <c r="F923" s="1" t="s">
        <v>4880</v>
      </c>
      <c r="H923" s="1" t="s">
        <v>4881</v>
      </c>
      <c r="L923" s="1" t="s">
        <v>5049</v>
      </c>
      <c r="M923" s="1" t="s">
        <v>2603</v>
      </c>
      <c r="N923" s="1" t="s">
        <v>4634</v>
      </c>
      <c r="P923" s="1" t="s">
        <v>9532</v>
      </c>
      <c r="Q923" s="30" t="s">
        <v>2565</v>
      </c>
      <c r="R923" s="33" t="s">
        <v>3473</v>
      </c>
      <c r="S923">
        <v>37</v>
      </c>
      <c r="T923" s="1" t="s">
        <v>13878</v>
      </c>
      <c r="U923" s="1" t="str">
        <f>HYPERLINK("http://ictvonline.org/taxonomy/p/taxonomy-history?taxnode_id=202107071","ICTVonline=202107071")</f>
        <v>ICTVonline=202107071</v>
      </c>
    </row>
    <row r="924" spans="1:21" x14ac:dyDescent="0.2">
      <c r="A924" s="3">
        <v>923</v>
      </c>
      <c r="B924" s="1" t="s">
        <v>4875</v>
      </c>
      <c r="D924" s="1" t="s">
        <v>4876</v>
      </c>
      <c r="F924" s="1" t="s">
        <v>4880</v>
      </c>
      <c r="H924" s="1" t="s">
        <v>4881</v>
      </c>
      <c r="L924" s="1" t="s">
        <v>5049</v>
      </c>
      <c r="M924" s="1" t="s">
        <v>2603</v>
      </c>
      <c r="N924" s="1" t="s">
        <v>4635</v>
      </c>
      <c r="P924" s="1" t="s">
        <v>9533</v>
      </c>
      <c r="Q924" s="30" t="s">
        <v>2565</v>
      </c>
      <c r="R924" s="33" t="s">
        <v>3473</v>
      </c>
      <c r="S924">
        <v>37</v>
      </c>
      <c r="T924" s="1" t="s">
        <v>13878</v>
      </c>
      <c r="U924" s="1" t="str">
        <f>HYPERLINK("http://ictvonline.org/taxonomy/p/taxonomy-history?taxnode_id=202100825","ICTVonline=202100825")</f>
        <v>ICTVonline=202100825</v>
      </c>
    </row>
    <row r="925" spans="1:21" x14ac:dyDescent="0.2">
      <c r="A925" s="3">
        <v>924</v>
      </c>
      <c r="B925" s="1" t="s">
        <v>4875</v>
      </c>
      <c r="D925" s="1" t="s">
        <v>4876</v>
      </c>
      <c r="F925" s="1" t="s">
        <v>4880</v>
      </c>
      <c r="H925" s="1" t="s">
        <v>4881</v>
      </c>
      <c r="L925" s="1" t="s">
        <v>5049</v>
      </c>
      <c r="M925" s="1" t="s">
        <v>2603</v>
      </c>
      <c r="N925" s="1" t="s">
        <v>4635</v>
      </c>
      <c r="P925" s="1" t="s">
        <v>9534</v>
      </c>
      <c r="Q925" s="30" t="s">
        <v>2565</v>
      </c>
      <c r="R925" s="33" t="s">
        <v>3473</v>
      </c>
      <c r="S925">
        <v>37</v>
      </c>
      <c r="T925" s="1" t="s">
        <v>13878</v>
      </c>
      <c r="U925" s="1" t="str">
        <f>HYPERLINK("http://ictvonline.org/taxonomy/p/taxonomy-history?taxnode_id=202108160","ICTVonline=202108160")</f>
        <v>ICTVonline=202108160</v>
      </c>
    </row>
    <row r="926" spans="1:21" x14ac:dyDescent="0.2">
      <c r="A926" s="3">
        <v>925</v>
      </c>
      <c r="B926" s="1" t="s">
        <v>4875</v>
      </c>
      <c r="D926" s="1" t="s">
        <v>4876</v>
      </c>
      <c r="F926" s="1" t="s">
        <v>4880</v>
      </c>
      <c r="H926" s="1" t="s">
        <v>4881</v>
      </c>
      <c r="L926" s="1" t="s">
        <v>5049</v>
      </c>
      <c r="M926" s="1" t="s">
        <v>2603</v>
      </c>
      <c r="N926" s="1" t="s">
        <v>4635</v>
      </c>
      <c r="P926" s="1" t="s">
        <v>9535</v>
      </c>
      <c r="Q926" s="30" t="s">
        <v>2565</v>
      </c>
      <c r="R926" s="33" t="s">
        <v>3473</v>
      </c>
      <c r="S926">
        <v>37</v>
      </c>
      <c r="T926" s="1" t="s">
        <v>13878</v>
      </c>
      <c r="U926" s="1" t="str">
        <f>HYPERLINK("http://ictvonline.org/taxonomy/p/taxonomy-history?taxnode_id=202112057","ICTVonline=202112057")</f>
        <v>ICTVonline=202112057</v>
      </c>
    </row>
    <row r="927" spans="1:21" x14ac:dyDescent="0.2">
      <c r="A927" s="3">
        <v>926</v>
      </c>
      <c r="B927" s="1" t="s">
        <v>4875</v>
      </c>
      <c r="D927" s="1" t="s">
        <v>4876</v>
      </c>
      <c r="F927" s="1" t="s">
        <v>4880</v>
      </c>
      <c r="H927" s="1" t="s">
        <v>4881</v>
      </c>
      <c r="L927" s="1" t="s">
        <v>5049</v>
      </c>
      <c r="M927" s="1" t="s">
        <v>2603</v>
      </c>
      <c r="N927" s="1" t="s">
        <v>4635</v>
      </c>
      <c r="P927" s="1" t="s">
        <v>9536</v>
      </c>
      <c r="Q927" s="30" t="s">
        <v>2565</v>
      </c>
      <c r="R927" s="33" t="s">
        <v>3473</v>
      </c>
      <c r="S927">
        <v>37</v>
      </c>
      <c r="T927" s="1" t="s">
        <v>13878</v>
      </c>
      <c r="U927" s="1" t="str">
        <f>HYPERLINK("http://ictvonline.org/taxonomy/p/taxonomy-history?taxnode_id=202108164","ICTVonline=202108164")</f>
        <v>ICTVonline=202108164</v>
      </c>
    </row>
    <row r="928" spans="1:21" x14ac:dyDescent="0.2">
      <c r="A928" s="3">
        <v>927</v>
      </c>
      <c r="B928" s="1" t="s">
        <v>4875</v>
      </c>
      <c r="D928" s="1" t="s">
        <v>4876</v>
      </c>
      <c r="F928" s="1" t="s">
        <v>4880</v>
      </c>
      <c r="H928" s="1" t="s">
        <v>4881</v>
      </c>
      <c r="L928" s="1" t="s">
        <v>5049</v>
      </c>
      <c r="M928" s="1" t="s">
        <v>2603</v>
      </c>
      <c r="N928" s="1" t="s">
        <v>4635</v>
      </c>
      <c r="P928" s="1" t="s">
        <v>9537</v>
      </c>
      <c r="Q928" s="30" t="s">
        <v>2565</v>
      </c>
      <c r="R928" s="33" t="s">
        <v>3473</v>
      </c>
      <c r="S928">
        <v>37</v>
      </c>
      <c r="T928" s="1" t="s">
        <v>13878</v>
      </c>
      <c r="U928" s="1" t="str">
        <f>HYPERLINK("http://ictvonline.org/taxonomy/p/taxonomy-history?taxnode_id=202108161","ICTVonline=202108161")</f>
        <v>ICTVonline=202108161</v>
      </c>
    </row>
    <row r="929" spans="1:21" x14ac:dyDescent="0.2">
      <c r="A929" s="3">
        <v>928</v>
      </c>
      <c r="B929" s="1" t="s">
        <v>4875</v>
      </c>
      <c r="D929" s="1" t="s">
        <v>4876</v>
      </c>
      <c r="F929" s="1" t="s">
        <v>4880</v>
      </c>
      <c r="H929" s="1" t="s">
        <v>4881</v>
      </c>
      <c r="L929" s="1" t="s">
        <v>5049</v>
      </c>
      <c r="M929" s="1" t="s">
        <v>2603</v>
      </c>
      <c r="N929" s="1" t="s">
        <v>4635</v>
      </c>
      <c r="P929" s="1" t="s">
        <v>9538</v>
      </c>
      <c r="Q929" s="30" t="s">
        <v>2565</v>
      </c>
      <c r="R929" s="33" t="s">
        <v>3473</v>
      </c>
      <c r="S929">
        <v>37</v>
      </c>
      <c r="T929" s="1" t="s">
        <v>13878</v>
      </c>
      <c r="U929" s="1" t="str">
        <f>HYPERLINK("http://ictvonline.org/taxonomy/p/taxonomy-history?taxnode_id=202107089","ICTVonline=202107089")</f>
        <v>ICTVonline=202107089</v>
      </c>
    </row>
    <row r="930" spans="1:21" x14ac:dyDescent="0.2">
      <c r="A930" s="3">
        <v>929</v>
      </c>
      <c r="B930" s="1" t="s">
        <v>4875</v>
      </c>
      <c r="D930" s="1" t="s">
        <v>4876</v>
      </c>
      <c r="F930" s="1" t="s">
        <v>4880</v>
      </c>
      <c r="H930" s="1" t="s">
        <v>4881</v>
      </c>
      <c r="L930" s="1" t="s">
        <v>5049</v>
      </c>
      <c r="M930" s="1" t="s">
        <v>2603</v>
      </c>
      <c r="N930" s="1" t="s">
        <v>4635</v>
      </c>
      <c r="P930" s="1" t="s">
        <v>9539</v>
      </c>
      <c r="Q930" s="30" t="s">
        <v>2565</v>
      </c>
      <c r="R930" s="33" t="s">
        <v>3473</v>
      </c>
      <c r="S930">
        <v>37</v>
      </c>
      <c r="T930" s="1" t="s">
        <v>13878</v>
      </c>
      <c r="U930" s="1" t="str">
        <f>HYPERLINK("http://ictvonline.org/taxonomy/p/taxonomy-history?taxnode_id=202100826","ICTVonline=202100826")</f>
        <v>ICTVonline=202100826</v>
      </c>
    </row>
    <row r="931" spans="1:21" x14ac:dyDescent="0.2">
      <c r="A931" s="3">
        <v>930</v>
      </c>
      <c r="B931" s="1" t="s">
        <v>4875</v>
      </c>
      <c r="D931" s="1" t="s">
        <v>4876</v>
      </c>
      <c r="F931" s="1" t="s">
        <v>4880</v>
      </c>
      <c r="H931" s="1" t="s">
        <v>4881</v>
      </c>
      <c r="L931" s="1" t="s">
        <v>5049</v>
      </c>
      <c r="M931" s="1" t="s">
        <v>2603</v>
      </c>
      <c r="N931" s="1" t="s">
        <v>4635</v>
      </c>
      <c r="P931" s="1" t="s">
        <v>9540</v>
      </c>
      <c r="Q931" s="30" t="s">
        <v>2565</v>
      </c>
      <c r="R931" s="33" t="s">
        <v>3473</v>
      </c>
      <c r="S931">
        <v>37</v>
      </c>
      <c r="T931" s="1" t="s">
        <v>13878</v>
      </c>
      <c r="U931" s="1" t="str">
        <f>HYPERLINK("http://ictvonline.org/taxonomy/p/taxonomy-history?taxnode_id=202100827","ICTVonline=202100827")</f>
        <v>ICTVonline=202100827</v>
      </c>
    </row>
    <row r="932" spans="1:21" x14ac:dyDescent="0.2">
      <c r="A932" s="3">
        <v>931</v>
      </c>
      <c r="B932" s="1" t="s">
        <v>4875</v>
      </c>
      <c r="D932" s="1" t="s">
        <v>4876</v>
      </c>
      <c r="F932" s="1" t="s">
        <v>4880</v>
      </c>
      <c r="H932" s="1" t="s">
        <v>4881</v>
      </c>
      <c r="L932" s="1" t="s">
        <v>5049</v>
      </c>
      <c r="M932" s="1" t="s">
        <v>2603</v>
      </c>
      <c r="N932" s="1" t="s">
        <v>4635</v>
      </c>
      <c r="P932" s="1" t="s">
        <v>9541</v>
      </c>
      <c r="Q932" s="30" t="s">
        <v>2565</v>
      </c>
      <c r="R932" s="33" t="s">
        <v>3473</v>
      </c>
      <c r="S932">
        <v>37</v>
      </c>
      <c r="T932" s="1" t="s">
        <v>13878</v>
      </c>
      <c r="U932" s="1" t="str">
        <f>HYPERLINK("http://ictvonline.org/taxonomy/p/taxonomy-history?taxnode_id=202100829","ICTVonline=202100829")</f>
        <v>ICTVonline=202100829</v>
      </c>
    </row>
    <row r="933" spans="1:21" x14ac:dyDescent="0.2">
      <c r="A933" s="3">
        <v>932</v>
      </c>
      <c r="B933" s="1" t="s">
        <v>4875</v>
      </c>
      <c r="D933" s="1" t="s">
        <v>4876</v>
      </c>
      <c r="F933" s="1" t="s">
        <v>4880</v>
      </c>
      <c r="H933" s="1" t="s">
        <v>4881</v>
      </c>
      <c r="L933" s="1" t="s">
        <v>5049</v>
      </c>
      <c r="M933" s="1" t="s">
        <v>2603</v>
      </c>
      <c r="N933" s="1" t="s">
        <v>4635</v>
      </c>
      <c r="P933" s="1" t="s">
        <v>9542</v>
      </c>
      <c r="Q933" s="30" t="s">
        <v>2565</v>
      </c>
      <c r="R933" s="33" t="s">
        <v>3473</v>
      </c>
      <c r="S933">
        <v>37</v>
      </c>
      <c r="T933" s="1" t="s">
        <v>13878</v>
      </c>
      <c r="U933" s="1" t="str">
        <f>HYPERLINK("http://ictvonline.org/taxonomy/p/taxonomy-history?taxnode_id=202108163","ICTVonline=202108163")</f>
        <v>ICTVonline=202108163</v>
      </c>
    </row>
    <row r="934" spans="1:21" x14ac:dyDescent="0.2">
      <c r="A934" s="3">
        <v>933</v>
      </c>
      <c r="B934" s="1" t="s">
        <v>4875</v>
      </c>
      <c r="D934" s="1" t="s">
        <v>4876</v>
      </c>
      <c r="F934" s="1" t="s">
        <v>4880</v>
      </c>
      <c r="H934" s="1" t="s">
        <v>4881</v>
      </c>
      <c r="L934" s="1" t="s">
        <v>5049</v>
      </c>
      <c r="M934" s="1" t="s">
        <v>2603</v>
      </c>
      <c r="N934" s="1" t="s">
        <v>4635</v>
      </c>
      <c r="P934" s="1" t="s">
        <v>9543</v>
      </c>
      <c r="Q934" s="30" t="s">
        <v>2565</v>
      </c>
      <c r="R934" s="33" t="s">
        <v>3473</v>
      </c>
      <c r="S934">
        <v>37</v>
      </c>
      <c r="T934" s="1" t="s">
        <v>13878</v>
      </c>
      <c r="U934" s="1" t="str">
        <f>HYPERLINK("http://ictvonline.org/taxonomy/p/taxonomy-history?taxnode_id=202112056","ICTVonline=202112056")</f>
        <v>ICTVonline=202112056</v>
      </c>
    </row>
    <row r="935" spans="1:21" x14ac:dyDescent="0.2">
      <c r="A935" s="3">
        <v>934</v>
      </c>
      <c r="B935" s="1" t="s">
        <v>4875</v>
      </c>
      <c r="D935" s="1" t="s">
        <v>4876</v>
      </c>
      <c r="F935" s="1" t="s">
        <v>4880</v>
      </c>
      <c r="H935" s="1" t="s">
        <v>4881</v>
      </c>
      <c r="L935" s="1" t="s">
        <v>5049</v>
      </c>
      <c r="M935" s="1" t="s">
        <v>2603</v>
      </c>
      <c r="N935" s="1" t="s">
        <v>4635</v>
      </c>
      <c r="P935" s="1" t="s">
        <v>9544</v>
      </c>
      <c r="Q935" s="30" t="s">
        <v>2565</v>
      </c>
      <c r="R935" s="33" t="s">
        <v>3473</v>
      </c>
      <c r="S935">
        <v>37</v>
      </c>
      <c r="T935" s="1" t="s">
        <v>13878</v>
      </c>
      <c r="U935" s="1" t="str">
        <f>HYPERLINK("http://ictvonline.org/taxonomy/p/taxonomy-history?taxnode_id=202108165","ICTVonline=202108165")</f>
        <v>ICTVonline=202108165</v>
      </c>
    </row>
    <row r="936" spans="1:21" x14ac:dyDescent="0.2">
      <c r="A936" s="3">
        <v>935</v>
      </c>
      <c r="B936" s="1" t="s">
        <v>4875</v>
      </c>
      <c r="D936" s="1" t="s">
        <v>4876</v>
      </c>
      <c r="F936" s="1" t="s">
        <v>4880</v>
      </c>
      <c r="H936" s="1" t="s">
        <v>4881</v>
      </c>
      <c r="L936" s="1" t="s">
        <v>5049</v>
      </c>
      <c r="M936" s="1" t="s">
        <v>2603</v>
      </c>
      <c r="N936" s="1" t="s">
        <v>4635</v>
      </c>
      <c r="P936" s="1" t="s">
        <v>9545</v>
      </c>
      <c r="Q936" s="30" t="s">
        <v>2565</v>
      </c>
      <c r="R936" s="33" t="s">
        <v>3473</v>
      </c>
      <c r="S936">
        <v>37</v>
      </c>
      <c r="T936" s="1" t="s">
        <v>13878</v>
      </c>
      <c r="U936" s="1" t="str">
        <f>HYPERLINK("http://ictvonline.org/taxonomy/p/taxonomy-history?taxnode_id=202108159","ICTVonline=202108159")</f>
        <v>ICTVonline=202108159</v>
      </c>
    </row>
    <row r="937" spans="1:21" x14ac:dyDescent="0.2">
      <c r="A937" s="3">
        <v>936</v>
      </c>
      <c r="B937" s="1" t="s">
        <v>4875</v>
      </c>
      <c r="D937" s="1" t="s">
        <v>4876</v>
      </c>
      <c r="F937" s="1" t="s">
        <v>4880</v>
      </c>
      <c r="H937" s="1" t="s">
        <v>4881</v>
      </c>
      <c r="L937" s="1" t="s">
        <v>5049</v>
      </c>
      <c r="M937" s="1" t="s">
        <v>2603</v>
      </c>
      <c r="N937" s="1" t="s">
        <v>4635</v>
      </c>
      <c r="P937" s="1" t="s">
        <v>9546</v>
      </c>
      <c r="Q937" s="30" t="s">
        <v>2565</v>
      </c>
      <c r="R937" s="33" t="s">
        <v>3473</v>
      </c>
      <c r="S937">
        <v>37</v>
      </c>
      <c r="T937" s="1" t="s">
        <v>13878</v>
      </c>
      <c r="U937" s="1" t="str">
        <f>HYPERLINK("http://ictvonline.org/taxonomy/p/taxonomy-history?taxnode_id=202100830","ICTVonline=202100830")</f>
        <v>ICTVonline=202100830</v>
      </c>
    </row>
    <row r="938" spans="1:21" x14ac:dyDescent="0.2">
      <c r="A938" s="3">
        <v>937</v>
      </c>
      <c r="B938" s="1" t="s">
        <v>4875</v>
      </c>
      <c r="D938" s="1" t="s">
        <v>4876</v>
      </c>
      <c r="F938" s="1" t="s">
        <v>4880</v>
      </c>
      <c r="H938" s="1" t="s">
        <v>4881</v>
      </c>
      <c r="L938" s="1" t="s">
        <v>5049</v>
      </c>
      <c r="M938" s="1" t="s">
        <v>2603</v>
      </c>
      <c r="N938" s="1" t="s">
        <v>4635</v>
      </c>
      <c r="P938" s="1" t="s">
        <v>9547</v>
      </c>
      <c r="Q938" s="30" t="s">
        <v>2565</v>
      </c>
      <c r="R938" s="33" t="s">
        <v>3473</v>
      </c>
      <c r="S938">
        <v>37</v>
      </c>
      <c r="T938" s="1" t="s">
        <v>13878</v>
      </c>
      <c r="U938" s="1" t="str">
        <f>HYPERLINK("http://ictvonline.org/taxonomy/p/taxonomy-history?taxnode_id=202100828","ICTVonline=202100828")</f>
        <v>ICTVonline=202100828</v>
      </c>
    </row>
    <row r="939" spans="1:21" x14ac:dyDescent="0.2">
      <c r="A939" s="3">
        <v>938</v>
      </c>
      <c r="B939" s="1" t="s">
        <v>4875</v>
      </c>
      <c r="D939" s="1" t="s">
        <v>4876</v>
      </c>
      <c r="F939" s="1" t="s">
        <v>4880</v>
      </c>
      <c r="H939" s="1" t="s">
        <v>4881</v>
      </c>
      <c r="L939" s="1" t="s">
        <v>5049</v>
      </c>
      <c r="M939" s="1" t="s">
        <v>2603</v>
      </c>
      <c r="N939" s="1" t="s">
        <v>4635</v>
      </c>
      <c r="P939" s="1" t="s">
        <v>9548</v>
      </c>
      <c r="Q939" s="30" t="s">
        <v>2565</v>
      </c>
      <c r="R939" s="33" t="s">
        <v>3473</v>
      </c>
      <c r="S939">
        <v>37</v>
      </c>
      <c r="T939" s="1" t="s">
        <v>13878</v>
      </c>
      <c r="U939" s="1" t="str">
        <f>HYPERLINK("http://ictvonline.org/taxonomy/p/taxonomy-history?taxnode_id=202108162","ICTVonline=202108162")</f>
        <v>ICTVonline=202108162</v>
      </c>
    </row>
    <row r="940" spans="1:21" x14ac:dyDescent="0.2">
      <c r="A940" s="3">
        <v>939</v>
      </c>
      <c r="B940" s="1" t="s">
        <v>4875</v>
      </c>
      <c r="D940" s="1" t="s">
        <v>4876</v>
      </c>
      <c r="F940" s="1" t="s">
        <v>4880</v>
      </c>
      <c r="H940" s="1" t="s">
        <v>4881</v>
      </c>
      <c r="L940" s="1" t="s">
        <v>5049</v>
      </c>
      <c r="N940" s="1" t="s">
        <v>4631</v>
      </c>
      <c r="P940" s="1" t="s">
        <v>9549</v>
      </c>
      <c r="Q940" s="30" t="s">
        <v>2565</v>
      </c>
      <c r="R940" s="33" t="s">
        <v>3473</v>
      </c>
      <c r="S940">
        <v>37</v>
      </c>
      <c r="T940" s="1" t="s">
        <v>13878</v>
      </c>
      <c r="U940" s="1" t="str">
        <f>HYPERLINK("http://ictvonline.org/taxonomy/p/taxonomy-history?taxnode_id=202107067","ICTVonline=202107067")</f>
        <v>ICTVonline=202107067</v>
      </c>
    </row>
    <row r="941" spans="1:21" x14ac:dyDescent="0.2">
      <c r="A941" s="3">
        <v>940</v>
      </c>
      <c r="B941" s="1" t="s">
        <v>4875</v>
      </c>
      <c r="D941" s="1" t="s">
        <v>4876</v>
      </c>
      <c r="F941" s="1" t="s">
        <v>4880</v>
      </c>
      <c r="H941" s="1" t="s">
        <v>4881</v>
      </c>
      <c r="L941" s="1" t="s">
        <v>5049</v>
      </c>
      <c r="N941" s="1" t="s">
        <v>5967</v>
      </c>
      <c r="P941" s="1" t="s">
        <v>9550</v>
      </c>
      <c r="Q941" s="30" t="s">
        <v>2565</v>
      </c>
      <c r="R941" s="33" t="s">
        <v>3473</v>
      </c>
      <c r="S941">
        <v>37</v>
      </c>
      <c r="T941" s="1" t="s">
        <v>13878</v>
      </c>
      <c r="U941" s="1" t="str">
        <f>HYPERLINK("http://ictvonline.org/taxonomy/p/taxonomy-history?taxnode_id=202109977","ICTVonline=202109977")</f>
        <v>ICTVonline=202109977</v>
      </c>
    </row>
    <row r="942" spans="1:21" x14ac:dyDescent="0.2">
      <c r="A942" s="3">
        <v>941</v>
      </c>
      <c r="B942" s="1" t="s">
        <v>4875</v>
      </c>
      <c r="D942" s="1" t="s">
        <v>4876</v>
      </c>
      <c r="F942" s="1" t="s">
        <v>4880</v>
      </c>
      <c r="H942" s="1" t="s">
        <v>4881</v>
      </c>
      <c r="L942" s="1" t="s">
        <v>5049</v>
      </c>
      <c r="N942" s="1" t="s">
        <v>5968</v>
      </c>
      <c r="P942" s="1" t="s">
        <v>9551</v>
      </c>
      <c r="Q942" s="30" t="s">
        <v>2565</v>
      </c>
      <c r="R942" s="33" t="s">
        <v>3473</v>
      </c>
      <c r="S942">
        <v>37</v>
      </c>
      <c r="T942" s="1" t="s">
        <v>13878</v>
      </c>
      <c r="U942" s="1" t="str">
        <f>HYPERLINK("http://ictvonline.org/taxonomy/p/taxonomy-history?taxnode_id=202109979","ICTVonline=202109979")</f>
        <v>ICTVonline=202109979</v>
      </c>
    </row>
    <row r="943" spans="1:21" x14ac:dyDescent="0.2">
      <c r="A943" s="3">
        <v>942</v>
      </c>
      <c r="B943" s="1" t="s">
        <v>4875</v>
      </c>
      <c r="D943" s="1" t="s">
        <v>4876</v>
      </c>
      <c r="F943" s="1" t="s">
        <v>4880</v>
      </c>
      <c r="H943" s="1" t="s">
        <v>4881</v>
      </c>
      <c r="L943" s="1" t="s">
        <v>5049</v>
      </c>
      <c r="N943" s="1" t="s">
        <v>5969</v>
      </c>
      <c r="P943" s="1" t="s">
        <v>9552</v>
      </c>
      <c r="Q943" s="30" t="s">
        <v>2565</v>
      </c>
      <c r="R943" s="33" t="s">
        <v>3473</v>
      </c>
      <c r="S943">
        <v>37</v>
      </c>
      <c r="T943" s="1" t="s">
        <v>13878</v>
      </c>
      <c r="U943" s="1" t="str">
        <f>HYPERLINK("http://ictvonline.org/taxonomy/p/taxonomy-history?taxnode_id=202109981","ICTVonline=202109981")</f>
        <v>ICTVonline=202109981</v>
      </c>
    </row>
    <row r="944" spans="1:21" x14ac:dyDescent="0.2">
      <c r="A944" s="3">
        <v>943</v>
      </c>
      <c r="B944" s="1" t="s">
        <v>4875</v>
      </c>
      <c r="D944" s="1" t="s">
        <v>4876</v>
      </c>
      <c r="F944" s="1" t="s">
        <v>4880</v>
      </c>
      <c r="H944" s="1" t="s">
        <v>4881</v>
      </c>
      <c r="L944" s="1" t="s">
        <v>5049</v>
      </c>
      <c r="N944" s="1" t="s">
        <v>5969</v>
      </c>
      <c r="P944" s="1" t="s">
        <v>9553</v>
      </c>
      <c r="Q944" s="30" t="s">
        <v>2565</v>
      </c>
      <c r="R944" s="33" t="s">
        <v>3473</v>
      </c>
      <c r="S944">
        <v>37</v>
      </c>
      <c r="T944" s="1" t="s">
        <v>13878</v>
      </c>
      <c r="U944" s="1" t="str">
        <f>HYPERLINK("http://ictvonline.org/taxonomy/p/taxonomy-history?taxnode_id=202100836","ICTVonline=202100836")</f>
        <v>ICTVonline=202100836</v>
      </c>
    </row>
    <row r="945" spans="1:21" x14ac:dyDescent="0.2">
      <c r="A945" s="3">
        <v>944</v>
      </c>
      <c r="B945" s="1" t="s">
        <v>4875</v>
      </c>
      <c r="D945" s="1" t="s">
        <v>4876</v>
      </c>
      <c r="F945" s="1" t="s">
        <v>4880</v>
      </c>
      <c r="H945" s="1" t="s">
        <v>4881</v>
      </c>
      <c r="L945" s="1" t="s">
        <v>5049</v>
      </c>
      <c r="N945" s="1" t="s">
        <v>5061</v>
      </c>
      <c r="P945" s="1" t="s">
        <v>9554</v>
      </c>
      <c r="Q945" s="30" t="s">
        <v>2565</v>
      </c>
      <c r="R945" s="33" t="s">
        <v>3473</v>
      </c>
      <c r="S945">
        <v>37</v>
      </c>
      <c r="T945" s="1" t="s">
        <v>13878</v>
      </c>
      <c r="U945" s="1" t="str">
        <f>HYPERLINK("http://ictvonline.org/taxonomy/p/taxonomy-history?taxnode_id=202108172","ICTVonline=202108172")</f>
        <v>ICTVonline=202108172</v>
      </c>
    </row>
    <row r="946" spans="1:21" x14ac:dyDescent="0.2">
      <c r="A946" s="3">
        <v>945</v>
      </c>
      <c r="B946" s="1" t="s">
        <v>4875</v>
      </c>
      <c r="D946" s="1" t="s">
        <v>4876</v>
      </c>
      <c r="F946" s="1" t="s">
        <v>4880</v>
      </c>
      <c r="H946" s="1" t="s">
        <v>4881</v>
      </c>
      <c r="L946" s="1" t="s">
        <v>5049</v>
      </c>
      <c r="N946" s="1" t="s">
        <v>5062</v>
      </c>
      <c r="P946" s="1" t="s">
        <v>9555</v>
      </c>
      <c r="Q946" s="30" t="s">
        <v>2565</v>
      </c>
      <c r="R946" s="33" t="s">
        <v>3473</v>
      </c>
      <c r="S946">
        <v>37</v>
      </c>
      <c r="T946" s="1" t="s">
        <v>13878</v>
      </c>
      <c r="U946" s="1" t="str">
        <f>HYPERLINK("http://ictvonline.org/taxonomy/p/taxonomy-history?taxnode_id=202108174","ICTVonline=202108174")</f>
        <v>ICTVonline=202108174</v>
      </c>
    </row>
    <row r="947" spans="1:21" x14ac:dyDescent="0.2">
      <c r="A947" s="3">
        <v>946</v>
      </c>
      <c r="B947" s="1" t="s">
        <v>4875</v>
      </c>
      <c r="D947" s="1" t="s">
        <v>4876</v>
      </c>
      <c r="F947" s="1" t="s">
        <v>4880</v>
      </c>
      <c r="H947" s="1" t="s">
        <v>4881</v>
      </c>
      <c r="L947" s="1" t="s">
        <v>5049</v>
      </c>
      <c r="N947" s="1" t="s">
        <v>5063</v>
      </c>
      <c r="P947" s="1" t="s">
        <v>9556</v>
      </c>
      <c r="Q947" s="30" t="s">
        <v>2565</v>
      </c>
      <c r="R947" s="33" t="s">
        <v>3473</v>
      </c>
      <c r="S947">
        <v>37</v>
      </c>
      <c r="T947" s="1" t="s">
        <v>13878</v>
      </c>
      <c r="U947" s="1" t="str">
        <f>HYPERLINK("http://ictvonline.org/taxonomy/p/taxonomy-history?taxnode_id=202108717","ICTVonline=202108717")</f>
        <v>ICTVonline=202108717</v>
      </c>
    </row>
    <row r="948" spans="1:21" x14ac:dyDescent="0.2">
      <c r="A948" s="3">
        <v>947</v>
      </c>
      <c r="B948" s="1" t="s">
        <v>4875</v>
      </c>
      <c r="D948" s="1" t="s">
        <v>4876</v>
      </c>
      <c r="F948" s="1" t="s">
        <v>4880</v>
      </c>
      <c r="H948" s="1" t="s">
        <v>4881</v>
      </c>
      <c r="L948" s="1" t="s">
        <v>5049</v>
      </c>
      <c r="N948" s="1" t="s">
        <v>4636</v>
      </c>
      <c r="P948" s="1" t="s">
        <v>9557</v>
      </c>
      <c r="Q948" s="30" t="s">
        <v>2565</v>
      </c>
      <c r="R948" s="33" t="s">
        <v>3473</v>
      </c>
      <c r="S948">
        <v>37</v>
      </c>
      <c r="T948" s="1" t="s">
        <v>13878</v>
      </c>
      <c r="U948" s="1" t="str">
        <f>HYPERLINK("http://ictvonline.org/taxonomy/p/taxonomy-history?taxnode_id=202112106","ICTVonline=202112106")</f>
        <v>ICTVonline=202112106</v>
      </c>
    </row>
    <row r="949" spans="1:21" x14ac:dyDescent="0.2">
      <c r="A949" s="3">
        <v>948</v>
      </c>
      <c r="B949" s="1" t="s">
        <v>4875</v>
      </c>
      <c r="D949" s="1" t="s">
        <v>4876</v>
      </c>
      <c r="F949" s="1" t="s">
        <v>4880</v>
      </c>
      <c r="H949" s="1" t="s">
        <v>4881</v>
      </c>
      <c r="L949" s="1" t="s">
        <v>5049</v>
      </c>
      <c r="N949" s="1" t="s">
        <v>4636</v>
      </c>
      <c r="P949" s="1" t="s">
        <v>9558</v>
      </c>
      <c r="Q949" s="30" t="s">
        <v>2565</v>
      </c>
      <c r="R949" s="33" t="s">
        <v>3473</v>
      </c>
      <c r="S949">
        <v>37</v>
      </c>
      <c r="T949" s="1" t="s">
        <v>13878</v>
      </c>
      <c r="U949" s="1" t="str">
        <f>HYPERLINK("http://ictvonline.org/taxonomy/p/taxonomy-history?taxnode_id=202112105","ICTVonline=202112105")</f>
        <v>ICTVonline=202112105</v>
      </c>
    </row>
    <row r="950" spans="1:21" x14ac:dyDescent="0.2">
      <c r="A950" s="3">
        <v>949</v>
      </c>
      <c r="B950" s="1" t="s">
        <v>4875</v>
      </c>
      <c r="D950" s="1" t="s">
        <v>4876</v>
      </c>
      <c r="F950" s="1" t="s">
        <v>4880</v>
      </c>
      <c r="H950" s="1" t="s">
        <v>4881</v>
      </c>
      <c r="L950" s="1" t="s">
        <v>5049</v>
      </c>
      <c r="N950" s="1" t="s">
        <v>4636</v>
      </c>
      <c r="P950" s="1" t="s">
        <v>9559</v>
      </c>
      <c r="Q950" s="30" t="s">
        <v>2565</v>
      </c>
      <c r="R950" s="33" t="s">
        <v>3473</v>
      </c>
      <c r="S950">
        <v>37</v>
      </c>
      <c r="T950" s="1" t="s">
        <v>13878</v>
      </c>
      <c r="U950" s="1" t="str">
        <f>HYPERLINK("http://ictvonline.org/taxonomy/p/taxonomy-history?taxnode_id=202112104","ICTVonline=202112104")</f>
        <v>ICTVonline=202112104</v>
      </c>
    </row>
    <row r="951" spans="1:21" x14ac:dyDescent="0.2">
      <c r="A951" s="3">
        <v>950</v>
      </c>
      <c r="B951" s="1" t="s">
        <v>4875</v>
      </c>
      <c r="D951" s="1" t="s">
        <v>4876</v>
      </c>
      <c r="F951" s="1" t="s">
        <v>4880</v>
      </c>
      <c r="H951" s="1" t="s">
        <v>4881</v>
      </c>
      <c r="L951" s="1" t="s">
        <v>5049</v>
      </c>
      <c r="N951" s="1" t="s">
        <v>4636</v>
      </c>
      <c r="P951" s="1" t="s">
        <v>9560</v>
      </c>
      <c r="Q951" s="30" t="s">
        <v>2565</v>
      </c>
      <c r="R951" s="33" t="s">
        <v>3473</v>
      </c>
      <c r="S951">
        <v>37</v>
      </c>
      <c r="T951" s="1" t="s">
        <v>13878</v>
      </c>
      <c r="U951" s="1" t="str">
        <f>HYPERLINK("http://ictvonline.org/taxonomy/p/taxonomy-history?taxnode_id=202100805","ICTVonline=202100805")</f>
        <v>ICTVonline=202100805</v>
      </c>
    </row>
    <row r="952" spans="1:21" x14ac:dyDescent="0.2">
      <c r="A952" s="3">
        <v>951</v>
      </c>
      <c r="B952" s="1" t="s">
        <v>4875</v>
      </c>
      <c r="D952" s="1" t="s">
        <v>4876</v>
      </c>
      <c r="F952" s="1" t="s">
        <v>4880</v>
      </c>
      <c r="H952" s="1" t="s">
        <v>4881</v>
      </c>
      <c r="L952" s="1" t="s">
        <v>5049</v>
      </c>
      <c r="N952" s="1" t="s">
        <v>4636</v>
      </c>
      <c r="P952" s="1" t="s">
        <v>9561</v>
      </c>
      <c r="Q952" s="30" t="s">
        <v>2565</v>
      </c>
      <c r="R952" s="33" t="s">
        <v>3473</v>
      </c>
      <c r="S952">
        <v>37</v>
      </c>
      <c r="T952" s="1" t="s">
        <v>13878</v>
      </c>
      <c r="U952" s="1" t="str">
        <f>HYPERLINK("http://ictvonline.org/taxonomy/p/taxonomy-history?taxnode_id=202112109","ICTVonline=202112109")</f>
        <v>ICTVonline=202112109</v>
      </c>
    </row>
    <row r="953" spans="1:21" x14ac:dyDescent="0.2">
      <c r="A953" s="3">
        <v>952</v>
      </c>
      <c r="B953" s="1" t="s">
        <v>4875</v>
      </c>
      <c r="D953" s="1" t="s">
        <v>4876</v>
      </c>
      <c r="F953" s="1" t="s">
        <v>4880</v>
      </c>
      <c r="H953" s="1" t="s">
        <v>4881</v>
      </c>
      <c r="L953" s="1" t="s">
        <v>5049</v>
      </c>
      <c r="N953" s="1" t="s">
        <v>4636</v>
      </c>
      <c r="P953" s="1" t="s">
        <v>9562</v>
      </c>
      <c r="Q953" s="30" t="s">
        <v>2565</v>
      </c>
      <c r="R953" s="33" t="s">
        <v>3473</v>
      </c>
      <c r="S953">
        <v>37</v>
      </c>
      <c r="T953" s="1" t="s">
        <v>13878</v>
      </c>
      <c r="U953" s="1" t="str">
        <f>HYPERLINK("http://ictvonline.org/taxonomy/p/taxonomy-history?taxnode_id=202108186","ICTVonline=202108186")</f>
        <v>ICTVonline=202108186</v>
      </c>
    </row>
    <row r="954" spans="1:21" x14ac:dyDescent="0.2">
      <c r="A954" s="3">
        <v>953</v>
      </c>
      <c r="B954" s="1" t="s">
        <v>4875</v>
      </c>
      <c r="D954" s="1" t="s">
        <v>4876</v>
      </c>
      <c r="F954" s="1" t="s">
        <v>4880</v>
      </c>
      <c r="H954" s="1" t="s">
        <v>4881</v>
      </c>
      <c r="L954" s="1" t="s">
        <v>5049</v>
      </c>
      <c r="N954" s="1" t="s">
        <v>4636</v>
      </c>
      <c r="P954" s="1" t="s">
        <v>9563</v>
      </c>
      <c r="Q954" s="30" t="s">
        <v>2565</v>
      </c>
      <c r="R954" s="33" t="s">
        <v>3473</v>
      </c>
      <c r="S954">
        <v>37</v>
      </c>
      <c r="T954" s="1" t="s">
        <v>13878</v>
      </c>
      <c r="U954" s="1" t="str">
        <f>HYPERLINK("http://ictvonline.org/taxonomy/p/taxonomy-history?taxnode_id=202112103","ICTVonline=202112103")</f>
        <v>ICTVonline=202112103</v>
      </c>
    </row>
    <row r="955" spans="1:21" x14ac:dyDescent="0.2">
      <c r="A955" s="3">
        <v>954</v>
      </c>
      <c r="B955" s="1" t="s">
        <v>4875</v>
      </c>
      <c r="D955" s="1" t="s">
        <v>4876</v>
      </c>
      <c r="F955" s="1" t="s">
        <v>4880</v>
      </c>
      <c r="H955" s="1" t="s">
        <v>4881</v>
      </c>
      <c r="L955" s="1" t="s">
        <v>5049</v>
      </c>
      <c r="N955" s="1" t="s">
        <v>4636</v>
      </c>
      <c r="P955" s="1" t="s">
        <v>9564</v>
      </c>
      <c r="Q955" s="30" t="s">
        <v>2565</v>
      </c>
      <c r="R955" s="33" t="s">
        <v>3473</v>
      </c>
      <c r="S955">
        <v>37</v>
      </c>
      <c r="T955" s="1" t="s">
        <v>13878</v>
      </c>
      <c r="U955" s="1" t="str">
        <f>HYPERLINK("http://ictvonline.org/taxonomy/p/taxonomy-history?taxnode_id=202112112","ICTVonline=202112112")</f>
        <v>ICTVonline=202112112</v>
      </c>
    </row>
    <row r="956" spans="1:21" x14ac:dyDescent="0.2">
      <c r="A956" s="3">
        <v>955</v>
      </c>
      <c r="B956" s="1" t="s">
        <v>4875</v>
      </c>
      <c r="D956" s="1" t="s">
        <v>4876</v>
      </c>
      <c r="F956" s="1" t="s">
        <v>4880</v>
      </c>
      <c r="H956" s="1" t="s">
        <v>4881</v>
      </c>
      <c r="L956" s="1" t="s">
        <v>5049</v>
      </c>
      <c r="N956" s="1" t="s">
        <v>4636</v>
      </c>
      <c r="P956" s="1" t="s">
        <v>9565</v>
      </c>
      <c r="Q956" s="30" t="s">
        <v>2565</v>
      </c>
      <c r="R956" s="33" t="s">
        <v>3473</v>
      </c>
      <c r="S956">
        <v>37</v>
      </c>
      <c r="T956" s="1" t="s">
        <v>13878</v>
      </c>
      <c r="U956" s="1" t="str">
        <f>HYPERLINK("http://ictvonline.org/taxonomy/p/taxonomy-history?taxnode_id=202112107","ICTVonline=202112107")</f>
        <v>ICTVonline=202112107</v>
      </c>
    </row>
    <row r="957" spans="1:21" x14ac:dyDescent="0.2">
      <c r="A957" s="3">
        <v>956</v>
      </c>
      <c r="B957" s="1" t="s">
        <v>4875</v>
      </c>
      <c r="D957" s="1" t="s">
        <v>4876</v>
      </c>
      <c r="F957" s="1" t="s">
        <v>4880</v>
      </c>
      <c r="H957" s="1" t="s">
        <v>4881</v>
      </c>
      <c r="L957" s="1" t="s">
        <v>5049</v>
      </c>
      <c r="N957" s="1" t="s">
        <v>4636</v>
      </c>
      <c r="P957" s="1" t="s">
        <v>9566</v>
      </c>
      <c r="Q957" s="30" t="s">
        <v>2565</v>
      </c>
      <c r="R957" s="33" t="s">
        <v>3473</v>
      </c>
      <c r="S957">
        <v>37</v>
      </c>
      <c r="T957" s="1" t="s">
        <v>13878</v>
      </c>
      <c r="U957" s="1" t="str">
        <f>HYPERLINK("http://ictvonline.org/taxonomy/p/taxonomy-history?taxnode_id=202100807","ICTVonline=202100807")</f>
        <v>ICTVonline=202100807</v>
      </c>
    </row>
    <row r="958" spans="1:21" x14ac:dyDescent="0.2">
      <c r="A958" s="3">
        <v>957</v>
      </c>
      <c r="B958" s="1" t="s">
        <v>4875</v>
      </c>
      <c r="D958" s="1" t="s">
        <v>4876</v>
      </c>
      <c r="F958" s="1" t="s">
        <v>4880</v>
      </c>
      <c r="H958" s="1" t="s">
        <v>4881</v>
      </c>
      <c r="L958" s="1" t="s">
        <v>5049</v>
      </c>
      <c r="N958" s="1" t="s">
        <v>4636</v>
      </c>
      <c r="P958" s="1" t="s">
        <v>9567</v>
      </c>
      <c r="Q958" s="30" t="s">
        <v>2565</v>
      </c>
      <c r="R958" s="33" t="s">
        <v>3473</v>
      </c>
      <c r="S958">
        <v>37</v>
      </c>
      <c r="T958" s="1" t="s">
        <v>13878</v>
      </c>
      <c r="U958" s="1" t="str">
        <f>HYPERLINK("http://ictvonline.org/taxonomy/p/taxonomy-history?taxnode_id=202112111","ICTVonline=202112111")</f>
        <v>ICTVonline=202112111</v>
      </c>
    </row>
    <row r="959" spans="1:21" x14ac:dyDescent="0.2">
      <c r="A959" s="3">
        <v>958</v>
      </c>
      <c r="B959" s="1" t="s">
        <v>4875</v>
      </c>
      <c r="D959" s="1" t="s">
        <v>4876</v>
      </c>
      <c r="F959" s="1" t="s">
        <v>4880</v>
      </c>
      <c r="H959" s="1" t="s">
        <v>4881</v>
      </c>
      <c r="L959" s="1" t="s">
        <v>5049</v>
      </c>
      <c r="N959" s="1" t="s">
        <v>4636</v>
      </c>
      <c r="P959" s="1" t="s">
        <v>9568</v>
      </c>
      <c r="Q959" s="30" t="s">
        <v>2565</v>
      </c>
      <c r="R959" s="33" t="s">
        <v>3473</v>
      </c>
      <c r="S959">
        <v>37</v>
      </c>
      <c r="T959" s="1" t="s">
        <v>13878</v>
      </c>
      <c r="U959" s="1" t="str">
        <f>HYPERLINK("http://ictvonline.org/taxonomy/p/taxonomy-history?taxnode_id=202108176","ICTVonline=202108176")</f>
        <v>ICTVonline=202108176</v>
      </c>
    </row>
    <row r="960" spans="1:21" x14ac:dyDescent="0.2">
      <c r="A960" s="3">
        <v>959</v>
      </c>
      <c r="B960" s="1" t="s">
        <v>4875</v>
      </c>
      <c r="D960" s="1" t="s">
        <v>4876</v>
      </c>
      <c r="F960" s="1" t="s">
        <v>4880</v>
      </c>
      <c r="H960" s="1" t="s">
        <v>4881</v>
      </c>
      <c r="L960" s="1" t="s">
        <v>5049</v>
      </c>
      <c r="N960" s="1" t="s">
        <v>4636</v>
      </c>
      <c r="P960" s="1" t="s">
        <v>9569</v>
      </c>
      <c r="Q960" s="30" t="s">
        <v>2565</v>
      </c>
      <c r="R960" s="33" t="s">
        <v>3473</v>
      </c>
      <c r="S960">
        <v>37</v>
      </c>
      <c r="T960" s="1" t="s">
        <v>13878</v>
      </c>
      <c r="U960" s="1" t="str">
        <f>HYPERLINK("http://ictvonline.org/taxonomy/p/taxonomy-history?taxnode_id=202100808","ICTVonline=202100808")</f>
        <v>ICTVonline=202100808</v>
      </c>
    </row>
    <row r="961" spans="1:21" x14ac:dyDescent="0.2">
      <c r="A961" s="3">
        <v>960</v>
      </c>
      <c r="B961" s="1" t="s">
        <v>4875</v>
      </c>
      <c r="D961" s="1" t="s">
        <v>4876</v>
      </c>
      <c r="F961" s="1" t="s">
        <v>4880</v>
      </c>
      <c r="H961" s="1" t="s">
        <v>4881</v>
      </c>
      <c r="L961" s="1" t="s">
        <v>5049</v>
      </c>
      <c r="N961" s="1" t="s">
        <v>4636</v>
      </c>
      <c r="P961" s="1" t="s">
        <v>9570</v>
      </c>
      <c r="Q961" s="30" t="s">
        <v>2565</v>
      </c>
      <c r="R961" s="33" t="s">
        <v>3473</v>
      </c>
      <c r="S961">
        <v>37</v>
      </c>
      <c r="T961" s="1" t="s">
        <v>13878</v>
      </c>
      <c r="U961" s="1" t="str">
        <f>HYPERLINK("http://ictvonline.org/taxonomy/p/taxonomy-history?taxnode_id=202112117","ICTVonline=202112117")</f>
        <v>ICTVonline=202112117</v>
      </c>
    </row>
    <row r="962" spans="1:21" x14ac:dyDescent="0.2">
      <c r="A962" s="3">
        <v>961</v>
      </c>
      <c r="B962" s="1" t="s">
        <v>4875</v>
      </c>
      <c r="D962" s="1" t="s">
        <v>4876</v>
      </c>
      <c r="F962" s="1" t="s">
        <v>4880</v>
      </c>
      <c r="H962" s="1" t="s">
        <v>4881</v>
      </c>
      <c r="L962" s="1" t="s">
        <v>5049</v>
      </c>
      <c r="N962" s="1" t="s">
        <v>4636</v>
      </c>
      <c r="P962" s="1" t="s">
        <v>9571</v>
      </c>
      <c r="Q962" s="30" t="s">
        <v>2565</v>
      </c>
      <c r="R962" s="33" t="s">
        <v>3473</v>
      </c>
      <c r="S962">
        <v>37</v>
      </c>
      <c r="T962" s="1" t="s">
        <v>13878</v>
      </c>
      <c r="U962" s="1" t="str">
        <f>HYPERLINK("http://ictvonline.org/taxonomy/p/taxonomy-history?taxnode_id=202108183","ICTVonline=202108183")</f>
        <v>ICTVonline=202108183</v>
      </c>
    </row>
    <row r="963" spans="1:21" x14ac:dyDescent="0.2">
      <c r="A963" s="3">
        <v>962</v>
      </c>
      <c r="B963" s="1" t="s">
        <v>4875</v>
      </c>
      <c r="D963" s="1" t="s">
        <v>4876</v>
      </c>
      <c r="F963" s="1" t="s">
        <v>4880</v>
      </c>
      <c r="H963" s="1" t="s">
        <v>4881</v>
      </c>
      <c r="L963" s="1" t="s">
        <v>5049</v>
      </c>
      <c r="N963" s="1" t="s">
        <v>4636</v>
      </c>
      <c r="P963" s="1" t="s">
        <v>9572</v>
      </c>
      <c r="Q963" s="30" t="s">
        <v>2565</v>
      </c>
      <c r="R963" s="33" t="s">
        <v>3473</v>
      </c>
      <c r="S963">
        <v>37</v>
      </c>
      <c r="T963" s="1" t="s">
        <v>13878</v>
      </c>
      <c r="U963" s="1" t="str">
        <f>HYPERLINK("http://ictvonline.org/taxonomy/p/taxonomy-history?taxnode_id=202108185","ICTVonline=202108185")</f>
        <v>ICTVonline=202108185</v>
      </c>
    </row>
    <row r="964" spans="1:21" x14ac:dyDescent="0.2">
      <c r="A964" s="3">
        <v>963</v>
      </c>
      <c r="B964" s="1" t="s">
        <v>4875</v>
      </c>
      <c r="D964" s="1" t="s">
        <v>4876</v>
      </c>
      <c r="F964" s="1" t="s">
        <v>4880</v>
      </c>
      <c r="H964" s="1" t="s">
        <v>4881</v>
      </c>
      <c r="L964" s="1" t="s">
        <v>5049</v>
      </c>
      <c r="N964" s="1" t="s">
        <v>4636</v>
      </c>
      <c r="P964" s="1" t="s">
        <v>9573</v>
      </c>
      <c r="Q964" s="30" t="s">
        <v>2565</v>
      </c>
      <c r="R964" s="33" t="s">
        <v>3473</v>
      </c>
      <c r="S964">
        <v>37</v>
      </c>
      <c r="T964" s="1" t="s">
        <v>13878</v>
      </c>
      <c r="U964" s="1" t="str">
        <f>HYPERLINK("http://ictvonline.org/taxonomy/p/taxonomy-history?taxnode_id=202112114","ICTVonline=202112114")</f>
        <v>ICTVonline=202112114</v>
      </c>
    </row>
    <row r="965" spans="1:21" x14ac:dyDescent="0.2">
      <c r="A965" s="3">
        <v>964</v>
      </c>
      <c r="B965" s="1" t="s">
        <v>4875</v>
      </c>
      <c r="D965" s="1" t="s">
        <v>4876</v>
      </c>
      <c r="F965" s="1" t="s">
        <v>4880</v>
      </c>
      <c r="H965" s="1" t="s">
        <v>4881</v>
      </c>
      <c r="L965" s="1" t="s">
        <v>5049</v>
      </c>
      <c r="N965" s="1" t="s">
        <v>4636</v>
      </c>
      <c r="P965" s="1" t="s">
        <v>9574</v>
      </c>
      <c r="Q965" s="30" t="s">
        <v>2565</v>
      </c>
      <c r="R965" s="33" t="s">
        <v>3473</v>
      </c>
      <c r="S965">
        <v>37</v>
      </c>
      <c r="T965" s="1" t="s">
        <v>13878</v>
      </c>
      <c r="U965" s="1" t="str">
        <f>HYPERLINK("http://ictvonline.org/taxonomy/p/taxonomy-history?taxnode_id=202108175","ICTVonline=202108175")</f>
        <v>ICTVonline=202108175</v>
      </c>
    </row>
    <row r="966" spans="1:21" x14ac:dyDescent="0.2">
      <c r="A966" s="3">
        <v>965</v>
      </c>
      <c r="B966" s="1" t="s">
        <v>4875</v>
      </c>
      <c r="D966" s="1" t="s">
        <v>4876</v>
      </c>
      <c r="F966" s="1" t="s">
        <v>4880</v>
      </c>
      <c r="H966" s="1" t="s">
        <v>4881</v>
      </c>
      <c r="L966" s="1" t="s">
        <v>5049</v>
      </c>
      <c r="N966" s="1" t="s">
        <v>4636</v>
      </c>
      <c r="P966" s="1" t="s">
        <v>9575</v>
      </c>
      <c r="Q966" s="30" t="s">
        <v>2565</v>
      </c>
      <c r="R966" s="33" t="s">
        <v>3473</v>
      </c>
      <c r="S966">
        <v>37</v>
      </c>
      <c r="T966" s="1" t="s">
        <v>13878</v>
      </c>
      <c r="U966" s="1" t="str">
        <f>HYPERLINK("http://ictvonline.org/taxonomy/p/taxonomy-history?taxnode_id=202108182","ICTVonline=202108182")</f>
        <v>ICTVonline=202108182</v>
      </c>
    </row>
    <row r="967" spans="1:21" x14ac:dyDescent="0.2">
      <c r="A967" s="3">
        <v>966</v>
      </c>
      <c r="B967" s="1" t="s">
        <v>4875</v>
      </c>
      <c r="D967" s="1" t="s">
        <v>4876</v>
      </c>
      <c r="F967" s="1" t="s">
        <v>4880</v>
      </c>
      <c r="H967" s="1" t="s">
        <v>4881</v>
      </c>
      <c r="L967" s="1" t="s">
        <v>5049</v>
      </c>
      <c r="N967" s="1" t="s">
        <v>4636</v>
      </c>
      <c r="P967" s="1" t="s">
        <v>9576</v>
      </c>
      <c r="Q967" s="30" t="s">
        <v>2565</v>
      </c>
      <c r="R967" s="33" t="s">
        <v>3473</v>
      </c>
      <c r="S967">
        <v>37</v>
      </c>
      <c r="T967" s="1" t="s">
        <v>13878</v>
      </c>
      <c r="U967" s="1" t="str">
        <f>HYPERLINK("http://ictvonline.org/taxonomy/p/taxonomy-history?taxnode_id=202108184","ICTVonline=202108184")</f>
        <v>ICTVonline=202108184</v>
      </c>
    </row>
    <row r="968" spans="1:21" x14ac:dyDescent="0.2">
      <c r="A968" s="3">
        <v>967</v>
      </c>
      <c r="B968" s="1" t="s">
        <v>4875</v>
      </c>
      <c r="D968" s="1" t="s">
        <v>4876</v>
      </c>
      <c r="F968" s="1" t="s">
        <v>4880</v>
      </c>
      <c r="H968" s="1" t="s">
        <v>4881</v>
      </c>
      <c r="L968" s="1" t="s">
        <v>5049</v>
      </c>
      <c r="N968" s="1" t="s">
        <v>4636</v>
      </c>
      <c r="P968" s="1" t="s">
        <v>9577</v>
      </c>
      <c r="Q968" s="30" t="s">
        <v>2565</v>
      </c>
      <c r="R968" s="33" t="s">
        <v>3473</v>
      </c>
      <c r="S968">
        <v>37</v>
      </c>
      <c r="T968" s="1" t="s">
        <v>13878</v>
      </c>
      <c r="U968" s="1" t="str">
        <f>HYPERLINK("http://ictvonline.org/taxonomy/p/taxonomy-history?taxnode_id=202108178","ICTVonline=202108178")</f>
        <v>ICTVonline=202108178</v>
      </c>
    </row>
    <row r="969" spans="1:21" x14ac:dyDescent="0.2">
      <c r="A969" s="3">
        <v>968</v>
      </c>
      <c r="B969" s="1" t="s">
        <v>4875</v>
      </c>
      <c r="D969" s="1" t="s">
        <v>4876</v>
      </c>
      <c r="F969" s="1" t="s">
        <v>4880</v>
      </c>
      <c r="H969" s="1" t="s">
        <v>4881</v>
      </c>
      <c r="L969" s="1" t="s">
        <v>5049</v>
      </c>
      <c r="N969" s="1" t="s">
        <v>4636</v>
      </c>
      <c r="P969" s="1" t="s">
        <v>9578</v>
      </c>
      <c r="Q969" s="30" t="s">
        <v>2565</v>
      </c>
      <c r="R969" s="33" t="s">
        <v>3473</v>
      </c>
      <c r="S969">
        <v>37</v>
      </c>
      <c r="T969" s="1" t="s">
        <v>13878</v>
      </c>
      <c r="U969" s="1" t="str">
        <f>HYPERLINK("http://ictvonline.org/taxonomy/p/taxonomy-history?taxnode_id=202100809","ICTVonline=202100809")</f>
        <v>ICTVonline=202100809</v>
      </c>
    </row>
    <row r="970" spans="1:21" x14ac:dyDescent="0.2">
      <c r="A970" s="3">
        <v>969</v>
      </c>
      <c r="B970" s="1" t="s">
        <v>4875</v>
      </c>
      <c r="D970" s="1" t="s">
        <v>4876</v>
      </c>
      <c r="F970" s="1" t="s">
        <v>4880</v>
      </c>
      <c r="H970" s="1" t="s">
        <v>4881</v>
      </c>
      <c r="L970" s="1" t="s">
        <v>5049</v>
      </c>
      <c r="N970" s="1" t="s">
        <v>4636</v>
      </c>
      <c r="P970" s="1" t="s">
        <v>9579</v>
      </c>
      <c r="Q970" s="30" t="s">
        <v>2565</v>
      </c>
      <c r="R970" s="33" t="s">
        <v>3473</v>
      </c>
      <c r="S970">
        <v>37</v>
      </c>
      <c r="T970" s="1" t="s">
        <v>13878</v>
      </c>
      <c r="U970" s="1" t="str">
        <f>HYPERLINK("http://ictvonline.org/taxonomy/p/taxonomy-history?taxnode_id=202112102","ICTVonline=202112102")</f>
        <v>ICTVonline=202112102</v>
      </c>
    </row>
    <row r="971" spans="1:21" x14ac:dyDescent="0.2">
      <c r="A971" s="3">
        <v>970</v>
      </c>
      <c r="B971" s="1" t="s">
        <v>4875</v>
      </c>
      <c r="D971" s="1" t="s">
        <v>4876</v>
      </c>
      <c r="F971" s="1" t="s">
        <v>4880</v>
      </c>
      <c r="H971" s="1" t="s">
        <v>4881</v>
      </c>
      <c r="L971" s="1" t="s">
        <v>5049</v>
      </c>
      <c r="N971" s="1" t="s">
        <v>4636</v>
      </c>
      <c r="P971" s="1" t="s">
        <v>9580</v>
      </c>
      <c r="Q971" s="30" t="s">
        <v>2565</v>
      </c>
      <c r="R971" s="33" t="s">
        <v>3473</v>
      </c>
      <c r="S971">
        <v>37</v>
      </c>
      <c r="T971" s="1" t="s">
        <v>13878</v>
      </c>
      <c r="U971" s="1" t="str">
        <f>HYPERLINK("http://ictvonline.org/taxonomy/p/taxonomy-history?taxnode_id=202112115","ICTVonline=202112115")</f>
        <v>ICTVonline=202112115</v>
      </c>
    </row>
    <row r="972" spans="1:21" x14ac:dyDescent="0.2">
      <c r="A972" s="3">
        <v>971</v>
      </c>
      <c r="B972" s="1" t="s">
        <v>4875</v>
      </c>
      <c r="D972" s="1" t="s">
        <v>4876</v>
      </c>
      <c r="F972" s="1" t="s">
        <v>4880</v>
      </c>
      <c r="H972" s="1" t="s">
        <v>4881</v>
      </c>
      <c r="L972" s="1" t="s">
        <v>5049</v>
      </c>
      <c r="N972" s="1" t="s">
        <v>4636</v>
      </c>
      <c r="P972" s="1" t="s">
        <v>9581</v>
      </c>
      <c r="Q972" s="30" t="s">
        <v>2565</v>
      </c>
      <c r="R972" s="33" t="s">
        <v>3473</v>
      </c>
      <c r="S972">
        <v>37</v>
      </c>
      <c r="T972" s="1" t="s">
        <v>13878</v>
      </c>
      <c r="U972" s="1" t="str">
        <f>HYPERLINK("http://ictvonline.org/taxonomy/p/taxonomy-history?taxnode_id=202112116","ICTVonline=202112116")</f>
        <v>ICTVonline=202112116</v>
      </c>
    </row>
    <row r="973" spans="1:21" x14ac:dyDescent="0.2">
      <c r="A973" s="3">
        <v>972</v>
      </c>
      <c r="B973" s="1" t="s">
        <v>4875</v>
      </c>
      <c r="D973" s="1" t="s">
        <v>4876</v>
      </c>
      <c r="F973" s="1" t="s">
        <v>4880</v>
      </c>
      <c r="H973" s="1" t="s">
        <v>4881</v>
      </c>
      <c r="L973" s="1" t="s">
        <v>5049</v>
      </c>
      <c r="N973" s="1" t="s">
        <v>4636</v>
      </c>
      <c r="P973" s="1" t="s">
        <v>9582</v>
      </c>
      <c r="Q973" s="30" t="s">
        <v>2565</v>
      </c>
      <c r="R973" s="33" t="s">
        <v>3473</v>
      </c>
      <c r="S973">
        <v>37</v>
      </c>
      <c r="T973" s="1" t="s">
        <v>13878</v>
      </c>
      <c r="U973" s="1" t="str">
        <f>HYPERLINK("http://ictvonline.org/taxonomy/p/taxonomy-history?taxnode_id=202112110","ICTVonline=202112110")</f>
        <v>ICTVonline=202112110</v>
      </c>
    </row>
    <row r="974" spans="1:21" x14ac:dyDescent="0.2">
      <c r="A974" s="3">
        <v>973</v>
      </c>
      <c r="B974" s="1" t="s">
        <v>4875</v>
      </c>
      <c r="D974" s="1" t="s">
        <v>4876</v>
      </c>
      <c r="F974" s="1" t="s">
        <v>4880</v>
      </c>
      <c r="H974" s="1" t="s">
        <v>4881</v>
      </c>
      <c r="L974" s="1" t="s">
        <v>5049</v>
      </c>
      <c r="N974" s="1" t="s">
        <v>4636</v>
      </c>
      <c r="P974" s="1" t="s">
        <v>9583</v>
      </c>
      <c r="Q974" s="30" t="s">
        <v>2565</v>
      </c>
      <c r="R974" s="33" t="s">
        <v>3473</v>
      </c>
      <c r="S974">
        <v>37</v>
      </c>
      <c r="T974" s="1" t="s">
        <v>13878</v>
      </c>
      <c r="U974" s="1" t="str">
        <f>HYPERLINK("http://ictvonline.org/taxonomy/p/taxonomy-history?taxnode_id=202100810","ICTVonline=202100810")</f>
        <v>ICTVonline=202100810</v>
      </c>
    </row>
    <row r="975" spans="1:21" x14ac:dyDescent="0.2">
      <c r="A975" s="3">
        <v>974</v>
      </c>
      <c r="B975" s="1" t="s">
        <v>4875</v>
      </c>
      <c r="D975" s="1" t="s">
        <v>4876</v>
      </c>
      <c r="F975" s="1" t="s">
        <v>4880</v>
      </c>
      <c r="H975" s="1" t="s">
        <v>4881</v>
      </c>
      <c r="L975" s="1" t="s">
        <v>5049</v>
      </c>
      <c r="N975" s="1" t="s">
        <v>4636</v>
      </c>
      <c r="P975" s="1" t="s">
        <v>9584</v>
      </c>
      <c r="Q975" s="30" t="s">
        <v>2565</v>
      </c>
      <c r="R975" s="33" t="s">
        <v>3473</v>
      </c>
      <c r="S975">
        <v>37</v>
      </c>
      <c r="T975" s="1" t="s">
        <v>13878</v>
      </c>
      <c r="U975" s="1" t="str">
        <f>HYPERLINK("http://ictvonline.org/taxonomy/p/taxonomy-history?taxnode_id=202112108","ICTVonline=202112108")</f>
        <v>ICTVonline=202112108</v>
      </c>
    </row>
    <row r="976" spans="1:21" x14ac:dyDescent="0.2">
      <c r="A976" s="3">
        <v>975</v>
      </c>
      <c r="B976" s="1" t="s">
        <v>4875</v>
      </c>
      <c r="D976" s="1" t="s">
        <v>4876</v>
      </c>
      <c r="F976" s="1" t="s">
        <v>4880</v>
      </c>
      <c r="H976" s="1" t="s">
        <v>4881</v>
      </c>
      <c r="L976" s="1" t="s">
        <v>5049</v>
      </c>
      <c r="N976" s="1" t="s">
        <v>4636</v>
      </c>
      <c r="P976" s="1" t="s">
        <v>9585</v>
      </c>
      <c r="Q976" s="30" t="s">
        <v>2565</v>
      </c>
      <c r="R976" s="33" t="s">
        <v>3473</v>
      </c>
      <c r="S976">
        <v>37</v>
      </c>
      <c r="T976" s="1" t="s">
        <v>13878</v>
      </c>
      <c r="U976" s="1" t="str">
        <f>HYPERLINK("http://ictvonline.org/taxonomy/p/taxonomy-history?taxnode_id=202108180","ICTVonline=202108180")</f>
        <v>ICTVonline=202108180</v>
      </c>
    </row>
    <row r="977" spans="1:21" x14ac:dyDescent="0.2">
      <c r="A977" s="3">
        <v>976</v>
      </c>
      <c r="B977" s="1" t="s">
        <v>4875</v>
      </c>
      <c r="D977" s="1" t="s">
        <v>4876</v>
      </c>
      <c r="F977" s="1" t="s">
        <v>4880</v>
      </c>
      <c r="H977" s="1" t="s">
        <v>4881</v>
      </c>
      <c r="L977" s="1" t="s">
        <v>5049</v>
      </c>
      <c r="N977" s="1" t="s">
        <v>4636</v>
      </c>
      <c r="P977" s="1" t="s">
        <v>9586</v>
      </c>
      <c r="Q977" s="30" t="s">
        <v>2565</v>
      </c>
      <c r="R977" s="33" t="s">
        <v>3473</v>
      </c>
      <c r="S977">
        <v>37</v>
      </c>
      <c r="T977" s="1" t="s">
        <v>13878</v>
      </c>
      <c r="U977" s="1" t="str">
        <f>HYPERLINK("http://ictvonline.org/taxonomy/p/taxonomy-history?taxnode_id=202108177","ICTVonline=202108177")</f>
        <v>ICTVonline=202108177</v>
      </c>
    </row>
    <row r="978" spans="1:21" x14ac:dyDescent="0.2">
      <c r="A978" s="3">
        <v>977</v>
      </c>
      <c r="B978" s="1" t="s">
        <v>4875</v>
      </c>
      <c r="D978" s="1" t="s">
        <v>4876</v>
      </c>
      <c r="F978" s="1" t="s">
        <v>4880</v>
      </c>
      <c r="H978" s="1" t="s">
        <v>4881</v>
      </c>
      <c r="L978" s="1" t="s">
        <v>5049</v>
      </c>
      <c r="N978" s="1" t="s">
        <v>4636</v>
      </c>
      <c r="P978" s="1" t="s">
        <v>9587</v>
      </c>
      <c r="Q978" s="30" t="s">
        <v>2565</v>
      </c>
      <c r="R978" s="33" t="s">
        <v>3473</v>
      </c>
      <c r="S978">
        <v>37</v>
      </c>
      <c r="T978" s="1" t="s">
        <v>13878</v>
      </c>
      <c r="U978" s="1" t="str">
        <f>HYPERLINK("http://ictvonline.org/taxonomy/p/taxonomy-history?taxnode_id=202112113","ICTVonline=202112113")</f>
        <v>ICTVonline=202112113</v>
      </c>
    </row>
    <row r="979" spans="1:21" x14ac:dyDescent="0.2">
      <c r="A979" s="3">
        <v>978</v>
      </c>
      <c r="B979" s="1" t="s">
        <v>4875</v>
      </c>
      <c r="D979" s="1" t="s">
        <v>4876</v>
      </c>
      <c r="F979" s="1" t="s">
        <v>4880</v>
      </c>
      <c r="H979" s="1" t="s">
        <v>4881</v>
      </c>
      <c r="L979" s="1" t="s">
        <v>5049</v>
      </c>
      <c r="N979" s="1" t="s">
        <v>4636</v>
      </c>
      <c r="P979" s="1" t="s">
        <v>9588</v>
      </c>
      <c r="Q979" s="30" t="s">
        <v>2565</v>
      </c>
      <c r="R979" s="33" t="s">
        <v>3473</v>
      </c>
      <c r="S979">
        <v>37</v>
      </c>
      <c r="T979" s="1" t="s">
        <v>13878</v>
      </c>
      <c r="U979" s="1" t="str">
        <f>HYPERLINK("http://ictvonline.org/taxonomy/p/taxonomy-history?taxnode_id=202100806","ICTVonline=202100806")</f>
        <v>ICTVonline=202100806</v>
      </c>
    </row>
    <row r="980" spans="1:21" x14ac:dyDescent="0.2">
      <c r="A980" s="3">
        <v>979</v>
      </c>
      <c r="B980" s="1" t="s">
        <v>4875</v>
      </c>
      <c r="D980" s="1" t="s">
        <v>4876</v>
      </c>
      <c r="F980" s="1" t="s">
        <v>4880</v>
      </c>
      <c r="H980" s="1" t="s">
        <v>4881</v>
      </c>
      <c r="L980" s="1" t="s">
        <v>9589</v>
      </c>
      <c r="N980" s="1" t="s">
        <v>9590</v>
      </c>
      <c r="P980" s="1" t="s">
        <v>9591</v>
      </c>
      <c r="Q980" s="30" t="s">
        <v>2565</v>
      </c>
      <c r="R980" s="33" t="s">
        <v>3472</v>
      </c>
      <c r="S980">
        <v>37</v>
      </c>
      <c r="T980" s="1" t="s">
        <v>13879</v>
      </c>
      <c r="U980" s="1" t="str">
        <f>HYPERLINK("http://ictvonline.org/taxonomy/p/taxonomy-history?taxnode_id=202113561","ICTVonline=202113561")</f>
        <v>ICTVonline=202113561</v>
      </c>
    </row>
    <row r="981" spans="1:21" x14ac:dyDescent="0.2">
      <c r="A981" s="3">
        <v>980</v>
      </c>
      <c r="B981" s="1" t="s">
        <v>4875</v>
      </c>
      <c r="D981" s="1" t="s">
        <v>4876</v>
      </c>
      <c r="F981" s="1" t="s">
        <v>4880</v>
      </c>
      <c r="H981" s="1" t="s">
        <v>4881</v>
      </c>
      <c r="L981" s="1" t="s">
        <v>9589</v>
      </c>
      <c r="N981" s="1" t="s">
        <v>6206</v>
      </c>
      <c r="P981" s="1" t="s">
        <v>9592</v>
      </c>
      <c r="Q981" s="30" t="s">
        <v>2565</v>
      </c>
      <c r="R981" s="33" t="s">
        <v>3473</v>
      </c>
      <c r="S981">
        <v>37</v>
      </c>
      <c r="T981" s="1" t="s">
        <v>13879</v>
      </c>
      <c r="U981" s="1" t="str">
        <f>HYPERLINK("http://ictvonline.org/taxonomy/p/taxonomy-history?taxnode_id=202110034","ICTVonline=202110034")</f>
        <v>ICTVonline=202110034</v>
      </c>
    </row>
    <row r="982" spans="1:21" x14ac:dyDescent="0.2">
      <c r="A982" s="3">
        <v>981</v>
      </c>
      <c r="B982" s="1" t="s">
        <v>4875</v>
      </c>
      <c r="D982" s="1" t="s">
        <v>4876</v>
      </c>
      <c r="F982" s="1" t="s">
        <v>4880</v>
      </c>
      <c r="H982" s="1" t="s">
        <v>4881</v>
      </c>
      <c r="L982" s="1" t="s">
        <v>9589</v>
      </c>
      <c r="N982" s="1" t="s">
        <v>4750</v>
      </c>
      <c r="P982" s="1" t="s">
        <v>9593</v>
      </c>
      <c r="Q982" s="30" t="s">
        <v>2565</v>
      </c>
      <c r="R982" s="33" t="s">
        <v>3473</v>
      </c>
      <c r="S982">
        <v>37</v>
      </c>
      <c r="T982" s="1" t="s">
        <v>13879</v>
      </c>
      <c r="U982" s="1" t="str">
        <f>HYPERLINK("http://ictvonline.org/taxonomy/p/taxonomy-history?taxnode_id=202107073","ICTVonline=202107073")</f>
        <v>ICTVonline=202107073</v>
      </c>
    </row>
    <row r="983" spans="1:21" x14ac:dyDescent="0.2">
      <c r="A983" s="3">
        <v>982</v>
      </c>
      <c r="B983" s="1" t="s">
        <v>4875</v>
      </c>
      <c r="D983" s="1" t="s">
        <v>4876</v>
      </c>
      <c r="F983" s="1" t="s">
        <v>4880</v>
      </c>
      <c r="H983" s="1" t="s">
        <v>4881</v>
      </c>
      <c r="L983" s="1" t="s">
        <v>9589</v>
      </c>
      <c r="N983" s="1" t="s">
        <v>4750</v>
      </c>
      <c r="P983" s="1" t="s">
        <v>9594</v>
      </c>
      <c r="Q983" s="30" t="s">
        <v>2565</v>
      </c>
      <c r="R983" s="33" t="s">
        <v>3473</v>
      </c>
      <c r="S983">
        <v>37</v>
      </c>
      <c r="T983" s="1" t="s">
        <v>13879</v>
      </c>
      <c r="U983" s="1" t="str">
        <f>HYPERLINK("http://ictvonline.org/taxonomy/p/taxonomy-history?taxnode_id=202107076","ICTVonline=202107076")</f>
        <v>ICTVonline=202107076</v>
      </c>
    </row>
    <row r="984" spans="1:21" x14ac:dyDescent="0.2">
      <c r="A984" s="3">
        <v>983</v>
      </c>
      <c r="B984" s="1" t="s">
        <v>4875</v>
      </c>
      <c r="D984" s="1" t="s">
        <v>4876</v>
      </c>
      <c r="F984" s="1" t="s">
        <v>4880</v>
      </c>
      <c r="H984" s="1" t="s">
        <v>4881</v>
      </c>
      <c r="L984" s="1" t="s">
        <v>9589</v>
      </c>
      <c r="N984" s="1" t="s">
        <v>4750</v>
      </c>
      <c r="P984" s="1" t="s">
        <v>9595</v>
      </c>
      <c r="Q984" s="30" t="s">
        <v>2565</v>
      </c>
      <c r="R984" s="33" t="s">
        <v>3473</v>
      </c>
      <c r="S984">
        <v>37</v>
      </c>
      <c r="T984" s="1" t="s">
        <v>13879</v>
      </c>
      <c r="U984" s="1" t="str">
        <f>HYPERLINK("http://ictvonline.org/taxonomy/p/taxonomy-history?taxnode_id=202107075","ICTVonline=202107075")</f>
        <v>ICTVonline=202107075</v>
      </c>
    </row>
    <row r="985" spans="1:21" x14ac:dyDescent="0.2">
      <c r="A985" s="3">
        <v>984</v>
      </c>
      <c r="B985" s="1" t="s">
        <v>4875</v>
      </c>
      <c r="D985" s="1" t="s">
        <v>4876</v>
      </c>
      <c r="F985" s="1" t="s">
        <v>4880</v>
      </c>
      <c r="H985" s="1" t="s">
        <v>4881</v>
      </c>
      <c r="L985" s="1" t="s">
        <v>9589</v>
      </c>
      <c r="N985" s="1" t="s">
        <v>4750</v>
      </c>
      <c r="P985" s="1" t="s">
        <v>9596</v>
      </c>
      <c r="Q985" s="30" t="s">
        <v>2565</v>
      </c>
      <c r="R985" s="33" t="s">
        <v>3473</v>
      </c>
      <c r="S985">
        <v>37</v>
      </c>
      <c r="T985" s="1" t="s">
        <v>13879</v>
      </c>
      <c r="U985" s="1" t="str">
        <f>HYPERLINK("http://ictvonline.org/taxonomy/p/taxonomy-history?taxnode_id=202107074","ICTVonline=202107074")</f>
        <v>ICTVonline=202107074</v>
      </c>
    </row>
    <row r="986" spans="1:21" x14ac:dyDescent="0.2">
      <c r="A986" s="3">
        <v>985</v>
      </c>
      <c r="B986" s="1" t="s">
        <v>4875</v>
      </c>
      <c r="D986" s="1" t="s">
        <v>4876</v>
      </c>
      <c r="F986" s="1" t="s">
        <v>4880</v>
      </c>
      <c r="H986" s="1" t="s">
        <v>4881</v>
      </c>
      <c r="L986" s="1" t="s">
        <v>9597</v>
      </c>
      <c r="N986" s="1" t="s">
        <v>9598</v>
      </c>
      <c r="P986" s="1" t="s">
        <v>9599</v>
      </c>
      <c r="Q986" s="30" t="s">
        <v>2565</v>
      </c>
      <c r="R986" s="33" t="s">
        <v>3472</v>
      </c>
      <c r="S986">
        <v>37</v>
      </c>
      <c r="T986" s="1" t="s">
        <v>13879</v>
      </c>
      <c r="U986" s="1" t="str">
        <f>HYPERLINK("http://ictvonline.org/taxonomy/p/taxonomy-history?taxnode_id=202113572","ICTVonline=202113572")</f>
        <v>ICTVonline=202113572</v>
      </c>
    </row>
    <row r="987" spans="1:21" x14ac:dyDescent="0.2">
      <c r="A987" s="3">
        <v>986</v>
      </c>
      <c r="B987" s="1" t="s">
        <v>4875</v>
      </c>
      <c r="D987" s="1" t="s">
        <v>4876</v>
      </c>
      <c r="F987" s="1" t="s">
        <v>4880</v>
      </c>
      <c r="H987" s="1" t="s">
        <v>4881</v>
      </c>
      <c r="L987" s="1" t="s">
        <v>9597</v>
      </c>
      <c r="N987" s="1" t="s">
        <v>9598</v>
      </c>
      <c r="P987" s="1" t="s">
        <v>9600</v>
      </c>
      <c r="Q987" s="30" t="s">
        <v>2565</v>
      </c>
      <c r="R987" s="33" t="s">
        <v>3472</v>
      </c>
      <c r="S987">
        <v>37</v>
      </c>
      <c r="T987" s="1" t="s">
        <v>13879</v>
      </c>
      <c r="U987" s="1" t="str">
        <f>HYPERLINK("http://ictvonline.org/taxonomy/p/taxonomy-history?taxnode_id=202113571","ICTVonline=202113571")</f>
        <v>ICTVonline=202113571</v>
      </c>
    </row>
    <row r="988" spans="1:21" x14ac:dyDescent="0.2">
      <c r="A988" s="3">
        <v>987</v>
      </c>
      <c r="B988" s="1" t="s">
        <v>4875</v>
      </c>
      <c r="D988" s="1" t="s">
        <v>4876</v>
      </c>
      <c r="F988" s="1" t="s">
        <v>4880</v>
      </c>
      <c r="H988" s="1" t="s">
        <v>4881</v>
      </c>
      <c r="L988" s="1" t="s">
        <v>5970</v>
      </c>
      <c r="M988" s="1" t="s">
        <v>5971</v>
      </c>
      <c r="N988" s="1" t="s">
        <v>5972</v>
      </c>
      <c r="P988" s="1" t="s">
        <v>9601</v>
      </c>
      <c r="Q988" s="30" t="s">
        <v>2565</v>
      </c>
      <c r="R988" s="33" t="s">
        <v>3473</v>
      </c>
      <c r="S988">
        <v>37</v>
      </c>
      <c r="T988" s="1" t="s">
        <v>13878</v>
      </c>
      <c r="U988" s="1" t="str">
        <f>HYPERLINK("http://ictvonline.org/taxonomy/p/taxonomy-history?taxnode_id=202110061","ICTVonline=202110061")</f>
        <v>ICTVonline=202110061</v>
      </c>
    </row>
    <row r="989" spans="1:21" x14ac:dyDescent="0.2">
      <c r="A989" s="3">
        <v>988</v>
      </c>
      <c r="B989" s="1" t="s">
        <v>4875</v>
      </c>
      <c r="D989" s="1" t="s">
        <v>4876</v>
      </c>
      <c r="F989" s="1" t="s">
        <v>4880</v>
      </c>
      <c r="H989" s="1" t="s">
        <v>4881</v>
      </c>
      <c r="L989" s="1" t="s">
        <v>5970</v>
      </c>
      <c r="M989" s="1" t="s">
        <v>5971</v>
      </c>
      <c r="N989" s="1" t="s">
        <v>5973</v>
      </c>
      <c r="P989" s="1" t="s">
        <v>9602</v>
      </c>
      <c r="Q989" s="30" t="s">
        <v>2565</v>
      </c>
      <c r="R989" s="33" t="s">
        <v>3473</v>
      </c>
      <c r="S989">
        <v>37</v>
      </c>
      <c r="T989" s="1" t="s">
        <v>13878</v>
      </c>
      <c r="U989" s="1" t="str">
        <f>HYPERLINK("http://ictvonline.org/taxonomy/p/taxonomy-history?taxnode_id=202110059","ICTVonline=202110059")</f>
        <v>ICTVonline=202110059</v>
      </c>
    </row>
    <row r="990" spans="1:21" x14ac:dyDescent="0.2">
      <c r="A990" s="3">
        <v>989</v>
      </c>
      <c r="B990" s="1" t="s">
        <v>4875</v>
      </c>
      <c r="D990" s="1" t="s">
        <v>4876</v>
      </c>
      <c r="F990" s="1" t="s">
        <v>4880</v>
      </c>
      <c r="H990" s="1" t="s">
        <v>4881</v>
      </c>
      <c r="L990" s="1" t="s">
        <v>5970</v>
      </c>
      <c r="M990" s="1" t="s">
        <v>5971</v>
      </c>
      <c r="N990" s="1" t="s">
        <v>5973</v>
      </c>
      <c r="P990" s="1" t="s">
        <v>9603</v>
      </c>
      <c r="Q990" s="30" t="s">
        <v>2565</v>
      </c>
      <c r="R990" s="33" t="s">
        <v>3473</v>
      </c>
      <c r="S990">
        <v>37</v>
      </c>
      <c r="T990" s="1" t="s">
        <v>13878</v>
      </c>
      <c r="U990" s="1" t="str">
        <f>HYPERLINK("http://ictvonline.org/taxonomy/p/taxonomy-history?taxnode_id=202110058","ICTVonline=202110058")</f>
        <v>ICTVonline=202110058</v>
      </c>
    </row>
    <row r="991" spans="1:21" x14ac:dyDescent="0.2">
      <c r="A991" s="3">
        <v>990</v>
      </c>
      <c r="B991" s="1" t="s">
        <v>4875</v>
      </c>
      <c r="D991" s="1" t="s">
        <v>4876</v>
      </c>
      <c r="F991" s="1" t="s">
        <v>4880</v>
      </c>
      <c r="H991" s="1" t="s">
        <v>4881</v>
      </c>
      <c r="L991" s="1" t="s">
        <v>5970</v>
      </c>
      <c r="M991" s="1" t="s">
        <v>5971</v>
      </c>
      <c r="N991" s="1" t="s">
        <v>5973</v>
      </c>
      <c r="P991" s="1" t="s">
        <v>9604</v>
      </c>
      <c r="Q991" s="30" t="s">
        <v>2565</v>
      </c>
      <c r="R991" s="33" t="s">
        <v>3473</v>
      </c>
      <c r="S991">
        <v>37</v>
      </c>
      <c r="T991" s="1" t="s">
        <v>13878</v>
      </c>
      <c r="U991" s="1" t="str">
        <f>HYPERLINK("http://ictvonline.org/taxonomy/p/taxonomy-history?taxnode_id=202110057","ICTVonline=202110057")</f>
        <v>ICTVonline=202110057</v>
      </c>
    </row>
    <row r="992" spans="1:21" x14ac:dyDescent="0.2">
      <c r="A992" s="3">
        <v>991</v>
      </c>
      <c r="B992" s="1" t="s">
        <v>4875</v>
      </c>
      <c r="D992" s="1" t="s">
        <v>4876</v>
      </c>
      <c r="F992" s="1" t="s">
        <v>4880</v>
      </c>
      <c r="H992" s="1" t="s">
        <v>4881</v>
      </c>
      <c r="L992" s="1" t="s">
        <v>5970</v>
      </c>
      <c r="N992" s="1" t="s">
        <v>5974</v>
      </c>
      <c r="P992" s="1" t="s">
        <v>9605</v>
      </c>
      <c r="Q992" s="30" t="s">
        <v>2565</v>
      </c>
      <c r="R992" s="33" t="s">
        <v>3473</v>
      </c>
      <c r="S992">
        <v>37</v>
      </c>
      <c r="T992" s="1" t="s">
        <v>13878</v>
      </c>
      <c r="U992" s="1" t="str">
        <f>HYPERLINK("http://ictvonline.org/taxonomy/p/taxonomy-history?taxnode_id=202110063","ICTVonline=202110063")</f>
        <v>ICTVonline=202110063</v>
      </c>
    </row>
    <row r="993" spans="1:21" x14ac:dyDescent="0.2">
      <c r="A993" s="3">
        <v>992</v>
      </c>
      <c r="B993" s="1" t="s">
        <v>4875</v>
      </c>
      <c r="D993" s="1" t="s">
        <v>4876</v>
      </c>
      <c r="F993" s="1" t="s">
        <v>4880</v>
      </c>
      <c r="H993" s="1" t="s">
        <v>4881</v>
      </c>
      <c r="L993" s="1" t="s">
        <v>5970</v>
      </c>
      <c r="N993" s="1" t="s">
        <v>5974</v>
      </c>
      <c r="P993" s="1" t="s">
        <v>9606</v>
      </c>
      <c r="Q993" s="30" t="s">
        <v>2565</v>
      </c>
      <c r="R993" s="33" t="s">
        <v>3473</v>
      </c>
      <c r="S993">
        <v>37</v>
      </c>
      <c r="T993" s="1" t="s">
        <v>13878</v>
      </c>
      <c r="U993" s="1" t="str">
        <f>HYPERLINK("http://ictvonline.org/taxonomy/p/taxonomy-history?taxnode_id=202110066","ICTVonline=202110066")</f>
        <v>ICTVonline=202110066</v>
      </c>
    </row>
    <row r="994" spans="1:21" x14ac:dyDescent="0.2">
      <c r="A994" s="3">
        <v>993</v>
      </c>
      <c r="B994" s="1" t="s">
        <v>4875</v>
      </c>
      <c r="D994" s="1" t="s">
        <v>4876</v>
      </c>
      <c r="F994" s="1" t="s">
        <v>4880</v>
      </c>
      <c r="H994" s="1" t="s">
        <v>4881</v>
      </c>
      <c r="L994" s="1" t="s">
        <v>5970</v>
      </c>
      <c r="N994" s="1" t="s">
        <v>5974</v>
      </c>
      <c r="P994" s="1" t="s">
        <v>9607</v>
      </c>
      <c r="Q994" s="30" t="s">
        <v>2565</v>
      </c>
      <c r="R994" s="33" t="s">
        <v>3473</v>
      </c>
      <c r="S994">
        <v>37</v>
      </c>
      <c r="T994" s="1" t="s">
        <v>13878</v>
      </c>
      <c r="U994" s="1" t="str">
        <f>HYPERLINK("http://ictvonline.org/taxonomy/p/taxonomy-history?taxnode_id=202110065","ICTVonline=202110065")</f>
        <v>ICTVonline=202110065</v>
      </c>
    </row>
    <row r="995" spans="1:21" x14ac:dyDescent="0.2">
      <c r="A995" s="3">
        <v>994</v>
      </c>
      <c r="B995" s="1" t="s">
        <v>4875</v>
      </c>
      <c r="D995" s="1" t="s">
        <v>4876</v>
      </c>
      <c r="F995" s="1" t="s">
        <v>4880</v>
      </c>
      <c r="H995" s="1" t="s">
        <v>4881</v>
      </c>
      <c r="L995" s="1" t="s">
        <v>5970</v>
      </c>
      <c r="N995" s="1" t="s">
        <v>5974</v>
      </c>
      <c r="P995" s="1" t="s">
        <v>9608</v>
      </c>
      <c r="Q995" s="30" t="s">
        <v>2565</v>
      </c>
      <c r="R995" s="33" t="s">
        <v>3473</v>
      </c>
      <c r="S995">
        <v>37</v>
      </c>
      <c r="T995" s="1" t="s">
        <v>13878</v>
      </c>
      <c r="U995" s="1" t="str">
        <f>HYPERLINK("http://ictvonline.org/taxonomy/p/taxonomy-history?taxnode_id=202110064","ICTVonline=202110064")</f>
        <v>ICTVonline=202110064</v>
      </c>
    </row>
    <row r="996" spans="1:21" x14ac:dyDescent="0.2">
      <c r="A996" s="3">
        <v>995</v>
      </c>
      <c r="B996" s="1" t="s">
        <v>4875</v>
      </c>
      <c r="D996" s="1" t="s">
        <v>4876</v>
      </c>
      <c r="F996" s="1" t="s">
        <v>4880</v>
      </c>
      <c r="H996" s="1" t="s">
        <v>4881</v>
      </c>
      <c r="L996" s="1" t="s">
        <v>5970</v>
      </c>
      <c r="N996" s="1" t="s">
        <v>5975</v>
      </c>
      <c r="P996" s="1" t="s">
        <v>9609</v>
      </c>
      <c r="Q996" s="30" t="s">
        <v>2565</v>
      </c>
      <c r="R996" s="33" t="s">
        <v>3473</v>
      </c>
      <c r="S996">
        <v>37</v>
      </c>
      <c r="T996" s="1" t="s">
        <v>13878</v>
      </c>
      <c r="U996" s="1" t="str">
        <f>HYPERLINK("http://ictvonline.org/taxonomy/p/taxonomy-history?taxnode_id=202110068","ICTVonline=202110068")</f>
        <v>ICTVonline=202110068</v>
      </c>
    </row>
    <row r="997" spans="1:21" x14ac:dyDescent="0.2">
      <c r="A997" s="3">
        <v>996</v>
      </c>
      <c r="B997" s="1" t="s">
        <v>4875</v>
      </c>
      <c r="D997" s="1" t="s">
        <v>4876</v>
      </c>
      <c r="F997" s="1" t="s">
        <v>4880</v>
      </c>
      <c r="H997" s="1" t="s">
        <v>4881</v>
      </c>
      <c r="L997" s="1" t="s">
        <v>9610</v>
      </c>
      <c r="N997" s="1" t="s">
        <v>9611</v>
      </c>
      <c r="P997" s="1" t="s">
        <v>9612</v>
      </c>
      <c r="Q997" s="30" t="s">
        <v>2565</v>
      </c>
      <c r="R997" s="33" t="s">
        <v>3472</v>
      </c>
      <c r="S997">
        <v>37</v>
      </c>
      <c r="T997" s="1" t="s">
        <v>13879</v>
      </c>
      <c r="U997" s="1" t="str">
        <f>HYPERLINK("http://ictvonline.org/taxonomy/p/taxonomy-history?taxnode_id=202113558","ICTVonline=202113558")</f>
        <v>ICTVonline=202113558</v>
      </c>
    </row>
    <row r="998" spans="1:21" x14ac:dyDescent="0.2">
      <c r="A998" s="3">
        <v>997</v>
      </c>
      <c r="B998" s="1" t="s">
        <v>4875</v>
      </c>
      <c r="D998" s="1" t="s">
        <v>4876</v>
      </c>
      <c r="F998" s="1" t="s">
        <v>4880</v>
      </c>
      <c r="H998" s="1" t="s">
        <v>4881</v>
      </c>
      <c r="L998" s="1" t="s">
        <v>4497</v>
      </c>
      <c r="M998" s="1" t="s">
        <v>4498</v>
      </c>
      <c r="N998" s="1" t="s">
        <v>2583</v>
      </c>
      <c r="P998" s="1" t="s">
        <v>9613</v>
      </c>
      <c r="Q998" s="30" t="s">
        <v>2565</v>
      </c>
      <c r="R998" s="33" t="s">
        <v>3473</v>
      </c>
      <c r="S998">
        <v>37</v>
      </c>
      <c r="T998" s="1" t="s">
        <v>13878</v>
      </c>
      <c r="U998" s="1" t="str">
        <f>HYPERLINK("http://ictvonline.org/taxonomy/p/taxonomy-history?taxnode_id=202100367","ICTVonline=202100367")</f>
        <v>ICTVonline=202100367</v>
      </c>
    </row>
    <row r="999" spans="1:21" x14ac:dyDescent="0.2">
      <c r="A999" s="3">
        <v>998</v>
      </c>
      <c r="B999" s="1" t="s">
        <v>4875</v>
      </c>
      <c r="D999" s="1" t="s">
        <v>4876</v>
      </c>
      <c r="F999" s="1" t="s">
        <v>4880</v>
      </c>
      <c r="H999" s="1" t="s">
        <v>4881</v>
      </c>
      <c r="L999" s="1" t="s">
        <v>4497</v>
      </c>
      <c r="M999" s="1" t="s">
        <v>4498</v>
      </c>
      <c r="N999" s="1" t="s">
        <v>2583</v>
      </c>
      <c r="P999" s="1" t="s">
        <v>9614</v>
      </c>
      <c r="Q999" s="30" t="s">
        <v>2565</v>
      </c>
      <c r="R999" s="33" t="s">
        <v>3473</v>
      </c>
      <c r="S999">
        <v>37</v>
      </c>
      <c r="T999" s="1" t="s">
        <v>13878</v>
      </c>
      <c r="U999" s="1" t="str">
        <f>HYPERLINK("http://ictvonline.org/taxonomy/p/taxonomy-history?taxnode_id=202100368","ICTVonline=202100368")</f>
        <v>ICTVonline=202100368</v>
      </c>
    </row>
    <row r="1000" spans="1:21" x14ac:dyDescent="0.2">
      <c r="A1000" s="3">
        <v>999</v>
      </c>
      <c r="B1000" s="1" t="s">
        <v>4875</v>
      </c>
      <c r="D1000" s="1" t="s">
        <v>4876</v>
      </c>
      <c r="F1000" s="1" t="s">
        <v>4880</v>
      </c>
      <c r="H1000" s="1" t="s">
        <v>4881</v>
      </c>
      <c r="L1000" s="1" t="s">
        <v>4497</v>
      </c>
      <c r="M1000" s="1" t="s">
        <v>4498</v>
      </c>
      <c r="N1000" s="1" t="s">
        <v>2583</v>
      </c>
      <c r="P1000" s="1" t="s">
        <v>9615</v>
      </c>
      <c r="Q1000" s="30" t="s">
        <v>2565</v>
      </c>
      <c r="R1000" s="33" t="s">
        <v>3473</v>
      </c>
      <c r="S1000">
        <v>37</v>
      </c>
      <c r="T1000" s="1" t="s">
        <v>13878</v>
      </c>
      <c r="U1000" s="1" t="str">
        <f>HYPERLINK("http://ictvonline.org/taxonomy/p/taxonomy-history?taxnode_id=202100369","ICTVonline=202100369")</f>
        <v>ICTVonline=202100369</v>
      </c>
    </row>
    <row r="1001" spans="1:21" x14ac:dyDescent="0.2">
      <c r="A1001" s="3">
        <v>1000</v>
      </c>
      <c r="B1001" s="1" t="s">
        <v>4875</v>
      </c>
      <c r="D1001" s="1" t="s">
        <v>4876</v>
      </c>
      <c r="F1001" s="1" t="s">
        <v>4880</v>
      </c>
      <c r="H1001" s="1" t="s">
        <v>4881</v>
      </c>
      <c r="L1001" s="1" t="s">
        <v>4497</v>
      </c>
      <c r="M1001" s="1" t="s">
        <v>4498</v>
      </c>
      <c r="N1001" s="1" t="s">
        <v>2584</v>
      </c>
      <c r="P1001" s="1" t="s">
        <v>9616</v>
      </c>
      <c r="Q1001" s="30" t="s">
        <v>2565</v>
      </c>
      <c r="R1001" s="33" t="s">
        <v>3473</v>
      </c>
      <c r="S1001">
        <v>37</v>
      </c>
      <c r="T1001" s="1" t="s">
        <v>13878</v>
      </c>
      <c r="U1001" s="1" t="str">
        <f>HYPERLINK("http://ictvonline.org/taxonomy/p/taxonomy-history?taxnode_id=202100392","ICTVonline=202100392")</f>
        <v>ICTVonline=202100392</v>
      </c>
    </row>
    <row r="1002" spans="1:21" x14ac:dyDescent="0.2">
      <c r="A1002" s="3">
        <v>1001</v>
      </c>
      <c r="B1002" s="1" t="s">
        <v>4875</v>
      </c>
      <c r="D1002" s="1" t="s">
        <v>4876</v>
      </c>
      <c r="F1002" s="1" t="s">
        <v>4880</v>
      </c>
      <c r="H1002" s="1" t="s">
        <v>4881</v>
      </c>
      <c r="L1002" s="1" t="s">
        <v>4497</v>
      </c>
      <c r="M1002" s="1" t="s">
        <v>4498</v>
      </c>
      <c r="N1002" s="1" t="s">
        <v>2584</v>
      </c>
      <c r="P1002" s="1" t="s">
        <v>9617</v>
      </c>
      <c r="Q1002" s="30" t="s">
        <v>2565</v>
      </c>
      <c r="R1002" s="33" t="s">
        <v>3473</v>
      </c>
      <c r="S1002">
        <v>37</v>
      </c>
      <c r="T1002" s="1" t="s">
        <v>13878</v>
      </c>
      <c r="U1002" s="1" t="str">
        <f>HYPERLINK("http://ictvonline.org/taxonomy/p/taxonomy-history?taxnode_id=202100393","ICTVonline=202100393")</f>
        <v>ICTVonline=202100393</v>
      </c>
    </row>
    <row r="1003" spans="1:21" x14ac:dyDescent="0.2">
      <c r="A1003" s="3">
        <v>1002</v>
      </c>
      <c r="B1003" s="1" t="s">
        <v>4875</v>
      </c>
      <c r="D1003" s="1" t="s">
        <v>4876</v>
      </c>
      <c r="F1003" s="1" t="s">
        <v>4880</v>
      </c>
      <c r="H1003" s="1" t="s">
        <v>4881</v>
      </c>
      <c r="L1003" s="1" t="s">
        <v>4497</v>
      </c>
      <c r="M1003" s="1" t="s">
        <v>4498</v>
      </c>
      <c r="N1003" s="1" t="s">
        <v>2584</v>
      </c>
      <c r="P1003" s="1" t="s">
        <v>9618</v>
      </c>
      <c r="Q1003" s="30" t="s">
        <v>2565</v>
      </c>
      <c r="R1003" s="33" t="s">
        <v>3473</v>
      </c>
      <c r="S1003">
        <v>37</v>
      </c>
      <c r="T1003" s="1" t="s">
        <v>13878</v>
      </c>
      <c r="U1003" s="1" t="str">
        <f>HYPERLINK("http://ictvonline.org/taxonomy/p/taxonomy-history?taxnode_id=202106960","ICTVonline=202106960")</f>
        <v>ICTVonline=202106960</v>
      </c>
    </row>
    <row r="1004" spans="1:21" x14ac:dyDescent="0.2">
      <c r="A1004" s="3">
        <v>1003</v>
      </c>
      <c r="B1004" s="1" t="s">
        <v>4875</v>
      </c>
      <c r="D1004" s="1" t="s">
        <v>4876</v>
      </c>
      <c r="F1004" s="1" t="s">
        <v>4880</v>
      </c>
      <c r="H1004" s="1" t="s">
        <v>4881</v>
      </c>
      <c r="L1004" s="1" t="s">
        <v>4497</v>
      </c>
      <c r="M1004" s="1" t="s">
        <v>4498</v>
      </c>
      <c r="N1004" s="1" t="s">
        <v>2584</v>
      </c>
      <c r="P1004" s="1" t="s">
        <v>9619</v>
      </c>
      <c r="Q1004" s="30" t="s">
        <v>2565</v>
      </c>
      <c r="R1004" s="33" t="s">
        <v>3473</v>
      </c>
      <c r="S1004">
        <v>37</v>
      </c>
      <c r="T1004" s="1" t="s">
        <v>13878</v>
      </c>
      <c r="U1004" s="1" t="str">
        <f>HYPERLINK("http://ictvonline.org/taxonomy/p/taxonomy-history?taxnode_id=202106961","ICTVonline=202106961")</f>
        <v>ICTVonline=202106961</v>
      </c>
    </row>
    <row r="1005" spans="1:21" x14ac:dyDescent="0.2">
      <c r="A1005" s="3">
        <v>1004</v>
      </c>
      <c r="B1005" s="1" t="s">
        <v>4875</v>
      </c>
      <c r="D1005" s="1" t="s">
        <v>4876</v>
      </c>
      <c r="F1005" s="1" t="s">
        <v>4880</v>
      </c>
      <c r="H1005" s="1" t="s">
        <v>4881</v>
      </c>
      <c r="L1005" s="1" t="s">
        <v>4497</v>
      </c>
      <c r="M1005" s="1" t="s">
        <v>4498</v>
      </c>
      <c r="N1005" s="1" t="s">
        <v>4533</v>
      </c>
      <c r="P1005" s="1" t="s">
        <v>9620</v>
      </c>
      <c r="Q1005" s="30" t="s">
        <v>2565</v>
      </c>
      <c r="R1005" s="33" t="s">
        <v>3473</v>
      </c>
      <c r="S1005">
        <v>37</v>
      </c>
      <c r="T1005" s="1" t="s">
        <v>13878</v>
      </c>
      <c r="U1005" s="1" t="str">
        <f>HYPERLINK("http://ictvonline.org/taxonomy/p/taxonomy-history?taxnode_id=202100385","ICTVonline=202100385")</f>
        <v>ICTVonline=202100385</v>
      </c>
    </row>
    <row r="1006" spans="1:21" x14ac:dyDescent="0.2">
      <c r="A1006" s="3">
        <v>1005</v>
      </c>
      <c r="B1006" s="1" t="s">
        <v>4875</v>
      </c>
      <c r="D1006" s="1" t="s">
        <v>4876</v>
      </c>
      <c r="F1006" s="1" t="s">
        <v>4880</v>
      </c>
      <c r="H1006" s="1" t="s">
        <v>4881</v>
      </c>
      <c r="L1006" s="1" t="s">
        <v>4497</v>
      </c>
      <c r="M1006" s="1" t="s">
        <v>4498</v>
      </c>
      <c r="N1006" s="1" t="s">
        <v>4533</v>
      </c>
      <c r="P1006" s="1" t="s">
        <v>9621</v>
      </c>
      <c r="Q1006" s="30" t="s">
        <v>2565</v>
      </c>
      <c r="R1006" s="33" t="s">
        <v>3473</v>
      </c>
      <c r="S1006">
        <v>37</v>
      </c>
      <c r="T1006" s="1" t="s">
        <v>13878</v>
      </c>
      <c r="U1006" s="1" t="str">
        <f>HYPERLINK("http://ictvonline.org/taxonomy/p/taxonomy-history?taxnode_id=202100386","ICTVonline=202100386")</f>
        <v>ICTVonline=202100386</v>
      </c>
    </row>
    <row r="1007" spans="1:21" x14ac:dyDescent="0.2">
      <c r="A1007" s="3">
        <v>1006</v>
      </c>
      <c r="B1007" s="1" t="s">
        <v>4875</v>
      </c>
      <c r="D1007" s="1" t="s">
        <v>4876</v>
      </c>
      <c r="F1007" s="1" t="s">
        <v>4880</v>
      </c>
      <c r="H1007" s="1" t="s">
        <v>4881</v>
      </c>
      <c r="L1007" s="1" t="s">
        <v>4497</v>
      </c>
      <c r="M1007" s="1" t="s">
        <v>4498</v>
      </c>
      <c r="N1007" s="1" t="s">
        <v>4533</v>
      </c>
      <c r="P1007" s="1" t="s">
        <v>9622</v>
      </c>
      <c r="Q1007" s="30" t="s">
        <v>2565</v>
      </c>
      <c r="R1007" s="33" t="s">
        <v>3473</v>
      </c>
      <c r="S1007">
        <v>37</v>
      </c>
      <c r="T1007" s="1" t="s">
        <v>13878</v>
      </c>
      <c r="U1007" s="1" t="str">
        <f>HYPERLINK("http://ictvonline.org/taxonomy/p/taxonomy-history?taxnode_id=202100387","ICTVonline=202100387")</f>
        <v>ICTVonline=202100387</v>
      </c>
    </row>
    <row r="1008" spans="1:21" x14ac:dyDescent="0.2">
      <c r="A1008" s="3">
        <v>1007</v>
      </c>
      <c r="B1008" s="1" t="s">
        <v>4875</v>
      </c>
      <c r="D1008" s="1" t="s">
        <v>4876</v>
      </c>
      <c r="F1008" s="1" t="s">
        <v>4880</v>
      </c>
      <c r="H1008" s="1" t="s">
        <v>4881</v>
      </c>
      <c r="L1008" s="1" t="s">
        <v>4497</v>
      </c>
      <c r="M1008" s="1" t="s">
        <v>4498</v>
      </c>
      <c r="N1008" s="1" t="s">
        <v>4533</v>
      </c>
      <c r="P1008" s="1" t="s">
        <v>9623</v>
      </c>
      <c r="Q1008" s="30" t="s">
        <v>2565</v>
      </c>
      <c r="R1008" s="33" t="s">
        <v>3473</v>
      </c>
      <c r="S1008">
        <v>37</v>
      </c>
      <c r="T1008" s="1" t="s">
        <v>13878</v>
      </c>
      <c r="U1008" s="1" t="str">
        <f>HYPERLINK("http://ictvonline.org/taxonomy/p/taxonomy-history?taxnode_id=202100388","ICTVonline=202100388")</f>
        <v>ICTVonline=202100388</v>
      </c>
    </row>
    <row r="1009" spans="1:21" x14ac:dyDescent="0.2">
      <c r="A1009" s="3">
        <v>1008</v>
      </c>
      <c r="B1009" s="1" t="s">
        <v>4875</v>
      </c>
      <c r="D1009" s="1" t="s">
        <v>4876</v>
      </c>
      <c r="F1009" s="1" t="s">
        <v>4880</v>
      </c>
      <c r="H1009" s="1" t="s">
        <v>4881</v>
      </c>
      <c r="L1009" s="1" t="s">
        <v>4497</v>
      </c>
      <c r="M1009" s="1" t="s">
        <v>4498</v>
      </c>
      <c r="N1009" s="1" t="s">
        <v>4533</v>
      </c>
      <c r="P1009" s="1" t="s">
        <v>9624</v>
      </c>
      <c r="Q1009" s="30" t="s">
        <v>2565</v>
      </c>
      <c r="R1009" s="33" t="s">
        <v>3473</v>
      </c>
      <c r="S1009">
        <v>37</v>
      </c>
      <c r="T1009" s="1" t="s">
        <v>13878</v>
      </c>
      <c r="U1009" s="1" t="str">
        <f>HYPERLINK("http://ictvonline.org/taxonomy/p/taxonomy-history?taxnode_id=202100389","ICTVonline=202100389")</f>
        <v>ICTVonline=202100389</v>
      </c>
    </row>
    <row r="1010" spans="1:21" x14ac:dyDescent="0.2">
      <c r="A1010" s="3">
        <v>1009</v>
      </c>
      <c r="B1010" s="1" t="s">
        <v>4875</v>
      </c>
      <c r="D1010" s="1" t="s">
        <v>4876</v>
      </c>
      <c r="F1010" s="1" t="s">
        <v>4880</v>
      </c>
      <c r="H1010" s="1" t="s">
        <v>4881</v>
      </c>
      <c r="L1010" s="1" t="s">
        <v>4497</v>
      </c>
      <c r="M1010" s="1" t="s">
        <v>4498</v>
      </c>
      <c r="N1010" s="1" t="s">
        <v>4533</v>
      </c>
      <c r="P1010" s="1" t="s">
        <v>9625</v>
      </c>
      <c r="Q1010" s="30" t="s">
        <v>2565</v>
      </c>
      <c r="R1010" s="33" t="s">
        <v>3473</v>
      </c>
      <c r="S1010">
        <v>37</v>
      </c>
      <c r="T1010" s="1" t="s">
        <v>13878</v>
      </c>
      <c r="U1010" s="1" t="str">
        <f>HYPERLINK("http://ictvonline.org/taxonomy/p/taxonomy-history?taxnode_id=202100390","ICTVonline=202100390")</f>
        <v>ICTVonline=202100390</v>
      </c>
    </row>
    <row r="1011" spans="1:21" x14ac:dyDescent="0.2">
      <c r="A1011" s="3">
        <v>1010</v>
      </c>
      <c r="B1011" s="1" t="s">
        <v>4875</v>
      </c>
      <c r="D1011" s="1" t="s">
        <v>4876</v>
      </c>
      <c r="F1011" s="1" t="s">
        <v>4880</v>
      </c>
      <c r="H1011" s="1" t="s">
        <v>4881</v>
      </c>
      <c r="L1011" s="1" t="s">
        <v>4497</v>
      </c>
      <c r="M1011" s="1" t="s">
        <v>4498</v>
      </c>
      <c r="N1011" s="1" t="s">
        <v>4499</v>
      </c>
      <c r="P1011" s="1" t="s">
        <v>9626</v>
      </c>
      <c r="Q1011" s="30" t="s">
        <v>2565</v>
      </c>
      <c r="R1011" s="33" t="s">
        <v>3473</v>
      </c>
      <c r="S1011">
        <v>37</v>
      </c>
      <c r="T1011" s="1" t="s">
        <v>13878</v>
      </c>
      <c r="U1011" s="1" t="str">
        <f>HYPERLINK("http://ictvonline.org/taxonomy/p/taxonomy-history?taxnode_id=202100395","ICTVonline=202100395")</f>
        <v>ICTVonline=202100395</v>
      </c>
    </row>
    <row r="1012" spans="1:21" x14ac:dyDescent="0.2">
      <c r="A1012" s="3">
        <v>1011</v>
      </c>
      <c r="B1012" s="1" t="s">
        <v>4875</v>
      </c>
      <c r="D1012" s="1" t="s">
        <v>4876</v>
      </c>
      <c r="F1012" s="1" t="s">
        <v>4880</v>
      </c>
      <c r="H1012" s="1" t="s">
        <v>4881</v>
      </c>
      <c r="L1012" s="1" t="s">
        <v>4497</v>
      </c>
      <c r="M1012" s="1" t="s">
        <v>4498</v>
      </c>
      <c r="N1012" s="1" t="s">
        <v>4499</v>
      </c>
      <c r="P1012" s="1" t="s">
        <v>9627</v>
      </c>
      <c r="Q1012" s="30" t="s">
        <v>2565</v>
      </c>
      <c r="R1012" s="33" t="s">
        <v>3473</v>
      </c>
      <c r="S1012">
        <v>37</v>
      </c>
      <c r="T1012" s="1" t="s">
        <v>13878</v>
      </c>
      <c r="U1012" s="1" t="str">
        <f>HYPERLINK("http://ictvonline.org/taxonomy/p/taxonomy-history?taxnode_id=202100396","ICTVonline=202100396")</f>
        <v>ICTVonline=202100396</v>
      </c>
    </row>
    <row r="1013" spans="1:21" x14ac:dyDescent="0.2">
      <c r="A1013" s="3">
        <v>1012</v>
      </c>
      <c r="B1013" s="1" t="s">
        <v>4875</v>
      </c>
      <c r="D1013" s="1" t="s">
        <v>4876</v>
      </c>
      <c r="F1013" s="1" t="s">
        <v>4880</v>
      </c>
      <c r="H1013" s="1" t="s">
        <v>4881</v>
      </c>
      <c r="L1013" s="1" t="s">
        <v>4497</v>
      </c>
      <c r="M1013" s="1" t="s">
        <v>4498</v>
      </c>
      <c r="N1013" s="1" t="s">
        <v>4499</v>
      </c>
      <c r="P1013" s="1" t="s">
        <v>9628</v>
      </c>
      <c r="Q1013" s="30" t="s">
        <v>2565</v>
      </c>
      <c r="R1013" s="33" t="s">
        <v>3473</v>
      </c>
      <c r="S1013">
        <v>37</v>
      </c>
      <c r="T1013" s="1" t="s">
        <v>13878</v>
      </c>
      <c r="U1013" s="1" t="str">
        <f>HYPERLINK("http://ictvonline.org/taxonomy/p/taxonomy-history?taxnode_id=202100397","ICTVonline=202100397")</f>
        <v>ICTVonline=202100397</v>
      </c>
    </row>
    <row r="1014" spans="1:21" x14ac:dyDescent="0.2">
      <c r="A1014" s="3">
        <v>1013</v>
      </c>
      <c r="B1014" s="1" t="s">
        <v>4875</v>
      </c>
      <c r="D1014" s="1" t="s">
        <v>4876</v>
      </c>
      <c r="F1014" s="1" t="s">
        <v>4880</v>
      </c>
      <c r="H1014" s="1" t="s">
        <v>4881</v>
      </c>
      <c r="L1014" s="1" t="s">
        <v>4497</v>
      </c>
      <c r="M1014" s="1" t="s">
        <v>4498</v>
      </c>
      <c r="N1014" s="1" t="s">
        <v>4499</v>
      </c>
      <c r="P1014" s="1" t="s">
        <v>9629</v>
      </c>
      <c r="Q1014" s="30" t="s">
        <v>2565</v>
      </c>
      <c r="R1014" s="33" t="s">
        <v>3473</v>
      </c>
      <c r="S1014">
        <v>37</v>
      </c>
      <c r="T1014" s="1" t="s">
        <v>13878</v>
      </c>
      <c r="U1014" s="1" t="str">
        <f>HYPERLINK("http://ictvonline.org/taxonomy/p/taxonomy-history?taxnode_id=202100398","ICTVonline=202100398")</f>
        <v>ICTVonline=202100398</v>
      </c>
    </row>
    <row r="1015" spans="1:21" x14ac:dyDescent="0.2">
      <c r="A1015" s="3">
        <v>1014</v>
      </c>
      <c r="B1015" s="1" t="s">
        <v>4875</v>
      </c>
      <c r="D1015" s="1" t="s">
        <v>4876</v>
      </c>
      <c r="F1015" s="1" t="s">
        <v>4880</v>
      </c>
      <c r="H1015" s="1" t="s">
        <v>4881</v>
      </c>
      <c r="L1015" s="1" t="s">
        <v>4497</v>
      </c>
      <c r="M1015" s="1" t="s">
        <v>4498</v>
      </c>
      <c r="N1015" s="1" t="s">
        <v>4499</v>
      </c>
      <c r="P1015" s="1" t="s">
        <v>9630</v>
      </c>
      <c r="Q1015" s="30" t="s">
        <v>2565</v>
      </c>
      <c r="R1015" s="33" t="s">
        <v>3473</v>
      </c>
      <c r="S1015">
        <v>37</v>
      </c>
      <c r="T1015" s="1" t="s">
        <v>13878</v>
      </c>
      <c r="U1015" s="1" t="str">
        <f>HYPERLINK("http://ictvonline.org/taxonomy/p/taxonomy-history?taxnode_id=202100399","ICTVonline=202100399")</f>
        <v>ICTVonline=202100399</v>
      </c>
    </row>
    <row r="1016" spans="1:21" x14ac:dyDescent="0.2">
      <c r="A1016" s="3">
        <v>1015</v>
      </c>
      <c r="B1016" s="1" t="s">
        <v>4875</v>
      </c>
      <c r="D1016" s="1" t="s">
        <v>4876</v>
      </c>
      <c r="F1016" s="1" t="s">
        <v>4880</v>
      </c>
      <c r="H1016" s="1" t="s">
        <v>4881</v>
      </c>
      <c r="L1016" s="1" t="s">
        <v>4497</v>
      </c>
      <c r="M1016" s="1" t="s">
        <v>4498</v>
      </c>
      <c r="N1016" s="1" t="s">
        <v>4499</v>
      </c>
      <c r="P1016" s="1" t="s">
        <v>9631</v>
      </c>
      <c r="Q1016" s="30" t="s">
        <v>2565</v>
      </c>
      <c r="R1016" s="33" t="s">
        <v>3473</v>
      </c>
      <c r="S1016">
        <v>37</v>
      </c>
      <c r="T1016" s="1" t="s">
        <v>13878</v>
      </c>
      <c r="U1016" s="1" t="str">
        <f>HYPERLINK("http://ictvonline.org/taxonomy/p/taxonomy-history?taxnode_id=202100400","ICTVonline=202100400")</f>
        <v>ICTVonline=202100400</v>
      </c>
    </row>
    <row r="1017" spans="1:21" x14ac:dyDescent="0.2">
      <c r="A1017" s="3">
        <v>1016</v>
      </c>
      <c r="B1017" s="1" t="s">
        <v>4875</v>
      </c>
      <c r="D1017" s="1" t="s">
        <v>4876</v>
      </c>
      <c r="F1017" s="1" t="s">
        <v>4880</v>
      </c>
      <c r="H1017" s="1" t="s">
        <v>4881</v>
      </c>
      <c r="L1017" s="1" t="s">
        <v>4497</v>
      </c>
      <c r="M1017" s="1" t="s">
        <v>4498</v>
      </c>
      <c r="N1017" s="1" t="s">
        <v>5976</v>
      </c>
      <c r="P1017" s="1" t="s">
        <v>9632</v>
      </c>
      <c r="Q1017" s="30" t="s">
        <v>2565</v>
      </c>
      <c r="R1017" s="33" t="s">
        <v>3473</v>
      </c>
      <c r="S1017">
        <v>37</v>
      </c>
      <c r="T1017" s="1" t="s">
        <v>13878</v>
      </c>
      <c r="U1017" s="1" t="str">
        <f>HYPERLINK("http://ictvonline.org/taxonomy/p/taxonomy-history?taxnode_id=202110113","ICTVonline=202110113")</f>
        <v>ICTVonline=202110113</v>
      </c>
    </row>
    <row r="1018" spans="1:21" x14ac:dyDescent="0.2">
      <c r="A1018" s="3">
        <v>1017</v>
      </c>
      <c r="B1018" s="1" t="s">
        <v>4875</v>
      </c>
      <c r="D1018" s="1" t="s">
        <v>4876</v>
      </c>
      <c r="F1018" s="1" t="s">
        <v>4880</v>
      </c>
      <c r="H1018" s="1" t="s">
        <v>4881</v>
      </c>
      <c r="L1018" s="1" t="s">
        <v>4497</v>
      </c>
      <c r="M1018" s="1" t="s">
        <v>4498</v>
      </c>
      <c r="N1018" s="1" t="s">
        <v>5977</v>
      </c>
      <c r="P1018" s="1" t="s">
        <v>9633</v>
      </c>
      <c r="Q1018" s="30" t="s">
        <v>2565</v>
      </c>
      <c r="R1018" s="33" t="s">
        <v>3473</v>
      </c>
      <c r="S1018">
        <v>37</v>
      </c>
      <c r="T1018" s="1" t="s">
        <v>13878</v>
      </c>
      <c r="U1018" s="1" t="str">
        <f>HYPERLINK("http://ictvonline.org/taxonomy/p/taxonomy-history?taxnode_id=202110117","ICTVonline=202110117")</f>
        <v>ICTVonline=202110117</v>
      </c>
    </row>
    <row r="1019" spans="1:21" x14ac:dyDescent="0.2">
      <c r="A1019" s="3">
        <v>1018</v>
      </c>
      <c r="B1019" s="1" t="s">
        <v>4875</v>
      </c>
      <c r="D1019" s="1" t="s">
        <v>4876</v>
      </c>
      <c r="F1019" s="1" t="s">
        <v>4880</v>
      </c>
      <c r="H1019" s="1" t="s">
        <v>4881</v>
      </c>
      <c r="L1019" s="1" t="s">
        <v>4497</v>
      </c>
      <c r="M1019" s="1" t="s">
        <v>4498</v>
      </c>
      <c r="N1019" s="1" t="s">
        <v>5978</v>
      </c>
      <c r="P1019" s="1" t="s">
        <v>9634</v>
      </c>
      <c r="Q1019" s="30" t="s">
        <v>2565</v>
      </c>
      <c r="R1019" s="33" t="s">
        <v>3473</v>
      </c>
      <c r="S1019">
        <v>37</v>
      </c>
      <c r="T1019" s="1" t="s">
        <v>13878</v>
      </c>
      <c r="U1019" s="1" t="str">
        <f>HYPERLINK("http://ictvonline.org/taxonomy/p/taxonomy-history?taxnode_id=202110111","ICTVonline=202110111")</f>
        <v>ICTVonline=202110111</v>
      </c>
    </row>
    <row r="1020" spans="1:21" x14ac:dyDescent="0.2">
      <c r="A1020" s="3">
        <v>1019</v>
      </c>
      <c r="B1020" s="1" t="s">
        <v>4875</v>
      </c>
      <c r="D1020" s="1" t="s">
        <v>4876</v>
      </c>
      <c r="F1020" s="1" t="s">
        <v>4880</v>
      </c>
      <c r="H1020" s="1" t="s">
        <v>4881</v>
      </c>
      <c r="L1020" s="1" t="s">
        <v>4497</v>
      </c>
      <c r="M1020" s="1" t="s">
        <v>4498</v>
      </c>
      <c r="N1020" s="1" t="s">
        <v>5979</v>
      </c>
      <c r="P1020" s="1" t="s">
        <v>9635</v>
      </c>
      <c r="Q1020" s="30" t="s">
        <v>2565</v>
      </c>
      <c r="R1020" s="33" t="s">
        <v>3473</v>
      </c>
      <c r="S1020">
        <v>37</v>
      </c>
      <c r="T1020" s="1" t="s">
        <v>13878</v>
      </c>
      <c r="U1020" s="1" t="str">
        <f>HYPERLINK("http://ictvonline.org/taxonomy/p/taxonomy-history?taxnode_id=202110115","ICTVonline=202110115")</f>
        <v>ICTVonline=202110115</v>
      </c>
    </row>
    <row r="1021" spans="1:21" x14ac:dyDescent="0.2">
      <c r="A1021" s="3">
        <v>1020</v>
      </c>
      <c r="B1021" s="1" t="s">
        <v>4875</v>
      </c>
      <c r="D1021" s="1" t="s">
        <v>4876</v>
      </c>
      <c r="F1021" s="1" t="s">
        <v>4880</v>
      </c>
      <c r="H1021" s="1" t="s">
        <v>4881</v>
      </c>
      <c r="L1021" s="1" t="s">
        <v>4497</v>
      </c>
      <c r="M1021" s="1" t="s">
        <v>4498</v>
      </c>
      <c r="N1021" s="1" t="s">
        <v>5980</v>
      </c>
      <c r="P1021" s="1" t="s">
        <v>9636</v>
      </c>
      <c r="Q1021" s="30" t="s">
        <v>2565</v>
      </c>
      <c r="R1021" s="33" t="s">
        <v>3473</v>
      </c>
      <c r="S1021">
        <v>37</v>
      </c>
      <c r="T1021" s="1" t="s">
        <v>13878</v>
      </c>
      <c r="U1021" s="1" t="str">
        <f>HYPERLINK("http://ictvonline.org/taxonomy/p/taxonomy-history?taxnode_id=202106963","ICTVonline=202106963")</f>
        <v>ICTVonline=202106963</v>
      </c>
    </row>
    <row r="1022" spans="1:21" x14ac:dyDescent="0.2">
      <c r="A1022" s="3">
        <v>1021</v>
      </c>
      <c r="B1022" s="1" t="s">
        <v>4875</v>
      </c>
      <c r="D1022" s="1" t="s">
        <v>4876</v>
      </c>
      <c r="F1022" s="1" t="s">
        <v>4880</v>
      </c>
      <c r="H1022" s="1" t="s">
        <v>4881</v>
      </c>
      <c r="L1022" s="1" t="s">
        <v>4497</v>
      </c>
      <c r="M1022" s="1" t="s">
        <v>4498</v>
      </c>
      <c r="N1022" s="1" t="s">
        <v>5981</v>
      </c>
      <c r="P1022" s="1" t="s">
        <v>9637</v>
      </c>
      <c r="Q1022" s="30" t="s">
        <v>2565</v>
      </c>
      <c r="R1022" s="33" t="s">
        <v>3473</v>
      </c>
      <c r="S1022">
        <v>37</v>
      </c>
      <c r="T1022" s="1" t="s">
        <v>13878</v>
      </c>
      <c r="U1022" s="1" t="str">
        <f>HYPERLINK("http://ictvonline.org/taxonomy/p/taxonomy-history?taxnode_id=202106964","ICTVonline=202106964")</f>
        <v>ICTVonline=202106964</v>
      </c>
    </row>
    <row r="1023" spans="1:21" x14ac:dyDescent="0.2">
      <c r="A1023" s="3">
        <v>1022</v>
      </c>
      <c r="B1023" s="1" t="s">
        <v>4875</v>
      </c>
      <c r="D1023" s="1" t="s">
        <v>4876</v>
      </c>
      <c r="F1023" s="1" t="s">
        <v>4880</v>
      </c>
      <c r="H1023" s="1" t="s">
        <v>4881</v>
      </c>
      <c r="L1023" s="1" t="s">
        <v>4497</v>
      </c>
      <c r="M1023" s="1" t="s">
        <v>4498</v>
      </c>
      <c r="N1023" s="1" t="s">
        <v>4558</v>
      </c>
      <c r="P1023" s="1" t="s">
        <v>9638</v>
      </c>
      <c r="Q1023" s="30" t="s">
        <v>2565</v>
      </c>
      <c r="R1023" s="33" t="s">
        <v>3473</v>
      </c>
      <c r="S1023">
        <v>37</v>
      </c>
      <c r="T1023" s="1" t="s">
        <v>13878</v>
      </c>
      <c r="U1023" s="1" t="str">
        <f>HYPERLINK("http://ictvonline.org/taxonomy/p/taxonomy-history?taxnode_id=202100461","ICTVonline=202100461")</f>
        <v>ICTVonline=202100461</v>
      </c>
    </row>
    <row r="1024" spans="1:21" x14ac:dyDescent="0.2">
      <c r="A1024" s="3">
        <v>1023</v>
      </c>
      <c r="B1024" s="1" t="s">
        <v>4875</v>
      </c>
      <c r="D1024" s="1" t="s">
        <v>4876</v>
      </c>
      <c r="F1024" s="1" t="s">
        <v>4880</v>
      </c>
      <c r="H1024" s="1" t="s">
        <v>4881</v>
      </c>
      <c r="L1024" s="1" t="s">
        <v>4497</v>
      </c>
      <c r="M1024" s="1" t="s">
        <v>4498</v>
      </c>
      <c r="N1024" s="1" t="s">
        <v>4558</v>
      </c>
      <c r="P1024" s="1" t="s">
        <v>9639</v>
      </c>
      <c r="Q1024" s="30" t="s">
        <v>2565</v>
      </c>
      <c r="R1024" s="33" t="s">
        <v>3473</v>
      </c>
      <c r="S1024">
        <v>37</v>
      </c>
      <c r="T1024" s="1" t="s">
        <v>13878</v>
      </c>
      <c r="U1024" s="1" t="str">
        <f>HYPERLINK("http://ictvonline.org/taxonomy/p/taxonomy-history?taxnode_id=202100462","ICTVonline=202100462")</f>
        <v>ICTVonline=202100462</v>
      </c>
    </row>
    <row r="1025" spans="1:21" x14ac:dyDescent="0.2">
      <c r="A1025" s="3">
        <v>1024</v>
      </c>
      <c r="B1025" s="1" t="s">
        <v>4875</v>
      </c>
      <c r="D1025" s="1" t="s">
        <v>4876</v>
      </c>
      <c r="F1025" s="1" t="s">
        <v>4880</v>
      </c>
      <c r="H1025" s="1" t="s">
        <v>4881</v>
      </c>
      <c r="L1025" s="1" t="s">
        <v>4497</v>
      </c>
      <c r="M1025" s="1" t="s">
        <v>4498</v>
      </c>
      <c r="N1025" s="1" t="s">
        <v>4558</v>
      </c>
      <c r="P1025" s="1" t="s">
        <v>9640</v>
      </c>
      <c r="Q1025" s="30" t="s">
        <v>2565</v>
      </c>
      <c r="R1025" s="33" t="s">
        <v>3473</v>
      </c>
      <c r="S1025">
        <v>37</v>
      </c>
      <c r="T1025" s="1" t="s">
        <v>13878</v>
      </c>
      <c r="U1025" s="1" t="str">
        <f>HYPERLINK("http://ictvonline.org/taxonomy/p/taxonomy-history?taxnode_id=202100463","ICTVonline=202100463")</f>
        <v>ICTVonline=202100463</v>
      </c>
    </row>
    <row r="1026" spans="1:21" x14ac:dyDescent="0.2">
      <c r="A1026" s="3">
        <v>1025</v>
      </c>
      <c r="B1026" s="1" t="s">
        <v>4875</v>
      </c>
      <c r="D1026" s="1" t="s">
        <v>4876</v>
      </c>
      <c r="F1026" s="1" t="s">
        <v>4880</v>
      </c>
      <c r="H1026" s="1" t="s">
        <v>4881</v>
      </c>
      <c r="L1026" s="1" t="s">
        <v>4497</v>
      </c>
      <c r="M1026" s="1" t="s">
        <v>4498</v>
      </c>
      <c r="N1026" s="1" t="s">
        <v>4572</v>
      </c>
      <c r="P1026" s="1" t="s">
        <v>9641</v>
      </c>
      <c r="Q1026" s="30" t="s">
        <v>2565</v>
      </c>
      <c r="R1026" s="33" t="s">
        <v>3473</v>
      </c>
      <c r="S1026">
        <v>37</v>
      </c>
      <c r="T1026" s="1" t="s">
        <v>13878</v>
      </c>
      <c r="U1026" s="1" t="str">
        <f>HYPERLINK("http://ictvonline.org/taxonomy/p/taxonomy-history?taxnode_id=202106989","ICTVonline=202106989")</f>
        <v>ICTVonline=202106989</v>
      </c>
    </row>
    <row r="1027" spans="1:21" x14ac:dyDescent="0.2">
      <c r="A1027" s="3">
        <v>1026</v>
      </c>
      <c r="B1027" s="1" t="s">
        <v>4875</v>
      </c>
      <c r="D1027" s="1" t="s">
        <v>4876</v>
      </c>
      <c r="F1027" s="1" t="s">
        <v>4880</v>
      </c>
      <c r="H1027" s="1" t="s">
        <v>4881</v>
      </c>
      <c r="L1027" s="1" t="s">
        <v>4497</v>
      </c>
      <c r="M1027" s="1" t="s">
        <v>4498</v>
      </c>
      <c r="N1027" s="1" t="s">
        <v>5982</v>
      </c>
      <c r="P1027" s="1" t="s">
        <v>9642</v>
      </c>
      <c r="Q1027" s="30" t="s">
        <v>2565</v>
      </c>
      <c r="R1027" s="33" t="s">
        <v>3473</v>
      </c>
      <c r="S1027">
        <v>37</v>
      </c>
      <c r="T1027" s="1" t="s">
        <v>13878</v>
      </c>
      <c r="U1027" s="1" t="str">
        <f>HYPERLINK("http://ictvonline.org/taxonomy/p/taxonomy-history?taxnode_id=202106965","ICTVonline=202106965")</f>
        <v>ICTVonline=202106965</v>
      </c>
    </row>
    <row r="1028" spans="1:21" x14ac:dyDescent="0.2">
      <c r="A1028" s="3">
        <v>1027</v>
      </c>
      <c r="B1028" s="1" t="s">
        <v>4875</v>
      </c>
      <c r="D1028" s="1" t="s">
        <v>4876</v>
      </c>
      <c r="F1028" s="1" t="s">
        <v>4880</v>
      </c>
      <c r="H1028" s="1" t="s">
        <v>4881</v>
      </c>
      <c r="L1028" s="1" t="s">
        <v>4497</v>
      </c>
      <c r="M1028" s="1" t="s">
        <v>4498</v>
      </c>
      <c r="N1028" s="1" t="s">
        <v>3182</v>
      </c>
      <c r="P1028" s="1" t="s">
        <v>9643</v>
      </c>
      <c r="Q1028" s="30" t="s">
        <v>2565</v>
      </c>
      <c r="R1028" s="33" t="s">
        <v>3473</v>
      </c>
      <c r="S1028">
        <v>37</v>
      </c>
      <c r="T1028" s="1" t="s">
        <v>13878</v>
      </c>
      <c r="U1028" s="1" t="str">
        <f>HYPERLINK("http://ictvonline.org/taxonomy/p/taxonomy-history?taxnode_id=202100270","ICTVonline=202100270")</f>
        <v>ICTVonline=202100270</v>
      </c>
    </row>
    <row r="1029" spans="1:21" x14ac:dyDescent="0.2">
      <c r="A1029" s="3">
        <v>1028</v>
      </c>
      <c r="B1029" s="1" t="s">
        <v>4875</v>
      </c>
      <c r="D1029" s="1" t="s">
        <v>4876</v>
      </c>
      <c r="F1029" s="1" t="s">
        <v>4880</v>
      </c>
      <c r="H1029" s="1" t="s">
        <v>4881</v>
      </c>
      <c r="L1029" s="1" t="s">
        <v>4497</v>
      </c>
      <c r="M1029" s="1" t="s">
        <v>4498</v>
      </c>
      <c r="N1029" s="1" t="s">
        <v>3182</v>
      </c>
      <c r="P1029" s="1" t="s">
        <v>9644</v>
      </c>
      <c r="Q1029" s="30" t="s">
        <v>2565</v>
      </c>
      <c r="R1029" s="33" t="s">
        <v>3473</v>
      </c>
      <c r="S1029">
        <v>37</v>
      </c>
      <c r="T1029" s="1" t="s">
        <v>13878</v>
      </c>
      <c r="U1029" s="1" t="str">
        <f>HYPERLINK("http://ictvonline.org/taxonomy/p/taxonomy-history?taxnode_id=202100271","ICTVonline=202100271")</f>
        <v>ICTVonline=202100271</v>
      </c>
    </row>
    <row r="1030" spans="1:21" x14ac:dyDescent="0.2">
      <c r="A1030" s="3">
        <v>1029</v>
      </c>
      <c r="B1030" s="1" t="s">
        <v>4875</v>
      </c>
      <c r="D1030" s="1" t="s">
        <v>4876</v>
      </c>
      <c r="F1030" s="1" t="s">
        <v>4880</v>
      </c>
      <c r="H1030" s="1" t="s">
        <v>4881</v>
      </c>
      <c r="L1030" s="1" t="s">
        <v>4497</v>
      </c>
      <c r="M1030" s="1" t="s">
        <v>4498</v>
      </c>
      <c r="N1030" s="1" t="s">
        <v>2597</v>
      </c>
      <c r="P1030" s="1" t="s">
        <v>9645</v>
      </c>
      <c r="Q1030" s="30" t="s">
        <v>2565</v>
      </c>
      <c r="R1030" s="33" t="s">
        <v>3473</v>
      </c>
      <c r="S1030">
        <v>37</v>
      </c>
      <c r="T1030" s="1" t="s">
        <v>13878</v>
      </c>
      <c r="U1030" s="1" t="str">
        <f>HYPERLINK("http://ictvonline.org/taxonomy/p/taxonomy-history?taxnode_id=202100536","ICTVonline=202100536")</f>
        <v>ICTVonline=202100536</v>
      </c>
    </row>
    <row r="1031" spans="1:21" x14ac:dyDescent="0.2">
      <c r="A1031" s="3">
        <v>1030</v>
      </c>
      <c r="B1031" s="1" t="s">
        <v>4875</v>
      </c>
      <c r="D1031" s="1" t="s">
        <v>4876</v>
      </c>
      <c r="F1031" s="1" t="s">
        <v>4880</v>
      </c>
      <c r="H1031" s="1" t="s">
        <v>4881</v>
      </c>
      <c r="L1031" s="1" t="s">
        <v>4497</v>
      </c>
      <c r="M1031" s="1" t="s">
        <v>4498</v>
      </c>
      <c r="N1031" s="1" t="s">
        <v>2597</v>
      </c>
      <c r="P1031" s="1" t="s">
        <v>9646</v>
      </c>
      <c r="Q1031" s="30" t="s">
        <v>2565</v>
      </c>
      <c r="R1031" s="33" t="s">
        <v>3473</v>
      </c>
      <c r="S1031">
        <v>37</v>
      </c>
      <c r="T1031" s="1" t="s">
        <v>13878</v>
      </c>
      <c r="U1031" s="1" t="str">
        <f>HYPERLINK("http://ictvonline.org/taxonomy/p/taxonomy-history?taxnode_id=202106962","ICTVonline=202106962")</f>
        <v>ICTVonline=202106962</v>
      </c>
    </row>
    <row r="1032" spans="1:21" x14ac:dyDescent="0.2">
      <c r="A1032" s="3">
        <v>1031</v>
      </c>
      <c r="B1032" s="1" t="s">
        <v>4875</v>
      </c>
      <c r="D1032" s="1" t="s">
        <v>4876</v>
      </c>
      <c r="F1032" s="1" t="s">
        <v>4880</v>
      </c>
      <c r="H1032" s="1" t="s">
        <v>4881</v>
      </c>
      <c r="L1032" s="1" t="s">
        <v>4497</v>
      </c>
      <c r="M1032" s="1" t="s">
        <v>4498</v>
      </c>
      <c r="N1032" s="1" t="s">
        <v>2597</v>
      </c>
      <c r="P1032" s="1" t="s">
        <v>9647</v>
      </c>
      <c r="Q1032" s="30" t="s">
        <v>2565</v>
      </c>
      <c r="R1032" s="33" t="s">
        <v>3473</v>
      </c>
      <c r="S1032">
        <v>37</v>
      </c>
      <c r="T1032" s="1" t="s">
        <v>13878</v>
      </c>
      <c r="U1032" s="1" t="str">
        <f>HYPERLINK("http://ictvonline.org/taxonomy/p/taxonomy-history?taxnode_id=202100537","ICTVonline=202100537")</f>
        <v>ICTVonline=202100537</v>
      </c>
    </row>
    <row r="1033" spans="1:21" x14ac:dyDescent="0.2">
      <c r="A1033" s="3">
        <v>1032</v>
      </c>
      <c r="B1033" s="1" t="s">
        <v>4875</v>
      </c>
      <c r="D1033" s="1" t="s">
        <v>4876</v>
      </c>
      <c r="F1033" s="1" t="s">
        <v>4880</v>
      </c>
      <c r="H1033" s="1" t="s">
        <v>4881</v>
      </c>
      <c r="L1033" s="1" t="s">
        <v>4497</v>
      </c>
      <c r="M1033" s="1" t="s">
        <v>4498</v>
      </c>
      <c r="N1033" s="1" t="s">
        <v>2597</v>
      </c>
      <c r="P1033" s="1" t="s">
        <v>9648</v>
      </c>
      <c r="Q1033" s="30" t="s">
        <v>2565</v>
      </c>
      <c r="R1033" s="33" t="s">
        <v>3473</v>
      </c>
      <c r="S1033">
        <v>37</v>
      </c>
      <c r="T1033" s="1" t="s">
        <v>13878</v>
      </c>
      <c r="U1033" s="1" t="str">
        <f>HYPERLINK("http://ictvonline.org/taxonomy/p/taxonomy-history?taxnode_id=202100538","ICTVonline=202100538")</f>
        <v>ICTVonline=202100538</v>
      </c>
    </row>
    <row r="1034" spans="1:21" x14ac:dyDescent="0.2">
      <c r="A1034" s="3">
        <v>1033</v>
      </c>
      <c r="B1034" s="1" t="s">
        <v>4875</v>
      </c>
      <c r="D1034" s="1" t="s">
        <v>4876</v>
      </c>
      <c r="F1034" s="1" t="s">
        <v>4880</v>
      </c>
      <c r="H1034" s="1" t="s">
        <v>4881</v>
      </c>
      <c r="L1034" s="1" t="s">
        <v>4497</v>
      </c>
      <c r="M1034" s="1" t="s">
        <v>4498</v>
      </c>
      <c r="N1034" s="1" t="s">
        <v>2597</v>
      </c>
      <c r="P1034" s="1" t="s">
        <v>9649</v>
      </c>
      <c r="Q1034" s="30" t="s">
        <v>2565</v>
      </c>
      <c r="R1034" s="33" t="s">
        <v>3473</v>
      </c>
      <c r="S1034">
        <v>37</v>
      </c>
      <c r="T1034" s="1" t="s">
        <v>13878</v>
      </c>
      <c r="U1034" s="1" t="str">
        <f>HYPERLINK("http://ictvonline.org/taxonomy/p/taxonomy-history?taxnode_id=202100539","ICTVonline=202100539")</f>
        <v>ICTVonline=202100539</v>
      </c>
    </row>
    <row r="1035" spans="1:21" x14ac:dyDescent="0.2">
      <c r="A1035" s="3">
        <v>1034</v>
      </c>
      <c r="B1035" s="1" t="s">
        <v>4875</v>
      </c>
      <c r="D1035" s="1" t="s">
        <v>4876</v>
      </c>
      <c r="F1035" s="1" t="s">
        <v>4880</v>
      </c>
      <c r="H1035" s="1" t="s">
        <v>4881</v>
      </c>
      <c r="L1035" s="1" t="s">
        <v>4497</v>
      </c>
      <c r="M1035" s="1" t="s">
        <v>4500</v>
      </c>
      <c r="N1035" s="1" t="s">
        <v>4501</v>
      </c>
      <c r="P1035" s="1" t="s">
        <v>9650</v>
      </c>
      <c r="Q1035" s="30" t="s">
        <v>2565</v>
      </c>
      <c r="R1035" s="33" t="s">
        <v>3473</v>
      </c>
      <c r="S1035">
        <v>37</v>
      </c>
      <c r="T1035" s="1" t="s">
        <v>13878</v>
      </c>
      <c r="U1035" s="1" t="str">
        <f>HYPERLINK("http://ictvonline.org/taxonomy/p/taxonomy-history?taxnode_id=202106968","ICTVonline=202106968")</f>
        <v>ICTVonline=202106968</v>
      </c>
    </row>
    <row r="1036" spans="1:21" x14ac:dyDescent="0.2">
      <c r="A1036" s="3">
        <v>1035</v>
      </c>
      <c r="B1036" s="1" t="s">
        <v>4875</v>
      </c>
      <c r="D1036" s="1" t="s">
        <v>4876</v>
      </c>
      <c r="F1036" s="1" t="s">
        <v>4880</v>
      </c>
      <c r="H1036" s="1" t="s">
        <v>4881</v>
      </c>
      <c r="L1036" s="1" t="s">
        <v>4497</v>
      </c>
      <c r="M1036" s="1" t="s">
        <v>4500</v>
      </c>
      <c r="N1036" s="1" t="s">
        <v>4501</v>
      </c>
      <c r="P1036" s="1" t="s">
        <v>9651</v>
      </c>
      <c r="Q1036" s="30" t="s">
        <v>2565</v>
      </c>
      <c r="R1036" s="33" t="s">
        <v>3473</v>
      </c>
      <c r="S1036">
        <v>37</v>
      </c>
      <c r="T1036" s="1" t="s">
        <v>13878</v>
      </c>
      <c r="U1036" s="1" t="str">
        <f>HYPERLINK("http://ictvonline.org/taxonomy/p/taxonomy-history?taxnode_id=202100275","ICTVonline=202100275")</f>
        <v>ICTVonline=202100275</v>
      </c>
    </row>
    <row r="1037" spans="1:21" x14ac:dyDescent="0.2">
      <c r="A1037" s="3">
        <v>1036</v>
      </c>
      <c r="B1037" s="1" t="s">
        <v>4875</v>
      </c>
      <c r="D1037" s="1" t="s">
        <v>4876</v>
      </c>
      <c r="F1037" s="1" t="s">
        <v>4880</v>
      </c>
      <c r="H1037" s="1" t="s">
        <v>4881</v>
      </c>
      <c r="L1037" s="1" t="s">
        <v>4497</v>
      </c>
      <c r="M1037" s="1" t="s">
        <v>4500</v>
      </c>
      <c r="N1037" s="1" t="s">
        <v>4501</v>
      </c>
      <c r="P1037" s="1" t="s">
        <v>9652</v>
      </c>
      <c r="Q1037" s="30" t="s">
        <v>2565</v>
      </c>
      <c r="R1037" s="33" t="s">
        <v>3473</v>
      </c>
      <c r="S1037">
        <v>37</v>
      </c>
      <c r="T1037" s="1" t="s">
        <v>13878</v>
      </c>
      <c r="U1037" s="1" t="str">
        <f>HYPERLINK("http://ictvonline.org/taxonomy/p/taxonomy-history?taxnode_id=202106969","ICTVonline=202106969")</f>
        <v>ICTVonline=202106969</v>
      </c>
    </row>
    <row r="1038" spans="1:21" x14ac:dyDescent="0.2">
      <c r="A1038" s="3">
        <v>1037</v>
      </c>
      <c r="B1038" s="1" t="s">
        <v>4875</v>
      </c>
      <c r="D1038" s="1" t="s">
        <v>4876</v>
      </c>
      <c r="F1038" s="1" t="s">
        <v>4880</v>
      </c>
      <c r="H1038" s="1" t="s">
        <v>4881</v>
      </c>
      <c r="L1038" s="1" t="s">
        <v>4497</v>
      </c>
      <c r="M1038" s="1" t="s">
        <v>4500</v>
      </c>
      <c r="N1038" s="1" t="s">
        <v>5064</v>
      </c>
      <c r="P1038" s="1" t="s">
        <v>9653</v>
      </c>
      <c r="Q1038" s="30" t="s">
        <v>2565</v>
      </c>
      <c r="R1038" s="33" t="s">
        <v>3473</v>
      </c>
      <c r="S1038">
        <v>37</v>
      </c>
      <c r="T1038" s="1" t="s">
        <v>13878</v>
      </c>
      <c r="U1038" s="1" t="str">
        <f>HYPERLINK("http://ictvonline.org/taxonomy/p/taxonomy-history?taxnode_id=202106970","ICTVonline=202106970")</f>
        <v>ICTVonline=202106970</v>
      </c>
    </row>
    <row r="1039" spans="1:21" x14ac:dyDescent="0.2">
      <c r="A1039" s="3">
        <v>1038</v>
      </c>
      <c r="B1039" s="1" t="s">
        <v>4875</v>
      </c>
      <c r="D1039" s="1" t="s">
        <v>4876</v>
      </c>
      <c r="F1039" s="1" t="s">
        <v>4880</v>
      </c>
      <c r="H1039" s="1" t="s">
        <v>4881</v>
      </c>
      <c r="L1039" s="1" t="s">
        <v>4497</v>
      </c>
      <c r="M1039" s="1" t="s">
        <v>4500</v>
      </c>
      <c r="N1039" s="1" t="s">
        <v>5064</v>
      </c>
      <c r="P1039" s="1" t="s">
        <v>9654</v>
      </c>
      <c r="Q1039" s="30" t="s">
        <v>2565</v>
      </c>
      <c r="R1039" s="33" t="s">
        <v>3473</v>
      </c>
      <c r="S1039">
        <v>37</v>
      </c>
      <c r="T1039" s="1" t="s">
        <v>13878</v>
      </c>
      <c r="U1039" s="1" t="str">
        <f>HYPERLINK("http://ictvonline.org/taxonomy/p/taxonomy-history?taxnode_id=202107662","ICTVonline=202107662")</f>
        <v>ICTVonline=202107662</v>
      </c>
    </row>
    <row r="1040" spans="1:21" x14ac:dyDescent="0.2">
      <c r="A1040" s="3">
        <v>1039</v>
      </c>
      <c r="B1040" s="1" t="s">
        <v>4875</v>
      </c>
      <c r="D1040" s="1" t="s">
        <v>4876</v>
      </c>
      <c r="F1040" s="1" t="s">
        <v>4880</v>
      </c>
      <c r="H1040" s="1" t="s">
        <v>4881</v>
      </c>
      <c r="L1040" s="1" t="s">
        <v>4497</v>
      </c>
      <c r="M1040" s="1" t="s">
        <v>4500</v>
      </c>
      <c r="N1040" s="1" t="s">
        <v>5064</v>
      </c>
      <c r="P1040" s="1" t="s">
        <v>9655</v>
      </c>
      <c r="Q1040" s="30" t="s">
        <v>2565</v>
      </c>
      <c r="R1040" s="33" t="s">
        <v>3473</v>
      </c>
      <c r="S1040">
        <v>37</v>
      </c>
      <c r="T1040" s="1" t="s">
        <v>13878</v>
      </c>
      <c r="U1040" s="1" t="str">
        <f>HYPERLINK("http://ictvonline.org/taxonomy/p/taxonomy-history?taxnode_id=202107661","ICTVonline=202107661")</f>
        <v>ICTVonline=202107661</v>
      </c>
    </row>
    <row r="1041" spans="1:21" x14ac:dyDescent="0.2">
      <c r="A1041" s="3">
        <v>1040</v>
      </c>
      <c r="B1041" s="1" t="s">
        <v>4875</v>
      </c>
      <c r="D1041" s="1" t="s">
        <v>4876</v>
      </c>
      <c r="F1041" s="1" t="s">
        <v>4880</v>
      </c>
      <c r="H1041" s="1" t="s">
        <v>4881</v>
      </c>
      <c r="L1041" s="1" t="s">
        <v>4497</v>
      </c>
      <c r="M1041" s="1" t="s">
        <v>4502</v>
      </c>
      <c r="N1041" s="1" t="s">
        <v>4503</v>
      </c>
      <c r="P1041" s="1" t="s">
        <v>9656</v>
      </c>
      <c r="Q1041" s="30" t="s">
        <v>2565</v>
      </c>
      <c r="R1041" s="33" t="s">
        <v>3473</v>
      </c>
      <c r="S1041">
        <v>37</v>
      </c>
      <c r="T1041" s="1" t="s">
        <v>13878</v>
      </c>
      <c r="U1041" s="1" t="str">
        <f>HYPERLINK("http://ictvonline.org/taxonomy/p/taxonomy-history?taxnode_id=202100260","ICTVonline=202100260")</f>
        <v>ICTVonline=202100260</v>
      </c>
    </row>
    <row r="1042" spans="1:21" x14ac:dyDescent="0.2">
      <c r="A1042" s="3">
        <v>1041</v>
      </c>
      <c r="B1042" s="1" t="s">
        <v>4875</v>
      </c>
      <c r="D1042" s="1" t="s">
        <v>4876</v>
      </c>
      <c r="F1042" s="1" t="s">
        <v>4880</v>
      </c>
      <c r="H1042" s="1" t="s">
        <v>4881</v>
      </c>
      <c r="L1042" s="1" t="s">
        <v>4497</v>
      </c>
      <c r="M1042" s="1" t="s">
        <v>4502</v>
      </c>
      <c r="N1042" s="1" t="s">
        <v>4503</v>
      </c>
      <c r="P1042" s="1" t="s">
        <v>9657</v>
      </c>
      <c r="Q1042" s="30" t="s">
        <v>2565</v>
      </c>
      <c r="R1042" s="33" t="s">
        <v>3473</v>
      </c>
      <c r="S1042">
        <v>37</v>
      </c>
      <c r="T1042" s="1" t="s">
        <v>13878</v>
      </c>
      <c r="U1042" s="1" t="str">
        <f>HYPERLINK("http://ictvonline.org/taxonomy/p/taxonomy-history?taxnode_id=202106979","ICTVonline=202106979")</f>
        <v>ICTVonline=202106979</v>
      </c>
    </row>
    <row r="1043" spans="1:21" x14ac:dyDescent="0.2">
      <c r="A1043" s="3">
        <v>1042</v>
      </c>
      <c r="B1043" s="1" t="s">
        <v>4875</v>
      </c>
      <c r="D1043" s="1" t="s">
        <v>4876</v>
      </c>
      <c r="F1043" s="1" t="s">
        <v>4880</v>
      </c>
      <c r="H1043" s="1" t="s">
        <v>4881</v>
      </c>
      <c r="L1043" s="1" t="s">
        <v>4497</v>
      </c>
      <c r="M1043" s="1" t="s">
        <v>4502</v>
      </c>
      <c r="N1043" s="1" t="s">
        <v>4503</v>
      </c>
      <c r="P1043" s="1" t="s">
        <v>9658</v>
      </c>
      <c r="Q1043" s="30" t="s">
        <v>2565</v>
      </c>
      <c r="R1043" s="33" t="s">
        <v>3473</v>
      </c>
      <c r="S1043">
        <v>37</v>
      </c>
      <c r="T1043" s="1" t="s">
        <v>13878</v>
      </c>
      <c r="U1043" s="1" t="str">
        <f>HYPERLINK("http://ictvonline.org/taxonomy/p/taxonomy-history?taxnode_id=202106972","ICTVonline=202106972")</f>
        <v>ICTVonline=202106972</v>
      </c>
    </row>
    <row r="1044" spans="1:21" x14ac:dyDescent="0.2">
      <c r="A1044" s="3">
        <v>1043</v>
      </c>
      <c r="B1044" s="1" t="s">
        <v>4875</v>
      </c>
      <c r="D1044" s="1" t="s">
        <v>4876</v>
      </c>
      <c r="F1044" s="1" t="s">
        <v>4880</v>
      </c>
      <c r="H1044" s="1" t="s">
        <v>4881</v>
      </c>
      <c r="L1044" s="1" t="s">
        <v>4497</v>
      </c>
      <c r="M1044" s="1" t="s">
        <v>4502</v>
      </c>
      <c r="N1044" s="1" t="s">
        <v>4503</v>
      </c>
      <c r="P1044" s="1" t="s">
        <v>9659</v>
      </c>
      <c r="Q1044" s="30" t="s">
        <v>2565</v>
      </c>
      <c r="R1044" s="33" t="s">
        <v>3473</v>
      </c>
      <c r="S1044">
        <v>37</v>
      </c>
      <c r="T1044" s="1" t="s">
        <v>13878</v>
      </c>
      <c r="U1044" s="1" t="str">
        <f>HYPERLINK("http://ictvonline.org/taxonomy/p/taxonomy-history?taxnode_id=202106973","ICTVonline=202106973")</f>
        <v>ICTVonline=202106973</v>
      </c>
    </row>
    <row r="1045" spans="1:21" x14ac:dyDescent="0.2">
      <c r="A1045" s="3">
        <v>1044</v>
      </c>
      <c r="B1045" s="1" t="s">
        <v>4875</v>
      </c>
      <c r="D1045" s="1" t="s">
        <v>4876</v>
      </c>
      <c r="F1045" s="1" t="s">
        <v>4880</v>
      </c>
      <c r="H1045" s="1" t="s">
        <v>4881</v>
      </c>
      <c r="L1045" s="1" t="s">
        <v>4497</v>
      </c>
      <c r="M1045" s="1" t="s">
        <v>4502</v>
      </c>
      <c r="N1045" s="1" t="s">
        <v>4503</v>
      </c>
      <c r="P1045" s="1" t="s">
        <v>9660</v>
      </c>
      <c r="Q1045" s="30" t="s">
        <v>2565</v>
      </c>
      <c r="R1045" s="33" t="s">
        <v>3473</v>
      </c>
      <c r="S1045">
        <v>37</v>
      </c>
      <c r="T1045" s="1" t="s">
        <v>13878</v>
      </c>
      <c r="U1045" s="1" t="str">
        <f>HYPERLINK("http://ictvonline.org/taxonomy/p/taxonomy-history?taxnode_id=202106975","ICTVonline=202106975")</f>
        <v>ICTVonline=202106975</v>
      </c>
    </row>
    <row r="1046" spans="1:21" x14ac:dyDescent="0.2">
      <c r="A1046" s="3">
        <v>1045</v>
      </c>
      <c r="B1046" s="1" t="s">
        <v>4875</v>
      </c>
      <c r="D1046" s="1" t="s">
        <v>4876</v>
      </c>
      <c r="F1046" s="1" t="s">
        <v>4880</v>
      </c>
      <c r="H1046" s="1" t="s">
        <v>4881</v>
      </c>
      <c r="L1046" s="1" t="s">
        <v>4497</v>
      </c>
      <c r="M1046" s="1" t="s">
        <v>4502</v>
      </c>
      <c r="N1046" s="1" t="s">
        <v>4503</v>
      </c>
      <c r="P1046" s="1" t="s">
        <v>9661</v>
      </c>
      <c r="Q1046" s="30" t="s">
        <v>2565</v>
      </c>
      <c r="R1046" s="33" t="s">
        <v>3473</v>
      </c>
      <c r="S1046">
        <v>37</v>
      </c>
      <c r="T1046" s="1" t="s">
        <v>13878</v>
      </c>
      <c r="U1046" s="1" t="str">
        <f>HYPERLINK("http://ictvonline.org/taxonomy/p/taxonomy-history?taxnode_id=202106974","ICTVonline=202106974")</f>
        <v>ICTVonline=202106974</v>
      </c>
    </row>
    <row r="1047" spans="1:21" x14ac:dyDescent="0.2">
      <c r="A1047" s="3">
        <v>1046</v>
      </c>
      <c r="B1047" s="1" t="s">
        <v>4875</v>
      </c>
      <c r="D1047" s="1" t="s">
        <v>4876</v>
      </c>
      <c r="F1047" s="1" t="s">
        <v>4880</v>
      </c>
      <c r="H1047" s="1" t="s">
        <v>4881</v>
      </c>
      <c r="L1047" s="1" t="s">
        <v>4497</v>
      </c>
      <c r="M1047" s="1" t="s">
        <v>4502</v>
      </c>
      <c r="N1047" s="1" t="s">
        <v>4503</v>
      </c>
      <c r="P1047" s="1" t="s">
        <v>9662</v>
      </c>
      <c r="Q1047" s="30" t="s">
        <v>2565</v>
      </c>
      <c r="R1047" s="33" t="s">
        <v>3473</v>
      </c>
      <c r="S1047">
        <v>37</v>
      </c>
      <c r="T1047" s="1" t="s">
        <v>13878</v>
      </c>
      <c r="U1047" s="1" t="str">
        <f>HYPERLINK("http://ictvonline.org/taxonomy/p/taxonomy-history?taxnode_id=202106976","ICTVonline=202106976")</f>
        <v>ICTVonline=202106976</v>
      </c>
    </row>
    <row r="1048" spans="1:21" x14ac:dyDescent="0.2">
      <c r="A1048" s="3">
        <v>1047</v>
      </c>
      <c r="B1048" s="1" t="s">
        <v>4875</v>
      </c>
      <c r="D1048" s="1" t="s">
        <v>4876</v>
      </c>
      <c r="F1048" s="1" t="s">
        <v>4880</v>
      </c>
      <c r="H1048" s="1" t="s">
        <v>4881</v>
      </c>
      <c r="L1048" s="1" t="s">
        <v>4497</v>
      </c>
      <c r="M1048" s="1" t="s">
        <v>4502</v>
      </c>
      <c r="N1048" s="1" t="s">
        <v>4503</v>
      </c>
      <c r="P1048" s="1" t="s">
        <v>9663</v>
      </c>
      <c r="Q1048" s="30" t="s">
        <v>2565</v>
      </c>
      <c r="R1048" s="33" t="s">
        <v>3473</v>
      </c>
      <c r="S1048">
        <v>37</v>
      </c>
      <c r="T1048" s="1" t="s">
        <v>13878</v>
      </c>
      <c r="U1048" s="1" t="str">
        <f>HYPERLINK("http://ictvonline.org/taxonomy/p/taxonomy-history?taxnode_id=202106977","ICTVonline=202106977")</f>
        <v>ICTVonline=202106977</v>
      </c>
    </row>
    <row r="1049" spans="1:21" x14ac:dyDescent="0.2">
      <c r="A1049" s="3">
        <v>1048</v>
      </c>
      <c r="B1049" s="1" t="s">
        <v>4875</v>
      </c>
      <c r="D1049" s="1" t="s">
        <v>4876</v>
      </c>
      <c r="F1049" s="1" t="s">
        <v>4880</v>
      </c>
      <c r="H1049" s="1" t="s">
        <v>4881</v>
      </c>
      <c r="L1049" s="1" t="s">
        <v>4497</v>
      </c>
      <c r="M1049" s="1" t="s">
        <v>4502</v>
      </c>
      <c r="N1049" s="1" t="s">
        <v>4503</v>
      </c>
      <c r="P1049" s="1" t="s">
        <v>9664</v>
      </c>
      <c r="Q1049" s="30" t="s">
        <v>2565</v>
      </c>
      <c r="R1049" s="33" t="s">
        <v>3473</v>
      </c>
      <c r="S1049">
        <v>37</v>
      </c>
      <c r="T1049" s="1" t="s">
        <v>13878</v>
      </c>
      <c r="U1049" s="1" t="str">
        <f>HYPERLINK("http://ictvonline.org/taxonomy/p/taxonomy-history?taxnode_id=202106978","ICTVonline=202106978")</f>
        <v>ICTVonline=202106978</v>
      </c>
    </row>
    <row r="1050" spans="1:21" x14ac:dyDescent="0.2">
      <c r="A1050" s="3">
        <v>1049</v>
      </c>
      <c r="B1050" s="1" t="s">
        <v>4875</v>
      </c>
      <c r="D1050" s="1" t="s">
        <v>4876</v>
      </c>
      <c r="F1050" s="1" t="s">
        <v>4880</v>
      </c>
      <c r="H1050" s="1" t="s">
        <v>4881</v>
      </c>
      <c r="L1050" s="1" t="s">
        <v>4497</v>
      </c>
      <c r="M1050" s="1" t="s">
        <v>4502</v>
      </c>
      <c r="N1050" s="1" t="s">
        <v>4503</v>
      </c>
      <c r="P1050" s="1" t="s">
        <v>9665</v>
      </c>
      <c r="Q1050" s="30" t="s">
        <v>2565</v>
      </c>
      <c r="R1050" s="33" t="s">
        <v>3473</v>
      </c>
      <c r="S1050">
        <v>37</v>
      </c>
      <c r="T1050" s="1" t="s">
        <v>13878</v>
      </c>
      <c r="U1050" s="1" t="str">
        <f>HYPERLINK("http://ictvonline.org/taxonomy/p/taxonomy-history?taxnode_id=202100261","ICTVonline=202100261")</f>
        <v>ICTVonline=202100261</v>
      </c>
    </row>
    <row r="1051" spans="1:21" x14ac:dyDescent="0.2">
      <c r="A1051" s="3">
        <v>1050</v>
      </c>
      <c r="B1051" s="1" t="s">
        <v>4875</v>
      </c>
      <c r="D1051" s="1" t="s">
        <v>4876</v>
      </c>
      <c r="F1051" s="1" t="s">
        <v>4880</v>
      </c>
      <c r="H1051" s="1" t="s">
        <v>4881</v>
      </c>
      <c r="L1051" s="1" t="s">
        <v>4497</v>
      </c>
      <c r="M1051" s="1" t="s">
        <v>4502</v>
      </c>
      <c r="N1051" s="1" t="s">
        <v>4503</v>
      </c>
      <c r="P1051" s="1" t="s">
        <v>9666</v>
      </c>
      <c r="Q1051" s="30" t="s">
        <v>2565</v>
      </c>
      <c r="R1051" s="33" t="s">
        <v>3473</v>
      </c>
      <c r="S1051">
        <v>37</v>
      </c>
      <c r="T1051" s="1" t="s">
        <v>13878</v>
      </c>
      <c r="U1051" s="1" t="str">
        <f>HYPERLINK("http://ictvonline.org/taxonomy/p/taxonomy-history?taxnode_id=202106980","ICTVonline=202106980")</f>
        <v>ICTVonline=202106980</v>
      </c>
    </row>
    <row r="1052" spans="1:21" x14ac:dyDescent="0.2">
      <c r="A1052" s="3">
        <v>1051</v>
      </c>
      <c r="B1052" s="1" t="s">
        <v>4875</v>
      </c>
      <c r="D1052" s="1" t="s">
        <v>4876</v>
      </c>
      <c r="F1052" s="1" t="s">
        <v>4880</v>
      </c>
      <c r="H1052" s="1" t="s">
        <v>4881</v>
      </c>
      <c r="L1052" s="1" t="s">
        <v>4497</v>
      </c>
      <c r="M1052" s="1" t="s">
        <v>1239</v>
      </c>
      <c r="N1052" s="1" t="s">
        <v>4504</v>
      </c>
      <c r="P1052" s="1" t="s">
        <v>9667</v>
      </c>
      <c r="Q1052" s="30" t="s">
        <v>2565</v>
      </c>
      <c r="R1052" s="33" t="s">
        <v>3473</v>
      </c>
      <c r="S1052">
        <v>37</v>
      </c>
      <c r="T1052" s="1" t="s">
        <v>13878</v>
      </c>
      <c r="U1052" s="1" t="str">
        <f>HYPERLINK("http://ictvonline.org/taxonomy/p/taxonomy-history?taxnode_id=202100267","ICTVonline=202100267")</f>
        <v>ICTVonline=202100267</v>
      </c>
    </row>
    <row r="1053" spans="1:21" x14ac:dyDescent="0.2">
      <c r="A1053" s="3">
        <v>1052</v>
      </c>
      <c r="B1053" s="1" t="s">
        <v>4875</v>
      </c>
      <c r="D1053" s="1" t="s">
        <v>4876</v>
      </c>
      <c r="F1053" s="1" t="s">
        <v>4880</v>
      </c>
      <c r="H1053" s="1" t="s">
        <v>4881</v>
      </c>
      <c r="L1053" s="1" t="s">
        <v>4497</v>
      </c>
      <c r="M1053" s="1" t="s">
        <v>1239</v>
      </c>
      <c r="N1053" s="1" t="s">
        <v>4504</v>
      </c>
      <c r="P1053" s="1" t="s">
        <v>9668</v>
      </c>
      <c r="Q1053" s="30" t="s">
        <v>2565</v>
      </c>
      <c r="R1053" s="33" t="s">
        <v>3473</v>
      </c>
      <c r="S1053">
        <v>37</v>
      </c>
      <c r="T1053" s="1" t="s">
        <v>13878</v>
      </c>
      <c r="U1053" s="1" t="str">
        <f>HYPERLINK("http://ictvonline.org/taxonomy/p/taxonomy-history?taxnode_id=202100268","ICTVonline=202100268")</f>
        <v>ICTVonline=202100268</v>
      </c>
    </row>
    <row r="1054" spans="1:21" x14ac:dyDescent="0.2">
      <c r="A1054" s="3">
        <v>1053</v>
      </c>
      <c r="B1054" s="1" t="s">
        <v>4875</v>
      </c>
      <c r="D1054" s="1" t="s">
        <v>4876</v>
      </c>
      <c r="F1054" s="1" t="s">
        <v>4880</v>
      </c>
      <c r="H1054" s="1" t="s">
        <v>4881</v>
      </c>
      <c r="L1054" s="1" t="s">
        <v>4497</v>
      </c>
      <c r="M1054" s="1" t="s">
        <v>1239</v>
      </c>
      <c r="N1054" s="1" t="s">
        <v>4573</v>
      </c>
      <c r="P1054" s="1" t="s">
        <v>9669</v>
      </c>
      <c r="Q1054" s="30" t="s">
        <v>2565</v>
      </c>
      <c r="R1054" s="33" t="s">
        <v>3473</v>
      </c>
      <c r="S1054">
        <v>37</v>
      </c>
      <c r="T1054" s="1" t="s">
        <v>13878</v>
      </c>
      <c r="U1054" s="1" t="str">
        <f>HYPERLINK("http://ictvonline.org/taxonomy/p/taxonomy-history?taxnode_id=202100425","ICTVonline=202100425")</f>
        <v>ICTVonline=202100425</v>
      </c>
    </row>
    <row r="1055" spans="1:21" x14ac:dyDescent="0.2">
      <c r="A1055" s="3">
        <v>1054</v>
      </c>
      <c r="B1055" s="1" t="s">
        <v>4875</v>
      </c>
      <c r="D1055" s="1" t="s">
        <v>4876</v>
      </c>
      <c r="F1055" s="1" t="s">
        <v>4880</v>
      </c>
      <c r="H1055" s="1" t="s">
        <v>4881</v>
      </c>
      <c r="L1055" s="1" t="s">
        <v>4497</v>
      </c>
      <c r="M1055" s="1" t="s">
        <v>1239</v>
      </c>
      <c r="N1055" s="1" t="s">
        <v>4573</v>
      </c>
      <c r="P1055" s="1" t="s">
        <v>9670</v>
      </c>
      <c r="Q1055" s="30" t="s">
        <v>2565</v>
      </c>
      <c r="R1055" s="33" t="s">
        <v>3473</v>
      </c>
      <c r="S1055">
        <v>37</v>
      </c>
      <c r="T1055" s="1" t="s">
        <v>13878</v>
      </c>
      <c r="U1055" s="1" t="str">
        <f>HYPERLINK("http://ictvonline.org/taxonomy/p/taxonomy-history?taxnode_id=202100426","ICTVonline=202100426")</f>
        <v>ICTVonline=202100426</v>
      </c>
    </row>
    <row r="1056" spans="1:21" x14ac:dyDescent="0.2">
      <c r="A1056" s="3">
        <v>1055</v>
      </c>
      <c r="B1056" s="1" t="s">
        <v>4875</v>
      </c>
      <c r="D1056" s="1" t="s">
        <v>4876</v>
      </c>
      <c r="F1056" s="1" t="s">
        <v>4880</v>
      </c>
      <c r="H1056" s="1" t="s">
        <v>4881</v>
      </c>
      <c r="L1056" s="1" t="s">
        <v>4497</v>
      </c>
      <c r="M1056" s="1" t="s">
        <v>1239</v>
      </c>
      <c r="N1056" s="1" t="s">
        <v>4573</v>
      </c>
      <c r="P1056" s="1" t="s">
        <v>9671</v>
      </c>
      <c r="Q1056" s="30" t="s">
        <v>2565</v>
      </c>
      <c r="R1056" s="33" t="s">
        <v>3473</v>
      </c>
      <c r="S1056">
        <v>37</v>
      </c>
      <c r="T1056" s="1" t="s">
        <v>13878</v>
      </c>
      <c r="U1056" s="1" t="str">
        <f>HYPERLINK("http://ictvonline.org/taxonomy/p/taxonomy-history?taxnode_id=202100427","ICTVonline=202100427")</f>
        <v>ICTVonline=202100427</v>
      </c>
    </row>
    <row r="1057" spans="1:21" x14ac:dyDescent="0.2">
      <c r="A1057" s="3">
        <v>1056</v>
      </c>
      <c r="B1057" s="1" t="s">
        <v>4875</v>
      </c>
      <c r="D1057" s="1" t="s">
        <v>4876</v>
      </c>
      <c r="F1057" s="1" t="s">
        <v>4880</v>
      </c>
      <c r="H1057" s="1" t="s">
        <v>4881</v>
      </c>
      <c r="L1057" s="1" t="s">
        <v>4497</v>
      </c>
      <c r="M1057" s="1" t="s">
        <v>4505</v>
      </c>
      <c r="N1057" s="1" t="s">
        <v>5065</v>
      </c>
      <c r="P1057" s="1" t="s">
        <v>9672</v>
      </c>
      <c r="Q1057" s="30" t="s">
        <v>2565</v>
      </c>
      <c r="R1057" s="33" t="s">
        <v>3473</v>
      </c>
      <c r="S1057">
        <v>37</v>
      </c>
      <c r="T1057" s="1" t="s">
        <v>13878</v>
      </c>
      <c r="U1057" s="1" t="str">
        <f>HYPERLINK("http://ictvonline.org/taxonomy/p/taxonomy-history?taxnode_id=202107732","ICTVonline=202107732")</f>
        <v>ICTVonline=202107732</v>
      </c>
    </row>
    <row r="1058" spans="1:21" x14ac:dyDescent="0.2">
      <c r="A1058" s="3">
        <v>1057</v>
      </c>
      <c r="B1058" s="1" t="s">
        <v>4875</v>
      </c>
      <c r="D1058" s="1" t="s">
        <v>4876</v>
      </c>
      <c r="F1058" s="1" t="s">
        <v>4880</v>
      </c>
      <c r="H1058" s="1" t="s">
        <v>4881</v>
      </c>
      <c r="L1058" s="1" t="s">
        <v>4497</v>
      </c>
      <c r="M1058" s="1" t="s">
        <v>4505</v>
      </c>
      <c r="N1058" s="1" t="s">
        <v>5065</v>
      </c>
      <c r="P1058" s="1" t="s">
        <v>9673</v>
      </c>
      <c r="Q1058" s="30" t="s">
        <v>2565</v>
      </c>
      <c r="R1058" s="33" t="s">
        <v>3473</v>
      </c>
      <c r="S1058">
        <v>37</v>
      </c>
      <c r="T1058" s="1" t="s">
        <v>13878</v>
      </c>
      <c r="U1058" s="1" t="str">
        <f>HYPERLINK("http://ictvonline.org/taxonomy/p/taxonomy-history?taxnode_id=202107731","ICTVonline=202107731")</f>
        <v>ICTVonline=202107731</v>
      </c>
    </row>
    <row r="1059" spans="1:21" x14ac:dyDescent="0.2">
      <c r="A1059" s="3">
        <v>1058</v>
      </c>
      <c r="B1059" s="1" t="s">
        <v>4875</v>
      </c>
      <c r="D1059" s="1" t="s">
        <v>4876</v>
      </c>
      <c r="F1059" s="1" t="s">
        <v>4880</v>
      </c>
      <c r="H1059" s="1" t="s">
        <v>4881</v>
      </c>
      <c r="L1059" s="1" t="s">
        <v>4497</v>
      </c>
      <c r="M1059" s="1" t="s">
        <v>4505</v>
      </c>
      <c r="N1059" s="1" t="s">
        <v>2578</v>
      </c>
      <c r="P1059" s="1" t="s">
        <v>9674</v>
      </c>
      <c r="Q1059" s="30" t="s">
        <v>2565</v>
      </c>
      <c r="R1059" s="33" t="s">
        <v>3473</v>
      </c>
      <c r="S1059">
        <v>37</v>
      </c>
      <c r="T1059" s="1" t="s">
        <v>13878</v>
      </c>
      <c r="U1059" s="1" t="str">
        <f>HYPERLINK("http://ictvonline.org/taxonomy/p/taxonomy-history?taxnode_id=202100249","ICTVonline=202100249")</f>
        <v>ICTVonline=202100249</v>
      </c>
    </row>
    <row r="1060" spans="1:21" x14ac:dyDescent="0.2">
      <c r="A1060" s="3">
        <v>1059</v>
      </c>
      <c r="B1060" s="1" t="s">
        <v>4875</v>
      </c>
      <c r="D1060" s="1" t="s">
        <v>4876</v>
      </c>
      <c r="F1060" s="1" t="s">
        <v>4880</v>
      </c>
      <c r="H1060" s="1" t="s">
        <v>4881</v>
      </c>
      <c r="L1060" s="1" t="s">
        <v>4497</v>
      </c>
      <c r="M1060" s="1" t="s">
        <v>4505</v>
      </c>
      <c r="N1060" s="1" t="s">
        <v>2578</v>
      </c>
      <c r="P1060" s="1" t="s">
        <v>9675</v>
      </c>
      <c r="Q1060" s="30" t="s">
        <v>2565</v>
      </c>
      <c r="R1060" s="33" t="s">
        <v>3473</v>
      </c>
      <c r="S1060">
        <v>37</v>
      </c>
      <c r="T1060" s="1" t="s">
        <v>13878</v>
      </c>
      <c r="U1060" s="1" t="str">
        <f>HYPERLINK("http://ictvonline.org/taxonomy/p/taxonomy-history?taxnode_id=202100250","ICTVonline=202100250")</f>
        <v>ICTVonline=202100250</v>
      </c>
    </row>
    <row r="1061" spans="1:21" x14ac:dyDescent="0.2">
      <c r="A1061" s="3">
        <v>1060</v>
      </c>
      <c r="B1061" s="1" t="s">
        <v>4875</v>
      </c>
      <c r="D1061" s="1" t="s">
        <v>4876</v>
      </c>
      <c r="F1061" s="1" t="s">
        <v>4880</v>
      </c>
      <c r="H1061" s="1" t="s">
        <v>4881</v>
      </c>
      <c r="L1061" s="1" t="s">
        <v>4497</v>
      </c>
      <c r="M1061" s="1" t="s">
        <v>4505</v>
      </c>
      <c r="N1061" s="1" t="s">
        <v>2578</v>
      </c>
      <c r="P1061" s="1" t="s">
        <v>9676</v>
      </c>
      <c r="Q1061" s="30" t="s">
        <v>2565</v>
      </c>
      <c r="R1061" s="33" t="s">
        <v>3473</v>
      </c>
      <c r="S1061">
        <v>37</v>
      </c>
      <c r="T1061" s="1" t="s">
        <v>13878</v>
      </c>
      <c r="U1061" s="1" t="str">
        <f>HYPERLINK("http://ictvonline.org/taxonomy/p/taxonomy-history?taxnode_id=202100251","ICTVonline=202100251")</f>
        <v>ICTVonline=202100251</v>
      </c>
    </row>
    <row r="1062" spans="1:21" x14ac:dyDescent="0.2">
      <c r="A1062" s="3">
        <v>1061</v>
      </c>
      <c r="B1062" s="1" t="s">
        <v>4875</v>
      </c>
      <c r="D1062" s="1" t="s">
        <v>4876</v>
      </c>
      <c r="F1062" s="1" t="s">
        <v>4880</v>
      </c>
      <c r="H1062" s="1" t="s">
        <v>4881</v>
      </c>
      <c r="L1062" s="1" t="s">
        <v>4497</v>
      </c>
      <c r="M1062" s="1" t="s">
        <v>4505</v>
      </c>
      <c r="N1062" s="1" t="s">
        <v>2578</v>
      </c>
      <c r="P1062" s="1" t="s">
        <v>9677</v>
      </c>
      <c r="Q1062" s="30" t="s">
        <v>2565</v>
      </c>
      <c r="R1062" s="33" t="s">
        <v>3473</v>
      </c>
      <c r="S1062">
        <v>37</v>
      </c>
      <c r="T1062" s="1" t="s">
        <v>13878</v>
      </c>
      <c r="U1062" s="1" t="str">
        <f>HYPERLINK("http://ictvonline.org/taxonomy/p/taxonomy-history?taxnode_id=202100252","ICTVonline=202100252")</f>
        <v>ICTVonline=202100252</v>
      </c>
    </row>
    <row r="1063" spans="1:21" x14ac:dyDescent="0.2">
      <c r="A1063" s="3">
        <v>1062</v>
      </c>
      <c r="B1063" s="1" t="s">
        <v>4875</v>
      </c>
      <c r="D1063" s="1" t="s">
        <v>4876</v>
      </c>
      <c r="F1063" s="1" t="s">
        <v>4880</v>
      </c>
      <c r="H1063" s="1" t="s">
        <v>4881</v>
      </c>
      <c r="L1063" s="1" t="s">
        <v>4497</v>
      </c>
      <c r="M1063" s="1" t="s">
        <v>4505</v>
      </c>
      <c r="N1063" s="1" t="s">
        <v>2578</v>
      </c>
      <c r="P1063" s="1" t="s">
        <v>9678</v>
      </c>
      <c r="Q1063" s="30" t="s">
        <v>2565</v>
      </c>
      <c r="R1063" s="33" t="s">
        <v>3473</v>
      </c>
      <c r="S1063">
        <v>37</v>
      </c>
      <c r="T1063" s="1" t="s">
        <v>13878</v>
      </c>
      <c r="U1063" s="1" t="str">
        <f>HYPERLINK("http://ictvonline.org/taxonomy/p/taxonomy-history?taxnode_id=202100253","ICTVonline=202100253")</f>
        <v>ICTVonline=202100253</v>
      </c>
    </row>
    <row r="1064" spans="1:21" x14ac:dyDescent="0.2">
      <c r="A1064" s="3">
        <v>1063</v>
      </c>
      <c r="B1064" s="1" t="s">
        <v>4875</v>
      </c>
      <c r="D1064" s="1" t="s">
        <v>4876</v>
      </c>
      <c r="F1064" s="1" t="s">
        <v>4880</v>
      </c>
      <c r="H1064" s="1" t="s">
        <v>4881</v>
      </c>
      <c r="L1064" s="1" t="s">
        <v>4497</v>
      </c>
      <c r="M1064" s="1" t="s">
        <v>4505</v>
      </c>
      <c r="N1064" s="1" t="s">
        <v>2578</v>
      </c>
      <c r="P1064" s="1" t="s">
        <v>9679</v>
      </c>
      <c r="Q1064" s="30" t="s">
        <v>2565</v>
      </c>
      <c r="R1064" s="33" t="s">
        <v>3473</v>
      </c>
      <c r="S1064">
        <v>37</v>
      </c>
      <c r="T1064" s="1" t="s">
        <v>13878</v>
      </c>
      <c r="U1064" s="1" t="str">
        <f>HYPERLINK("http://ictvonline.org/taxonomy/p/taxonomy-history?taxnode_id=202100254","ICTVonline=202100254")</f>
        <v>ICTVonline=202100254</v>
      </c>
    </row>
    <row r="1065" spans="1:21" x14ac:dyDescent="0.2">
      <c r="A1065" s="3">
        <v>1064</v>
      </c>
      <c r="B1065" s="1" t="s">
        <v>4875</v>
      </c>
      <c r="D1065" s="1" t="s">
        <v>4876</v>
      </c>
      <c r="F1065" s="1" t="s">
        <v>4880</v>
      </c>
      <c r="H1065" s="1" t="s">
        <v>4881</v>
      </c>
      <c r="L1065" s="1" t="s">
        <v>4497</v>
      </c>
      <c r="M1065" s="1" t="s">
        <v>4505</v>
      </c>
      <c r="N1065" s="1" t="s">
        <v>2578</v>
      </c>
      <c r="P1065" s="1" t="s">
        <v>9680</v>
      </c>
      <c r="Q1065" s="30" t="s">
        <v>2565</v>
      </c>
      <c r="R1065" s="33" t="s">
        <v>3473</v>
      </c>
      <c r="S1065">
        <v>37</v>
      </c>
      <c r="T1065" s="1" t="s">
        <v>13878</v>
      </c>
      <c r="U1065" s="1" t="str">
        <f>HYPERLINK("http://ictvonline.org/taxonomy/p/taxonomy-history?taxnode_id=202100255","ICTVonline=202100255")</f>
        <v>ICTVonline=202100255</v>
      </c>
    </row>
    <row r="1066" spans="1:21" x14ac:dyDescent="0.2">
      <c r="A1066" s="3">
        <v>1065</v>
      </c>
      <c r="B1066" s="1" t="s">
        <v>4875</v>
      </c>
      <c r="D1066" s="1" t="s">
        <v>4876</v>
      </c>
      <c r="F1066" s="1" t="s">
        <v>4880</v>
      </c>
      <c r="H1066" s="1" t="s">
        <v>4881</v>
      </c>
      <c r="L1066" s="1" t="s">
        <v>4497</v>
      </c>
      <c r="M1066" s="1" t="s">
        <v>4505</v>
      </c>
      <c r="N1066" s="1" t="s">
        <v>2578</v>
      </c>
      <c r="P1066" s="1" t="s">
        <v>9681</v>
      </c>
      <c r="Q1066" s="30" t="s">
        <v>2565</v>
      </c>
      <c r="R1066" s="33" t="s">
        <v>3473</v>
      </c>
      <c r="S1066">
        <v>37</v>
      </c>
      <c r="T1066" s="1" t="s">
        <v>13878</v>
      </c>
      <c r="U1066" s="1" t="str">
        <f>HYPERLINK("http://ictvonline.org/taxonomy/p/taxonomy-history?taxnode_id=202100256","ICTVonline=202100256")</f>
        <v>ICTVonline=202100256</v>
      </c>
    </row>
    <row r="1067" spans="1:21" x14ac:dyDescent="0.2">
      <c r="A1067" s="3">
        <v>1066</v>
      </c>
      <c r="B1067" s="1" t="s">
        <v>4875</v>
      </c>
      <c r="D1067" s="1" t="s">
        <v>4876</v>
      </c>
      <c r="F1067" s="1" t="s">
        <v>4880</v>
      </c>
      <c r="H1067" s="1" t="s">
        <v>4881</v>
      </c>
      <c r="L1067" s="1" t="s">
        <v>4497</v>
      </c>
      <c r="M1067" s="1" t="s">
        <v>4505</v>
      </c>
      <c r="N1067" s="1" t="s">
        <v>2578</v>
      </c>
      <c r="P1067" s="1" t="s">
        <v>9682</v>
      </c>
      <c r="Q1067" s="30" t="s">
        <v>2565</v>
      </c>
      <c r="R1067" s="33" t="s">
        <v>3473</v>
      </c>
      <c r="S1067">
        <v>37</v>
      </c>
      <c r="T1067" s="1" t="s">
        <v>13878</v>
      </c>
      <c r="U1067" s="1" t="str">
        <f>HYPERLINK("http://ictvonline.org/taxonomy/p/taxonomy-history?taxnode_id=202100257","ICTVonline=202100257")</f>
        <v>ICTVonline=202100257</v>
      </c>
    </row>
    <row r="1068" spans="1:21" x14ac:dyDescent="0.2">
      <c r="A1068" s="3">
        <v>1067</v>
      </c>
      <c r="B1068" s="1" t="s">
        <v>4875</v>
      </c>
      <c r="D1068" s="1" t="s">
        <v>4876</v>
      </c>
      <c r="F1068" s="1" t="s">
        <v>4880</v>
      </c>
      <c r="H1068" s="1" t="s">
        <v>4881</v>
      </c>
      <c r="L1068" s="1" t="s">
        <v>4497</v>
      </c>
      <c r="M1068" s="1" t="s">
        <v>4505</v>
      </c>
      <c r="N1068" s="1" t="s">
        <v>2578</v>
      </c>
      <c r="P1068" s="1" t="s">
        <v>9683</v>
      </c>
      <c r="Q1068" s="30" t="s">
        <v>2565</v>
      </c>
      <c r="R1068" s="33" t="s">
        <v>3473</v>
      </c>
      <c r="S1068">
        <v>37</v>
      </c>
      <c r="T1068" s="1" t="s">
        <v>13878</v>
      </c>
      <c r="U1068" s="1" t="str">
        <f>HYPERLINK("http://ictvonline.org/taxonomy/p/taxonomy-history?taxnode_id=202100258","ICTVonline=202100258")</f>
        <v>ICTVonline=202100258</v>
      </c>
    </row>
    <row r="1069" spans="1:21" x14ac:dyDescent="0.2">
      <c r="A1069" s="3">
        <v>1068</v>
      </c>
      <c r="B1069" s="1" t="s">
        <v>4875</v>
      </c>
      <c r="D1069" s="1" t="s">
        <v>4876</v>
      </c>
      <c r="F1069" s="1" t="s">
        <v>4880</v>
      </c>
      <c r="H1069" s="1" t="s">
        <v>4881</v>
      </c>
      <c r="L1069" s="1" t="s">
        <v>4497</v>
      </c>
      <c r="M1069" s="1" t="s">
        <v>4505</v>
      </c>
      <c r="N1069" s="1" t="s">
        <v>2578</v>
      </c>
      <c r="P1069" s="1" t="s">
        <v>9684</v>
      </c>
      <c r="Q1069" s="30" t="s">
        <v>2565</v>
      </c>
      <c r="R1069" s="33" t="s">
        <v>3473</v>
      </c>
      <c r="S1069">
        <v>37</v>
      </c>
      <c r="T1069" s="1" t="s">
        <v>13878</v>
      </c>
      <c r="U1069" s="1" t="str">
        <f>HYPERLINK("http://ictvonline.org/taxonomy/p/taxonomy-history?taxnode_id=202106982","ICTVonline=202106982")</f>
        <v>ICTVonline=202106982</v>
      </c>
    </row>
    <row r="1070" spans="1:21" x14ac:dyDescent="0.2">
      <c r="A1070" s="3">
        <v>1069</v>
      </c>
      <c r="B1070" s="1" t="s">
        <v>4875</v>
      </c>
      <c r="D1070" s="1" t="s">
        <v>4876</v>
      </c>
      <c r="F1070" s="1" t="s">
        <v>4880</v>
      </c>
      <c r="H1070" s="1" t="s">
        <v>4881</v>
      </c>
      <c r="L1070" s="1" t="s">
        <v>4497</v>
      </c>
      <c r="M1070" s="1" t="s">
        <v>4505</v>
      </c>
      <c r="N1070" s="1" t="s">
        <v>5067</v>
      </c>
      <c r="P1070" s="1" t="s">
        <v>9685</v>
      </c>
      <c r="Q1070" s="30" t="s">
        <v>2565</v>
      </c>
      <c r="R1070" s="33" t="s">
        <v>3473</v>
      </c>
      <c r="S1070">
        <v>37</v>
      </c>
      <c r="T1070" s="1" t="s">
        <v>13878</v>
      </c>
      <c r="U1070" s="1" t="str">
        <f>HYPERLINK("http://ictvonline.org/taxonomy/p/taxonomy-history?taxnode_id=202108033","ICTVonline=202108033")</f>
        <v>ICTVonline=202108033</v>
      </c>
    </row>
    <row r="1071" spans="1:21" x14ac:dyDescent="0.2">
      <c r="A1071" s="3">
        <v>1070</v>
      </c>
      <c r="B1071" s="1" t="s">
        <v>4875</v>
      </c>
      <c r="D1071" s="1" t="s">
        <v>4876</v>
      </c>
      <c r="F1071" s="1" t="s">
        <v>4880</v>
      </c>
      <c r="H1071" s="1" t="s">
        <v>4881</v>
      </c>
      <c r="L1071" s="1" t="s">
        <v>4497</v>
      </c>
      <c r="M1071" s="1" t="s">
        <v>4505</v>
      </c>
      <c r="N1071" s="1" t="s">
        <v>4571</v>
      </c>
      <c r="P1071" s="1" t="s">
        <v>9686</v>
      </c>
      <c r="Q1071" s="30" t="s">
        <v>2565</v>
      </c>
      <c r="R1071" s="33" t="s">
        <v>3473</v>
      </c>
      <c r="S1071">
        <v>37</v>
      </c>
      <c r="T1071" s="1" t="s">
        <v>13878</v>
      </c>
      <c r="U1071" s="1" t="str">
        <f>HYPERLINK("http://ictvonline.org/taxonomy/p/taxonomy-history?taxnode_id=202100505","ICTVonline=202100505")</f>
        <v>ICTVonline=202100505</v>
      </c>
    </row>
    <row r="1072" spans="1:21" x14ac:dyDescent="0.2">
      <c r="A1072" s="3">
        <v>1071</v>
      </c>
      <c r="B1072" s="1" t="s">
        <v>4875</v>
      </c>
      <c r="D1072" s="1" t="s">
        <v>4876</v>
      </c>
      <c r="F1072" s="1" t="s">
        <v>4880</v>
      </c>
      <c r="H1072" s="1" t="s">
        <v>4881</v>
      </c>
      <c r="L1072" s="1" t="s">
        <v>4497</v>
      </c>
      <c r="M1072" s="1" t="s">
        <v>4505</v>
      </c>
      <c r="N1072" s="1" t="s">
        <v>4571</v>
      </c>
      <c r="P1072" s="1" t="s">
        <v>9687</v>
      </c>
      <c r="Q1072" s="30" t="s">
        <v>2565</v>
      </c>
      <c r="R1072" s="33" t="s">
        <v>3473</v>
      </c>
      <c r="S1072">
        <v>37</v>
      </c>
      <c r="T1072" s="1" t="s">
        <v>13878</v>
      </c>
      <c r="U1072" s="1" t="str">
        <f>HYPERLINK("http://ictvonline.org/taxonomy/p/taxonomy-history?taxnode_id=202100506","ICTVonline=202100506")</f>
        <v>ICTVonline=202100506</v>
      </c>
    </row>
    <row r="1073" spans="1:21" x14ac:dyDescent="0.2">
      <c r="A1073" s="3">
        <v>1072</v>
      </c>
      <c r="B1073" s="1" t="s">
        <v>4875</v>
      </c>
      <c r="D1073" s="1" t="s">
        <v>4876</v>
      </c>
      <c r="F1073" s="1" t="s">
        <v>4880</v>
      </c>
      <c r="H1073" s="1" t="s">
        <v>4881</v>
      </c>
      <c r="L1073" s="1" t="s">
        <v>4497</v>
      </c>
      <c r="M1073" s="1" t="s">
        <v>4505</v>
      </c>
      <c r="N1073" s="1" t="s">
        <v>2579</v>
      </c>
      <c r="P1073" s="1" t="s">
        <v>9688</v>
      </c>
      <c r="Q1073" s="30" t="s">
        <v>2565</v>
      </c>
      <c r="R1073" s="33" t="s">
        <v>3473</v>
      </c>
      <c r="S1073">
        <v>37</v>
      </c>
      <c r="T1073" s="1" t="s">
        <v>13878</v>
      </c>
      <c r="U1073" s="1" t="str">
        <f>HYPERLINK("http://ictvonline.org/taxonomy/p/taxonomy-history?taxnode_id=202100263","ICTVonline=202100263")</f>
        <v>ICTVonline=202100263</v>
      </c>
    </row>
    <row r="1074" spans="1:21" x14ac:dyDescent="0.2">
      <c r="A1074" s="3">
        <v>1073</v>
      </c>
      <c r="B1074" s="1" t="s">
        <v>4875</v>
      </c>
      <c r="D1074" s="1" t="s">
        <v>4876</v>
      </c>
      <c r="F1074" s="1" t="s">
        <v>4880</v>
      </c>
      <c r="H1074" s="1" t="s">
        <v>4881</v>
      </c>
      <c r="L1074" s="1" t="s">
        <v>4497</v>
      </c>
      <c r="M1074" s="1" t="s">
        <v>4505</v>
      </c>
      <c r="N1074" s="1" t="s">
        <v>2579</v>
      </c>
      <c r="P1074" s="1" t="s">
        <v>9689</v>
      </c>
      <c r="Q1074" s="30" t="s">
        <v>2565</v>
      </c>
      <c r="R1074" s="33" t="s">
        <v>3473</v>
      </c>
      <c r="S1074">
        <v>37</v>
      </c>
      <c r="T1074" s="1" t="s">
        <v>13878</v>
      </c>
      <c r="U1074" s="1" t="str">
        <f>HYPERLINK("http://ictvonline.org/taxonomy/p/taxonomy-history?taxnode_id=202100264","ICTVonline=202100264")</f>
        <v>ICTVonline=202100264</v>
      </c>
    </row>
    <row r="1075" spans="1:21" x14ac:dyDescent="0.2">
      <c r="A1075" s="3">
        <v>1074</v>
      </c>
      <c r="B1075" s="1" t="s">
        <v>4875</v>
      </c>
      <c r="D1075" s="1" t="s">
        <v>4876</v>
      </c>
      <c r="F1075" s="1" t="s">
        <v>4880</v>
      </c>
      <c r="H1075" s="1" t="s">
        <v>4881</v>
      </c>
      <c r="L1075" s="1" t="s">
        <v>4497</v>
      </c>
      <c r="M1075" s="1" t="s">
        <v>4505</v>
      </c>
      <c r="N1075" s="1" t="s">
        <v>2579</v>
      </c>
      <c r="P1075" s="1" t="s">
        <v>9690</v>
      </c>
      <c r="Q1075" s="30" t="s">
        <v>2565</v>
      </c>
      <c r="R1075" s="33" t="s">
        <v>3473</v>
      </c>
      <c r="S1075">
        <v>37</v>
      </c>
      <c r="T1075" s="1" t="s">
        <v>13878</v>
      </c>
      <c r="U1075" s="1" t="str">
        <f>HYPERLINK("http://ictvonline.org/taxonomy/p/taxonomy-history?taxnode_id=202100265","ICTVonline=202100265")</f>
        <v>ICTVonline=202100265</v>
      </c>
    </row>
    <row r="1076" spans="1:21" x14ac:dyDescent="0.2">
      <c r="A1076" s="3">
        <v>1075</v>
      </c>
      <c r="B1076" s="1" t="s">
        <v>4875</v>
      </c>
      <c r="D1076" s="1" t="s">
        <v>4876</v>
      </c>
      <c r="F1076" s="1" t="s">
        <v>4880</v>
      </c>
      <c r="H1076" s="1" t="s">
        <v>4881</v>
      </c>
      <c r="L1076" s="1" t="s">
        <v>4497</v>
      </c>
      <c r="M1076" s="1" t="s">
        <v>4505</v>
      </c>
      <c r="N1076" s="1" t="s">
        <v>2580</v>
      </c>
      <c r="P1076" s="1" t="s">
        <v>9691</v>
      </c>
      <c r="Q1076" s="30" t="s">
        <v>2565</v>
      </c>
      <c r="R1076" s="33" t="s">
        <v>3473</v>
      </c>
      <c r="S1076">
        <v>37</v>
      </c>
      <c r="T1076" s="1" t="s">
        <v>13878</v>
      </c>
      <c r="U1076" s="1" t="str">
        <f>HYPERLINK("http://ictvonline.org/taxonomy/p/taxonomy-history?taxnode_id=202100273","ICTVonline=202100273")</f>
        <v>ICTVonline=202100273</v>
      </c>
    </row>
    <row r="1077" spans="1:21" x14ac:dyDescent="0.2">
      <c r="A1077" s="3">
        <v>1076</v>
      </c>
      <c r="B1077" s="1" t="s">
        <v>4875</v>
      </c>
      <c r="D1077" s="1" t="s">
        <v>4876</v>
      </c>
      <c r="F1077" s="1" t="s">
        <v>4880</v>
      </c>
      <c r="H1077" s="1" t="s">
        <v>4881</v>
      </c>
      <c r="L1077" s="1" t="s">
        <v>4497</v>
      </c>
      <c r="N1077" s="1" t="s">
        <v>5983</v>
      </c>
      <c r="P1077" s="1" t="s">
        <v>9692</v>
      </c>
      <c r="Q1077" s="30" t="s">
        <v>2565</v>
      </c>
      <c r="R1077" s="33" t="s">
        <v>3473</v>
      </c>
      <c r="S1077">
        <v>37</v>
      </c>
      <c r="T1077" s="1" t="s">
        <v>13878</v>
      </c>
      <c r="U1077" s="1" t="str">
        <f>HYPERLINK("http://ictvonline.org/taxonomy/p/taxonomy-history?taxnode_id=202110119","ICTVonline=202110119")</f>
        <v>ICTVonline=202110119</v>
      </c>
    </row>
    <row r="1078" spans="1:21" x14ac:dyDescent="0.2">
      <c r="A1078" s="3">
        <v>1077</v>
      </c>
      <c r="B1078" s="1" t="s">
        <v>4875</v>
      </c>
      <c r="D1078" s="1" t="s">
        <v>4876</v>
      </c>
      <c r="F1078" s="1" t="s">
        <v>4880</v>
      </c>
      <c r="H1078" s="1" t="s">
        <v>4881</v>
      </c>
      <c r="L1078" s="1" t="s">
        <v>4497</v>
      </c>
      <c r="N1078" s="1" t="s">
        <v>5066</v>
      </c>
      <c r="P1078" s="1" t="s">
        <v>9693</v>
      </c>
      <c r="Q1078" s="30" t="s">
        <v>2565</v>
      </c>
      <c r="R1078" s="33" t="s">
        <v>3473</v>
      </c>
      <c r="S1078">
        <v>37</v>
      </c>
      <c r="T1078" s="1" t="s">
        <v>13878</v>
      </c>
      <c r="U1078" s="1" t="str">
        <f>HYPERLINK("http://ictvonline.org/taxonomy/p/taxonomy-history?taxnode_id=202107402","ICTVonline=202107402")</f>
        <v>ICTVonline=202107402</v>
      </c>
    </row>
    <row r="1079" spans="1:21" x14ac:dyDescent="0.2">
      <c r="A1079" s="3">
        <v>1078</v>
      </c>
      <c r="B1079" s="1" t="s">
        <v>4875</v>
      </c>
      <c r="D1079" s="1" t="s">
        <v>4876</v>
      </c>
      <c r="F1079" s="1" t="s">
        <v>4880</v>
      </c>
      <c r="H1079" s="1" t="s">
        <v>4881</v>
      </c>
      <c r="L1079" s="1" t="s">
        <v>4497</v>
      </c>
      <c r="N1079" s="1" t="s">
        <v>5066</v>
      </c>
      <c r="P1079" s="1" t="s">
        <v>9694</v>
      </c>
      <c r="Q1079" s="30" t="s">
        <v>2565</v>
      </c>
      <c r="R1079" s="33" t="s">
        <v>3473</v>
      </c>
      <c r="S1079">
        <v>37</v>
      </c>
      <c r="T1079" s="1" t="s">
        <v>13878</v>
      </c>
      <c r="U1079" s="1" t="str">
        <f>HYPERLINK("http://ictvonline.org/taxonomy/p/taxonomy-history?taxnode_id=202107401","ICTVonline=202107401")</f>
        <v>ICTVonline=202107401</v>
      </c>
    </row>
    <row r="1080" spans="1:21" x14ac:dyDescent="0.2">
      <c r="A1080" s="3">
        <v>1079</v>
      </c>
      <c r="B1080" s="1" t="s">
        <v>4875</v>
      </c>
      <c r="D1080" s="1" t="s">
        <v>4876</v>
      </c>
      <c r="F1080" s="1" t="s">
        <v>4880</v>
      </c>
      <c r="H1080" s="1" t="s">
        <v>4881</v>
      </c>
      <c r="L1080" s="1" t="s">
        <v>4497</v>
      </c>
      <c r="N1080" s="1" t="s">
        <v>5066</v>
      </c>
      <c r="P1080" s="1" t="s">
        <v>9695</v>
      </c>
      <c r="Q1080" s="30" t="s">
        <v>2565</v>
      </c>
      <c r="R1080" s="33" t="s">
        <v>3473</v>
      </c>
      <c r="S1080">
        <v>37</v>
      </c>
      <c r="T1080" s="1" t="s">
        <v>13878</v>
      </c>
      <c r="U1080" s="1" t="str">
        <f>HYPERLINK("http://ictvonline.org/taxonomy/p/taxonomy-history?taxnode_id=202107403","ICTVonline=202107403")</f>
        <v>ICTVonline=202107403</v>
      </c>
    </row>
    <row r="1081" spans="1:21" x14ac:dyDescent="0.2">
      <c r="A1081" s="3">
        <v>1080</v>
      </c>
      <c r="B1081" s="1" t="s">
        <v>4875</v>
      </c>
      <c r="D1081" s="1" t="s">
        <v>4876</v>
      </c>
      <c r="F1081" s="1" t="s">
        <v>4880</v>
      </c>
      <c r="H1081" s="1" t="s">
        <v>4881</v>
      </c>
      <c r="L1081" s="1" t="s">
        <v>4497</v>
      </c>
      <c r="N1081" s="1" t="s">
        <v>5066</v>
      </c>
      <c r="P1081" s="1" t="s">
        <v>9696</v>
      </c>
      <c r="Q1081" s="30" t="s">
        <v>2565</v>
      </c>
      <c r="R1081" s="33" t="s">
        <v>3473</v>
      </c>
      <c r="S1081">
        <v>37</v>
      </c>
      <c r="T1081" s="1" t="s">
        <v>13878</v>
      </c>
      <c r="U1081" s="1" t="str">
        <f>HYPERLINK("http://ictvonline.org/taxonomy/p/taxonomy-history?taxnode_id=202107400","ICTVonline=202107400")</f>
        <v>ICTVonline=202107400</v>
      </c>
    </row>
    <row r="1082" spans="1:21" x14ac:dyDescent="0.2">
      <c r="A1082" s="3">
        <v>1081</v>
      </c>
      <c r="B1082" s="1" t="s">
        <v>4875</v>
      </c>
      <c r="D1082" s="1" t="s">
        <v>4876</v>
      </c>
      <c r="F1082" s="1" t="s">
        <v>4880</v>
      </c>
      <c r="H1082" s="1" t="s">
        <v>4881</v>
      </c>
      <c r="L1082" s="1" t="s">
        <v>4497</v>
      </c>
      <c r="N1082" s="1" t="s">
        <v>5066</v>
      </c>
      <c r="P1082" s="1" t="s">
        <v>9697</v>
      </c>
      <c r="Q1082" s="30" t="s">
        <v>2565</v>
      </c>
      <c r="R1082" s="33" t="s">
        <v>3473</v>
      </c>
      <c r="S1082">
        <v>37</v>
      </c>
      <c r="T1082" s="1" t="s">
        <v>13878</v>
      </c>
      <c r="U1082" s="1" t="str">
        <f>HYPERLINK("http://ictvonline.org/taxonomy/p/taxonomy-history?taxnode_id=202107404","ICTVonline=202107404")</f>
        <v>ICTVonline=202107404</v>
      </c>
    </row>
    <row r="1083" spans="1:21" x14ac:dyDescent="0.2">
      <c r="A1083" s="3">
        <v>1082</v>
      </c>
      <c r="B1083" s="1" t="s">
        <v>4875</v>
      </c>
      <c r="D1083" s="1" t="s">
        <v>4876</v>
      </c>
      <c r="F1083" s="1" t="s">
        <v>4880</v>
      </c>
      <c r="H1083" s="1" t="s">
        <v>4881</v>
      </c>
      <c r="L1083" s="1" t="s">
        <v>4497</v>
      </c>
      <c r="N1083" s="1" t="s">
        <v>5984</v>
      </c>
      <c r="P1083" s="1" t="s">
        <v>9698</v>
      </c>
      <c r="Q1083" s="30" t="s">
        <v>2565</v>
      </c>
      <c r="R1083" s="33" t="s">
        <v>3473</v>
      </c>
      <c r="S1083">
        <v>37</v>
      </c>
      <c r="T1083" s="1" t="s">
        <v>13878</v>
      </c>
      <c r="U1083" s="1" t="str">
        <f>HYPERLINK("http://ictvonline.org/taxonomy/p/taxonomy-history?taxnode_id=202110127","ICTVonline=202110127")</f>
        <v>ICTVonline=202110127</v>
      </c>
    </row>
    <row r="1084" spans="1:21" x14ac:dyDescent="0.2">
      <c r="A1084" s="3">
        <v>1083</v>
      </c>
      <c r="B1084" s="1" t="s">
        <v>4875</v>
      </c>
      <c r="D1084" s="1" t="s">
        <v>4876</v>
      </c>
      <c r="F1084" s="1" t="s">
        <v>4880</v>
      </c>
      <c r="H1084" s="1" t="s">
        <v>4881</v>
      </c>
      <c r="L1084" s="1" t="s">
        <v>4497</v>
      </c>
      <c r="N1084" s="1" t="s">
        <v>9699</v>
      </c>
      <c r="P1084" s="1" t="s">
        <v>9700</v>
      </c>
      <c r="Q1084" s="30" t="s">
        <v>2565</v>
      </c>
      <c r="R1084" s="33" t="s">
        <v>3473</v>
      </c>
      <c r="S1084">
        <v>37</v>
      </c>
      <c r="T1084" s="1" t="s">
        <v>13884</v>
      </c>
      <c r="U1084" s="1" t="str">
        <f>HYPERLINK("http://ictvonline.org/taxonomy/p/taxonomy-history?taxnode_id=202106983","ICTVonline=202106983")</f>
        <v>ICTVonline=202106983</v>
      </c>
    </row>
    <row r="1085" spans="1:21" x14ac:dyDescent="0.2">
      <c r="A1085" s="3">
        <v>1084</v>
      </c>
      <c r="B1085" s="1" t="s">
        <v>4875</v>
      </c>
      <c r="D1085" s="1" t="s">
        <v>4876</v>
      </c>
      <c r="F1085" s="1" t="s">
        <v>4880</v>
      </c>
      <c r="H1085" s="1" t="s">
        <v>4881</v>
      </c>
      <c r="L1085" s="1" t="s">
        <v>4497</v>
      </c>
      <c r="N1085" s="1" t="s">
        <v>5985</v>
      </c>
      <c r="P1085" s="1" t="s">
        <v>9701</v>
      </c>
      <c r="Q1085" s="30" t="s">
        <v>2565</v>
      </c>
      <c r="R1085" s="33" t="s">
        <v>3473</v>
      </c>
      <c r="S1085">
        <v>37</v>
      </c>
      <c r="T1085" s="1" t="s">
        <v>13878</v>
      </c>
      <c r="U1085" s="1" t="str">
        <f>HYPERLINK("http://ictvonline.org/taxonomy/p/taxonomy-history?taxnode_id=202100276","ICTVonline=202100276")</f>
        <v>ICTVonline=202100276</v>
      </c>
    </row>
    <row r="1086" spans="1:21" x14ac:dyDescent="0.2">
      <c r="A1086" s="3">
        <v>1085</v>
      </c>
      <c r="B1086" s="1" t="s">
        <v>4875</v>
      </c>
      <c r="D1086" s="1" t="s">
        <v>4876</v>
      </c>
      <c r="F1086" s="1" t="s">
        <v>4880</v>
      </c>
      <c r="H1086" s="1" t="s">
        <v>4881</v>
      </c>
      <c r="L1086" s="1" t="s">
        <v>4497</v>
      </c>
      <c r="N1086" s="1" t="s">
        <v>5986</v>
      </c>
      <c r="P1086" s="1" t="s">
        <v>9702</v>
      </c>
      <c r="Q1086" s="30" t="s">
        <v>2565</v>
      </c>
      <c r="R1086" s="33" t="s">
        <v>3473</v>
      </c>
      <c r="S1086">
        <v>37</v>
      </c>
      <c r="T1086" s="1" t="s">
        <v>13878</v>
      </c>
      <c r="U1086" s="1" t="str">
        <f>HYPERLINK("http://ictvonline.org/taxonomy/p/taxonomy-history?taxnode_id=202100277","ICTVonline=202100277")</f>
        <v>ICTVonline=202100277</v>
      </c>
    </row>
    <row r="1087" spans="1:21" x14ac:dyDescent="0.2">
      <c r="A1087" s="3">
        <v>1086</v>
      </c>
      <c r="B1087" s="1" t="s">
        <v>4875</v>
      </c>
      <c r="D1087" s="1" t="s">
        <v>4876</v>
      </c>
      <c r="F1087" s="1" t="s">
        <v>4880</v>
      </c>
      <c r="H1087" s="1" t="s">
        <v>4881</v>
      </c>
      <c r="L1087" s="1" t="s">
        <v>4497</v>
      </c>
      <c r="N1087" s="1" t="s">
        <v>5987</v>
      </c>
      <c r="P1087" s="1" t="s">
        <v>9703</v>
      </c>
      <c r="Q1087" s="30" t="s">
        <v>2565</v>
      </c>
      <c r="R1087" s="33" t="s">
        <v>3473</v>
      </c>
      <c r="S1087">
        <v>37</v>
      </c>
      <c r="T1087" s="1" t="s">
        <v>13878</v>
      </c>
      <c r="U1087" s="1" t="str">
        <f>HYPERLINK("http://ictvonline.org/taxonomy/p/taxonomy-history?taxnode_id=202110125","ICTVonline=202110125")</f>
        <v>ICTVonline=202110125</v>
      </c>
    </row>
    <row r="1088" spans="1:21" x14ac:dyDescent="0.2">
      <c r="A1088" s="3">
        <v>1087</v>
      </c>
      <c r="B1088" s="1" t="s">
        <v>4875</v>
      </c>
      <c r="D1088" s="1" t="s">
        <v>4876</v>
      </c>
      <c r="F1088" s="1" t="s">
        <v>4880</v>
      </c>
      <c r="H1088" s="1" t="s">
        <v>4881</v>
      </c>
      <c r="L1088" s="1" t="s">
        <v>4497</v>
      </c>
      <c r="N1088" s="1" t="s">
        <v>5987</v>
      </c>
      <c r="P1088" s="1" t="s">
        <v>9704</v>
      </c>
      <c r="Q1088" s="30" t="s">
        <v>2565</v>
      </c>
      <c r="R1088" s="33" t="s">
        <v>3473</v>
      </c>
      <c r="S1088">
        <v>37</v>
      </c>
      <c r="T1088" s="1" t="s">
        <v>13878</v>
      </c>
      <c r="U1088" s="1" t="str">
        <f>HYPERLINK("http://ictvonline.org/taxonomy/p/taxonomy-history?taxnode_id=202110124","ICTVonline=202110124")</f>
        <v>ICTVonline=202110124</v>
      </c>
    </row>
    <row r="1089" spans="1:21" x14ac:dyDescent="0.2">
      <c r="A1089" s="3">
        <v>1088</v>
      </c>
      <c r="B1089" s="1" t="s">
        <v>4875</v>
      </c>
      <c r="D1089" s="1" t="s">
        <v>4876</v>
      </c>
      <c r="F1089" s="1" t="s">
        <v>4880</v>
      </c>
      <c r="H1089" s="1" t="s">
        <v>4881</v>
      </c>
      <c r="L1089" s="1" t="s">
        <v>4497</v>
      </c>
      <c r="N1089" s="1" t="s">
        <v>5988</v>
      </c>
      <c r="P1089" s="1" t="s">
        <v>9705</v>
      </c>
      <c r="Q1089" s="30" t="s">
        <v>2565</v>
      </c>
      <c r="R1089" s="33" t="s">
        <v>3473</v>
      </c>
      <c r="S1089">
        <v>37</v>
      </c>
      <c r="T1089" s="1" t="s">
        <v>13878</v>
      </c>
      <c r="U1089" s="1" t="str">
        <f>HYPERLINK("http://ictvonline.org/taxonomy/p/taxonomy-history?taxnode_id=202110122","ICTVonline=202110122")</f>
        <v>ICTVonline=202110122</v>
      </c>
    </row>
    <row r="1090" spans="1:21" x14ac:dyDescent="0.2">
      <c r="A1090" s="3">
        <v>1089</v>
      </c>
      <c r="B1090" s="1" t="s">
        <v>4875</v>
      </c>
      <c r="D1090" s="1" t="s">
        <v>4876</v>
      </c>
      <c r="F1090" s="1" t="s">
        <v>4880</v>
      </c>
      <c r="H1090" s="1" t="s">
        <v>4881</v>
      </c>
      <c r="L1090" s="1" t="s">
        <v>9706</v>
      </c>
      <c r="N1090" s="1" t="s">
        <v>5092</v>
      </c>
      <c r="P1090" s="1" t="s">
        <v>9707</v>
      </c>
      <c r="Q1090" s="30" t="s">
        <v>2565</v>
      </c>
      <c r="R1090" s="33" t="s">
        <v>3473</v>
      </c>
      <c r="S1090">
        <v>37</v>
      </c>
      <c r="T1090" s="1" t="s">
        <v>13885</v>
      </c>
      <c r="U1090" s="1" t="str">
        <f>HYPERLINK("http://ictvonline.org/taxonomy/p/taxonomy-history?taxnode_id=202107799","ICTVonline=202107799")</f>
        <v>ICTVonline=202107799</v>
      </c>
    </row>
    <row r="1091" spans="1:21" x14ac:dyDescent="0.2">
      <c r="A1091" s="3">
        <v>1090</v>
      </c>
      <c r="B1091" s="1" t="s">
        <v>4875</v>
      </c>
      <c r="D1091" s="1" t="s">
        <v>4876</v>
      </c>
      <c r="F1091" s="1" t="s">
        <v>4880</v>
      </c>
      <c r="H1091" s="1" t="s">
        <v>4881</v>
      </c>
      <c r="L1091" s="1" t="s">
        <v>9706</v>
      </c>
      <c r="N1091" s="1" t="s">
        <v>5093</v>
      </c>
      <c r="P1091" s="1" t="s">
        <v>9708</v>
      </c>
      <c r="Q1091" s="30" t="s">
        <v>2565</v>
      </c>
      <c r="R1091" s="33" t="s">
        <v>3473</v>
      </c>
      <c r="S1091">
        <v>37</v>
      </c>
      <c r="T1091" s="1" t="s">
        <v>13885</v>
      </c>
      <c r="U1091" s="1" t="str">
        <f>HYPERLINK("http://ictvonline.org/taxonomy/p/taxonomy-history?taxnode_id=202107803","ICTVonline=202107803")</f>
        <v>ICTVonline=202107803</v>
      </c>
    </row>
    <row r="1092" spans="1:21" x14ac:dyDescent="0.2">
      <c r="A1092" s="3">
        <v>1091</v>
      </c>
      <c r="B1092" s="1" t="s">
        <v>4875</v>
      </c>
      <c r="D1092" s="1" t="s">
        <v>4876</v>
      </c>
      <c r="F1092" s="1" t="s">
        <v>4880</v>
      </c>
      <c r="H1092" s="1" t="s">
        <v>4881</v>
      </c>
      <c r="L1092" s="1" t="s">
        <v>9706</v>
      </c>
      <c r="N1092" s="1" t="s">
        <v>9709</v>
      </c>
      <c r="P1092" s="1" t="s">
        <v>9710</v>
      </c>
      <c r="Q1092" s="30" t="s">
        <v>2565</v>
      </c>
      <c r="R1092" s="33" t="s">
        <v>3472</v>
      </c>
      <c r="S1092">
        <v>37</v>
      </c>
      <c r="T1092" s="1" t="s">
        <v>13885</v>
      </c>
      <c r="U1092" s="1" t="str">
        <f>HYPERLINK("http://ictvonline.org/taxonomy/p/taxonomy-history?taxnode_id=202113997","ICTVonline=202113997")</f>
        <v>ICTVonline=202113997</v>
      </c>
    </row>
    <row r="1093" spans="1:21" x14ac:dyDescent="0.2">
      <c r="A1093" s="3">
        <v>1092</v>
      </c>
      <c r="B1093" s="1" t="s">
        <v>4875</v>
      </c>
      <c r="D1093" s="1" t="s">
        <v>4876</v>
      </c>
      <c r="F1093" s="1" t="s">
        <v>4880</v>
      </c>
      <c r="H1093" s="1" t="s">
        <v>4881</v>
      </c>
      <c r="L1093" s="1" t="s">
        <v>9706</v>
      </c>
      <c r="N1093" s="1" t="s">
        <v>5096</v>
      </c>
      <c r="P1093" s="1" t="s">
        <v>9711</v>
      </c>
      <c r="Q1093" s="30" t="s">
        <v>2565</v>
      </c>
      <c r="R1093" s="33" t="s">
        <v>3473</v>
      </c>
      <c r="S1093">
        <v>37</v>
      </c>
      <c r="T1093" s="1" t="s">
        <v>13885</v>
      </c>
      <c r="U1093" s="1" t="str">
        <f>HYPERLINK("http://ictvonline.org/taxonomy/p/taxonomy-history?taxnode_id=202107772","ICTVonline=202107772")</f>
        <v>ICTVonline=202107772</v>
      </c>
    </row>
    <row r="1094" spans="1:21" x14ac:dyDescent="0.2">
      <c r="A1094" s="3">
        <v>1093</v>
      </c>
      <c r="B1094" s="1" t="s">
        <v>4875</v>
      </c>
      <c r="D1094" s="1" t="s">
        <v>4876</v>
      </c>
      <c r="F1094" s="1" t="s">
        <v>4880</v>
      </c>
      <c r="H1094" s="1" t="s">
        <v>4881</v>
      </c>
      <c r="L1094" s="1" t="s">
        <v>9706</v>
      </c>
      <c r="N1094" s="1" t="s">
        <v>5098</v>
      </c>
      <c r="P1094" s="1" t="s">
        <v>9712</v>
      </c>
      <c r="Q1094" s="30" t="s">
        <v>2565</v>
      </c>
      <c r="R1094" s="33" t="s">
        <v>3473</v>
      </c>
      <c r="S1094">
        <v>37</v>
      </c>
      <c r="T1094" s="1" t="s">
        <v>13885</v>
      </c>
      <c r="U1094" s="1" t="str">
        <f>HYPERLINK("http://ictvonline.org/taxonomy/p/taxonomy-history?taxnode_id=202107754","ICTVonline=202107754")</f>
        <v>ICTVonline=202107754</v>
      </c>
    </row>
    <row r="1095" spans="1:21" x14ac:dyDescent="0.2">
      <c r="A1095" s="3">
        <v>1094</v>
      </c>
      <c r="B1095" s="1" t="s">
        <v>4875</v>
      </c>
      <c r="D1095" s="1" t="s">
        <v>4876</v>
      </c>
      <c r="F1095" s="1" t="s">
        <v>4880</v>
      </c>
      <c r="H1095" s="1" t="s">
        <v>4881</v>
      </c>
      <c r="L1095" s="1" t="s">
        <v>9706</v>
      </c>
      <c r="N1095" s="1" t="s">
        <v>5098</v>
      </c>
      <c r="P1095" s="1" t="s">
        <v>9713</v>
      </c>
      <c r="Q1095" s="30" t="s">
        <v>2565</v>
      </c>
      <c r="R1095" s="33" t="s">
        <v>3473</v>
      </c>
      <c r="S1095">
        <v>37</v>
      </c>
      <c r="T1095" s="1" t="s">
        <v>13885</v>
      </c>
      <c r="U1095" s="1" t="str">
        <f>HYPERLINK("http://ictvonline.org/taxonomy/p/taxonomy-history?taxnode_id=202107756","ICTVonline=202107756")</f>
        <v>ICTVonline=202107756</v>
      </c>
    </row>
    <row r="1096" spans="1:21" x14ac:dyDescent="0.2">
      <c r="A1096" s="3">
        <v>1095</v>
      </c>
      <c r="B1096" s="1" t="s">
        <v>4875</v>
      </c>
      <c r="D1096" s="1" t="s">
        <v>4876</v>
      </c>
      <c r="F1096" s="1" t="s">
        <v>4880</v>
      </c>
      <c r="H1096" s="1" t="s">
        <v>4881</v>
      </c>
      <c r="L1096" s="1" t="s">
        <v>9706</v>
      </c>
      <c r="N1096" s="1" t="s">
        <v>5098</v>
      </c>
      <c r="P1096" s="1" t="s">
        <v>9714</v>
      </c>
      <c r="Q1096" s="30" t="s">
        <v>2565</v>
      </c>
      <c r="R1096" s="33" t="s">
        <v>3473</v>
      </c>
      <c r="S1096">
        <v>37</v>
      </c>
      <c r="T1096" s="1" t="s">
        <v>13885</v>
      </c>
      <c r="U1096" s="1" t="str">
        <f>HYPERLINK("http://ictvonline.org/taxonomy/p/taxonomy-history?taxnode_id=202107755","ICTVonline=202107755")</f>
        <v>ICTVonline=202107755</v>
      </c>
    </row>
    <row r="1097" spans="1:21" x14ac:dyDescent="0.2">
      <c r="A1097" s="3">
        <v>1096</v>
      </c>
      <c r="B1097" s="1" t="s">
        <v>4875</v>
      </c>
      <c r="D1097" s="1" t="s">
        <v>4876</v>
      </c>
      <c r="F1097" s="1" t="s">
        <v>4880</v>
      </c>
      <c r="H1097" s="1" t="s">
        <v>4881</v>
      </c>
      <c r="L1097" s="1" t="s">
        <v>9706</v>
      </c>
      <c r="N1097" s="1" t="s">
        <v>5102</v>
      </c>
      <c r="P1097" s="1" t="s">
        <v>9715</v>
      </c>
      <c r="Q1097" s="30" t="s">
        <v>2565</v>
      </c>
      <c r="R1097" s="33" t="s">
        <v>3473</v>
      </c>
      <c r="S1097">
        <v>37</v>
      </c>
      <c r="T1097" s="1" t="s">
        <v>13885</v>
      </c>
      <c r="U1097" s="1" t="str">
        <f>HYPERLINK("http://ictvonline.org/taxonomy/p/taxonomy-history?taxnode_id=202107785","ICTVonline=202107785")</f>
        <v>ICTVonline=202107785</v>
      </c>
    </row>
    <row r="1098" spans="1:21" x14ac:dyDescent="0.2">
      <c r="A1098" s="3">
        <v>1097</v>
      </c>
      <c r="B1098" s="1" t="s">
        <v>4875</v>
      </c>
      <c r="D1098" s="1" t="s">
        <v>4876</v>
      </c>
      <c r="F1098" s="1" t="s">
        <v>4880</v>
      </c>
      <c r="H1098" s="1" t="s">
        <v>4881</v>
      </c>
      <c r="L1098" s="1" t="s">
        <v>9706</v>
      </c>
      <c r="N1098" s="1" t="s">
        <v>9716</v>
      </c>
      <c r="P1098" s="1" t="s">
        <v>9717</v>
      </c>
      <c r="Q1098" s="30" t="s">
        <v>2565</v>
      </c>
      <c r="R1098" s="33" t="s">
        <v>3472</v>
      </c>
      <c r="S1098">
        <v>37</v>
      </c>
      <c r="T1098" s="1" t="s">
        <v>13885</v>
      </c>
      <c r="U1098" s="1" t="str">
        <f>HYPERLINK("http://ictvonline.org/taxonomy/p/taxonomy-history?taxnode_id=202112608","ICTVonline=202112608")</f>
        <v>ICTVonline=202112608</v>
      </c>
    </row>
    <row r="1099" spans="1:21" x14ac:dyDescent="0.2">
      <c r="A1099" s="3">
        <v>1098</v>
      </c>
      <c r="B1099" s="1" t="s">
        <v>4875</v>
      </c>
      <c r="D1099" s="1" t="s">
        <v>4876</v>
      </c>
      <c r="F1099" s="1" t="s">
        <v>4880</v>
      </c>
      <c r="H1099" s="1" t="s">
        <v>4881</v>
      </c>
      <c r="L1099" s="1" t="s">
        <v>9706</v>
      </c>
      <c r="N1099" s="1" t="s">
        <v>5104</v>
      </c>
      <c r="P1099" s="1" t="s">
        <v>9718</v>
      </c>
      <c r="Q1099" s="30" t="s">
        <v>2565</v>
      </c>
      <c r="R1099" s="33" t="s">
        <v>3473</v>
      </c>
      <c r="S1099">
        <v>37</v>
      </c>
      <c r="T1099" s="1" t="s">
        <v>13885</v>
      </c>
      <c r="U1099" s="1" t="str">
        <f>HYPERLINK("http://ictvonline.org/taxonomy/p/taxonomy-history?taxnode_id=202107791","ICTVonline=202107791")</f>
        <v>ICTVonline=202107791</v>
      </c>
    </row>
    <row r="1100" spans="1:21" x14ac:dyDescent="0.2">
      <c r="A1100" s="3">
        <v>1099</v>
      </c>
      <c r="B1100" s="1" t="s">
        <v>4875</v>
      </c>
      <c r="D1100" s="1" t="s">
        <v>4876</v>
      </c>
      <c r="F1100" s="1" t="s">
        <v>4880</v>
      </c>
      <c r="H1100" s="1" t="s">
        <v>4881</v>
      </c>
      <c r="L1100" s="1" t="s">
        <v>9706</v>
      </c>
      <c r="N1100" s="1" t="s">
        <v>5104</v>
      </c>
      <c r="P1100" s="1" t="s">
        <v>9719</v>
      </c>
      <c r="Q1100" s="30" t="s">
        <v>2565</v>
      </c>
      <c r="R1100" s="33" t="s">
        <v>3473</v>
      </c>
      <c r="S1100">
        <v>37</v>
      </c>
      <c r="T1100" s="1" t="s">
        <v>13885</v>
      </c>
      <c r="U1100" s="1" t="str">
        <f>HYPERLINK("http://ictvonline.org/taxonomy/p/taxonomy-history?taxnode_id=202107792","ICTVonline=202107792")</f>
        <v>ICTVonline=202107792</v>
      </c>
    </row>
    <row r="1101" spans="1:21" x14ac:dyDescent="0.2">
      <c r="A1101" s="3">
        <v>1100</v>
      </c>
      <c r="B1101" s="1" t="s">
        <v>4875</v>
      </c>
      <c r="D1101" s="1" t="s">
        <v>4876</v>
      </c>
      <c r="F1101" s="1" t="s">
        <v>4880</v>
      </c>
      <c r="H1101" s="1" t="s">
        <v>4881</v>
      </c>
      <c r="L1101" s="1" t="s">
        <v>9706</v>
      </c>
      <c r="N1101" s="1" t="s">
        <v>5104</v>
      </c>
      <c r="P1101" s="1" t="s">
        <v>9720</v>
      </c>
      <c r="Q1101" s="30" t="s">
        <v>2565</v>
      </c>
      <c r="R1101" s="33" t="s">
        <v>3473</v>
      </c>
      <c r="S1101">
        <v>37</v>
      </c>
      <c r="T1101" s="1" t="s">
        <v>13885</v>
      </c>
      <c r="U1101" s="1" t="str">
        <f>HYPERLINK("http://ictvonline.org/taxonomy/p/taxonomy-history?taxnode_id=202107793","ICTVonline=202107793")</f>
        <v>ICTVonline=202107793</v>
      </c>
    </row>
    <row r="1102" spans="1:21" x14ac:dyDescent="0.2">
      <c r="A1102" s="3">
        <v>1101</v>
      </c>
      <c r="B1102" s="1" t="s">
        <v>4875</v>
      </c>
      <c r="D1102" s="1" t="s">
        <v>4876</v>
      </c>
      <c r="F1102" s="1" t="s">
        <v>4880</v>
      </c>
      <c r="H1102" s="1" t="s">
        <v>4881</v>
      </c>
      <c r="L1102" s="1" t="s">
        <v>9706</v>
      </c>
      <c r="N1102" s="1" t="s">
        <v>9721</v>
      </c>
      <c r="P1102" s="1" t="s">
        <v>9722</v>
      </c>
      <c r="Q1102" s="30" t="s">
        <v>2565</v>
      </c>
      <c r="R1102" s="33" t="s">
        <v>3472</v>
      </c>
      <c r="S1102">
        <v>37</v>
      </c>
      <c r="T1102" s="1" t="s">
        <v>13885</v>
      </c>
      <c r="U1102" s="1" t="str">
        <f>HYPERLINK("http://ictvonline.org/taxonomy/p/taxonomy-history?taxnode_id=202113964","ICTVonline=202113964")</f>
        <v>ICTVonline=202113964</v>
      </c>
    </row>
    <row r="1103" spans="1:21" x14ac:dyDescent="0.2">
      <c r="A1103" s="3">
        <v>1102</v>
      </c>
      <c r="B1103" s="1" t="s">
        <v>4875</v>
      </c>
      <c r="D1103" s="1" t="s">
        <v>4876</v>
      </c>
      <c r="F1103" s="1" t="s">
        <v>4880</v>
      </c>
      <c r="H1103" s="1" t="s">
        <v>4881</v>
      </c>
      <c r="L1103" s="1" t="s">
        <v>9706</v>
      </c>
      <c r="N1103" s="1" t="s">
        <v>9721</v>
      </c>
      <c r="P1103" s="1" t="s">
        <v>9723</v>
      </c>
      <c r="Q1103" s="30" t="s">
        <v>2565</v>
      </c>
      <c r="R1103" s="33" t="s">
        <v>3472</v>
      </c>
      <c r="S1103">
        <v>37</v>
      </c>
      <c r="T1103" s="1" t="s">
        <v>13885</v>
      </c>
      <c r="U1103" s="1" t="str">
        <f>HYPERLINK("http://ictvonline.org/taxonomy/p/taxonomy-history?taxnode_id=202113965","ICTVonline=202113965")</f>
        <v>ICTVonline=202113965</v>
      </c>
    </row>
    <row r="1104" spans="1:21" x14ac:dyDescent="0.2">
      <c r="A1104" s="3">
        <v>1103</v>
      </c>
      <c r="B1104" s="1" t="s">
        <v>4875</v>
      </c>
      <c r="D1104" s="1" t="s">
        <v>4876</v>
      </c>
      <c r="F1104" s="1" t="s">
        <v>4880</v>
      </c>
      <c r="H1104" s="1" t="s">
        <v>4881</v>
      </c>
      <c r="L1104" s="1" t="s">
        <v>9706</v>
      </c>
      <c r="N1104" s="1" t="s">
        <v>5106</v>
      </c>
      <c r="P1104" s="1" t="s">
        <v>9724</v>
      </c>
      <c r="Q1104" s="30" t="s">
        <v>2565</v>
      </c>
      <c r="R1104" s="33" t="s">
        <v>3473</v>
      </c>
      <c r="S1104">
        <v>37</v>
      </c>
      <c r="T1104" s="1" t="s">
        <v>13885</v>
      </c>
      <c r="U1104" s="1" t="str">
        <f>HYPERLINK("http://ictvonline.org/taxonomy/p/taxonomy-history?taxnode_id=202107774","ICTVonline=202107774")</f>
        <v>ICTVonline=202107774</v>
      </c>
    </row>
    <row r="1105" spans="1:21" x14ac:dyDescent="0.2">
      <c r="A1105" s="3">
        <v>1104</v>
      </c>
      <c r="B1105" s="1" t="s">
        <v>4875</v>
      </c>
      <c r="D1105" s="1" t="s">
        <v>4876</v>
      </c>
      <c r="F1105" s="1" t="s">
        <v>4880</v>
      </c>
      <c r="H1105" s="1" t="s">
        <v>4881</v>
      </c>
      <c r="L1105" s="1" t="s">
        <v>9706</v>
      </c>
      <c r="N1105" s="1" t="s">
        <v>5107</v>
      </c>
      <c r="P1105" s="1" t="s">
        <v>9725</v>
      </c>
      <c r="Q1105" s="30" t="s">
        <v>2565</v>
      </c>
      <c r="R1105" s="33" t="s">
        <v>3473</v>
      </c>
      <c r="S1105">
        <v>37</v>
      </c>
      <c r="T1105" s="1" t="s">
        <v>13885</v>
      </c>
      <c r="U1105" s="1" t="str">
        <f>HYPERLINK("http://ictvonline.org/taxonomy/p/taxonomy-history?taxnode_id=202107776","ICTVonline=202107776")</f>
        <v>ICTVonline=202107776</v>
      </c>
    </row>
    <row r="1106" spans="1:21" x14ac:dyDescent="0.2">
      <c r="A1106" s="3">
        <v>1105</v>
      </c>
      <c r="B1106" s="1" t="s">
        <v>4875</v>
      </c>
      <c r="D1106" s="1" t="s">
        <v>4876</v>
      </c>
      <c r="F1106" s="1" t="s">
        <v>4880</v>
      </c>
      <c r="H1106" s="1" t="s">
        <v>4881</v>
      </c>
      <c r="L1106" s="1" t="s">
        <v>9706</v>
      </c>
      <c r="N1106" s="1" t="s">
        <v>9726</v>
      </c>
      <c r="P1106" s="1" t="s">
        <v>9727</v>
      </c>
      <c r="Q1106" s="30" t="s">
        <v>2565</v>
      </c>
      <c r="R1106" s="33" t="s">
        <v>3472</v>
      </c>
      <c r="S1106">
        <v>37</v>
      </c>
      <c r="T1106" s="1" t="s">
        <v>13885</v>
      </c>
      <c r="U1106" s="1" t="str">
        <f>HYPERLINK("http://ictvonline.org/taxonomy/p/taxonomy-history?taxnode_id=202113991","ICTVonline=202113991")</f>
        <v>ICTVonline=202113991</v>
      </c>
    </row>
    <row r="1107" spans="1:21" x14ac:dyDescent="0.2">
      <c r="A1107" s="3">
        <v>1106</v>
      </c>
      <c r="B1107" s="1" t="s">
        <v>4875</v>
      </c>
      <c r="D1107" s="1" t="s">
        <v>4876</v>
      </c>
      <c r="F1107" s="1" t="s">
        <v>4880</v>
      </c>
      <c r="H1107" s="1" t="s">
        <v>4881</v>
      </c>
      <c r="L1107" s="1" t="s">
        <v>9706</v>
      </c>
      <c r="N1107" s="1" t="s">
        <v>9728</v>
      </c>
      <c r="P1107" s="1" t="s">
        <v>9729</v>
      </c>
      <c r="Q1107" s="30" t="s">
        <v>2565</v>
      </c>
      <c r="R1107" s="33" t="s">
        <v>3472</v>
      </c>
      <c r="S1107">
        <v>37</v>
      </c>
      <c r="T1107" s="1" t="s">
        <v>13885</v>
      </c>
      <c r="U1107" s="1" t="str">
        <f>HYPERLINK("http://ictvonline.org/taxonomy/p/taxonomy-history?taxnode_id=202113993","ICTVonline=202113993")</f>
        <v>ICTVonline=202113993</v>
      </c>
    </row>
    <row r="1108" spans="1:21" x14ac:dyDescent="0.2">
      <c r="A1108" s="3">
        <v>1107</v>
      </c>
      <c r="B1108" s="1" t="s">
        <v>4875</v>
      </c>
      <c r="D1108" s="1" t="s">
        <v>4876</v>
      </c>
      <c r="F1108" s="1" t="s">
        <v>4880</v>
      </c>
      <c r="H1108" s="1" t="s">
        <v>4881</v>
      </c>
      <c r="L1108" s="1" t="s">
        <v>9706</v>
      </c>
      <c r="N1108" s="1" t="s">
        <v>9730</v>
      </c>
      <c r="P1108" s="1" t="s">
        <v>9731</v>
      </c>
      <c r="Q1108" s="30" t="s">
        <v>2565</v>
      </c>
      <c r="R1108" s="33" t="s">
        <v>3472</v>
      </c>
      <c r="S1108">
        <v>37</v>
      </c>
      <c r="T1108" s="1" t="s">
        <v>13885</v>
      </c>
      <c r="U1108" s="1" t="str">
        <f>HYPERLINK("http://ictvonline.org/taxonomy/p/taxonomy-history?taxnode_id=202113962","ICTVonline=202113962")</f>
        <v>ICTVonline=202113962</v>
      </c>
    </row>
    <row r="1109" spans="1:21" x14ac:dyDescent="0.2">
      <c r="A1109" s="3">
        <v>1108</v>
      </c>
      <c r="B1109" s="1" t="s">
        <v>4875</v>
      </c>
      <c r="D1109" s="1" t="s">
        <v>4876</v>
      </c>
      <c r="F1109" s="1" t="s">
        <v>4880</v>
      </c>
      <c r="H1109" s="1" t="s">
        <v>4881</v>
      </c>
      <c r="L1109" s="1" t="s">
        <v>9706</v>
      </c>
      <c r="N1109" s="1" t="s">
        <v>13886</v>
      </c>
      <c r="P1109" s="1" t="s">
        <v>13887</v>
      </c>
      <c r="Q1109" s="30" t="s">
        <v>2565</v>
      </c>
      <c r="R1109" s="33" t="s">
        <v>3472</v>
      </c>
      <c r="S1109">
        <v>37</v>
      </c>
      <c r="T1109" s="1" t="s">
        <v>13885</v>
      </c>
      <c r="U1109" s="1" t="str">
        <f>HYPERLINK("http://ictvonline.org/taxonomy/p/taxonomy-history?taxnode_id=202113995","ICTVonline=202113995")</f>
        <v>ICTVonline=202113995</v>
      </c>
    </row>
    <row r="1110" spans="1:21" x14ac:dyDescent="0.2">
      <c r="A1110" s="3">
        <v>1109</v>
      </c>
      <c r="B1110" s="1" t="s">
        <v>4875</v>
      </c>
      <c r="D1110" s="1" t="s">
        <v>4876</v>
      </c>
      <c r="F1110" s="1" t="s">
        <v>4880</v>
      </c>
      <c r="H1110" s="1" t="s">
        <v>4881</v>
      </c>
      <c r="L1110" s="1" t="s">
        <v>9706</v>
      </c>
      <c r="N1110" s="1" t="s">
        <v>9732</v>
      </c>
      <c r="P1110" s="1" t="s">
        <v>9733</v>
      </c>
      <c r="Q1110" s="30" t="s">
        <v>2565</v>
      </c>
      <c r="R1110" s="33" t="s">
        <v>3472</v>
      </c>
      <c r="S1110">
        <v>37</v>
      </c>
      <c r="T1110" s="1" t="s">
        <v>13885</v>
      </c>
      <c r="U1110" s="1" t="str">
        <f>HYPERLINK("http://ictvonline.org/taxonomy/p/taxonomy-history?taxnode_id=202113984","ICTVonline=202113984")</f>
        <v>ICTVonline=202113984</v>
      </c>
    </row>
    <row r="1111" spans="1:21" x14ac:dyDescent="0.2">
      <c r="A1111" s="3">
        <v>1110</v>
      </c>
      <c r="B1111" s="1" t="s">
        <v>4875</v>
      </c>
      <c r="D1111" s="1" t="s">
        <v>4876</v>
      </c>
      <c r="F1111" s="1" t="s">
        <v>4880</v>
      </c>
      <c r="H1111" s="1" t="s">
        <v>4881</v>
      </c>
      <c r="L1111" s="1" t="s">
        <v>9706</v>
      </c>
      <c r="N1111" s="1" t="s">
        <v>9734</v>
      </c>
      <c r="P1111" s="1" t="s">
        <v>9735</v>
      </c>
      <c r="Q1111" s="30" t="s">
        <v>2565</v>
      </c>
      <c r="R1111" s="33" t="s">
        <v>3472</v>
      </c>
      <c r="S1111">
        <v>37</v>
      </c>
      <c r="T1111" s="1" t="s">
        <v>13885</v>
      </c>
      <c r="U1111" s="1" t="str">
        <f>HYPERLINK("http://ictvonline.org/taxonomy/p/taxonomy-history?taxnode_id=202113976","ICTVonline=202113976")</f>
        <v>ICTVonline=202113976</v>
      </c>
    </row>
    <row r="1112" spans="1:21" x14ac:dyDescent="0.2">
      <c r="A1112" s="3">
        <v>1111</v>
      </c>
      <c r="B1112" s="1" t="s">
        <v>4875</v>
      </c>
      <c r="D1112" s="1" t="s">
        <v>4876</v>
      </c>
      <c r="F1112" s="1" t="s">
        <v>4880</v>
      </c>
      <c r="H1112" s="1" t="s">
        <v>4881</v>
      </c>
      <c r="L1112" s="1" t="s">
        <v>9706</v>
      </c>
      <c r="N1112" s="1" t="s">
        <v>5113</v>
      </c>
      <c r="P1112" s="1" t="s">
        <v>9736</v>
      </c>
      <c r="Q1112" s="30" t="s">
        <v>2565</v>
      </c>
      <c r="R1112" s="33" t="s">
        <v>3473</v>
      </c>
      <c r="S1112">
        <v>37</v>
      </c>
      <c r="T1112" s="1" t="s">
        <v>13885</v>
      </c>
      <c r="U1112" s="1" t="str">
        <f>HYPERLINK("http://ictvonline.org/taxonomy/p/taxonomy-history?taxnode_id=202107805","ICTVonline=202107805")</f>
        <v>ICTVonline=202107805</v>
      </c>
    </row>
    <row r="1113" spans="1:21" x14ac:dyDescent="0.2">
      <c r="A1113" s="3">
        <v>1112</v>
      </c>
      <c r="B1113" s="1" t="s">
        <v>4875</v>
      </c>
      <c r="D1113" s="1" t="s">
        <v>4876</v>
      </c>
      <c r="F1113" s="1" t="s">
        <v>4880</v>
      </c>
      <c r="H1113" s="1" t="s">
        <v>4881</v>
      </c>
      <c r="L1113" s="1" t="s">
        <v>9706</v>
      </c>
      <c r="N1113" s="1" t="s">
        <v>5115</v>
      </c>
      <c r="P1113" s="1" t="s">
        <v>9737</v>
      </c>
      <c r="Q1113" s="30" t="s">
        <v>2565</v>
      </c>
      <c r="R1113" s="33" t="s">
        <v>3473</v>
      </c>
      <c r="S1113">
        <v>37</v>
      </c>
      <c r="T1113" s="1" t="s">
        <v>13885</v>
      </c>
      <c r="U1113" s="1" t="str">
        <f>HYPERLINK("http://ictvonline.org/taxonomy/p/taxonomy-history?taxnode_id=202107814","ICTVonline=202107814")</f>
        <v>ICTVonline=202107814</v>
      </c>
    </row>
    <row r="1114" spans="1:21" x14ac:dyDescent="0.2">
      <c r="A1114" s="3">
        <v>1113</v>
      </c>
      <c r="B1114" s="1" t="s">
        <v>4875</v>
      </c>
      <c r="D1114" s="1" t="s">
        <v>4876</v>
      </c>
      <c r="F1114" s="1" t="s">
        <v>4880</v>
      </c>
      <c r="H1114" s="1" t="s">
        <v>4881</v>
      </c>
      <c r="L1114" s="1" t="s">
        <v>9706</v>
      </c>
      <c r="N1114" s="1" t="s">
        <v>5115</v>
      </c>
      <c r="P1114" s="1" t="s">
        <v>9738</v>
      </c>
      <c r="Q1114" s="30" t="s">
        <v>2565</v>
      </c>
      <c r="R1114" s="33" t="s">
        <v>3473</v>
      </c>
      <c r="S1114">
        <v>37</v>
      </c>
      <c r="T1114" s="1" t="s">
        <v>13885</v>
      </c>
      <c r="U1114" s="1" t="str">
        <f>HYPERLINK("http://ictvonline.org/taxonomy/p/taxonomy-history?taxnode_id=202107813","ICTVonline=202107813")</f>
        <v>ICTVonline=202107813</v>
      </c>
    </row>
    <row r="1115" spans="1:21" x14ac:dyDescent="0.2">
      <c r="A1115" s="3">
        <v>1114</v>
      </c>
      <c r="B1115" s="1" t="s">
        <v>4875</v>
      </c>
      <c r="D1115" s="1" t="s">
        <v>4876</v>
      </c>
      <c r="F1115" s="1" t="s">
        <v>4880</v>
      </c>
      <c r="H1115" s="1" t="s">
        <v>4881</v>
      </c>
      <c r="L1115" s="1" t="s">
        <v>9706</v>
      </c>
      <c r="N1115" s="1" t="s">
        <v>5116</v>
      </c>
      <c r="P1115" s="1" t="s">
        <v>9739</v>
      </c>
      <c r="Q1115" s="30" t="s">
        <v>2565</v>
      </c>
      <c r="R1115" s="33" t="s">
        <v>3473</v>
      </c>
      <c r="S1115">
        <v>37</v>
      </c>
      <c r="T1115" s="1" t="s">
        <v>13885</v>
      </c>
      <c r="U1115" s="1" t="str">
        <f>HYPERLINK("http://ictvonline.org/taxonomy/p/taxonomy-history?taxnode_id=202107821","ICTVonline=202107821")</f>
        <v>ICTVonline=202107821</v>
      </c>
    </row>
    <row r="1116" spans="1:21" x14ac:dyDescent="0.2">
      <c r="A1116" s="3">
        <v>1115</v>
      </c>
      <c r="B1116" s="1" t="s">
        <v>4875</v>
      </c>
      <c r="D1116" s="1" t="s">
        <v>4876</v>
      </c>
      <c r="F1116" s="1" t="s">
        <v>4880</v>
      </c>
      <c r="H1116" s="1" t="s">
        <v>4881</v>
      </c>
      <c r="L1116" s="1" t="s">
        <v>9706</v>
      </c>
      <c r="N1116" s="1" t="s">
        <v>9740</v>
      </c>
      <c r="P1116" s="1" t="s">
        <v>9741</v>
      </c>
      <c r="Q1116" s="30" t="s">
        <v>2565</v>
      </c>
      <c r="R1116" s="33" t="s">
        <v>3472</v>
      </c>
      <c r="S1116">
        <v>37</v>
      </c>
      <c r="T1116" s="1" t="s">
        <v>13885</v>
      </c>
      <c r="U1116" s="1" t="str">
        <f>HYPERLINK("http://ictvonline.org/taxonomy/p/taxonomy-history?taxnode_id=202113970","ICTVonline=202113970")</f>
        <v>ICTVonline=202113970</v>
      </c>
    </row>
    <row r="1117" spans="1:21" x14ac:dyDescent="0.2">
      <c r="A1117" s="3">
        <v>1116</v>
      </c>
      <c r="B1117" s="1" t="s">
        <v>4875</v>
      </c>
      <c r="D1117" s="1" t="s">
        <v>4876</v>
      </c>
      <c r="F1117" s="1" t="s">
        <v>4880</v>
      </c>
      <c r="H1117" s="1" t="s">
        <v>4881</v>
      </c>
      <c r="L1117" s="1" t="s">
        <v>9706</v>
      </c>
      <c r="N1117" s="1" t="s">
        <v>9742</v>
      </c>
      <c r="P1117" s="1" t="s">
        <v>9743</v>
      </c>
      <c r="Q1117" s="30" t="s">
        <v>2565</v>
      </c>
      <c r="R1117" s="33" t="s">
        <v>3472</v>
      </c>
      <c r="S1117">
        <v>37</v>
      </c>
      <c r="T1117" s="1" t="s">
        <v>13885</v>
      </c>
      <c r="U1117" s="1" t="str">
        <f>HYPERLINK("http://ictvonline.org/taxonomy/p/taxonomy-history?taxnode_id=202113972","ICTVonline=202113972")</f>
        <v>ICTVonline=202113972</v>
      </c>
    </row>
    <row r="1118" spans="1:21" x14ac:dyDescent="0.2">
      <c r="A1118" s="3">
        <v>1117</v>
      </c>
      <c r="B1118" s="1" t="s">
        <v>4875</v>
      </c>
      <c r="D1118" s="1" t="s">
        <v>4876</v>
      </c>
      <c r="F1118" s="1" t="s">
        <v>4880</v>
      </c>
      <c r="H1118" s="1" t="s">
        <v>4881</v>
      </c>
      <c r="L1118" s="1" t="s">
        <v>9706</v>
      </c>
      <c r="N1118" s="1" t="s">
        <v>9744</v>
      </c>
      <c r="P1118" s="1" t="s">
        <v>9745</v>
      </c>
      <c r="Q1118" s="30" t="s">
        <v>2565</v>
      </c>
      <c r="R1118" s="33" t="s">
        <v>3472</v>
      </c>
      <c r="S1118">
        <v>37</v>
      </c>
      <c r="T1118" s="1" t="s">
        <v>13885</v>
      </c>
      <c r="U1118" s="1" t="str">
        <f>HYPERLINK("http://ictvonline.org/taxonomy/p/taxonomy-history?taxnode_id=202113982","ICTVonline=202113982")</f>
        <v>ICTVonline=202113982</v>
      </c>
    </row>
    <row r="1119" spans="1:21" x14ac:dyDescent="0.2">
      <c r="A1119" s="3">
        <v>1118</v>
      </c>
      <c r="B1119" s="1" t="s">
        <v>4875</v>
      </c>
      <c r="D1119" s="1" t="s">
        <v>4876</v>
      </c>
      <c r="F1119" s="1" t="s">
        <v>4880</v>
      </c>
      <c r="H1119" s="1" t="s">
        <v>4881</v>
      </c>
      <c r="L1119" s="1" t="s">
        <v>9706</v>
      </c>
      <c r="N1119" s="1" t="s">
        <v>9746</v>
      </c>
      <c r="P1119" s="1" t="s">
        <v>9747</v>
      </c>
      <c r="Q1119" s="30" t="s">
        <v>2565</v>
      </c>
      <c r="R1119" s="33" t="s">
        <v>3472</v>
      </c>
      <c r="S1119">
        <v>37</v>
      </c>
      <c r="T1119" s="1" t="s">
        <v>13885</v>
      </c>
      <c r="U1119" s="1" t="str">
        <f>HYPERLINK("http://ictvonline.org/taxonomy/p/taxonomy-history?taxnode_id=202113974","ICTVonline=202113974")</f>
        <v>ICTVonline=202113974</v>
      </c>
    </row>
    <row r="1120" spans="1:21" x14ac:dyDescent="0.2">
      <c r="A1120" s="3">
        <v>1119</v>
      </c>
      <c r="B1120" s="1" t="s">
        <v>4875</v>
      </c>
      <c r="D1120" s="1" t="s">
        <v>4876</v>
      </c>
      <c r="F1120" s="1" t="s">
        <v>4880</v>
      </c>
      <c r="H1120" s="1" t="s">
        <v>4881</v>
      </c>
      <c r="L1120" s="1" t="s">
        <v>9706</v>
      </c>
      <c r="N1120" s="1" t="s">
        <v>5119</v>
      </c>
      <c r="P1120" s="1" t="s">
        <v>9748</v>
      </c>
      <c r="Q1120" s="30" t="s">
        <v>2565</v>
      </c>
      <c r="R1120" s="33" t="s">
        <v>3473</v>
      </c>
      <c r="S1120">
        <v>37</v>
      </c>
      <c r="T1120" s="1" t="s">
        <v>13885</v>
      </c>
      <c r="U1120" s="1" t="str">
        <f>HYPERLINK("http://ictvonline.org/taxonomy/p/taxonomy-history?taxnode_id=202107760","ICTVonline=202107760")</f>
        <v>ICTVonline=202107760</v>
      </c>
    </row>
    <row r="1121" spans="1:21" x14ac:dyDescent="0.2">
      <c r="A1121" s="3">
        <v>1120</v>
      </c>
      <c r="B1121" s="1" t="s">
        <v>4875</v>
      </c>
      <c r="D1121" s="1" t="s">
        <v>4876</v>
      </c>
      <c r="F1121" s="1" t="s">
        <v>4880</v>
      </c>
      <c r="H1121" s="1" t="s">
        <v>4881</v>
      </c>
      <c r="L1121" s="1" t="s">
        <v>9706</v>
      </c>
      <c r="N1121" s="1" t="s">
        <v>5122</v>
      </c>
      <c r="P1121" s="1" t="s">
        <v>9749</v>
      </c>
      <c r="Q1121" s="30" t="s">
        <v>2565</v>
      </c>
      <c r="R1121" s="33" t="s">
        <v>3473</v>
      </c>
      <c r="S1121">
        <v>37</v>
      </c>
      <c r="T1121" s="1" t="s">
        <v>13885</v>
      </c>
      <c r="U1121" s="1" t="str">
        <f>HYPERLINK("http://ictvonline.org/taxonomy/p/taxonomy-history?taxnode_id=202107801","ICTVonline=202107801")</f>
        <v>ICTVonline=202107801</v>
      </c>
    </row>
    <row r="1122" spans="1:21" x14ac:dyDescent="0.2">
      <c r="A1122" s="3">
        <v>1121</v>
      </c>
      <c r="B1122" s="1" t="s">
        <v>4875</v>
      </c>
      <c r="D1122" s="1" t="s">
        <v>4876</v>
      </c>
      <c r="F1122" s="1" t="s">
        <v>4880</v>
      </c>
      <c r="H1122" s="1" t="s">
        <v>4881</v>
      </c>
      <c r="L1122" s="1" t="s">
        <v>9706</v>
      </c>
      <c r="N1122" s="1" t="s">
        <v>5123</v>
      </c>
      <c r="P1122" s="1" t="s">
        <v>9750</v>
      </c>
      <c r="Q1122" s="30" t="s">
        <v>2565</v>
      </c>
      <c r="R1122" s="33" t="s">
        <v>3473</v>
      </c>
      <c r="S1122">
        <v>37</v>
      </c>
      <c r="T1122" s="1" t="s">
        <v>13885</v>
      </c>
      <c r="U1122" s="1" t="str">
        <f>HYPERLINK("http://ictvonline.org/taxonomy/p/taxonomy-history?taxnode_id=202107782","ICTVonline=202107782")</f>
        <v>ICTVonline=202107782</v>
      </c>
    </row>
    <row r="1123" spans="1:21" x14ac:dyDescent="0.2">
      <c r="A1123" s="3">
        <v>1122</v>
      </c>
      <c r="B1123" s="1" t="s">
        <v>4875</v>
      </c>
      <c r="D1123" s="1" t="s">
        <v>4876</v>
      </c>
      <c r="F1123" s="1" t="s">
        <v>4880</v>
      </c>
      <c r="H1123" s="1" t="s">
        <v>4881</v>
      </c>
      <c r="L1123" s="1" t="s">
        <v>9706</v>
      </c>
      <c r="N1123" s="1" t="s">
        <v>5123</v>
      </c>
      <c r="P1123" s="1" t="s">
        <v>9751</v>
      </c>
      <c r="Q1123" s="30" t="s">
        <v>2565</v>
      </c>
      <c r="R1123" s="33" t="s">
        <v>3473</v>
      </c>
      <c r="S1123">
        <v>37</v>
      </c>
      <c r="T1123" s="1" t="s">
        <v>13885</v>
      </c>
      <c r="U1123" s="1" t="str">
        <f>HYPERLINK("http://ictvonline.org/taxonomy/p/taxonomy-history?taxnode_id=202107783","ICTVonline=202107783")</f>
        <v>ICTVonline=202107783</v>
      </c>
    </row>
    <row r="1124" spans="1:21" x14ac:dyDescent="0.2">
      <c r="A1124" s="3">
        <v>1123</v>
      </c>
      <c r="B1124" s="1" t="s">
        <v>4875</v>
      </c>
      <c r="D1124" s="1" t="s">
        <v>4876</v>
      </c>
      <c r="F1124" s="1" t="s">
        <v>4880</v>
      </c>
      <c r="H1124" s="1" t="s">
        <v>4881</v>
      </c>
      <c r="L1124" s="1" t="s">
        <v>9706</v>
      </c>
      <c r="N1124" s="1" t="s">
        <v>5124</v>
      </c>
      <c r="P1124" s="1" t="s">
        <v>9752</v>
      </c>
      <c r="Q1124" s="30" t="s">
        <v>2565</v>
      </c>
      <c r="R1124" s="33" t="s">
        <v>3473</v>
      </c>
      <c r="S1124">
        <v>37</v>
      </c>
      <c r="T1124" s="1" t="s">
        <v>13885</v>
      </c>
      <c r="U1124" s="1" t="str">
        <f>HYPERLINK("http://ictvonline.org/taxonomy/p/taxonomy-history?taxnode_id=202107796","ICTVonline=202107796")</f>
        <v>ICTVonline=202107796</v>
      </c>
    </row>
    <row r="1125" spans="1:21" x14ac:dyDescent="0.2">
      <c r="A1125" s="3">
        <v>1124</v>
      </c>
      <c r="B1125" s="1" t="s">
        <v>4875</v>
      </c>
      <c r="D1125" s="1" t="s">
        <v>4876</v>
      </c>
      <c r="F1125" s="1" t="s">
        <v>4880</v>
      </c>
      <c r="H1125" s="1" t="s">
        <v>4881</v>
      </c>
      <c r="L1125" s="1" t="s">
        <v>9706</v>
      </c>
      <c r="N1125" s="1" t="s">
        <v>5124</v>
      </c>
      <c r="P1125" s="1" t="s">
        <v>9753</v>
      </c>
      <c r="Q1125" s="30" t="s">
        <v>2565</v>
      </c>
      <c r="R1125" s="33" t="s">
        <v>3473</v>
      </c>
      <c r="S1125">
        <v>37</v>
      </c>
      <c r="T1125" s="1" t="s">
        <v>13885</v>
      </c>
      <c r="U1125" s="1" t="str">
        <f>HYPERLINK("http://ictvonline.org/taxonomy/p/taxonomy-history?taxnode_id=202107797","ICTVonline=202107797")</f>
        <v>ICTVonline=202107797</v>
      </c>
    </row>
    <row r="1126" spans="1:21" x14ac:dyDescent="0.2">
      <c r="A1126" s="3">
        <v>1125</v>
      </c>
      <c r="B1126" s="1" t="s">
        <v>4875</v>
      </c>
      <c r="D1126" s="1" t="s">
        <v>4876</v>
      </c>
      <c r="F1126" s="1" t="s">
        <v>4880</v>
      </c>
      <c r="H1126" s="1" t="s">
        <v>4881</v>
      </c>
      <c r="L1126" s="1" t="s">
        <v>9706</v>
      </c>
      <c r="N1126" s="1" t="s">
        <v>9754</v>
      </c>
      <c r="P1126" s="1" t="s">
        <v>9755</v>
      </c>
      <c r="Q1126" s="30" t="s">
        <v>2565</v>
      </c>
      <c r="R1126" s="33" t="s">
        <v>3472</v>
      </c>
      <c r="S1126">
        <v>37</v>
      </c>
      <c r="T1126" s="1" t="s">
        <v>13885</v>
      </c>
      <c r="U1126" s="1" t="str">
        <f>HYPERLINK("http://ictvonline.org/taxonomy/p/taxonomy-history?taxnode_id=202113999","ICTVonline=202113999")</f>
        <v>ICTVonline=202113999</v>
      </c>
    </row>
    <row r="1127" spans="1:21" x14ac:dyDescent="0.2">
      <c r="A1127" s="3">
        <v>1126</v>
      </c>
      <c r="B1127" s="1" t="s">
        <v>4875</v>
      </c>
      <c r="D1127" s="1" t="s">
        <v>4876</v>
      </c>
      <c r="F1127" s="1" t="s">
        <v>4880</v>
      </c>
      <c r="H1127" s="1" t="s">
        <v>4881</v>
      </c>
      <c r="L1127" s="1" t="s">
        <v>9706</v>
      </c>
      <c r="N1127" s="1" t="s">
        <v>5125</v>
      </c>
      <c r="P1127" s="1" t="s">
        <v>9756</v>
      </c>
      <c r="Q1127" s="30" t="s">
        <v>2565</v>
      </c>
      <c r="R1127" s="33" t="s">
        <v>3473</v>
      </c>
      <c r="S1127">
        <v>37</v>
      </c>
      <c r="T1127" s="1" t="s">
        <v>13885</v>
      </c>
      <c r="U1127" s="1" t="str">
        <f>HYPERLINK("http://ictvonline.org/taxonomy/p/taxonomy-history?taxnode_id=202107789","ICTVonline=202107789")</f>
        <v>ICTVonline=202107789</v>
      </c>
    </row>
    <row r="1128" spans="1:21" x14ac:dyDescent="0.2">
      <c r="A1128" s="3">
        <v>1127</v>
      </c>
      <c r="B1128" s="1" t="s">
        <v>4875</v>
      </c>
      <c r="D1128" s="1" t="s">
        <v>4876</v>
      </c>
      <c r="F1128" s="1" t="s">
        <v>4880</v>
      </c>
      <c r="H1128" s="1" t="s">
        <v>4881</v>
      </c>
      <c r="L1128" s="1" t="s">
        <v>9706</v>
      </c>
      <c r="N1128" s="1" t="s">
        <v>9757</v>
      </c>
      <c r="P1128" s="1" t="s">
        <v>9758</v>
      </c>
      <c r="Q1128" s="30" t="s">
        <v>2565</v>
      </c>
      <c r="R1128" s="33" t="s">
        <v>3472</v>
      </c>
      <c r="S1128">
        <v>37</v>
      </c>
      <c r="T1128" s="1" t="s">
        <v>13885</v>
      </c>
      <c r="U1128" s="1" t="str">
        <f>HYPERLINK("http://ictvonline.org/taxonomy/p/taxonomy-history?taxnode_id=202113978","ICTVonline=202113978")</f>
        <v>ICTVonline=202113978</v>
      </c>
    </row>
    <row r="1129" spans="1:21" x14ac:dyDescent="0.2">
      <c r="A1129" s="3">
        <v>1128</v>
      </c>
      <c r="B1129" s="1" t="s">
        <v>4875</v>
      </c>
      <c r="D1129" s="1" t="s">
        <v>4876</v>
      </c>
      <c r="F1129" s="1" t="s">
        <v>4880</v>
      </c>
      <c r="H1129" s="1" t="s">
        <v>4881</v>
      </c>
      <c r="L1129" s="1" t="s">
        <v>9706</v>
      </c>
      <c r="N1129" s="1" t="s">
        <v>5126</v>
      </c>
      <c r="P1129" s="1" t="s">
        <v>9759</v>
      </c>
      <c r="Q1129" s="30" t="s">
        <v>2565</v>
      </c>
      <c r="R1129" s="33" t="s">
        <v>3473</v>
      </c>
      <c r="S1129">
        <v>37</v>
      </c>
      <c r="T1129" s="1" t="s">
        <v>13885</v>
      </c>
      <c r="U1129" s="1" t="str">
        <f>HYPERLINK("http://ictvonline.org/taxonomy/p/taxonomy-history?taxnode_id=202107768","ICTVonline=202107768")</f>
        <v>ICTVonline=202107768</v>
      </c>
    </row>
    <row r="1130" spans="1:21" x14ac:dyDescent="0.2">
      <c r="A1130" s="3">
        <v>1129</v>
      </c>
      <c r="B1130" s="1" t="s">
        <v>4875</v>
      </c>
      <c r="D1130" s="1" t="s">
        <v>4876</v>
      </c>
      <c r="F1130" s="1" t="s">
        <v>4880</v>
      </c>
      <c r="H1130" s="1" t="s">
        <v>4881</v>
      </c>
      <c r="L1130" s="1" t="s">
        <v>9706</v>
      </c>
      <c r="N1130" s="1" t="s">
        <v>9760</v>
      </c>
      <c r="P1130" s="1" t="s">
        <v>9761</v>
      </c>
      <c r="Q1130" s="30" t="s">
        <v>2565</v>
      </c>
      <c r="R1130" s="33" t="s">
        <v>3472</v>
      </c>
      <c r="S1130">
        <v>37</v>
      </c>
      <c r="T1130" s="1" t="s">
        <v>13885</v>
      </c>
      <c r="U1130" s="1" t="str">
        <f>HYPERLINK("http://ictvonline.org/taxonomy/p/taxonomy-history?taxnode_id=202113986","ICTVonline=202113986")</f>
        <v>ICTVonline=202113986</v>
      </c>
    </row>
    <row r="1131" spans="1:21" x14ac:dyDescent="0.2">
      <c r="A1131" s="3">
        <v>1130</v>
      </c>
      <c r="B1131" s="1" t="s">
        <v>4875</v>
      </c>
      <c r="D1131" s="1" t="s">
        <v>4876</v>
      </c>
      <c r="F1131" s="1" t="s">
        <v>4880</v>
      </c>
      <c r="H1131" s="1" t="s">
        <v>4881</v>
      </c>
      <c r="L1131" s="1" t="s">
        <v>9706</v>
      </c>
      <c r="N1131" s="1" t="s">
        <v>5127</v>
      </c>
      <c r="P1131" s="1" t="s">
        <v>9762</v>
      </c>
      <c r="Q1131" s="30" t="s">
        <v>2565</v>
      </c>
      <c r="R1131" s="33" t="s">
        <v>3473</v>
      </c>
      <c r="S1131">
        <v>37</v>
      </c>
      <c r="T1131" s="1" t="s">
        <v>13885</v>
      </c>
      <c r="U1131" s="1" t="str">
        <f>HYPERLINK("http://ictvonline.org/taxonomy/p/taxonomy-history?taxnode_id=202107816","ICTVonline=202107816")</f>
        <v>ICTVonline=202107816</v>
      </c>
    </row>
    <row r="1132" spans="1:21" x14ac:dyDescent="0.2">
      <c r="A1132" s="3">
        <v>1131</v>
      </c>
      <c r="B1132" s="1" t="s">
        <v>4875</v>
      </c>
      <c r="D1132" s="1" t="s">
        <v>4876</v>
      </c>
      <c r="F1132" s="1" t="s">
        <v>4880</v>
      </c>
      <c r="H1132" s="1" t="s">
        <v>4881</v>
      </c>
      <c r="L1132" s="1" t="s">
        <v>9706</v>
      </c>
      <c r="N1132" s="1" t="s">
        <v>5136</v>
      </c>
      <c r="P1132" s="1" t="s">
        <v>9763</v>
      </c>
      <c r="Q1132" s="30" t="s">
        <v>2565</v>
      </c>
      <c r="R1132" s="33" t="s">
        <v>3473</v>
      </c>
      <c r="S1132">
        <v>37</v>
      </c>
      <c r="T1132" s="1" t="s">
        <v>13885</v>
      </c>
      <c r="U1132" s="1" t="str">
        <f>HYPERLINK("http://ictvonline.org/taxonomy/p/taxonomy-history?taxnode_id=202107811","ICTVonline=202107811")</f>
        <v>ICTVonline=202107811</v>
      </c>
    </row>
    <row r="1133" spans="1:21" x14ac:dyDescent="0.2">
      <c r="A1133" s="3">
        <v>1132</v>
      </c>
      <c r="B1133" s="1" t="s">
        <v>4875</v>
      </c>
      <c r="D1133" s="1" t="s">
        <v>4876</v>
      </c>
      <c r="F1133" s="1" t="s">
        <v>4880</v>
      </c>
      <c r="H1133" s="1" t="s">
        <v>4881</v>
      </c>
      <c r="L1133" s="1" t="s">
        <v>9706</v>
      </c>
      <c r="N1133" s="1" t="s">
        <v>9764</v>
      </c>
      <c r="P1133" s="1" t="s">
        <v>9765</v>
      </c>
      <c r="Q1133" s="30" t="s">
        <v>2565</v>
      </c>
      <c r="R1133" s="33" t="s">
        <v>3472</v>
      </c>
      <c r="S1133">
        <v>37</v>
      </c>
      <c r="T1133" s="1" t="s">
        <v>13885</v>
      </c>
      <c r="U1133" s="1" t="str">
        <f>HYPERLINK("http://ictvonline.org/taxonomy/p/taxonomy-history?taxnode_id=202113967","ICTVonline=202113967")</f>
        <v>ICTVonline=202113967</v>
      </c>
    </row>
    <row r="1134" spans="1:21" x14ac:dyDescent="0.2">
      <c r="A1134" s="3">
        <v>1133</v>
      </c>
      <c r="B1134" s="1" t="s">
        <v>4875</v>
      </c>
      <c r="D1134" s="1" t="s">
        <v>4876</v>
      </c>
      <c r="F1134" s="1" t="s">
        <v>4880</v>
      </c>
      <c r="H1134" s="1" t="s">
        <v>4881</v>
      </c>
      <c r="L1134" s="1" t="s">
        <v>9706</v>
      </c>
      <c r="N1134" s="1" t="s">
        <v>9764</v>
      </c>
      <c r="P1134" s="1" t="s">
        <v>9766</v>
      </c>
      <c r="Q1134" s="30" t="s">
        <v>2565</v>
      </c>
      <c r="R1134" s="33" t="s">
        <v>3472</v>
      </c>
      <c r="S1134">
        <v>37</v>
      </c>
      <c r="T1134" s="1" t="s">
        <v>13885</v>
      </c>
      <c r="U1134" s="1" t="str">
        <f>HYPERLINK("http://ictvonline.org/taxonomy/p/taxonomy-history?taxnode_id=202113968","ICTVonline=202113968")</f>
        <v>ICTVonline=202113968</v>
      </c>
    </row>
    <row r="1135" spans="1:21" x14ac:dyDescent="0.2">
      <c r="A1135" s="3">
        <v>1134</v>
      </c>
      <c r="B1135" s="1" t="s">
        <v>4875</v>
      </c>
      <c r="D1135" s="1" t="s">
        <v>4876</v>
      </c>
      <c r="F1135" s="1" t="s">
        <v>4880</v>
      </c>
      <c r="H1135" s="1" t="s">
        <v>4881</v>
      </c>
      <c r="L1135" s="1" t="s">
        <v>9706</v>
      </c>
      <c r="N1135" s="1" t="s">
        <v>6038</v>
      </c>
      <c r="P1135" s="1" t="s">
        <v>9767</v>
      </c>
      <c r="Q1135" s="30" t="s">
        <v>2565</v>
      </c>
      <c r="R1135" s="33" t="s">
        <v>3473</v>
      </c>
      <c r="S1135">
        <v>37</v>
      </c>
      <c r="T1135" s="1" t="s">
        <v>13885</v>
      </c>
      <c r="U1135" s="1" t="str">
        <f>HYPERLINK("http://ictvonline.org/taxonomy/p/taxonomy-history?taxnode_id=202111680","ICTVonline=202111680")</f>
        <v>ICTVonline=202111680</v>
      </c>
    </row>
    <row r="1136" spans="1:21" x14ac:dyDescent="0.2">
      <c r="A1136" s="3">
        <v>1135</v>
      </c>
      <c r="B1136" s="1" t="s">
        <v>4875</v>
      </c>
      <c r="D1136" s="1" t="s">
        <v>4876</v>
      </c>
      <c r="F1136" s="1" t="s">
        <v>4880</v>
      </c>
      <c r="H1136" s="1" t="s">
        <v>4881</v>
      </c>
      <c r="L1136" s="1" t="s">
        <v>9706</v>
      </c>
      <c r="N1136" s="1" t="s">
        <v>6038</v>
      </c>
      <c r="P1136" s="1" t="s">
        <v>9768</v>
      </c>
      <c r="Q1136" s="30" t="s">
        <v>2565</v>
      </c>
      <c r="R1136" s="33" t="s">
        <v>3473</v>
      </c>
      <c r="S1136">
        <v>37</v>
      </c>
      <c r="T1136" s="1" t="s">
        <v>13885</v>
      </c>
      <c r="U1136" s="1" t="str">
        <f>HYPERLINK("http://ictvonline.org/taxonomy/p/taxonomy-history?taxnode_id=202111681","ICTVonline=202111681")</f>
        <v>ICTVonline=202111681</v>
      </c>
    </row>
    <row r="1137" spans="1:21" x14ac:dyDescent="0.2">
      <c r="A1137" s="3">
        <v>1136</v>
      </c>
      <c r="B1137" s="1" t="s">
        <v>4875</v>
      </c>
      <c r="D1137" s="1" t="s">
        <v>4876</v>
      </c>
      <c r="F1137" s="1" t="s">
        <v>4880</v>
      </c>
      <c r="H1137" s="1" t="s">
        <v>4881</v>
      </c>
      <c r="L1137" s="1" t="s">
        <v>9706</v>
      </c>
      <c r="N1137" s="1" t="s">
        <v>5140</v>
      </c>
      <c r="P1137" s="1" t="s">
        <v>9769</v>
      </c>
      <c r="Q1137" s="30" t="s">
        <v>2565</v>
      </c>
      <c r="R1137" s="33" t="s">
        <v>3473</v>
      </c>
      <c r="S1137">
        <v>37</v>
      </c>
      <c r="T1137" s="1" t="s">
        <v>13885</v>
      </c>
      <c r="U1137" s="1" t="str">
        <f>HYPERLINK("http://ictvonline.org/taxonomy/p/taxonomy-history?taxnode_id=202107787","ICTVonline=202107787")</f>
        <v>ICTVonline=202107787</v>
      </c>
    </row>
    <row r="1138" spans="1:21" x14ac:dyDescent="0.2">
      <c r="A1138" s="3">
        <v>1137</v>
      </c>
      <c r="B1138" s="1" t="s">
        <v>4875</v>
      </c>
      <c r="D1138" s="1" t="s">
        <v>4876</v>
      </c>
      <c r="F1138" s="1" t="s">
        <v>4880</v>
      </c>
      <c r="H1138" s="1" t="s">
        <v>4881</v>
      </c>
      <c r="L1138" s="1" t="s">
        <v>9706</v>
      </c>
      <c r="N1138" s="1" t="s">
        <v>9770</v>
      </c>
      <c r="P1138" s="1" t="s">
        <v>9771</v>
      </c>
      <c r="Q1138" s="30" t="s">
        <v>2565</v>
      </c>
      <c r="R1138" s="33" t="s">
        <v>3472</v>
      </c>
      <c r="S1138">
        <v>37</v>
      </c>
      <c r="T1138" s="1" t="s">
        <v>13885</v>
      </c>
      <c r="U1138" s="1" t="str">
        <f>HYPERLINK("http://ictvonline.org/taxonomy/p/taxonomy-history?taxnode_id=202113960","ICTVonline=202113960")</f>
        <v>ICTVonline=202113960</v>
      </c>
    </row>
    <row r="1139" spans="1:21" x14ac:dyDescent="0.2">
      <c r="A1139" s="3">
        <v>1138</v>
      </c>
      <c r="B1139" s="1" t="s">
        <v>4875</v>
      </c>
      <c r="D1139" s="1" t="s">
        <v>4876</v>
      </c>
      <c r="F1139" s="1" t="s">
        <v>4880</v>
      </c>
      <c r="H1139" s="1" t="s">
        <v>4881</v>
      </c>
      <c r="L1139" s="1" t="s">
        <v>9706</v>
      </c>
      <c r="N1139" s="1" t="s">
        <v>9772</v>
      </c>
      <c r="P1139" s="1" t="s">
        <v>9773</v>
      </c>
      <c r="Q1139" s="30" t="s">
        <v>2565</v>
      </c>
      <c r="R1139" s="33" t="s">
        <v>3472</v>
      </c>
      <c r="S1139">
        <v>37</v>
      </c>
      <c r="T1139" s="1" t="s">
        <v>13885</v>
      </c>
      <c r="U1139" s="1" t="str">
        <f>HYPERLINK("http://ictvonline.org/taxonomy/p/taxonomy-history?taxnode_id=202113989","ICTVonline=202113989")</f>
        <v>ICTVonline=202113989</v>
      </c>
    </row>
    <row r="1140" spans="1:21" x14ac:dyDescent="0.2">
      <c r="A1140" s="3">
        <v>1139</v>
      </c>
      <c r="B1140" s="1" t="s">
        <v>4875</v>
      </c>
      <c r="D1140" s="1" t="s">
        <v>4876</v>
      </c>
      <c r="F1140" s="1" t="s">
        <v>4880</v>
      </c>
      <c r="H1140" s="1" t="s">
        <v>4881</v>
      </c>
      <c r="L1140" s="1" t="s">
        <v>9706</v>
      </c>
      <c r="N1140" s="1" t="s">
        <v>9772</v>
      </c>
      <c r="P1140" s="1" t="s">
        <v>9774</v>
      </c>
      <c r="Q1140" s="30" t="s">
        <v>2565</v>
      </c>
      <c r="R1140" s="33" t="s">
        <v>3472</v>
      </c>
      <c r="S1140">
        <v>37</v>
      </c>
      <c r="T1140" s="1" t="s">
        <v>13885</v>
      </c>
      <c r="U1140" s="1" t="str">
        <f>HYPERLINK("http://ictvonline.org/taxonomy/p/taxonomy-history?taxnode_id=202113988","ICTVonline=202113988")</f>
        <v>ICTVonline=202113988</v>
      </c>
    </row>
    <row r="1141" spans="1:21" x14ac:dyDescent="0.2">
      <c r="A1141" s="3">
        <v>1140</v>
      </c>
      <c r="B1141" s="1" t="s">
        <v>4875</v>
      </c>
      <c r="D1141" s="1" t="s">
        <v>4876</v>
      </c>
      <c r="F1141" s="1" t="s">
        <v>4880</v>
      </c>
      <c r="H1141" s="1" t="s">
        <v>4881</v>
      </c>
      <c r="L1141" s="1" t="s">
        <v>9706</v>
      </c>
      <c r="N1141" s="1" t="s">
        <v>9775</v>
      </c>
      <c r="P1141" s="1" t="s">
        <v>9776</v>
      </c>
      <c r="Q1141" s="30" t="s">
        <v>2565</v>
      </c>
      <c r="R1141" s="33" t="s">
        <v>3472</v>
      </c>
      <c r="S1141">
        <v>37</v>
      </c>
      <c r="T1141" s="1" t="s">
        <v>13885</v>
      </c>
      <c r="U1141" s="1" t="str">
        <f>HYPERLINK("http://ictvonline.org/taxonomy/p/taxonomy-history?taxnode_id=202113980","ICTVonline=202113980")</f>
        <v>ICTVonline=202113980</v>
      </c>
    </row>
    <row r="1142" spans="1:21" x14ac:dyDescent="0.2">
      <c r="A1142" s="3">
        <v>1141</v>
      </c>
      <c r="B1142" s="1" t="s">
        <v>4875</v>
      </c>
      <c r="D1142" s="1" t="s">
        <v>4876</v>
      </c>
      <c r="F1142" s="1" t="s">
        <v>4880</v>
      </c>
      <c r="H1142" s="1" t="s">
        <v>4881</v>
      </c>
      <c r="L1142" s="1" t="s">
        <v>9706</v>
      </c>
      <c r="N1142" s="1" t="s">
        <v>5146</v>
      </c>
      <c r="P1142" s="1" t="s">
        <v>9777</v>
      </c>
      <c r="Q1142" s="30" t="s">
        <v>2565</v>
      </c>
      <c r="R1142" s="33" t="s">
        <v>3473</v>
      </c>
      <c r="S1142">
        <v>37</v>
      </c>
      <c r="T1142" s="1" t="s">
        <v>13885</v>
      </c>
      <c r="U1142" s="1" t="str">
        <f>HYPERLINK("http://ictvonline.org/taxonomy/p/taxonomy-history?taxnode_id=202107770","ICTVonline=202107770")</f>
        <v>ICTVonline=202107770</v>
      </c>
    </row>
    <row r="1143" spans="1:21" x14ac:dyDescent="0.2">
      <c r="A1143" s="3">
        <v>1142</v>
      </c>
      <c r="B1143" s="1" t="s">
        <v>4875</v>
      </c>
      <c r="D1143" s="1" t="s">
        <v>4876</v>
      </c>
      <c r="F1143" s="1" t="s">
        <v>4880</v>
      </c>
      <c r="H1143" s="1" t="s">
        <v>4881</v>
      </c>
      <c r="L1143" s="1" t="s">
        <v>9706</v>
      </c>
      <c r="N1143" s="1" t="s">
        <v>5147</v>
      </c>
      <c r="P1143" s="1" t="s">
        <v>9778</v>
      </c>
      <c r="Q1143" s="30" t="s">
        <v>2565</v>
      </c>
      <c r="R1143" s="33" t="s">
        <v>3473</v>
      </c>
      <c r="S1143">
        <v>37</v>
      </c>
      <c r="T1143" s="1" t="s">
        <v>13885</v>
      </c>
      <c r="U1143" s="1" t="str">
        <f>HYPERLINK("http://ictvonline.org/taxonomy/p/taxonomy-history?taxnode_id=202107809","ICTVonline=202107809")</f>
        <v>ICTVonline=202107809</v>
      </c>
    </row>
    <row r="1144" spans="1:21" x14ac:dyDescent="0.2">
      <c r="A1144" s="3">
        <v>1143</v>
      </c>
      <c r="B1144" s="1" t="s">
        <v>4875</v>
      </c>
      <c r="D1144" s="1" t="s">
        <v>4876</v>
      </c>
      <c r="F1144" s="1" t="s">
        <v>4880</v>
      </c>
      <c r="H1144" s="1" t="s">
        <v>4881</v>
      </c>
      <c r="L1144" s="1" t="s">
        <v>9706</v>
      </c>
      <c r="N1144" s="1" t="s">
        <v>5148</v>
      </c>
      <c r="P1144" s="1" t="s">
        <v>9779</v>
      </c>
      <c r="Q1144" s="30" t="s">
        <v>2565</v>
      </c>
      <c r="R1144" s="33" t="s">
        <v>3473</v>
      </c>
      <c r="S1144">
        <v>37</v>
      </c>
      <c r="T1144" s="1" t="s">
        <v>13885</v>
      </c>
      <c r="U1144" s="1" t="str">
        <f>HYPERLINK("http://ictvonline.org/taxonomy/p/taxonomy-history?taxnode_id=202107807","ICTVonline=202107807")</f>
        <v>ICTVonline=202107807</v>
      </c>
    </row>
    <row r="1145" spans="1:21" x14ac:dyDescent="0.2">
      <c r="A1145" s="3">
        <v>1144</v>
      </c>
      <c r="B1145" s="1" t="s">
        <v>4875</v>
      </c>
      <c r="D1145" s="1" t="s">
        <v>4876</v>
      </c>
      <c r="F1145" s="1" t="s">
        <v>4880</v>
      </c>
      <c r="H1145" s="1" t="s">
        <v>4881</v>
      </c>
      <c r="L1145" s="1" t="s">
        <v>9706</v>
      </c>
      <c r="N1145" s="1" t="s">
        <v>5150</v>
      </c>
      <c r="P1145" s="1" t="s">
        <v>9780</v>
      </c>
      <c r="Q1145" s="30" t="s">
        <v>2565</v>
      </c>
      <c r="R1145" s="33" t="s">
        <v>3473</v>
      </c>
      <c r="S1145">
        <v>37</v>
      </c>
      <c r="T1145" s="1" t="s">
        <v>13885</v>
      </c>
      <c r="U1145" s="1" t="str">
        <f>HYPERLINK("http://ictvonline.org/taxonomy/p/taxonomy-history?taxnode_id=202107819","ICTVonline=202107819")</f>
        <v>ICTVonline=202107819</v>
      </c>
    </row>
    <row r="1146" spans="1:21" x14ac:dyDescent="0.2">
      <c r="A1146" s="3">
        <v>1145</v>
      </c>
      <c r="B1146" s="1" t="s">
        <v>4875</v>
      </c>
      <c r="D1146" s="1" t="s">
        <v>4876</v>
      </c>
      <c r="F1146" s="1" t="s">
        <v>4880</v>
      </c>
      <c r="H1146" s="1" t="s">
        <v>4881</v>
      </c>
      <c r="L1146" s="1" t="s">
        <v>9706</v>
      </c>
      <c r="N1146" s="1" t="s">
        <v>5150</v>
      </c>
      <c r="P1146" s="1" t="s">
        <v>9781</v>
      </c>
      <c r="Q1146" s="30" t="s">
        <v>2565</v>
      </c>
      <c r="R1146" s="33" t="s">
        <v>3473</v>
      </c>
      <c r="S1146">
        <v>37</v>
      </c>
      <c r="T1146" s="1" t="s">
        <v>13885</v>
      </c>
      <c r="U1146" s="1" t="str">
        <f>HYPERLINK("http://ictvonline.org/taxonomy/p/taxonomy-history?taxnode_id=202107818","ICTVonline=202107818")</f>
        <v>ICTVonline=202107818</v>
      </c>
    </row>
    <row r="1147" spans="1:21" x14ac:dyDescent="0.2">
      <c r="A1147" s="3">
        <v>1146</v>
      </c>
      <c r="B1147" s="1" t="s">
        <v>4875</v>
      </c>
      <c r="D1147" s="1" t="s">
        <v>4876</v>
      </c>
      <c r="F1147" s="1" t="s">
        <v>4880</v>
      </c>
      <c r="H1147" s="1" t="s">
        <v>4881</v>
      </c>
      <c r="L1147" s="1" t="s">
        <v>9782</v>
      </c>
      <c r="N1147" s="1" t="s">
        <v>9783</v>
      </c>
      <c r="P1147" s="1" t="s">
        <v>9784</v>
      </c>
      <c r="Q1147" s="30" t="s">
        <v>2565</v>
      </c>
      <c r="R1147" s="33" t="s">
        <v>3472</v>
      </c>
      <c r="S1147">
        <v>37</v>
      </c>
      <c r="T1147" s="1" t="s">
        <v>13876</v>
      </c>
      <c r="U1147" s="1" t="str">
        <f>HYPERLINK("http://ictvonline.org/taxonomy/p/taxonomy-history?taxnode_id=202112179","ICTVonline=202112179")</f>
        <v>ICTVonline=202112179</v>
      </c>
    </row>
    <row r="1148" spans="1:21" x14ac:dyDescent="0.2">
      <c r="A1148" s="3">
        <v>1147</v>
      </c>
      <c r="B1148" s="1" t="s">
        <v>4875</v>
      </c>
      <c r="D1148" s="1" t="s">
        <v>4876</v>
      </c>
      <c r="F1148" s="1" t="s">
        <v>4880</v>
      </c>
      <c r="H1148" s="1" t="s">
        <v>4881</v>
      </c>
      <c r="L1148" s="1" t="s">
        <v>9785</v>
      </c>
      <c r="M1148" s="1" t="s">
        <v>9786</v>
      </c>
      <c r="N1148" s="1" t="s">
        <v>4637</v>
      </c>
      <c r="P1148" s="1" t="s">
        <v>9787</v>
      </c>
      <c r="Q1148" s="30" t="s">
        <v>2565</v>
      </c>
      <c r="R1148" s="33" t="s">
        <v>3472</v>
      </c>
      <c r="S1148">
        <v>37</v>
      </c>
      <c r="T1148" s="1" t="s">
        <v>13888</v>
      </c>
      <c r="U1148" s="1" t="str">
        <f>HYPERLINK("http://ictvonline.org/taxonomy/p/taxonomy-history?taxnode_id=202112412","ICTVonline=202112412")</f>
        <v>ICTVonline=202112412</v>
      </c>
    </row>
    <row r="1149" spans="1:21" x14ac:dyDescent="0.2">
      <c r="A1149" s="3">
        <v>1148</v>
      </c>
      <c r="B1149" s="1" t="s">
        <v>4875</v>
      </c>
      <c r="D1149" s="1" t="s">
        <v>4876</v>
      </c>
      <c r="F1149" s="1" t="s">
        <v>4880</v>
      </c>
      <c r="H1149" s="1" t="s">
        <v>4881</v>
      </c>
      <c r="L1149" s="1" t="s">
        <v>9785</v>
      </c>
      <c r="M1149" s="1" t="s">
        <v>9786</v>
      </c>
      <c r="N1149" s="1" t="s">
        <v>4637</v>
      </c>
      <c r="P1149" s="1" t="s">
        <v>3193</v>
      </c>
      <c r="Q1149" s="30" t="s">
        <v>2565</v>
      </c>
      <c r="R1149" s="33" t="s">
        <v>3474</v>
      </c>
      <c r="S1149">
        <v>37</v>
      </c>
      <c r="T1149" s="1" t="s">
        <v>13889</v>
      </c>
      <c r="U1149" s="1" t="str">
        <f>HYPERLINK("http://ictvonline.org/taxonomy/p/taxonomy-history?taxnode_id=202100839","ICTVonline=202100839")</f>
        <v>ICTVonline=202100839</v>
      </c>
    </row>
    <row r="1150" spans="1:21" x14ac:dyDescent="0.2">
      <c r="A1150" s="3">
        <v>1149</v>
      </c>
      <c r="B1150" s="1" t="s">
        <v>4875</v>
      </c>
      <c r="D1150" s="1" t="s">
        <v>4876</v>
      </c>
      <c r="F1150" s="1" t="s">
        <v>4880</v>
      </c>
      <c r="H1150" s="1" t="s">
        <v>4881</v>
      </c>
      <c r="L1150" s="1" t="s">
        <v>9785</v>
      </c>
      <c r="M1150" s="1" t="s">
        <v>9786</v>
      </c>
      <c r="N1150" s="1" t="s">
        <v>4637</v>
      </c>
      <c r="P1150" s="1" t="s">
        <v>3194</v>
      </c>
      <c r="Q1150" s="30" t="s">
        <v>2565</v>
      </c>
      <c r="R1150" s="33" t="s">
        <v>3474</v>
      </c>
      <c r="S1150">
        <v>37</v>
      </c>
      <c r="T1150" s="1" t="s">
        <v>13889</v>
      </c>
      <c r="U1150" s="1" t="str">
        <f>HYPERLINK("http://ictvonline.org/taxonomy/p/taxonomy-history?taxnode_id=202100840","ICTVonline=202100840")</f>
        <v>ICTVonline=202100840</v>
      </c>
    </row>
    <row r="1151" spans="1:21" x14ac:dyDescent="0.2">
      <c r="A1151" s="3">
        <v>1150</v>
      </c>
      <c r="B1151" s="1" t="s">
        <v>4875</v>
      </c>
      <c r="D1151" s="1" t="s">
        <v>4876</v>
      </c>
      <c r="F1151" s="1" t="s">
        <v>4880</v>
      </c>
      <c r="H1151" s="1" t="s">
        <v>4881</v>
      </c>
      <c r="L1151" s="1" t="s">
        <v>9785</v>
      </c>
      <c r="M1151" s="1" t="s">
        <v>9786</v>
      </c>
      <c r="N1151" s="1" t="s">
        <v>4637</v>
      </c>
      <c r="P1151" s="1" t="s">
        <v>3195</v>
      </c>
      <c r="Q1151" s="30" t="s">
        <v>2565</v>
      </c>
      <c r="R1151" s="33" t="s">
        <v>3474</v>
      </c>
      <c r="S1151">
        <v>37</v>
      </c>
      <c r="T1151" s="1" t="s">
        <v>13889</v>
      </c>
      <c r="U1151" s="1" t="str">
        <f>HYPERLINK("http://ictvonline.org/taxonomy/p/taxonomy-history?taxnode_id=202100841","ICTVonline=202100841")</f>
        <v>ICTVonline=202100841</v>
      </c>
    </row>
    <row r="1152" spans="1:21" x14ac:dyDescent="0.2">
      <c r="A1152" s="3">
        <v>1151</v>
      </c>
      <c r="B1152" s="1" t="s">
        <v>4875</v>
      </c>
      <c r="D1152" s="1" t="s">
        <v>4876</v>
      </c>
      <c r="F1152" s="1" t="s">
        <v>4880</v>
      </c>
      <c r="H1152" s="1" t="s">
        <v>4881</v>
      </c>
      <c r="L1152" s="1" t="s">
        <v>9785</v>
      </c>
      <c r="M1152" s="1" t="s">
        <v>9786</v>
      </c>
      <c r="N1152" s="1" t="s">
        <v>9788</v>
      </c>
      <c r="P1152" s="1" t="s">
        <v>9789</v>
      </c>
      <c r="Q1152" s="30" t="s">
        <v>2565</v>
      </c>
      <c r="R1152" s="33" t="s">
        <v>3472</v>
      </c>
      <c r="S1152">
        <v>37</v>
      </c>
      <c r="T1152" s="1" t="s">
        <v>13888</v>
      </c>
      <c r="U1152" s="1" t="str">
        <f>HYPERLINK("http://ictvonline.org/taxonomy/p/taxonomy-history?taxnode_id=202112416","ICTVonline=202112416")</f>
        <v>ICTVonline=202112416</v>
      </c>
    </row>
    <row r="1153" spans="1:21" x14ac:dyDescent="0.2">
      <c r="A1153" s="3">
        <v>1152</v>
      </c>
      <c r="B1153" s="1" t="s">
        <v>4875</v>
      </c>
      <c r="D1153" s="1" t="s">
        <v>4876</v>
      </c>
      <c r="F1153" s="1" t="s">
        <v>4880</v>
      </c>
      <c r="H1153" s="1" t="s">
        <v>4881</v>
      </c>
      <c r="L1153" s="1" t="s">
        <v>9785</v>
      </c>
      <c r="M1153" s="1" t="s">
        <v>9786</v>
      </c>
      <c r="N1153" s="1" t="s">
        <v>9790</v>
      </c>
      <c r="P1153" s="1" t="s">
        <v>9791</v>
      </c>
      <c r="Q1153" s="30" t="s">
        <v>2565</v>
      </c>
      <c r="R1153" s="33" t="s">
        <v>3472</v>
      </c>
      <c r="S1153">
        <v>37</v>
      </c>
      <c r="T1153" s="1" t="s">
        <v>13888</v>
      </c>
      <c r="U1153" s="1" t="str">
        <f>HYPERLINK("http://ictvonline.org/taxonomy/p/taxonomy-history?taxnode_id=202112411","ICTVonline=202112411")</f>
        <v>ICTVonline=202112411</v>
      </c>
    </row>
    <row r="1154" spans="1:21" x14ac:dyDescent="0.2">
      <c r="A1154" s="3">
        <v>1153</v>
      </c>
      <c r="B1154" s="1" t="s">
        <v>4875</v>
      </c>
      <c r="D1154" s="1" t="s">
        <v>4876</v>
      </c>
      <c r="F1154" s="1" t="s">
        <v>4880</v>
      </c>
      <c r="H1154" s="1" t="s">
        <v>4881</v>
      </c>
      <c r="L1154" s="1" t="s">
        <v>9785</v>
      </c>
      <c r="M1154" s="1" t="s">
        <v>9786</v>
      </c>
      <c r="N1154" s="1" t="s">
        <v>9792</v>
      </c>
      <c r="P1154" s="1" t="s">
        <v>9793</v>
      </c>
      <c r="Q1154" s="30" t="s">
        <v>2565</v>
      </c>
      <c r="R1154" s="33" t="s">
        <v>3472</v>
      </c>
      <c r="S1154">
        <v>37</v>
      </c>
      <c r="T1154" s="1" t="s">
        <v>13888</v>
      </c>
      <c r="U1154" s="1" t="str">
        <f>HYPERLINK("http://ictvonline.org/taxonomy/p/taxonomy-history?taxnode_id=202112414","ICTVonline=202112414")</f>
        <v>ICTVonline=202112414</v>
      </c>
    </row>
    <row r="1155" spans="1:21" x14ac:dyDescent="0.2">
      <c r="A1155" s="3">
        <v>1154</v>
      </c>
      <c r="B1155" s="1" t="s">
        <v>4875</v>
      </c>
      <c r="D1155" s="1" t="s">
        <v>4876</v>
      </c>
      <c r="F1155" s="1" t="s">
        <v>4880</v>
      </c>
      <c r="H1155" s="1" t="s">
        <v>4881</v>
      </c>
      <c r="L1155" s="1" t="s">
        <v>9785</v>
      </c>
      <c r="M1155" s="1" t="s">
        <v>9794</v>
      </c>
      <c r="N1155" s="1" t="s">
        <v>5243</v>
      </c>
      <c r="P1155" s="1" t="s">
        <v>5244</v>
      </c>
      <c r="Q1155" s="30" t="s">
        <v>2565</v>
      </c>
      <c r="R1155" s="33" t="s">
        <v>3474</v>
      </c>
      <c r="S1155">
        <v>37</v>
      </c>
      <c r="T1155" s="1" t="s">
        <v>13889</v>
      </c>
      <c r="U1155" s="1" t="str">
        <f>HYPERLINK("http://ictvonline.org/taxonomy/p/taxonomy-history?taxnode_id=202108070","ICTVonline=202108070")</f>
        <v>ICTVonline=202108070</v>
      </c>
    </row>
    <row r="1156" spans="1:21" x14ac:dyDescent="0.2">
      <c r="A1156" s="3">
        <v>1155</v>
      </c>
      <c r="B1156" s="1" t="s">
        <v>4875</v>
      </c>
      <c r="D1156" s="1" t="s">
        <v>4876</v>
      </c>
      <c r="F1156" s="1" t="s">
        <v>4880</v>
      </c>
      <c r="H1156" s="1" t="s">
        <v>4881</v>
      </c>
      <c r="L1156" s="1" t="s">
        <v>9785</v>
      </c>
      <c r="M1156" s="1" t="s">
        <v>9794</v>
      </c>
      <c r="N1156" s="1" t="s">
        <v>5243</v>
      </c>
      <c r="P1156" s="1" t="s">
        <v>5245</v>
      </c>
      <c r="Q1156" s="30" t="s">
        <v>2565</v>
      </c>
      <c r="R1156" s="33" t="s">
        <v>3474</v>
      </c>
      <c r="S1156">
        <v>37</v>
      </c>
      <c r="T1156" s="1" t="s">
        <v>13889</v>
      </c>
      <c r="U1156" s="1" t="str">
        <f>HYPERLINK("http://ictvonline.org/taxonomy/p/taxonomy-history?taxnode_id=202108067","ICTVonline=202108067")</f>
        <v>ICTVonline=202108067</v>
      </c>
    </row>
    <row r="1157" spans="1:21" x14ac:dyDescent="0.2">
      <c r="A1157" s="3">
        <v>1156</v>
      </c>
      <c r="B1157" s="1" t="s">
        <v>4875</v>
      </c>
      <c r="D1157" s="1" t="s">
        <v>4876</v>
      </c>
      <c r="F1157" s="1" t="s">
        <v>4880</v>
      </c>
      <c r="H1157" s="1" t="s">
        <v>4881</v>
      </c>
      <c r="L1157" s="1" t="s">
        <v>9785</v>
      </c>
      <c r="M1157" s="1" t="s">
        <v>9794</v>
      </c>
      <c r="N1157" s="1" t="s">
        <v>5243</v>
      </c>
      <c r="P1157" s="1" t="s">
        <v>5246</v>
      </c>
      <c r="Q1157" s="30" t="s">
        <v>2565</v>
      </c>
      <c r="R1157" s="33" t="s">
        <v>3474</v>
      </c>
      <c r="S1157">
        <v>37</v>
      </c>
      <c r="T1157" s="1" t="s">
        <v>13889</v>
      </c>
      <c r="U1157" s="1" t="str">
        <f>HYPERLINK("http://ictvonline.org/taxonomy/p/taxonomy-history?taxnode_id=202108068","ICTVonline=202108068")</f>
        <v>ICTVonline=202108068</v>
      </c>
    </row>
    <row r="1158" spans="1:21" x14ac:dyDescent="0.2">
      <c r="A1158" s="3">
        <v>1157</v>
      </c>
      <c r="B1158" s="1" t="s">
        <v>4875</v>
      </c>
      <c r="D1158" s="1" t="s">
        <v>4876</v>
      </c>
      <c r="F1158" s="1" t="s">
        <v>4880</v>
      </c>
      <c r="H1158" s="1" t="s">
        <v>4881</v>
      </c>
      <c r="L1158" s="1" t="s">
        <v>9785</v>
      </c>
      <c r="M1158" s="1" t="s">
        <v>9794</v>
      </c>
      <c r="N1158" s="1" t="s">
        <v>5243</v>
      </c>
      <c r="P1158" s="1" t="s">
        <v>5247</v>
      </c>
      <c r="Q1158" s="30" t="s">
        <v>2565</v>
      </c>
      <c r="R1158" s="33" t="s">
        <v>3474</v>
      </c>
      <c r="S1158">
        <v>37</v>
      </c>
      <c r="T1158" s="1" t="s">
        <v>13889</v>
      </c>
      <c r="U1158" s="1" t="str">
        <f>HYPERLINK("http://ictvonline.org/taxonomy/p/taxonomy-history?taxnode_id=202108069","ICTVonline=202108069")</f>
        <v>ICTVonline=202108069</v>
      </c>
    </row>
    <row r="1159" spans="1:21" x14ac:dyDescent="0.2">
      <c r="A1159" s="3">
        <v>1158</v>
      </c>
      <c r="B1159" s="1" t="s">
        <v>4875</v>
      </c>
      <c r="D1159" s="1" t="s">
        <v>4876</v>
      </c>
      <c r="F1159" s="1" t="s">
        <v>4880</v>
      </c>
      <c r="H1159" s="1" t="s">
        <v>4881</v>
      </c>
      <c r="L1159" s="1" t="s">
        <v>9785</v>
      </c>
      <c r="M1159" s="1" t="s">
        <v>9794</v>
      </c>
      <c r="N1159" s="1" t="s">
        <v>2656</v>
      </c>
      <c r="P1159" s="1" t="s">
        <v>3221</v>
      </c>
      <c r="Q1159" s="30" t="s">
        <v>2565</v>
      </c>
      <c r="R1159" s="33" t="s">
        <v>3474</v>
      </c>
      <c r="S1159">
        <v>37</v>
      </c>
      <c r="T1159" s="1" t="s">
        <v>13889</v>
      </c>
      <c r="U1159" s="1" t="str">
        <f>HYPERLINK("http://ictvonline.org/taxonomy/p/taxonomy-history?taxnode_id=202101387","ICTVonline=202101387")</f>
        <v>ICTVonline=202101387</v>
      </c>
    </row>
    <row r="1160" spans="1:21" x14ac:dyDescent="0.2">
      <c r="A1160" s="3">
        <v>1159</v>
      </c>
      <c r="B1160" s="1" t="s">
        <v>4875</v>
      </c>
      <c r="D1160" s="1" t="s">
        <v>4876</v>
      </c>
      <c r="F1160" s="1" t="s">
        <v>4880</v>
      </c>
      <c r="H1160" s="1" t="s">
        <v>4881</v>
      </c>
      <c r="L1160" s="1" t="s">
        <v>9785</v>
      </c>
      <c r="M1160" s="1" t="s">
        <v>9794</v>
      </c>
      <c r="N1160" s="1" t="s">
        <v>2656</v>
      </c>
      <c r="P1160" s="1" t="s">
        <v>2657</v>
      </c>
      <c r="Q1160" s="30" t="s">
        <v>2565</v>
      </c>
      <c r="R1160" s="33" t="s">
        <v>3474</v>
      </c>
      <c r="S1160">
        <v>37</v>
      </c>
      <c r="T1160" s="1" t="s">
        <v>13889</v>
      </c>
      <c r="U1160" s="1" t="str">
        <f>HYPERLINK("http://ictvonline.org/taxonomy/p/taxonomy-history?taxnode_id=202101388","ICTVonline=202101388")</f>
        <v>ICTVonline=202101388</v>
      </c>
    </row>
    <row r="1161" spans="1:21" x14ac:dyDescent="0.2">
      <c r="A1161" s="3">
        <v>1160</v>
      </c>
      <c r="B1161" s="1" t="s">
        <v>4875</v>
      </c>
      <c r="D1161" s="1" t="s">
        <v>4876</v>
      </c>
      <c r="F1161" s="1" t="s">
        <v>4880</v>
      </c>
      <c r="H1161" s="1" t="s">
        <v>4881</v>
      </c>
      <c r="L1161" s="1" t="s">
        <v>9785</v>
      </c>
      <c r="M1161" s="1" t="s">
        <v>9794</v>
      </c>
      <c r="N1161" s="1" t="s">
        <v>2656</v>
      </c>
      <c r="P1161" s="1" t="s">
        <v>3222</v>
      </c>
      <c r="Q1161" s="30" t="s">
        <v>2565</v>
      </c>
      <c r="R1161" s="33" t="s">
        <v>3474</v>
      </c>
      <c r="S1161">
        <v>37</v>
      </c>
      <c r="T1161" s="1" t="s">
        <v>13889</v>
      </c>
      <c r="U1161" s="1" t="str">
        <f>HYPERLINK("http://ictvonline.org/taxonomy/p/taxonomy-history?taxnode_id=202101389","ICTVonline=202101389")</f>
        <v>ICTVonline=202101389</v>
      </c>
    </row>
    <row r="1162" spans="1:21" x14ac:dyDescent="0.2">
      <c r="A1162" s="3">
        <v>1161</v>
      </c>
      <c r="B1162" s="1" t="s">
        <v>4875</v>
      </c>
      <c r="D1162" s="1" t="s">
        <v>4876</v>
      </c>
      <c r="F1162" s="1" t="s">
        <v>4880</v>
      </c>
      <c r="H1162" s="1" t="s">
        <v>4881</v>
      </c>
      <c r="L1162" s="1" t="s">
        <v>9785</v>
      </c>
      <c r="M1162" s="1" t="s">
        <v>9794</v>
      </c>
      <c r="N1162" s="1" t="s">
        <v>2656</v>
      </c>
      <c r="P1162" s="1" t="s">
        <v>3223</v>
      </c>
      <c r="Q1162" s="30" t="s">
        <v>2565</v>
      </c>
      <c r="R1162" s="33" t="s">
        <v>3474</v>
      </c>
      <c r="S1162">
        <v>37</v>
      </c>
      <c r="T1162" s="1" t="s">
        <v>13889</v>
      </c>
      <c r="U1162" s="1" t="str">
        <f>HYPERLINK("http://ictvonline.org/taxonomy/p/taxonomy-history?taxnode_id=202101390","ICTVonline=202101390")</f>
        <v>ICTVonline=202101390</v>
      </c>
    </row>
    <row r="1163" spans="1:21" x14ac:dyDescent="0.2">
      <c r="A1163" s="3">
        <v>1162</v>
      </c>
      <c r="B1163" s="1" t="s">
        <v>4875</v>
      </c>
      <c r="D1163" s="1" t="s">
        <v>4876</v>
      </c>
      <c r="F1163" s="1" t="s">
        <v>4880</v>
      </c>
      <c r="H1163" s="1" t="s">
        <v>4881</v>
      </c>
      <c r="L1163" s="1" t="s">
        <v>9785</v>
      </c>
      <c r="M1163" s="1" t="s">
        <v>9794</v>
      </c>
      <c r="N1163" s="1" t="s">
        <v>2656</v>
      </c>
      <c r="P1163" s="1" t="s">
        <v>2658</v>
      </c>
      <c r="Q1163" s="30" t="s">
        <v>2565</v>
      </c>
      <c r="R1163" s="33" t="s">
        <v>3474</v>
      </c>
      <c r="S1163">
        <v>37</v>
      </c>
      <c r="T1163" s="1" t="s">
        <v>13889</v>
      </c>
      <c r="U1163" s="1" t="str">
        <f>HYPERLINK("http://ictvonline.org/taxonomy/p/taxonomy-history?taxnode_id=202101391","ICTVonline=202101391")</f>
        <v>ICTVonline=202101391</v>
      </c>
    </row>
    <row r="1164" spans="1:21" x14ac:dyDescent="0.2">
      <c r="A1164" s="3">
        <v>1163</v>
      </c>
      <c r="B1164" s="1" t="s">
        <v>4875</v>
      </c>
      <c r="D1164" s="1" t="s">
        <v>4876</v>
      </c>
      <c r="F1164" s="1" t="s">
        <v>4880</v>
      </c>
      <c r="H1164" s="1" t="s">
        <v>4881</v>
      </c>
      <c r="L1164" s="1" t="s">
        <v>9785</v>
      </c>
      <c r="N1164" s="1" t="s">
        <v>9795</v>
      </c>
      <c r="P1164" s="1" t="s">
        <v>9796</v>
      </c>
      <c r="Q1164" s="30" t="s">
        <v>2565</v>
      </c>
      <c r="R1164" s="33" t="s">
        <v>3473</v>
      </c>
      <c r="S1164">
        <v>37</v>
      </c>
      <c r="T1164" s="1" t="s">
        <v>13888</v>
      </c>
      <c r="U1164" s="1" t="str">
        <f>HYPERLINK("http://ictvonline.org/taxonomy/p/taxonomy-history?taxnode_id=202101386","ICTVonline=202101386")</f>
        <v>ICTVonline=202101386</v>
      </c>
    </row>
    <row r="1165" spans="1:21" x14ac:dyDescent="0.2">
      <c r="A1165" s="3">
        <v>1164</v>
      </c>
      <c r="B1165" s="1" t="s">
        <v>4875</v>
      </c>
      <c r="D1165" s="1" t="s">
        <v>4876</v>
      </c>
      <c r="F1165" s="1" t="s">
        <v>4880</v>
      </c>
      <c r="H1165" s="1" t="s">
        <v>4881</v>
      </c>
      <c r="L1165" s="1" t="s">
        <v>9797</v>
      </c>
      <c r="N1165" s="1" t="s">
        <v>9798</v>
      </c>
      <c r="P1165" s="1" t="s">
        <v>9799</v>
      </c>
      <c r="Q1165" s="30" t="s">
        <v>2565</v>
      </c>
      <c r="R1165" s="33" t="s">
        <v>3472</v>
      </c>
      <c r="S1165">
        <v>37</v>
      </c>
      <c r="T1165" s="1" t="s">
        <v>13879</v>
      </c>
      <c r="U1165" s="1" t="str">
        <f>HYPERLINK("http://ictvonline.org/taxonomy/p/taxonomy-history?taxnode_id=202113565","ICTVonline=202113565")</f>
        <v>ICTVonline=202113565</v>
      </c>
    </row>
    <row r="1166" spans="1:21" x14ac:dyDescent="0.2">
      <c r="A1166" s="3">
        <v>1165</v>
      </c>
      <c r="B1166" s="1" t="s">
        <v>4875</v>
      </c>
      <c r="D1166" s="1" t="s">
        <v>4876</v>
      </c>
      <c r="F1166" s="1" t="s">
        <v>4880</v>
      </c>
      <c r="H1166" s="1" t="s">
        <v>4881</v>
      </c>
      <c r="L1166" s="1" t="s">
        <v>9797</v>
      </c>
      <c r="N1166" s="1" t="s">
        <v>9798</v>
      </c>
      <c r="P1166" s="1" t="s">
        <v>9800</v>
      </c>
      <c r="Q1166" s="30" t="s">
        <v>2565</v>
      </c>
      <c r="R1166" s="33" t="s">
        <v>3472</v>
      </c>
      <c r="S1166">
        <v>37</v>
      </c>
      <c r="T1166" s="1" t="s">
        <v>13879</v>
      </c>
      <c r="U1166" s="1" t="str">
        <f>HYPERLINK("http://ictvonline.org/taxonomy/p/taxonomy-history?taxnode_id=202113564","ICTVonline=202113564")</f>
        <v>ICTVonline=202113564</v>
      </c>
    </row>
    <row r="1167" spans="1:21" x14ac:dyDescent="0.2">
      <c r="A1167" s="3">
        <v>1166</v>
      </c>
      <c r="B1167" s="1" t="s">
        <v>4875</v>
      </c>
      <c r="D1167" s="1" t="s">
        <v>4876</v>
      </c>
      <c r="F1167" s="1" t="s">
        <v>4880</v>
      </c>
      <c r="H1167" s="1" t="s">
        <v>4881</v>
      </c>
      <c r="L1167" s="1" t="s">
        <v>9801</v>
      </c>
      <c r="N1167" s="1" t="s">
        <v>9802</v>
      </c>
      <c r="P1167" s="1" t="s">
        <v>9803</v>
      </c>
      <c r="Q1167" s="30" t="s">
        <v>2565</v>
      </c>
      <c r="R1167" s="33" t="s">
        <v>3472</v>
      </c>
      <c r="S1167">
        <v>37</v>
      </c>
      <c r="T1167" s="1" t="s">
        <v>13890</v>
      </c>
      <c r="U1167" s="1" t="str">
        <f>HYPERLINK("http://ictvonline.org/taxonomy/p/taxonomy-history?taxnode_id=202112773","ICTVonline=202112773")</f>
        <v>ICTVonline=202112773</v>
      </c>
    </row>
    <row r="1168" spans="1:21" x14ac:dyDescent="0.2">
      <c r="A1168" s="3">
        <v>1167</v>
      </c>
      <c r="B1168" s="1" t="s">
        <v>4875</v>
      </c>
      <c r="D1168" s="1" t="s">
        <v>4876</v>
      </c>
      <c r="F1168" s="1" t="s">
        <v>4880</v>
      </c>
      <c r="H1168" s="1" t="s">
        <v>4881</v>
      </c>
      <c r="L1168" s="1" t="s">
        <v>9804</v>
      </c>
      <c r="M1168" s="1" t="s">
        <v>9805</v>
      </c>
      <c r="N1168" s="1" t="s">
        <v>9806</v>
      </c>
      <c r="P1168" s="1" t="s">
        <v>9807</v>
      </c>
      <c r="Q1168" s="30" t="s">
        <v>2565</v>
      </c>
      <c r="R1168" s="33" t="s">
        <v>3472</v>
      </c>
      <c r="S1168">
        <v>37</v>
      </c>
      <c r="T1168" s="1" t="s">
        <v>13891</v>
      </c>
      <c r="U1168" s="1" t="str">
        <f>HYPERLINK("http://ictvonline.org/taxonomy/p/taxonomy-history?taxnode_id=202112802","ICTVonline=202112802")</f>
        <v>ICTVonline=202112802</v>
      </c>
    </row>
    <row r="1169" spans="1:21" x14ac:dyDescent="0.2">
      <c r="A1169" s="3">
        <v>1168</v>
      </c>
      <c r="B1169" s="1" t="s">
        <v>4875</v>
      </c>
      <c r="D1169" s="1" t="s">
        <v>4876</v>
      </c>
      <c r="F1169" s="1" t="s">
        <v>4880</v>
      </c>
      <c r="H1169" s="1" t="s">
        <v>4881</v>
      </c>
      <c r="L1169" s="1" t="s">
        <v>9804</v>
      </c>
      <c r="M1169" s="1" t="s">
        <v>9805</v>
      </c>
      <c r="N1169" s="1" t="s">
        <v>9808</v>
      </c>
      <c r="P1169" s="1" t="s">
        <v>9809</v>
      </c>
      <c r="Q1169" s="30" t="s">
        <v>2565</v>
      </c>
      <c r="R1169" s="33" t="s">
        <v>3472</v>
      </c>
      <c r="S1169">
        <v>37</v>
      </c>
      <c r="T1169" s="1" t="s">
        <v>13891</v>
      </c>
      <c r="U1169" s="1" t="str">
        <f>HYPERLINK("http://ictvonline.org/taxonomy/p/taxonomy-history?taxnode_id=202112804","ICTVonline=202112804")</f>
        <v>ICTVonline=202112804</v>
      </c>
    </row>
    <row r="1170" spans="1:21" x14ac:dyDescent="0.2">
      <c r="A1170" s="3">
        <v>1169</v>
      </c>
      <c r="B1170" s="1" t="s">
        <v>4875</v>
      </c>
      <c r="D1170" s="1" t="s">
        <v>4876</v>
      </c>
      <c r="F1170" s="1" t="s">
        <v>4880</v>
      </c>
      <c r="H1170" s="1" t="s">
        <v>4881</v>
      </c>
      <c r="L1170" s="1" t="s">
        <v>9804</v>
      </c>
      <c r="M1170" s="1" t="s">
        <v>9805</v>
      </c>
      <c r="N1170" s="1" t="s">
        <v>9810</v>
      </c>
      <c r="P1170" s="1" t="s">
        <v>9811</v>
      </c>
      <c r="Q1170" s="30" t="s">
        <v>2565</v>
      </c>
      <c r="R1170" s="33" t="s">
        <v>3472</v>
      </c>
      <c r="S1170">
        <v>37</v>
      </c>
      <c r="T1170" s="1" t="s">
        <v>13891</v>
      </c>
      <c r="U1170" s="1" t="str">
        <f>HYPERLINK("http://ictvonline.org/taxonomy/p/taxonomy-history?taxnode_id=202112794","ICTVonline=202112794")</f>
        <v>ICTVonline=202112794</v>
      </c>
    </row>
    <row r="1171" spans="1:21" x14ac:dyDescent="0.2">
      <c r="A1171" s="3">
        <v>1170</v>
      </c>
      <c r="B1171" s="1" t="s">
        <v>4875</v>
      </c>
      <c r="D1171" s="1" t="s">
        <v>4876</v>
      </c>
      <c r="F1171" s="1" t="s">
        <v>4880</v>
      </c>
      <c r="H1171" s="1" t="s">
        <v>4881</v>
      </c>
      <c r="L1171" s="1" t="s">
        <v>9804</v>
      </c>
      <c r="M1171" s="1" t="s">
        <v>9805</v>
      </c>
      <c r="N1171" s="1" t="s">
        <v>9810</v>
      </c>
      <c r="P1171" s="1" t="s">
        <v>9812</v>
      </c>
      <c r="Q1171" s="30" t="s">
        <v>2565</v>
      </c>
      <c r="R1171" s="33" t="s">
        <v>3472</v>
      </c>
      <c r="S1171">
        <v>37</v>
      </c>
      <c r="T1171" s="1" t="s">
        <v>13891</v>
      </c>
      <c r="U1171" s="1" t="str">
        <f>HYPERLINK("http://ictvonline.org/taxonomy/p/taxonomy-history?taxnode_id=202112795","ICTVonline=202112795")</f>
        <v>ICTVonline=202112795</v>
      </c>
    </row>
    <row r="1172" spans="1:21" x14ac:dyDescent="0.2">
      <c r="A1172" s="3">
        <v>1171</v>
      </c>
      <c r="B1172" s="1" t="s">
        <v>4875</v>
      </c>
      <c r="D1172" s="1" t="s">
        <v>4876</v>
      </c>
      <c r="F1172" s="1" t="s">
        <v>4880</v>
      </c>
      <c r="H1172" s="1" t="s">
        <v>4881</v>
      </c>
      <c r="L1172" s="1" t="s">
        <v>9804</v>
      </c>
      <c r="M1172" s="1" t="s">
        <v>9805</v>
      </c>
      <c r="N1172" s="1" t="s">
        <v>9810</v>
      </c>
      <c r="P1172" s="1" t="s">
        <v>9813</v>
      </c>
      <c r="Q1172" s="30" t="s">
        <v>2565</v>
      </c>
      <c r="R1172" s="33" t="s">
        <v>3472</v>
      </c>
      <c r="S1172">
        <v>37</v>
      </c>
      <c r="T1172" s="1" t="s">
        <v>13891</v>
      </c>
      <c r="U1172" s="1" t="str">
        <f>HYPERLINK("http://ictvonline.org/taxonomy/p/taxonomy-history?taxnode_id=202112796","ICTVonline=202112796")</f>
        <v>ICTVonline=202112796</v>
      </c>
    </row>
    <row r="1173" spans="1:21" x14ac:dyDescent="0.2">
      <c r="A1173" s="3">
        <v>1172</v>
      </c>
      <c r="B1173" s="1" t="s">
        <v>4875</v>
      </c>
      <c r="D1173" s="1" t="s">
        <v>4876</v>
      </c>
      <c r="F1173" s="1" t="s">
        <v>4880</v>
      </c>
      <c r="H1173" s="1" t="s">
        <v>4881</v>
      </c>
      <c r="L1173" s="1" t="s">
        <v>9804</v>
      </c>
      <c r="M1173" s="1" t="s">
        <v>9805</v>
      </c>
      <c r="N1173" s="1" t="s">
        <v>9810</v>
      </c>
      <c r="P1173" s="1" t="s">
        <v>9814</v>
      </c>
      <c r="Q1173" s="30" t="s">
        <v>2565</v>
      </c>
      <c r="R1173" s="33" t="s">
        <v>3472</v>
      </c>
      <c r="S1173">
        <v>37</v>
      </c>
      <c r="T1173" s="1" t="s">
        <v>13891</v>
      </c>
      <c r="U1173" s="1" t="str">
        <f>HYPERLINK("http://ictvonline.org/taxonomy/p/taxonomy-history?taxnode_id=202112797","ICTVonline=202112797")</f>
        <v>ICTVonline=202112797</v>
      </c>
    </row>
    <row r="1174" spans="1:21" x14ac:dyDescent="0.2">
      <c r="A1174" s="3">
        <v>1173</v>
      </c>
      <c r="B1174" s="1" t="s">
        <v>4875</v>
      </c>
      <c r="D1174" s="1" t="s">
        <v>4876</v>
      </c>
      <c r="F1174" s="1" t="s">
        <v>4880</v>
      </c>
      <c r="H1174" s="1" t="s">
        <v>4881</v>
      </c>
      <c r="L1174" s="1" t="s">
        <v>9804</v>
      </c>
      <c r="M1174" s="1" t="s">
        <v>9805</v>
      </c>
      <c r="N1174" s="1" t="s">
        <v>9810</v>
      </c>
      <c r="P1174" s="1" t="s">
        <v>9815</v>
      </c>
      <c r="Q1174" s="30" t="s">
        <v>2565</v>
      </c>
      <c r="R1174" s="33" t="s">
        <v>3472</v>
      </c>
      <c r="S1174">
        <v>37</v>
      </c>
      <c r="T1174" s="1" t="s">
        <v>13891</v>
      </c>
      <c r="U1174" s="1" t="str">
        <f>HYPERLINK("http://ictvonline.org/taxonomy/p/taxonomy-history?taxnode_id=202112798","ICTVonline=202112798")</f>
        <v>ICTVonline=202112798</v>
      </c>
    </row>
    <row r="1175" spans="1:21" x14ac:dyDescent="0.2">
      <c r="A1175" s="3">
        <v>1174</v>
      </c>
      <c r="B1175" s="1" t="s">
        <v>4875</v>
      </c>
      <c r="D1175" s="1" t="s">
        <v>4876</v>
      </c>
      <c r="F1175" s="1" t="s">
        <v>4880</v>
      </c>
      <c r="H1175" s="1" t="s">
        <v>4881</v>
      </c>
      <c r="L1175" s="1" t="s">
        <v>9804</v>
      </c>
      <c r="M1175" s="1" t="s">
        <v>9805</v>
      </c>
      <c r="N1175" s="1" t="s">
        <v>9810</v>
      </c>
      <c r="P1175" s="1" t="s">
        <v>9816</v>
      </c>
      <c r="Q1175" s="30" t="s">
        <v>2565</v>
      </c>
      <c r="R1175" s="33" t="s">
        <v>3472</v>
      </c>
      <c r="S1175">
        <v>37</v>
      </c>
      <c r="T1175" s="1" t="s">
        <v>13891</v>
      </c>
      <c r="U1175" s="1" t="str">
        <f>HYPERLINK("http://ictvonline.org/taxonomy/p/taxonomy-history?taxnode_id=202112793","ICTVonline=202112793")</f>
        <v>ICTVonline=202112793</v>
      </c>
    </row>
    <row r="1176" spans="1:21" x14ac:dyDescent="0.2">
      <c r="A1176" s="3">
        <v>1175</v>
      </c>
      <c r="B1176" s="1" t="s">
        <v>4875</v>
      </c>
      <c r="D1176" s="1" t="s">
        <v>4876</v>
      </c>
      <c r="F1176" s="1" t="s">
        <v>4880</v>
      </c>
      <c r="H1176" s="1" t="s">
        <v>4881</v>
      </c>
      <c r="L1176" s="1" t="s">
        <v>9804</v>
      </c>
      <c r="M1176" s="1" t="s">
        <v>9805</v>
      </c>
      <c r="N1176" s="1" t="s">
        <v>9810</v>
      </c>
      <c r="P1176" s="1" t="s">
        <v>9817</v>
      </c>
      <c r="Q1176" s="30" t="s">
        <v>2565</v>
      </c>
      <c r="R1176" s="33" t="s">
        <v>3472</v>
      </c>
      <c r="S1176">
        <v>37</v>
      </c>
      <c r="T1176" s="1" t="s">
        <v>13891</v>
      </c>
      <c r="U1176" s="1" t="str">
        <f>HYPERLINK("http://ictvonline.org/taxonomy/p/taxonomy-history?taxnode_id=202112799","ICTVonline=202112799")</f>
        <v>ICTVonline=202112799</v>
      </c>
    </row>
    <row r="1177" spans="1:21" x14ac:dyDescent="0.2">
      <c r="A1177" s="3">
        <v>1176</v>
      </c>
      <c r="B1177" s="1" t="s">
        <v>4875</v>
      </c>
      <c r="D1177" s="1" t="s">
        <v>4876</v>
      </c>
      <c r="F1177" s="1" t="s">
        <v>4880</v>
      </c>
      <c r="H1177" s="1" t="s">
        <v>4881</v>
      </c>
      <c r="L1177" s="1" t="s">
        <v>9804</v>
      </c>
      <c r="M1177" s="1" t="s">
        <v>9805</v>
      </c>
      <c r="N1177" s="1" t="s">
        <v>9810</v>
      </c>
      <c r="P1177" s="1" t="s">
        <v>9818</v>
      </c>
      <c r="Q1177" s="30" t="s">
        <v>2565</v>
      </c>
      <c r="R1177" s="33" t="s">
        <v>3472</v>
      </c>
      <c r="S1177">
        <v>37</v>
      </c>
      <c r="T1177" s="1" t="s">
        <v>13891</v>
      </c>
      <c r="U1177" s="1" t="str">
        <f>HYPERLINK("http://ictvonline.org/taxonomy/p/taxonomy-history?taxnode_id=202112800","ICTVonline=202112800")</f>
        <v>ICTVonline=202112800</v>
      </c>
    </row>
    <row r="1178" spans="1:21" x14ac:dyDescent="0.2">
      <c r="A1178" s="3">
        <v>1177</v>
      </c>
      <c r="B1178" s="1" t="s">
        <v>4875</v>
      </c>
      <c r="D1178" s="1" t="s">
        <v>4876</v>
      </c>
      <c r="F1178" s="1" t="s">
        <v>4880</v>
      </c>
      <c r="H1178" s="1" t="s">
        <v>4881</v>
      </c>
      <c r="L1178" s="1" t="s">
        <v>9804</v>
      </c>
      <c r="M1178" s="1" t="s">
        <v>9805</v>
      </c>
      <c r="N1178" s="1" t="s">
        <v>9810</v>
      </c>
      <c r="P1178" s="1" t="s">
        <v>9819</v>
      </c>
      <c r="Q1178" s="30" t="s">
        <v>2565</v>
      </c>
      <c r="R1178" s="33" t="s">
        <v>3472</v>
      </c>
      <c r="S1178">
        <v>37</v>
      </c>
      <c r="T1178" s="1" t="s">
        <v>13891</v>
      </c>
      <c r="U1178" s="1" t="str">
        <f>HYPERLINK("http://ictvonline.org/taxonomy/p/taxonomy-history?taxnode_id=202112805","ICTVonline=202112805")</f>
        <v>ICTVonline=202112805</v>
      </c>
    </row>
    <row r="1179" spans="1:21" x14ac:dyDescent="0.2">
      <c r="A1179" s="3">
        <v>1178</v>
      </c>
      <c r="B1179" s="1" t="s">
        <v>4875</v>
      </c>
      <c r="D1179" s="1" t="s">
        <v>4876</v>
      </c>
      <c r="F1179" s="1" t="s">
        <v>4880</v>
      </c>
      <c r="H1179" s="1" t="s">
        <v>4881</v>
      </c>
      <c r="L1179" s="1" t="s">
        <v>9820</v>
      </c>
      <c r="N1179" s="1" t="s">
        <v>9821</v>
      </c>
      <c r="P1179" s="1" t="s">
        <v>9822</v>
      </c>
      <c r="Q1179" s="30" t="s">
        <v>2565</v>
      </c>
      <c r="R1179" s="33" t="s">
        <v>3472</v>
      </c>
      <c r="S1179">
        <v>37</v>
      </c>
      <c r="T1179" s="1" t="s">
        <v>13879</v>
      </c>
      <c r="U1179" s="1" t="str">
        <f>HYPERLINK("http://ictvonline.org/taxonomy/p/taxonomy-history?taxnode_id=202113544","ICTVonline=202113544")</f>
        <v>ICTVonline=202113544</v>
      </c>
    </row>
    <row r="1180" spans="1:21" x14ac:dyDescent="0.2">
      <c r="A1180" s="3">
        <v>1179</v>
      </c>
      <c r="B1180" s="1" t="s">
        <v>4875</v>
      </c>
      <c r="D1180" s="1" t="s">
        <v>4876</v>
      </c>
      <c r="F1180" s="1" t="s">
        <v>4880</v>
      </c>
      <c r="H1180" s="1" t="s">
        <v>4881</v>
      </c>
      <c r="L1180" s="1" t="s">
        <v>9820</v>
      </c>
      <c r="N1180" s="1" t="s">
        <v>9823</v>
      </c>
      <c r="P1180" s="1" t="s">
        <v>9824</v>
      </c>
      <c r="Q1180" s="30" t="s">
        <v>2565</v>
      </c>
      <c r="R1180" s="33" t="s">
        <v>3472</v>
      </c>
      <c r="S1180">
        <v>37</v>
      </c>
      <c r="T1180" s="1" t="s">
        <v>13879</v>
      </c>
      <c r="U1180" s="1" t="str">
        <f>HYPERLINK("http://ictvonline.org/taxonomy/p/taxonomy-history?taxnode_id=202113541","ICTVonline=202113541")</f>
        <v>ICTVonline=202113541</v>
      </c>
    </row>
    <row r="1181" spans="1:21" x14ac:dyDescent="0.2">
      <c r="A1181" s="3">
        <v>1180</v>
      </c>
      <c r="B1181" s="1" t="s">
        <v>4875</v>
      </c>
      <c r="D1181" s="1" t="s">
        <v>4876</v>
      </c>
      <c r="F1181" s="1" t="s">
        <v>4880</v>
      </c>
      <c r="H1181" s="1" t="s">
        <v>4881</v>
      </c>
      <c r="L1181" s="1" t="s">
        <v>9820</v>
      </c>
      <c r="N1181" s="1" t="s">
        <v>9823</v>
      </c>
      <c r="P1181" s="1" t="s">
        <v>9825</v>
      </c>
      <c r="Q1181" s="30" t="s">
        <v>2565</v>
      </c>
      <c r="R1181" s="33" t="s">
        <v>3472</v>
      </c>
      <c r="S1181">
        <v>37</v>
      </c>
      <c r="T1181" s="1" t="s">
        <v>13879</v>
      </c>
      <c r="U1181" s="1" t="str">
        <f>HYPERLINK("http://ictvonline.org/taxonomy/p/taxonomy-history?taxnode_id=202113542","ICTVonline=202113542")</f>
        <v>ICTVonline=202113542</v>
      </c>
    </row>
    <row r="1182" spans="1:21" x14ac:dyDescent="0.2">
      <c r="A1182" s="3">
        <v>1181</v>
      </c>
      <c r="B1182" s="1" t="s">
        <v>4875</v>
      </c>
      <c r="D1182" s="1" t="s">
        <v>4876</v>
      </c>
      <c r="F1182" s="1" t="s">
        <v>4880</v>
      </c>
      <c r="H1182" s="1" t="s">
        <v>4881</v>
      </c>
      <c r="L1182" s="1" t="s">
        <v>9820</v>
      </c>
      <c r="N1182" s="1" t="s">
        <v>9823</v>
      </c>
      <c r="P1182" s="1" t="s">
        <v>9826</v>
      </c>
      <c r="Q1182" s="30" t="s">
        <v>2565</v>
      </c>
      <c r="R1182" s="33" t="s">
        <v>3472</v>
      </c>
      <c r="S1182">
        <v>37</v>
      </c>
      <c r="T1182" s="1" t="s">
        <v>13879</v>
      </c>
      <c r="U1182" s="1" t="str">
        <f>HYPERLINK("http://ictvonline.org/taxonomy/p/taxonomy-history?taxnode_id=202113540","ICTVonline=202113540")</f>
        <v>ICTVonline=202113540</v>
      </c>
    </row>
    <row r="1183" spans="1:21" x14ac:dyDescent="0.2">
      <c r="A1183" s="3">
        <v>1182</v>
      </c>
      <c r="B1183" s="1" t="s">
        <v>4875</v>
      </c>
      <c r="D1183" s="1" t="s">
        <v>4876</v>
      </c>
      <c r="F1183" s="1" t="s">
        <v>4880</v>
      </c>
      <c r="H1183" s="1" t="s">
        <v>4881</v>
      </c>
      <c r="L1183" s="1" t="s">
        <v>9820</v>
      </c>
      <c r="N1183" s="1" t="s">
        <v>9827</v>
      </c>
      <c r="P1183" s="1" t="s">
        <v>9828</v>
      </c>
      <c r="Q1183" s="30" t="s">
        <v>2565</v>
      </c>
      <c r="R1183" s="33" t="s">
        <v>3472</v>
      </c>
      <c r="S1183">
        <v>37</v>
      </c>
      <c r="T1183" s="1" t="s">
        <v>13879</v>
      </c>
      <c r="U1183" s="1" t="str">
        <f>HYPERLINK("http://ictvonline.org/taxonomy/p/taxonomy-history?taxnode_id=202113538","ICTVonline=202113538")</f>
        <v>ICTVonline=202113538</v>
      </c>
    </row>
    <row r="1184" spans="1:21" x14ac:dyDescent="0.2">
      <c r="A1184" s="3">
        <v>1183</v>
      </c>
      <c r="B1184" s="1" t="s">
        <v>4875</v>
      </c>
      <c r="D1184" s="1" t="s">
        <v>4876</v>
      </c>
      <c r="F1184" s="1" t="s">
        <v>4880</v>
      </c>
      <c r="H1184" s="1" t="s">
        <v>4881</v>
      </c>
      <c r="L1184" s="1" t="s">
        <v>9829</v>
      </c>
      <c r="N1184" s="1" t="s">
        <v>9830</v>
      </c>
      <c r="P1184" s="1" t="s">
        <v>9831</v>
      </c>
      <c r="Q1184" s="30" t="s">
        <v>2565</v>
      </c>
      <c r="R1184" s="33" t="s">
        <v>3473</v>
      </c>
      <c r="S1184">
        <v>37</v>
      </c>
      <c r="T1184" s="1" t="s">
        <v>13892</v>
      </c>
      <c r="U1184" s="1" t="str">
        <f>HYPERLINK("http://ictvonline.org/taxonomy/p/taxonomy-history?taxnode_id=202107980","ICTVonline=202107980")</f>
        <v>ICTVonline=202107980</v>
      </c>
    </row>
    <row r="1185" spans="1:21" x14ac:dyDescent="0.2">
      <c r="A1185" s="3">
        <v>1184</v>
      </c>
      <c r="B1185" s="1" t="s">
        <v>4875</v>
      </c>
      <c r="D1185" s="1" t="s">
        <v>4876</v>
      </c>
      <c r="F1185" s="1" t="s">
        <v>4880</v>
      </c>
      <c r="H1185" s="1" t="s">
        <v>4881</v>
      </c>
      <c r="L1185" s="1" t="s">
        <v>9829</v>
      </c>
      <c r="N1185" s="1" t="s">
        <v>9830</v>
      </c>
      <c r="P1185" s="1" t="s">
        <v>9832</v>
      </c>
      <c r="Q1185" s="30" t="s">
        <v>2565</v>
      </c>
      <c r="R1185" s="33" t="s">
        <v>3472</v>
      </c>
      <c r="S1185">
        <v>37</v>
      </c>
      <c r="T1185" s="1" t="s">
        <v>13892</v>
      </c>
      <c r="U1185" s="1" t="str">
        <f>HYPERLINK("http://ictvonline.org/taxonomy/p/taxonomy-history?taxnode_id=202112846","ICTVonline=202112846")</f>
        <v>ICTVonline=202112846</v>
      </c>
    </row>
    <row r="1186" spans="1:21" x14ac:dyDescent="0.2">
      <c r="A1186" s="3">
        <v>1185</v>
      </c>
      <c r="B1186" s="1" t="s">
        <v>4875</v>
      </c>
      <c r="D1186" s="1" t="s">
        <v>4876</v>
      </c>
      <c r="F1186" s="1" t="s">
        <v>4880</v>
      </c>
      <c r="H1186" s="1" t="s">
        <v>4881</v>
      </c>
      <c r="L1186" s="1" t="s">
        <v>9829</v>
      </c>
      <c r="N1186" s="1" t="s">
        <v>5068</v>
      </c>
      <c r="P1186" s="1" t="s">
        <v>9833</v>
      </c>
      <c r="Q1186" s="30" t="s">
        <v>2565</v>
      </c>
      <c r="R1186" s="33" t="s">
        <v>3473</v>
      </c>
      <c r="S1186">
        <v>37</v>
      </c>
      <c r="T1186" s="1" t="s">
        <v>13878</v>
      </c>
      <c r="U1186" s="1" t="str">
        <f>HYPERLINK("http://ictvonline.org/taxonomy/p/taxonomy-history?taxnode_id=202100242","ICTVonline=202100242")</f>
        <v>ICTVonline=202100242</v>
      </c>
    </row>
    <row r="1187" spans="1:21" x14ac:dyDescent="0.2">
      <c r="A1187" s="3">
        <v>1186</v>
      </c>
      <c r="B1187" s="1" t="s">
        <v>4875</v>
      </c>
      <c r="D1187" s="1" t="s">
        <v>4876</v>
      </c>
      <c r="F1187" s="1" t="s">
        <v>4880</v>
      </c>
      <c r="H1187" s="1" t="s">
        <v>4881</v>
      </c>
      <c r="L1187" s="1" t="s">
        <v>9829</v>
      </c>
      <c r="N1187" s="1" t="s">
        <v>5068</v>
      </c>
      <c r="P1187" s="1" t="s">
        <v>9834</v>
      </c>
      <c r="Q1187" s="30" t="s">
        <v>2565</v>
      </c>
      <c r="R1187" s="33" t="s">
        <v>3473</v>
      </c>
      <c r="S1187">
        <v>37</v>
      </c>
      <c r="T1187" s="1" t="s">
        <v>13878</v>
      </c>
      <c r="U1187" s="1" t="str">
        <f>HYPERLINK("http://ictvonline.org/taxonomy/p/taxonomy-history?taxnode_id=202111582","ICTVonline=202111582")</f>
        <v>ICTVonline=202111582</v>
      </c>
    </row>
    <row r="1188" spans="1:21" x14ac:dyDescent="0.2">
      <c r="A1188" s="3">
        <v>1187</v>
      </c>
      <c r="B1188" s="1" t="s">
        <v>4875</v>
      </c>
      <c r="D1188" s="1" t="s">
        <v>4876</v>
      </c>
      <c r="F1188" s="1" t="s">
        <v>4880</v>
      </c>
      <c r="H1188" s="1" t="s">
        <v>4881</v>
      </c>
      <c r="L1188" s="1" t="s">
        <v>9829</v>
      </c>
      <c r="N1188" s="1" t="s">
        <v>9835</v>
      </c>
      <c r="P1188" s="1" t="s">
        <v>9836</v>
      </c>
      <c r="Q1188" s="30" t="s">
        <v>2565</v>
      </c>
      <c r="R1188" s="33" t="s">
        <v>3473</v>
      </c>
      <c r="S1188">
        <v>37</v>
      </c>
      <c r="T1188" s="1" t="s">
        <v>13892</v>
      </c>
      <c r="U1188" s="1" t="str">
        <f>HYPERLINK("http://ictvonline.org/taxonomy/p/taxonomy-history?taxnode_id=202107982","ICTVonline=202107982")</f>
        <v>ICTVonline=202107982</v>
      </c>
    </row>
    <row r="1189" spans="1:21" x14ac:dyDescent="0.2">
      <c r="A1189" s="3">
        <v>1188</v>
      </c>
      <c r="B1189" s="1" t="s">
        <v>4875</v>
      </c>
      <c r="D1189" s="1" t="s">
        <v>4876</v>
      </c>
      <c r="F1189" s="1" t="s">
        <v>4880</v>
      </c>
      <c r="H1189" s="1" t="s">
        <v>4881</v>
      </c>
      <c r="L1189" s="1" t="s">
        <v>9829</v>
      </c>
      <c r="N1189" s="1" t="s">
        <v>5069</v>
      </c>
      <c r="P1189" s="1" t="s">
        <v>9837</v>
      </c>
      <c r="Q1189" s="30" t="s">
        <v>2565</v>
      </c>
      <c r="R1189" s="33" t="s">
        <v>3473</v>
      </c>
      <c r="S1189">
        <v>37</v>
      </c>
      <c r="T1189" s="1" t="s">
        <v>13878</v>
      </c>
      <c r="U1189" s="1" t="str">
        <f>HYPERLINK("http://ictvonline.org/taxonomy/p/taxonomy-history?taxnode_id=202107975","ICTVonline=202107975")</f>
        <v>ICTVonline=202107975</v>
      </c>
    </row>
    <row r="1190" spans="1:21" x14ac:dyDescent="0.2">
      <c r="A1190" s="3">
        <v>1189</v>
      </c>
      <c r="B1190" s="1" t="s">
        <v>4875</v>
      </c>
      <c r="D1190" s="1" t="s">
        <v>4876</v>
      </c>
      <c r="F1190" s="1" t="s">
        <v>4880</v>
      </c>
      <c r="H1190" s="1" t="s">
        <v>4881</v>
      </c>
      <c r="L1190" s="1" t="s">
        <v>9829</v>
      </c>
      <c r="N1190" s="1" t="s">
        <v>5069</v>
      </c>
      <c r="P1190" s="1" t="s">
        <v>9838</v>
      </c>
      <c r="Q1190" s="30" t="s">
        <v>2565</v>
      </c>
      <c r="R1190" s="33" t="s">
        <v>3473</v>
      </c>
      <c r="S1190">
        <v>37</v>
      </c>
      <c r="T1190" s="1" t="s">
        <v>13878</v>
      </c>
      <c r="U1190" s="1" t="str">
        <f>HYPERLINK("http://ictvonline.org/taxonomy/p/taxonomy-history?taxnode_id=202100240","ICTVonline=202100240")</f>
        <v>ICTVonline=202100240</v>
      </c>
    </row>
    <row r="1191" spans="1:21" x14ac:dyDescent="0.2">
      <c r="A1191" s="3">
        <v>1190</v>
      </c>
      <c r="B1191" s="1" t="s">
        <v>4875</v>
      </c>
      <c r="D1191" s="1" t="s">
        <v>4876</v>
      </c>
      <c r="F1191" s="1" t="s">
        <v>4880</v>
      </c>
      <c r="H1191" s="1" t="s">
        <v>4881</v>
      </c>
      <c r="L1191" s="1" t="s">
        <v>9829</v>
      </c>
      <c r="N1191" s="1" t="s">
        <v>5070</v>
      </c>
      <c r="P1191" s="1" t="s">
        <v>9839</v>
      </c>
      <c r="Q1191" s="30" t="s">
        <v>2565</v>
      </c>
      <c r="R1191" s="33" t="s">
        <v>3473</v>
      </c>
      <c r="S1191">
        <v>37</v>
      </c>
      <c r="T1191" s="1" t="s">
        <v>13878</v>
      </c>
      <c r="U1191" s="1" t="str">
        <f>HYPERLINK("http://ictvonline.org/taxonomy/p/taxonomy-history?taxnode_id=202100227","ICTVonline=202100227")</f>
        <v>ICTVonline=202100227</v>
      </c>
    </row>
    <row r="1192" spans="1:21" x14ac:dyDescent="0.2">
      <c r="A1192" s="3">
        <v>1191</v>
      </c>
      <c r="B1192" s="1" t="s">
        <v>4875</v>
      </c>
      <c r="D1192" s="1" t="s">
        <v>4876</v>
      </c>
      <c r="F1192" s="1" t="s">
        <v>4880</v>
      </c>
      <c r="H1192" s="1" t="s">
        <v>4881</v>
      </c>
      <c r="L1192" s="1" t="s">
        <v>9829</v>
      </c>
      <c r="N1192" s="1" t="s">
        <v>9840</v>
      </c>
      <c r="P1192" s="1" t="s">
        <v>9841</v>
      </c>
      <c r="Q1192" s="30" t="s">
        <v>2565</v>
      </c>
      <c r="R1192" s="33" t="s">
        <v>3472</v>
      </c>
      <c r="S1192">
        <v>37</v>
      </c>
      <c r="T1192" s="1" t="s">
        <v>13892</v>
      </c>
      <c r="U1192" s="1" t="str">
        <f>HYPERLINK("http://ictvonline.org/taxonomy/p/taxonomy-history?taxnode_id=202112852","ICTVonline=202112852")</f>
        <v>ICTVonline=202112852</v>
      </c>
    </row>
    <row r="1193" spans="1:21" x14ac:dyDescent="0.2">
      <c r="A1193" s="3">
        <v>1192</v>
      </c>
      <c r="B1193" s="1" t="s">
        <v>4875</v>
      </c>
      <c r="D1193" s="1" t="s">
        <v>4876</v>
      </c>
      <c r="F1193" s="1" t="s">
        <v>4880</v>
      </c>
      <c r="H1193" s="1" t="s">
        <v>4881</v>
      </c>
      <c r="L1193" s="1" t="s">
        <v>9829</v>
      </c>
      <c r="N1193" s="1" t="s">
        <v>5071</v>
      </c>
      <c r="P1193" s="1" t="s">
        <v>9842</v>
      </c>
      <c r="Q1193" s="30" t="s">
        <v>2565</v>
      </c>
      <c r="R1193" s="33" t="s">
        <v>3473</v>
      </c>
      <c r="S1193">
        <v>37</v>
      </c>
      <c r="T1193" s="1" t="s">
        <v>13878</v>
      </c>
      <c r="U1193" s="1" t="str">
        <f>HYPERLINK("http://ictvonline.org/taxonomy/p/taxonomy-history?taxnode_id=202107970","ICTVonline=202107970")</f>
        <v>ICTVonline=202107970</v>
      </c>
    </row>
    <row r="1194" spans="1:21" x14ac:dyDescent="0.2">
      <c r="A1194" s="3">
        <v>1193</v>
      </c>
      <c r="B1194" s="1" t="s">
        <v>4875</v>
      </c>
      <c r="D1194" s="1" t="s">
        <v>4876</v>
      </c>
      <c r="F1194" s="1" t="s">
        <v>4880</v>
      </c>
      <c r="H1194" s="1" t="s">
        <v>4881</v>
      </c>
      <c r="L1194" s="1" t="s">
        <v>9829</v>
      </c>
      <c r="N1194" s="1" t="s">
        <v>5072</v>
      </c>
      <c r="P1194" s="1" t="s">
        <v>9843</v>
      </c>
      <c r="Q1194" s="30" t="s">
        <v>2565</v>
      </c>
      <c r="R1194" s="33" t="s">
        <v>3473</v>
      </c>
      <c r="S1194">
        <v>37</v>
      </c>
      <c r="T1194" s="1" t="s">
        <v>13878</v>
      </c>
      <c r="U1194" s="1" t="str">
        <f>HYPERLINK("http://ictvonline.org/taxonomy/p/taxonomy-history?taxnode_id=202107946","ICTVonline=202107946")</f>
        <v>ICTVonline=202107946</v>
      </c>
    </row>
    <row r="1195" spans="1:21" x14ac:dyDescent="0.2">
      <c r="A1195" s="3">
        <v>1194</v>
      </c>
      <c r="B1195" s="1" t="s">
        <v>4875</v>
      </c>
      <c r="D1195" s="1" t="s">
        <v>4876</v>
      </c>
      <c r="F1195" s="1" t="s">
        <v>4880</v>
      </c>
      <c r="H1195" s="1" t="s">
        <v>4881</v>
      </c>
      <c r="L1195" s="1" t="s">
        <v>9829</v>
      </c>
      <c r="N1195" s="1" t="s">
        <v>5073</v>
      </c>
      <c r="P1195" s="1" t="s">
        <v>9844</v>
      </c>
      <c r="Q1195" s="30" t="s">
        <v>2565</v>
      </c>
      <c r="R1195" s="33" t="s">
        <v>3472</v>
      </c>
      <c r="S1195">
        <v>37</v>
      </c>
      <c r="T1195" s="1" t="s">
        <v>13892</v>
      </c>
      <c r="U1195" s="1" t="str">
        <f>HYPERLINK("http://ictvonline.org/taxonomy/p/taxonomy-history?taxnode_id=202112868","ICTVonline=202112868")</f>
        <v>ICTVonline=202112868</v>
      </c>
    </row>
    <row r="1196" spans="1:21" x14ac:dyDescent="0.2">
      <c r="A1196" s="3">
        <v>1195</v>
      </c>
      <c r="B1196" s="1" t="s">
        <v>4875</v>
      </c>
      <c r="D1196" s="1" t="s">
        <v>4876</v>
      </c>
      <c r="F1196" s="1" t="s">
        <v>4880</v>
      </c>
      <c r="H1196" s="1" t="s">
        <v>4881</v>
      </c>
      <c r="L1196" s="1" t="s">
        <v>9829</v>
      </c>
      <c r="N1196" s="1" t="s">
        <v>5073</v>
      </c>
      <c r="P1196" s="1" t="s">
        <v>9845</v>
      </c>
      <c r="Q1196" s="30" t="s">
        <v>2565</v>
      </c>
      <c r="R1196" s="33" t="s">
        <v>3473</v>
      </c>
      <c r="S1196">
        <v>37</v>
      </c>
      <c r="T1196" s="1" t="s">
        <v>13878</v>
      </c>
      <c r="U1196" s="1" t="str">
        <f>HYPERLINK("http://ictvonline.org/taxonomy/p/taxonomy-history?taxnode_id=202107962","ICTVonline=202107962")</f>
        <v>ICTVonline=202107962</v>
      </c>
    </row>
    <row r="1197" spans="1:21" x14ac:dyDescent="0.2">
      <c r="A1197" s="3">
        <v>1196</v>
      </c>
      <c r="B1197" s="1" t="s">
        <v>4875</v>
      </c>
      <c r="D1197" s="1" t="s">
        <v>4876</v>
      </c>
      <c r="F1197" s="1" t="s">
        <v>4880</v>
      </c>
      <c r="H1197" s="1" t="s">
        <v>4881</v>
      </c>
      <c r="L1197" s="1" t="s">
        <v>9829</v>
      </c>
      <c r="N1197" s="1" t="s">
        <v>5073</v>
      </c>
      <c r="P1197" s="1" t="s">
        <v>9846</v>
      </c>
      <c r="Q1197" s="30" t="s">
        <v>2565</v>
      </c>
      <c r="R1197" s="33" t="s">
        <v>3473</v>
      </c>
      <c r="S1197">
        <v>37</v>
      </c>
      <c r="T1197" s="1" t="s">
        <v>13878</v>
      </c>
      <c r="U1197" s="1" t="str">
        <f>HYPERLINK("http://ictvonline.org/taxonomy/p/taxonomy-history?taxnode_id=202100241","ICTVonline=202100241")</f>
        <v>ICTVonline=202100241</v>
      </c>
    </row>
    <row r="1198" spans="1:21" x14ac:dyDescent="0.2">
      <c r="A1198" s="3">
        <v>1197</v>
      </c>
      <c r="B1198" s="1" t="s">
        <v>4875</v>
      </c>
      <c r="D1198" s="1" t="s">
        <v>4876</v>
      </c>
      <c r="F1198" s="1" t="s">
        <v>4880</v>
      </c>
      <c r="H1198" s="1" t="s">
        <v>4881</v>
      </c>
      <c r="L1198" s="1" t="s">
        <v>9829</v>
      </c>
      <c r="N1198" s="1" t="s">
        <v>5073</v>
      </c>
      <c r="P1198" s="1" t="s">
        <v>9847</v>
      </c>
      <c r="Q1198" s="30" t="s">
        <v>2565</v>
      </c>
      <c r="R1198" s="33" t="s">
        <v>3472</v>
      </c>
      <c r="S1198">
        <v>37</v>
      </c>
      <c r="T1198" s="1" t="s">
        <v>13892</v>
      </c>
      <c r="U1198" s="1" t="str">
        <f>HYPERLINK("http://ictvonline.org/taxonomy/p/taxonomy-history?taxnode_id=202112867","ICTVonline=202112867")</f>
        <v>ICTVonline=202112867</v>
      </c>
    </row>
    <row r="1199" spans="1:21" x14ac:dyDescent="0.2">
      <c r="A1199" s="3">
        <v>1198</v>
      </c>
      <c r="B1199" s="1" t="s">
        <v>4875</v>
      </c>
      <c r="D1199" s="1" t="s">
        <v>4876</v>
      </c>
      <c r="F1199" s="1" t="s">
        <v>4880</v>
      </c>
      <c r="H1199" s="1" t="s">
        <v>4881</v>
      </c>
      <c r="L1199" s="1" t="s">
        <v>9829</v>
      </c>
      <c r="N1199" s="1" t="s">
        <v>9848</v>
      </c>
      <c r="P1199" s="1" t="s">
        <v>9849</v>
      </c>
      <c r="Q1199" s="30" t="s">
        <v>2565</v>
      </c>
      <c r="R1199" s="33" t="s">
        <v>3473</v>
      </c>
      <c r="S1199">
        <v>37</v>
      </c>
      <c r="T1199" s="1" t="s">
        <v>13892</v>
      </c>
      <c r="U1199" s="1" t="str">
        <f>HYPERLINK("http://ictvonline.org/taxonomy/p/taxonomy-history?taxnode_id=202111599","ICTVonline=202111599")</f>
        <v>ICTVonline=202111599</v>
      </c>
    </row>
    <row r="1200" spans="1:21" x14ac:dyDescent="0.2">
      <c r="A1200" s="3">
        <v>1199</v>
      </c>
      <c r="B1200" s="1" t="s">
        <v>4875</v>
      </c>
      <c r="D1200" s="1" t="s">
        <v>4876</v>
      </c>
      <c r="F1200" s="1" t="s">
        <v>4880</v>
      </c>
      <c r="H1200" s="1" t="s">
        <v>4881</v>
      </c>
      <c r="L1200" s="1" t="s">
        <v>9829</v>
      </c>
      <c r="N1200" s="1" t="s">
        <v>9850</v>
      </c>
      <c r="P1200" s="1" t="s">
        <v>9851</v>
      </c>
      <c r="Q1200" s="30" t="s">
        <v>2565</v>
      </c>
      <c r="R1200" s="33" t="s">
        <v>3473</v>
      </c>
      <c r="S1200">
        <v>37</v>
      </c>
      <c r="T1200" s="1" t="s">
        <v>13892</v>
      </c>
      <c r="U1200" s="1" t="str">
        <f>HYPERLINK("http://ictvonline.org/taxonomy/p/taxonomy-history?taxnode_id=202100235","ICTVonline=202100235")</f>
        <v>ICTVonline=202100235</v>
      </c>
    </row>
    <row r="1201" spans="1:21" x14ac:dyDescent="0.2">
      <c r="A1201" s="3">
        <v>1200</v>
      </c>
      <c r="B1201" s="1" t="s">
        <v>4875</v>
      </c>
      <c r="D1201" s="1" t="s">
        <v>4876</v>
      </c>
      <c r="F1201" s="1" t="s">
        <v>4880</v>
      </c>
      <c r="H1201" s="1" t="s">
        <v>4881</v>
      </c>
      <c r="L1201" s="1" t="s">
        <v>9829</v>
      </c>
      <c r="N1201" s="1" t="s">
        <v>5074</v>
      </c>
      <c r="P1201" s="1" t="s">
        <v>9852</v>
      </c>
      <c r="Q1201" s="30" t="s">
        <v>2565</v>
      </c>
      <c r="R1201" s="33" t="s">
        <v>3473</v>
      </c>
      <c r="S1201">
        <v>37</v>
      </c>
      <c r="T1201" s="1" t="s">
        <v>13878</v>
      </c>
      <c r="U1201" s="1" t="str">
        <f>HYPERLINK("http://ictvonline.org/taxonomy/p/taxonomy-history?taxnode_id=202107973","ICTVonline=202107973")</f>
        <v>ICTVonline=202107973</v>
      </c>
    </row>
    <row r="1202" spans="1:21" x14ac:dyDescent="0.2">
      <c r="A1202" s="3">
        <v>1201</v>
      </c>
      <c r="B1202" s="1" t="s">
        <v>4875</v>
      </c>
      <c r="D1202" s="1" t="s">
        <v>4876</v>
      </c>
      <c r="F1202" s="1" t="s">
        <v>4880</v>
      </c>
      <c r="H1202" s="1" t="s">
        <v>4881</v>
      </c>
      <c r="L1202" s="1" t="s">
        <v>9829</v>
      </c>
      <c r="N1202" s="1" t="s">
        <v>5074</v>
      </c>
      <c r="P1202" s="1" t="s">
        <v>9853</v>
      </c>
      <c r="Q1202" s="30" t="s">
        <v>2565</v>
      </c>
      <c r="R1202" s="33" t="s">
        <v>3473</v>
      </c>
      <c r="S1202">
        <v>37</v>
      </c>
      <c r="T1202" s="1" t="s">
        <v>13878</v>
      </c>
      <c r="U1202" s="1" t="str">
        <f>HYPERLINK("http://ictvonline.org/taxonomy/p/taxonomy-history?taxnode_id=202100237","ICTVonline=202100237")</f>
        <v>ICTVonline=202100237</v>
      </c>
    </row>
    <row r="1203" spans="1:21" x14ac:dyDescent="0.2">
      <c r="A1203" s="3">
        <v>1202</v>
      </c>
      <c r="B1203" s="1" t="s">
        <v>4875</v>
      </c>
      <c r="D1203" s="1" t="s">
        <v>4876</v>
      </c>
      <c r="F1203" s="1" t="s">
        <v>4880</v>
      </c>
      <c r="H1203" s="1" t="s">
        <v>4881</v>
      </c>
      <c r="L1203" s="1" t="s">
        <v>9829</v>
      </c>
      <c r="N1203" s="1" t="s">
        <v>5074</v>
      </c>
      <c r="P1203" s="1" t="s">
        <v>9854</v>
      </c>
      <c r="Q1203" s="30" t="s">
        <v>2565</v>
      </c>
      <c r="R1203" s="33" t="s">
        <v>3473</v>
      </c>
      <c r="S1203">
        <v>37</v>
      </c>
      <c r="T1203" s="1" t="s">
        <v>13878</v>
      </c>
      <c r="U1203" s="1" t="str">
        <f>HYPERLINK("http://ictvonline.org/taxonomy/p/taxonomy-history?taxnode_id=202100244","ICTVonline=202100244")</f>
        <v>ICTVonline=202100244</v>
      </c>
    </row>
    <row r="1204" spans="1:21" x14ac:dyDescent="0.2">
      <c r="A1204" s="3">
        <v>1203</v>
      </c>
      <c r="B1204" s="1" t="s">
        <v>4875</v>
      </c>
      <c r="D1204" s="1" t="s">
        <v>4876</v>
      </c>
      <c r="F1204" s="1" t="s">
        <v>4880</v>
      </c>
      <c r="H1204" s="1" t="s">
        <v>4881</v>
      </c>
      <c r="L1204" s="1" t="s">
        <v>9829</v>
      </c>
      <c r="N1204" s="1" t="s">
        <v>5074</v>
      </c>
      <c r="P1204" s="1" t="s">
        <v>9855</v>
      </c>
      <c r="Q1204" s="30" t="s">
        <v>2565</v>
      </c>
      <c r="R1204" s="33" t="s">
        <v>3473</v>
      </c>
      <c r="S1204">
        <v>37</v>
      </c>
      <c r="T1204" s="1" t="s">
        <v>13878</v>
      </c>
      <c r="U1204" s="1" t="str">
        <f>HYPERLINK("http://ictvonline.org/taxonomy/p/taxonomy-history?taxnode_id=202107972","ICTVonline=202107972")</f>
        <v>ICTVonline=202107972</v>
      </c>
    </row>
    <row r="1205" spans="1:21" x14ac:dyDescent="0.2">
      <c r="A1205" s="3">
        <v>1204</v>
      </c>
      <c r="B1205" s="1" t="s">
        <v>4875</v>
      </c>
      <c r="D1205" s="1" t="s">
        <v>4876</v>
      </c>
      <c r="F1205" s="1" t="s">
        <v>4880</v>
      </c>
      <c r="H1205" s="1" t="s">
        <v>4881</v>
      </c>
      <c r="L1205" s="1" t="s">
        <v>9829</v>
      </c>
      <c r="N1205" s="1" t="s">
        <v>5074</v>
      </c>
      <c r="P1205" s="1" t="s">
        <v>9856</v>
      </c>
      <c r="Q1205" s="30" t="s">
        <v>2565</v>
      </c>
      <c r="R1205" s="33" t="s">
        <v>3473</v>
      </c>
      <c r="S1205">
        <v>37</v>
      </c>
      <c r="T1205" s="1" t="s">
        <v>13878</v>
      </c>
      <c r="U1205" s="1" t="str">
        <f>HYPERLINK("http://ictvonline.org/taxonomy/p/taxonomy-history?taxnode_id=202111607","ICTVonline=202111607")</f>
        <v>ICTVonline=202111607</v>
      </c>
    </row>
    <row r="1206" spans="1:21" x14ac:dyDescent="0.2">
      <c r="A1206" s="3">
        <v>1205</v>
      </c>
      <c r="B1206" s="1" t="s">
        <v>4875</v>
      </c>
      <c r="D1206" s="1" t="s">
        <v>4876</v>
      </c>
      <c r="F1206" s="1" t="s">
        <v>4880</v>
      </c>
      <c r="H1206" s="1" t="s">
        <v>4881</v>
      </c>
      <c r="L1206" s="1" t="s">
        <v>9829</v>
      </c>
      <c r="N1206" s="1" t="s">
        <v>9857</v>
      </c>
      <c r="P1206" s="1" t="s">
        <v>9858</v>
      </c>
      <c r="Q1206" s="30" t="s">
        <v>2565</v>
      </c>
      <c r="R1206" s="33" t="s">
        <v>3473</v>
      </c>
      <c r="S1206">
        <v>37</v>
      </c>
      <c r="T1206" s="1" t="s">
        <v>13892</v>
      </c>
      <c r="U1206" s="1" t="str">
        <f>HYPERLINK("http://ictvonline.org/taxonomy/p/taxonomy-history?taxnode_id=202107956","ICTVonline=202107956")</f>
        <v>ICTVonline=202107956</v>
      </c>
    </row>
    <row r="1207" spans="1:21" x14ac:dyDescent="0.2">
      <c r="A1207" s="3">
        <v>1206</v>
      </c>
      <c r="B1207" s="1" t="s">
        <v>4875</v>
      </c>
      <c r="D1207" s="1" t="s">
        <v>4876</v>
      </c>
      <c r="F1207" s="1" t="s">
        <v>4880</v>
      </c>
      <c r="H1207" s="1" t="s">
        <v>4881</v>
      </c>
      <c r="L1207" s="1" t="s">
        <v>9829</v>
      </c>
      <c r="N1207" s="1" t="s">
        <v>5075</v>
      </c>
      <c r="P1207" s="1" t="s">
        <v>9859</v>
      </c>
      <c r="Q1207" s="30" t="s">
        <v>2565</v>
      </c>
      <c r="R1207" s="33" t="s">
        <v>3473</v>
      </c>
      <c r="S1207">
        <v>37</v>
      </c>
      <c r="T1207" s="1" t="s">
        <v>13878</v>
      </c>
      <c r="U1207" s="1" t="str">
        <f>HYPERLINK("http://ictvonline.org/taxonomy/p/taxonomy-history?taxnode_id=202107950","ICTVonline=202107950")</f>
        <v>ICTVonline=202107950</v>
      </c>
    </row>
    <row r="1208" spans="1:21" x14ac:dyDescent="0.2">
      <c r="A1208" s="3">
        <v>1207</v>
      </c>
      <c r="B1208" s="1" t="s">
        <v>4875</v>
      </c>
      <c r="D1208" s="1" t="s">
        <v>4876</v>
      </c>
      <c r="F1208" s="1" t="s">
        <v>4880</v>
      </c>
      <c r="H1208" s="1" t="s">
        <v>4881</v>
      </c>
      <c r="L1208" s="1" t="s">
        <v>9829</v>
      </c>
      <c r="N1208" s="1" t="s">
        <v>9860</v>
      </c>
      <c r="P1208" s="1" t="s">
        <v>9861</v>
      </c>
      <c r="Q1208" s="30" t="s">
        <v>2565</v>
      </c>
      <c r="R1208" s="33" t="s">
        <v>3473</v>
      </c>
      <c r="S1208">
        <v>37</v>
      </c>
      <c r="T1208" s="1" t="s">
        <v>13892</v>
      </c>
      <c r="U1208" s="1" t="str">
        <f>HYPERLINK("http://ictvonline.org/taxonomy/p/taxonomy-history?taxnode_id=202111587","ICTVonline=202111587")</f>
        <v>ICTVonline=202111587</v>
      </c>
    </row>
    <row r="1209" spans="1:21" x14ac:dyDescent="0.2">
      <c r="A1209" s="3">
        <v>1208</v>
      </c>
      <c r="B1209" s="1" t="s">
        <v>4875</v>
      </c>
      <c r="D1209" s="1" t="s">
        <v>4876</v>
      </c>
      <c r="F1209" s="1" t="s">
        <v>4880</v>
      </c>
      <c r="H1209" s="1" t="s">
        <v>4881</v>
      </c>
      <c r="L1209" s="1" t="s">
        <v>9829</v>
      </c>
      <c r="N1209" s="1" t="s">
        <v>5076</v>
      </c>
      <c r="P1209" s="1" t="s">
        <v>9862</v>
      </c>
      <c r="Q1209" s="30" t="s">
        <v>2565</v>
      </c>
      <c r="R1209" s="33" t="s">
        <v>3473</v>
      </c>
      <c r="S1209">
        <v>37</v>
      </c>
      <c r="T1209" s="1" t="s">
        <v>13878</v>
      </c>
      <c r="U1209" s="1" t="str">
        <f>HYPERLINK("http://ictvonline.org/taxonomy/p/taxonomy-history?taxnode_id=202100243","ICTVonline=202100243")</f>
        <v>ICTVonline=202100243</v>
      </c>
    </row>
    <row r="1210" spans="1:21" x14ac:dyDescent="0.2">
      <c r="A1210" s="3">
        <v>1209</v>
      </c>
      <c r="B1210" s="1" t="s">
        <v>4875</v>
      </c>
      <c r="D1210" s="1" t="s">
        <v>4876</v>
      </c>
      <c r="F1210" s="1" t="s">
        <v>4880</v>
      </c>
      <c r="H1210" s="1" t="s">
        <v>4881</v>
      </c>
      <c r="L1210" s="1" t="s">
        <v>9829</v>
      </c>
      <c r="N1210" s="1" t="s">
        <v>5076</v>
      </c>
      <c r="P1210" s="1" t="s">
        <v>9863</v>
      </c>
      <c r="Q1210" s="30" t="s">
        <v>2565</v>
      </c>
      <c r="R1210" s="33" t="s">
        <v>3472</v>
      </c>
      <c r="S1210">
        <v>37</v>
      </c>
      <c r="T1210" s="1" t="s">
        <v>13892</v>
      </c>
      <c r="U1210" s="1" t="str">
        <f>HYPERLINK("http://ictvonline.org/taxonomy/p/taxonomy-history?taxnode_id=202112871","ICTVonline=202112871")</f>
        <v>ICTVonline=202112871</v>
      </c>
    </row>
    <row r="1211" spans="1:21" x14ac:dyDescent="0.2">
      <c r="A1211" s="3">
        <v>1210</v>
      </c>
      <c r="B1211" s="1" t="s">
        <v>4875</v>
      </c>
      <c r="D1211" s="1" t="s">
        <v>4876</v>
      </c>
      <c r="F1211" s="1" t="s">
        <v>4880</v>
      </c>
      <c r="H1211" s="1" t="s">
        <v>4881</v>
      </c>
      <c r="L1211" s="1" t="s">
        <v>9829</v>
      </c>
      <c r="N1211" s="1" t="s">
        <v>5076</v>
      </c>
      <c r="P1211" s="1" t="s">
        <v>9864</v>
      </c>
      <c r="Q1211" s="30" t="s">
        <v>2565</v>
      </c>
      <c r="R1211" s="33" t="s">
        <v>3473</v>
      </c>
      <c r="S1211">
        <v>37</v>
      </c>
      <c r="T1211" s="1" t="s">
        <v>13878</v>
      </c>
      <c r="U1211" s="1" t="str">
        <f>HYPERLINK("http://ictvonline.org/taxonomy/p/taxonomy-history?taxnode_id=202107957","ICTVonline=202107957")</f>
        <v>ICTVonline=202107957</v>
      </c>
    </row>
    <row r="1212" spans="1:21" x14ac:dyDescent="0.2">
      <c r="A1212" s="3">
        <v>1211</v>
      </c>
      <c r="B1212" s="1" t="s">
        <v>4875</v>
      </c>
      <c r="D1212" s="1" t="s">
        <v>4876</v>
      </c>
      <c r="F1212" s="1" t="s">
        <v>4880</v>
      </c>
      <c r="H1212" s="1" t="s">
        <v>4881</v>
      </c>
      <c r="L1212" s="1" t="s">
        <v>9829</v>
      </c>
      <c r="N1212" s="1" t="s">
        <v>5076</v>
      </c>
      <c r="P1212" s="1" t="s">
        <v>9865</v>
      </c>
      <c r="Q1212" s="30" t="s">
        <v>2565</v>
      </c>
      <c r="R1212" s="33" t="s">
        <v>3473</v>
      </c>
      <c r="S1212">
        <v>37</v>
      </c>
      <c r="T1212" s="1" t="s">
        <v>13878</v>
      </c>
      <c r="U1212" s="1" t="str">
        <f>HYPERLINK("http://ictvonline.org/taxonomy/p/taxonomy-history?taxnode_id=202107958","ICTVonline=202107958")</f>
        <v>ICTVonline=202107958</v>
      </c>
    </row>
    <row r="1213" spans="1:21" x14ac:dyDescent="0.2">
      <c r="A1213" s="3">
        <v>1212</v>
      </c>
      <c r="B1213" s="1" t="s">
        <v>4875</v>
      </c>
      <c r="D1213" s="1" t="s">
        <v>4876</v>
      </c>
      <c r="F1213" s="1" t="s">
        <v>4880</v>
      </c>
      <c r="H1213" s="1" t="s">
        <v>4881</v>
      </c>
      <c r="L1213" s="1" t="s">
        <v>9829</v>
      </c>
      <c r="N1213" s="1" t="s">
        <v>5076</v>
      </c>
      <c r="P1213" s="1" t="s">
        <v>9866</v>
      </c>
      <c r="Q1213" s="30" t="s">
        <v>2565</v>
      </c>
      <c r="R1213" s="33" t="s">
        <v>3473</v>
      </c>
      <c r="S1213">
        <v>37</v>
      </c>
      <c r="T1213" s="1" t="s">
        <v>13878</v>
      </c>
      <c r="U1213" s="1" t="str">
        <f>HYPERLINK("http://ictvonline.org/taxonomy/p/taxonomy-history?taxnode_id=202100245","ICTVonline=202100245")</f>
        <v>ICTVonline=202100245</v>
      </c>
    </row>
    <row r="1214" spans="1:21" x14ac:dyDescent="0.2">
      <c r="A1214" s="3">
        <v>1213</v>
      </c>
      <c r="B1214" s="1" t="s">
        <v>4875</v>
      </c>
      <c r="D1214" s="1" t="s">
        <v>4876</v>
      </c>
      <c r="F1214" s="1" t="s">
        <v>4880</v>
      </c>
      <c r="H1214" s="1" t="s">
        <v>4881</v>
      </c>
      <c r="L1214" s="1" t="s">
        <v>9829</v>
      </c>
      <c r="N1214" s="1" t="s">
        <v>5076</v>
      </c>
      <c r="P1214" s="1" t="s">
        <v>9867</v>
      </c>
      <c r="Q1214" s="30" t="s">
        <v>2565</v>
      </c>
      <c r="R1214" s="33" t="s">
        <v>3473</v>
      </c>
      <c r="S1214">
        <v>37</v>
      </c>
      <c r="T1214" s="1" t="s">
        <v>13878</v>
      </c>
      <c r="U1214" s="1" t="str">
        <f>HYPERLINK("http://ictvonline.org/taxonomy/p/taxonomy-history?taxnode_id=202111601","ICTVonline=202111601")</f>
        <v>ICTVonline=202111601</v>
      </c>
    </row>
    <row r="1215" spans="1:21" x14ac:dyDescent="0.2">
      <c r="A1215" s="3">
        <v>1214</v>
      </c>
      <c r="B1215" s="1" t="s">
        <v>4875</v>
      </c>
      <c r="D1215" s="1" t="s">
        <v>4876</v>
      </c>
      <c r="F1215" s="1" t="s">
        <v>4880</v>
      </c>
      <c r="H1215" s="1" t="s">
        <v>4881</v>
      </c>
      <c r="L1215" s="1" t="s">
        <v>9829</v>
      </c>
      <c r="N1215" s="1" t="s">
        <v>9868</v>
      </c>
      <c r="P1215" s="1" t="s">
        <v>9869</v>
      </c>
      <c r="Q1215" s="30" t="s">
        <v>2565</v>
      </c>
      <c r="R1215" s="33" t="s">
        <v>3472</v>
      </c>
      <c r="S1215">
        <v>37</v>
      </c>
      <c r="T1215" s="1" t="s">
        <v>13892</v>
      </c>
      <c r="U1215" s="1" t="str">
        <f>HYPERLINK("http://ictvonline.org/taxonomy/p/taxonomy-history?taxnode_id=202112864","ICTVonline=202112864")</f>
        <v>ICTVonline=202112864</v>
      </c>
    </row>
    <row r="1216" spans="1:21" x14ac:dyDescent="0.2">
      <c r="A1216" s="3">
        <v>1215</v>
      </c>
      <c r="B1216" s="1" t="s">
        <v>4875</v>
      </c>
      <c r="D1216" s="1" t="s">
        <v>4876</v>
      </c>
      <c r="F1216" s="1" t="s">
        <v>4880</v>
      </c>
      <c r="H1216" s="1" t="s">
        <v>4881</v>
      </c>
      <c r="L1216" s="1" t="s">
        <v>9829</v>
      </c>
      <c r="N1216" s="1" t="s">
        <v>9870</v>
      </c>
      <c r="P1216" s="1" t="s">
        <v>9871</v>
      </c>
      <c r="Q1216" s="30" t="s">
        <v>2565</v>
      </c>
      <c r="R1216" s="33" t="s">
        <v>3473</v>
      </c>
      <c r="S1216">
        <v>37</v>
      </c>
      <c r="T1216" s="1" t="s">
        <v>13892</v>
      </c>
      <c r="U1216" s="1" t="str">
        <f>HYPERLINK("http://ictvonline.org/taxonomy/p/taxonomy-history?taxnode_id=202111603","ICTVonline=202111603")</f>
        <v>ICTVonline=202111603</v>
      </c>
    </row>
    <row r="1217" spans="1:21" x14ac:dyDescent="0.2">
      <c r="A1217" s="3">
        <v>1216</v>
      </c>
      <c r="B1217" s="1" t="s">
        <v>4875</v>
      </c>
      <c r="D1217" s="1" t="s">
        <v>4876</v>
      </c>
      <c r="F1217" s="1" t="s">
        <v>4880</v>
      </c>
      <c r="H1217" s="1" t="s">
        <v>4881</v>
      </c>
      <c r="L1217" s="1" t="s">
        <v>9829</v>
      </c>
      <c r="N1217" s="1" t="s">
        <v>9872</v>
      </c>
      <c r="P1217" s="1" t="s">
        <v>9873</v>
      </c>
      <c r="Q1217" s="30" t="s">
        <v>2565</v>
      </c>
      <c r="R1217" s="33" t="s">
        <v>3473</v>
      </c>
      <c r="S1217">
        <v>37</v>
      </c>
      <c r="T1217" s="1" t="s">
        <v>13892</v>
      </c>
      <c r="U1217" s="1" t="str">
        <f>HYPERLINK("http://ictvonline.org/taxonomy/p/taxonomy-history?taxnode_id=202111604","ICTVonline=202111604")</f>
        <v>ICTVonline=202111604</v>
      </c>
    </row>
    <row r="1218" spans="1:21" x14ac:dyDescent="0.2">
      <c r="A1218" s="3">
        <v>1217</v>
      </c>
      <c r="B1218" s="1" t="s">
        <v>4875</v>
      </c>
      <c r="D1218" s="1" t="s">
        <v>4876</v>
      </c>
      <c r="F1218" s="1" t="s">
        <v>4880</v>
      </c>
      <c r="H1218" s="1" t="s">
        <v>4881</v>
      </c>
      <c r="L1218" s="1" t="s">
        <v>9829</v>
      </c>
      <c r="N1218" s="1" t="s">
        <v>9874</v>
      </c>
      <c r="P1218" s="1" t="s">
        <v>9875</v>
      </c>
      <c r="Q1218" s="30" t="s">
        <v>2565</v>
      </c>
      <c r="R1218" s="33" t="s">
        <v>3473</v>
      </c>
      <c r="S1218">
        <v>37</v>
      </c>
      <c r="T1218" s="1" t="s">
        <v>13892</v>
      </c>
      <c r="U1218" s="1" t="str">
        <f>HYPERLINK("http://ictvonline.org/taxonomy/p/taxonomy-history?taxnode_id=202111591","ICTVonline=202111591")</f>
        <v>ICTVonline=202111591</v>
      </c>
    </row>
    <row r="1219" spans="1:21" x14ac:dyDescent="0.2">
      <c r="A1219" s="3">
        <v>1218</v>
      </c>
      <c r="B1219" s="1" t="s">
        <v>4875</v>
      </c>
      <c r="D1219" s="1" t="s">
        <v>4876</v>
      </c>
      <c r="F1219" s="1" t="s">
        <v>4880</v>
      </c>
      <c r="H1219" s="1" t="s">
        <v>4881</v>
      </c>
      <c r="L1219" s="1" t="s">
        <v>9829</v>
      </c>
      <c r="N1219" s="1" t="s">
        <v>4510</v>
      </c>
      <c r="P1219" s="1" t="s">
        <v>9876</v>
      </c>
      <c r="Q1219" s="30" t="s">
        <v>2565</v>
      </c>
      <c r="R1219" s="33" t="s">
        <v>3473</v>
      </c>
      <c r="S1219">
        <v>37</v>
      </c>
      <c r="T1219" s="1" t="s">
        <v>13878</v>
      </c>
      <c r="U1219" s="1" t="str">
        <f>HYPERLINK("http://ictvonline.org/taxonomy/p/taxonomy-history?taxnode_id=202100228","ICTVonline=202100228")</f>
        <v>ICTVonline=202100228</v>
      </c>
    </row>
    <row r="1220" spans="1:21" x14ac:dyDescent="0.2">
      <c r="A1220" s="3">
        <v>1219</v>
      </c>
      <c r="B1220" s="1" t="s">
        <v>4875</v>
      </c>
      <c r="D1220" s="1" t="s">
        <v>4876</v>
      </c>
      <c r="F1220" s="1" t="s">
        <v>4880</v>
      </c>
      <c r="H1220" s="1" t="s">
        <v>4881</v>
      </c>
      <c r="L1220" s="1" t="s">
        <v>9829</v>
      </c>
      <c r="N1220" s="1" t="s">
        <v>4510</v>
      </c>
      <c r="P1220" s="1" t="s">
        <v>9877</v>
      </c>
      <c r="Q1220" s="30" t="s">
        <v>2565</v>
      </c>
      <c r="R1220" s="33" t="s">
        <v>3473</v>
      </c>
      <c r="S1220">
        <v>37</v>
      </c>
      <c r="T1220" s="1" t="s">
        <v>13878</v>
      </c>
      <c r="U1220" s="1" t="str">
        <f>HYPERLINK("http://ictvonline.org/taxonomy/p/taxonomy-history?taxnode_id=202100229","ICTVonline=202100229")</f>
        <v>ICTVonline=202100229</v>
      </c>
    </row>
    <row r="1221" spans="1:21" x14ac:dyDescent="0.2">
      <c r="A1221" s="3">
        <v>1220</v>
      </c>
      <c r="B1221" s="1" t="s">
        <v>4875</v>
      </c>
      <c r="D1221" s="1" t="s">
        <v>4876</v>
      </c>
      <c r="F1221" s="1" t="s">
        <v>4880</v>
      </c>
      <c r="H1221" s="1" t="s">
        <v>4881</v>
      </c>
      <c r="L1221" s="1" t="s">
        <v>9829</v>
      </c>
      <c r="N1221" s="1" t="s">
        <v>5993</v>
      </c>
      <c r="P1221" s="1" t="s">
        <v>9878</v>
      </c>
      <c r="Q1221" s="30" t="s">
        <v>2565</v>
      </c>
      <c r="R1221" s="33" t="s">
        <v>3473</v>
      </c>
      <c r="S1221">
        <v>37</v>
      </c>
      <c r="T1221" s="1" t="s">
        <v>13878</v>
      </c>
      <c r="U1221" s="1" t="str">
        <f>HYPERLINK("http://ictvonline.org/taxonomy/p/taxonomy-history?taxnode_id=202111586","ICTVonline=202111586")</f>
        <v>ICTVonline=202111586</v>
      </c>
    </row>
    <row r="1222" spans="1:21" x14ac:dyDescent="0.2">
      <c r="A1222" s="3">
        <v>1221</v>
      </c>
      <c r="B1222" s="1" t="s">
        <v>4875</v>
      </c>
      <c r="D1222" s="1" t="s">
        <v>4876</v>
      </c>
      <c r="F1222" s="1" t="s">
        <v>4880</v>
      </c>
      <c r="H1222" s="1" t="s">
        <v>4881</v>
      </c>
      <c r="L1222" s="1" t="s">
        <v>9829</v>
      </c>
      <c r="N1222" s="1" t="s">
        <v>5077</v>
      </c>
      <c r="P1222" s="1" t="s">
        <v>9879</v>
      </c>
      <c r="Q1222" s="30" t="s">
        <v>2565</v>
      </c>
      <c r="R1222" s="33" t="s">
        <v>3473</v>
      </c>
      <c r="S1222">
        <v>37</v>
      </c>
      <c r="T1222" s="1" t="s">
        <v>13878</v>
      </c>
      <c r="U1222" s="1" t="str">
        <f>HYPERLINK("http://ictvonline.org/taxonomy/p/taxonomy-history?taxnode_id=202100230","ICTVonline=202100230")</f>
        <v>ICTVonline=202100230</v>
      </c>
    </row>
    <row r="1223" spans="1:21" x14ac:dyDescent="0.2">
      <c r="A1223" s="3">
        <v>1222</v>
      </c>
      <c r="B1223" s="1" t="s">
        <v>4875</v>
      </c>
      <c r="D1223" s="1" t="s">
        <v>4876</v>
      </c>
      <c r="F1223" s="1" t="s">
        <v>4880</v>
      </c>
      <c r="H1223" s="1" t="s">
        <v>4881</v>
      </c>
      <c r="L1223" s="1" t="s">
        <v>9829</v>
      </c>
      <c r="N1223" s="1" t="s">
        <v>9880</v>
      </c>
      <c r="P1223" s="1" t="s">
        <v>9881</v>
      </c>
      <c r="Q1223" s="30" t="s">
        <v>2565</v>
      </c>
      <c r="R1223" s="33" t="s">
        <v>3473</v>
      </c>
      <c r="S1223">
        <v>37</v>
      </c>
      <c r="T1223" s="1" t="s">
        <v>13892</v>
      </c>
      <c r="U1223" s="1" t="str">
        <f>HYPERLINK("http://ictvonline.org/taxonomy/p/taxonomy-history?taxnode_id=202111602","ICTVonline=202111602")</f>
        <v>ICTVonline=202111602</v>
      </c>
    </row>
    <row r="1224" spans="1:21" x14ac:dyDescent="0.2">
      <c r="A1224" s="3">
        <v>1223</v>
      </c>
      <c r="B1224" s="1" t="s">
        <v>4875</v>
      </c>
      <c r="D1224" s="1" t="s">
        <v>4876</v>
      </c>
      <c r="F1224" s="1" t="s">
        <v>4880</v>
      </c>
      <c r="H1224" s="1" t="s">
        <v>4881</v>
      </c>
      <c r="L1224" s="1" t="s">
        <v>9829</v>
      </c>
      <c r="N1224" s="1" t="s">
        <v>9882</v>
      </c>
      <c r="P1224" s="1" t="s">
        <v>9883</v>
      </c>
      <c r="Q1224" s="30" t="s">
        <v>2565</v>
      </c>
      <c r="R1224" s="33" t="s">
        <v>3473</v>
      </c>
      <c r="S1224">
        <v>37</v>
      </c>
      <c r="T1224" s="1" t="s">
        <v>13892</v>
      </c>
      <c r="U1224" s="1" t="str">
        <f>HYPERLINK("http://ictvonline.org/taxonomy/p/taxonomy-history?taxnode_id=202107977","ICTVonline=202107977")</f>
        <v>ICTVonline=202107977</v>
      </c>
    </row>
    <row r="1225" spans="1:21" x14ac:dyDescent="0.2">
      <c r="A1225" s="3">
        <v>1224</v>
      </c>
      <c r="B1225" s="1" t="s">
        <v>4875</v>
      </c>
      <c r="D1225" s="1" t="s">
        <v>4876</v>
      </c>
      <c r="F1225" s="1" t="s">
        <v>4880</v>
      </c>
      <c r="H1225" s="1" t="s">
        <v>4881</v>
      </c>
      <c r="L1225" s="1" t="s">
        <v>9829</v>
      </c>
      <c r="N1225" s="1" t="s">
        <v>5078</v>
      </c>
      <c r="P1225" s="1" t="s">
        <v>9884</v>
      </c>
      <c r="Q1225" s="30" t="s">
        <v>2565</v>
      </c>
      <c r="R1225" s="33" t="s">
        <v>3472</v>
      </c>
      <c r="S1225">
        <v>37</v>
      </c>
      <c r="T1225" s="1" t="s">
        <v>13892</v>
      </c>
      <c r="U1225" s="1" t="str">
        <f>HYPERLINK("http://ictvonline.org/taxonomy/p/taxonomy-history?taxnode_id=202112869","ICTVonline=202112869")</f>
        <v>ICTVonline=202112869</v>
      </c>
    </row>
    <row r="1226" spans="1:21" x14ac:dyDescent="0.2">
      <c r="A1226" s="3">
        <v>1225</v>
      </c>
      <c r="B1226" s="1" t="s">
        <v>4875</v>
      </c>
      <c r="D1226" s="1" t="s">
        <v>4876</v>
      </c>
      <c r="F1226" s="1" t="s">
        <v>4880</v>
      </c>
      <c r="H1226" s="1" t="s">
        <v>4881</v>
      </c>
      <c r="L1226" s="1" t="s">
        <v>9829</v>
      </c>
      <c r="N1226" s="1" t="s">
        <v>5078</v>
      </c>
      <c r="P1226" s="1" t="s">
        <v>9885</v>
      </c>
      <c r="Q1226" s="30" t="s">
        <v>2565</v>
      </c>
      <c r="R1226" s="33" t="s">
        <v>3473</v>
      </c>
      <c r="S1226">
        <v>37</v>
      </c>
      <c r="T1226" s="1" t="s">
        <v>13878</v>
      </c>
      <c r="U1226" s="1" t="str">
        <f>HYPERLINK("http://ictvonline.org/taxonomy/p/taxonomy-history?taxnode_id=202107964","ICTVonline=202107964")</f>
        <v>ICTVonline=202107964</v>
      </c>
    </row>
    <row r="1227" spans="1:21" x14ac:dyDescent="0.2">
      <c r="A1227" s="3">
        <v>1226</v>
      </c>
      <c r="B1227" s="1" t="s">
        <v>4875</v>
      </c>
      <c r="D1227" s="1" t="s">
        <v>4876</v>
      </c>
      <c r="F1227" s="1" t="s">
        <v>4880</v>
      </c>
      <c r="H1227" s="1" t="s">
        <v>4881</v>
      </c>
      <c r="L1227" s="1" t="s">
        <v>9829</v>
      </c>
      <c r="N1227" s="1" t="s">
        <v>5079</v>
      </c>
      <c r="P1227" s="1" t="s">
        <v>9886</v>
      </c>
      <c r="Q1227" s="30" t="s">
        <v>2565</v>
      </c>
      <c r="R1227" s="33" t="s">
        <v>3473</v>
      </c>
      <c r="S1227">
        <v>37</v>
      </c>
      <c r="T1227" s="1" t="s">
        <v>13878</v>
      </c>
      <c r="U1227" s="1" t="str">
        <f>HYPERLINK("http://ictvonline.org/taxonomy/p/taxonomy-history?taxnode_id=202107979","ICTVonline=202107979")</f>
        <v>ICTVonline=202107979</v>
      </c>
    </row>
    <row r="1228" spans="1:21" x14ac:dyDescent="0.2">
      <c r="A1228" s="3">
        <v>1227</v>
      </c>
      <c r="B1228" s="1" t="s">
        <v>4875</v>
      </c>
      <c r="D1228" s="1" t="s">
        <v>4876</v>
      </c>
      <c r="F1228" s="1" t="s">
        <v>4880</v>
      </c>
      <c r="H1228" s="1" t="s">
        <v>4881</v>
      </c>
      <c r="L1228" s="1" t="s">
        <v>9829</v>
      </c>
      <c r="N1228" s="1" t="s">
        <v>5080</v>
      </c>
      <c r="P1228" s="1" t="s">
        <v>9887</v>
      </c>
      <c r="Q1228" s="30" t="s">
        <v>2565</v>
      </c>
      <c r="R1228" s="33" t="s">
        <v>3473</v>
      </c>
      <c r="S1228">
        <v>37</v>
      </c>
      <c r="T1228" s="1" t="s">
        <v>13878</v>
      </c>
      <c r="U1228" s="1" t="str">
        <f>HYPERLINK("http://ictvonline.org/taxonomy/p/taxonomy-history?taxnode_id=202100231","ICTVonline=202100231")</f>
        <v>ICTVonline=202100231</v>
      </c>
    </row>
    <row r="1229" spans="1:21" x14ac:dyDescent="0.2">
      <c r="A1229" s="3">
        <v>1228</v>
      </c>
      <c r="B1229" s="1" t="s">
        <v>4875</v>
      </c>
      <c r="D1229" s="1" t="s">
        <v>4876</v>
      </c>
      <c r="F1229" s="1" t="s">
        <v>4880</v>
      </c>
      <c r="H1229" s="1" t="s">
        <v>4881</v>
      </c>
      <c r="L1229" s="1" t="s">
        <v>9829</v>
      </c>
      <c r="N1229" s="1" t="s">
        <v>9888</v>
      </c>
      <c r="P1229" s="1" t="s">
        <v>9889</v>
      </c>
      <c r="Q1229" s="30" t="s">
        <v>2565</v>
      </c>
      <c r="R1229" s="33" t="s">
        <v>3472</v>
      </c>
      <c r="S1229">
        <v>37</v>
      </c>
      <c r="T1229" s="1" t="s">
        <v>13892</v>
      </c>
      <c r="U1229" s="1" t="str">
        <f>HYPERLINK("http://ictvonline.org/taxonomy/p/taxonomy-history?taxnode_id=202112850","ICTVonline=202112850")</f>
        <v>ICTVonline=202112850</v>
      </c>
    </row>
    <row r="1230" spans="1:21" x14ac:dyDescent="0.2">
      <c r="A1230" s="3">
        <v>1229</v>
      </c>
      <c r="B1230" s="1" t="s">
        <v>4875</v>
      </c>
      <c r="D1230" s="1" t="s">
        <v>4876</v>
      </c>
      <c r="F1230" s="1" t="s">
        <v>4880</v>
      </c>
      <c r="H1230" s="1" t="s">
        <v>4881</v>
      </c>
      <c r="L1230" s="1" t="s">
        <v>9829</v>
      </c>
      <c r="N1230" s="1" t="s">
        <v>9890</v>
      </c>
      <c r="P1230" s="1" t="s">
        <v>9891</v>
      </c>
      <c r="Q1230" s="30" t="s">
        <v>2565</v>
      </c>
      <c r="R1230" s="33" t="s">
        <v>3472</v>
      </c>
      <c r="S1230">
        <v>37</v>
      </c>
      <c r="T1230" s="1" t="s">
        <v>13892</v>
      </c>
      <c r="U1230" s="1" t="str">
        <f>HYPERLINK("http://ictvonline.org/taxonomy/p/taxonomy-history?taxnode_id=202112866","ICTVonline=202112866")</f>
        <v>ICTVonline=202112866</v>
      </c>
    </row>
    <row r="1231" spans="1:21" x14ac:dyDescent="0.2">
      <c r="A1231" s="3">
        <v>1230</v>
      </c>
      <c r="B1231" s="1" t="s">
        <v>4875</v>
      </c>
      <c r="D1231" s="1" t="s">
        <v>4876</v>
      </c>
      <c r="F1231" s="1" t="s">
        <v>4880</v>
      </c>
      <c r="H1231" s="1" t="s">
        <v>4881</v>
      </c>
      <c r="L1231" s="1" t="s">
        <v>9829</v>
      </c>
      <c r="N1231" s="1" t="s">
        <v>5081</v>
      </c>
      <c r="P1231" s="1" t="s">
        <v>9892</v>
      </c>
      <c r="Q1231" s="30" t="s">
        <v>2565</v>
      </c>
      <c r="R1231" s="33" t="s">
        <v>3473</v>
      </c>
      <c r="S1231">
        <v>37</v>
      </c>
      <c r="T1231" s="1" t="s">
        <v>13878</v>
      </c>
      <c r="U1231" s="1" t="str">
        <f>HYPERLINK("http://ictvonline.org/taxonomy/p/taxonomy-history?taxnode_id=202107968","ICTVonline=202107968")</f>
        <v>ICTVonline=202107968</v>
      </c>
    </row>
    <row r="1232" spans="1:21" x14ac:dyDescent="0.2">
      <c r="A1232" s="3">
        <v>1231</v>
      </c>
      <c r="B1232" s="1" t="s">
        <v>4875</v>
      </c>
      <c r="D1232" s="1" t="s">
        <v>4876</v>
      </c>
      <c r="F1232" s="1" t="s">
        <v>4880</v>
      </c>
      <c r="H1232" s="1" t="s">
        <v>4881</v>
      </c>
      <c r="L1232" s="1" t="s">
        <v>9829</v>
      </c>
      <c r="N1232" s="1" t="s">
        <v>5994</v>
      </c>
      <c r="P1232" s="1" t="s">
        <v>9893</v>
      </c>
      <c r="Q1232" s="30" t="s">
        <v>2565</v>
      </c>
      <c r="R1232" s="33" t="s">
        <v>3473</v>
      </c>
      <c r="S1232">
        <v>37</v>
      </c>
      <c r="T1232" s="1" t="s">
        <v>13878</v>
      </c>
      <c r="U1232" s="1" t="str">
        <f>HYPERLINK("http://ictvonline.org/taxonomy/p/taxonomy-history?taxnode_id=202111598","ICTVonline=202111598")</f>
        <v>ICTVonline=202111598</v>
      </c>
    </row>
    <row r="1233" spans="1:21" x14ac:dyDescent="0.2">
      <c r="A1233" s="3">
        <v>1232</v>
      </c>
      <c r="B1233" s="1" t="s">
        <v>4875</v>
      </c>
      <c r="D1233" s="1" t="s">
        <v>4876</v>
      </c>
      <c r="F1233" s="1" t="s">
        <v>4880</v>
      </c>
      <c r="H1233" s="1" t="s">
        <v>4881</v>
      </c>
      <c r="L1233" s="1" t="s">
        <v>9829</v>
      </c>
      <c r="N1233" s="1" t="s">
        <v>4511</v>
      </c>
      <c r="P1233" s="1" t="s">
        <v>9894</v>
      </c>
      <c r="Q1233" s="30" t="s">
        <v>2565</v>
      </c>
      <c r="R1233" s="33" t="s">
        <v>3473</v>
      </c>
      <c r="S1233">
        <v>37</v>
      </c>
      <c r="T1233" s="1" t="s">
        <v>13878</v>
      </c>
      <c r="U1233" s="1" t="str">
        <f>HYPERLINK("http://ictvonline.org/taxonomy/p/taxonomy-history?taxnode_id=202107028","ICTVonline=202107028")</f>
        <v>ICTVonline=202107028</v>
      </c>
    </row>
    <row r="1234" spans="1:21" x14ac:dyDescent="0.2">
      <c r="A1234" s="3">
        <v>1233</v>
      </c>
      <c r="B1234" s="1" t="s">
        <v>4875</v>
      </c>
      <c r="D1234" s="1" t="s">
        <v>4876</v>
      </c>
      <c r="F1234" s="1" t="s">
        <v>4880</v>
      </c>
      <c r="H1234" s="1" t="s">
        <v>4881</v>
      </c>
      <c r="L1234" s="1" t="s">
        <v>9829</v>
      </c>
      <c r="N1234" s="1" t="s">
        <v>4511</v>
      </c>
      <c r="P1234" s="1" t="s">
        <v>9895</v>
      </c>
      <c r="Q1234" s="30" t="s">
        <v>2565</v>
      </c>
      <c r="R1234" s="33" t="s">
        <v>3473</v>
      </c>
      <c r="S1234">
        <v>37</v>
      </c>
      <c r="T1234" s="1" t="s">
        <v>13878</v>
      </c>
      <c r="U1234" s="1" t="str">
        <f>HYPERLINK("http://ictvonline.org/taxonomy/p/taxonomy-history?taxnode_id=202100246","ICTVonline=202100246")</f>
        <v>ICTVonline=202100246</v>
      </c>
    </row>
    <row r="1235" spans="1:21" x14ac:dyDescent="0.2">
      <c r="A1235" s="3">
        <v>1234</v>
      </c>
      <c r="B1235" s="1" t="s">
        <v>4875</v>
      </c>
      <c r="D1235" s="1" t="s">
        <v>4876</v>
      </c>
      <c r="F1235" s="1" t="s">
        <v>4880</v>
      </c>
      <c r="H1235" s="1" t="s">
        <v>4881</v>
      </c>
      <c r="L1235" s="1" t="s">
        <v>9829</v>
      </c>
      <c r="N1235" s="1" t="s">
        <v>4511</v>
      </c>
      <c r="P1235" s="1" t="s">
        <v>9896</v>
      </c>
      <c r="Q1235" s="30" t="s">
        <v>2565</v>
      </c>
      <c r="R1235" s="33" t="s">
        <v>3473</v>
      </c>
      <c r="S1235">
        <v>37</v>
      </c>
      <c r="T1235" s="1" t="s">
        <v>13878</v>
      </c>
      <c r="U1235" s="1" t="str">
        <f>HYPERLINK("http://ictvonline.org/taxonomy/p/taxonomy-history?taxnode_id=202111581","ICTVonline=202111581")</f>
        <v>ICTVonline=202111581</v>
      </c>
    </row>
    <row r="1236" spans="1:21" x14ac:dyDescent="0.2">
      <c r="A1236" s="3">
        <v>1235</v>
      </c>
      <c r="B1236" s="1" t="s">
        <v>4875</v>
      </c>
      <c r="D1236" s="1" t="s">
        <v>4876</v>
      </c>
      <c r="F1236" s="1" t="s">
        <v>4880</v>
      </c>
      <c r="H1236" s="1" t="s">
        <v>4881</v>
      </c>
      <c r="L1236" s="1" t="s">
        <v>9829</v>
      </c>
      <c r="N1236" s="1" t="s">
        <v>4511</v>
      </c>
      <c r="P1236" s="1" t="s">
        <v>9897</v>
      </c>
      <c r="Q1236" s="30" t="s">
        <v>2565</v>
      </c>
      <c r="R1236" s="33" t="s">
        <v>3473</v>
      </c>
      <c r="S1236">
        <v>37</v>
      </c>
      <c r="T1236" s="1" t="s">
        <v>13878</v>
      </c>
      <c r="U1236" s="1" t="str">
        <f>HYPERLINK("http://ictvonline.org/taxonomy/p/taxonomy-history?taxnode_id=202100238","ICTVonline=202100238")</f>
        <v>ICTVonline=202100238</v>
      </c>
    </row>
    <row r="1237" spans="1:21" x14ac:dyDescent="0.2">
      <c r="A1237" s="3">
        <v>1236</v>
      </c>
      <c r="B1237" s="1" t="s">
        <v>4875</v>
      </c>
      <c r="D1237" s="1" t="s">
        <v>4876</v>
      </c>
      <c r="F1237" s="1" t="s">
        <v>4880</v>
      </c>
      <c r="H1237" s="1" t="s">
        <v>4881</v>
      </c>
      <c r="L1237" s="1" t="s">
        <v>9829</v>
      </c>
      <c r="N1237" s="1" t="s">
        <v>4511</v>
      </c>
      <c r="P1237" s="1" t="s">
        <v>9898</v>
      </c>
      <c r="Q1237" s="30" t="s">
        <v>2565</v>
      </c>
      <c r="R1237" s="33" t="s">
        <v>3473</v>
      </c>
      <c r="S1237">
        <v>37</v>
      </c>
      <c r="T1237" s="1" t="s">
        <v>13878</v>
      </c>
      <c r="U1237" s="1" t="str">
        <f>HYPERLINK("http://ictvonline.org/taxonomy/p/taxonomy-history?taxnode_id=202111615","ICTVonline=202111615")</f>
        <v>ICTVonline=202111615</v>
      </c>
    </row>
    <row r="1238" spans="1:21" x14ac:dyDescent="0.2">
      <c r="A1238" s="3">
        <v>1237</v>
      </c>
      <c r="B1238" s="1" t="s">
        <v>4875</v>
      </c>
      <c r="D1238" s="1" t="s">
        <v>4876</v>
      </c>
      <c r="F1238" s="1" t="s">
        <v>4880</v>
      </c>
      <c r="H1238" s="1" t="s">
        <v>4881</v>
      </c>
      <c r="L1238" s="1" t="s">
        <v>9829</v>
      </c>
      <c r="N1238" s="1" t="s">
        <v>4511</v>
      </c>
      <c r="P1238" s="1" t="s">
        <v>9899</v>
      </c>
      <c r="Q1238" s="30" t="s">
        <v>2565</v>
      </c>
      <c r="R1238" s="33" t="s">
        <v>3473</v>
      </c>
      <c r="S1238">
        <v>37</v>
      </c>
      <c r="T1238" s="1" t="s">
        <v>13878</v>
      </c>
      <c r="U1238" s="1" t="str">
        <f>HYPERLINK("http://ictvonline.org/taxonomy/p/taxonomy-history?taxnode_id=202111611","ICTVonline=202111611")</f>
        <v>ICTVonline=202111611</v>
      </c>
    </row>
    <row r="1239" spans="1:21" x14ac:dyDescent="0.2">
      <c r="A1239" s="3">
        <v>1238</v>
      </c>
      <c r="B1239" s="1" t="s">
        <v>4875</v>
      </c>
      <c r="D1239" s="1" t="s">
        <v>4876</v>
      </c>
      <c r="F1239" s="1" t="s">
        <v>4880</v>
      </c>
      <c r="H1239" s="1" t="s">
        <v>4881</v>
      </c>
      <c r="L1239" s="1" t="s">
        <v>9829</v>
      </c>
      <c r="N1239" s="1" t="s">
        <v>4511</v>
      </c>
      <c r="P1239" s="4" t="s">
        <v>9900</v>
      </c>
      <c r="Q1239" s="30" t="s">
        <v>2565</v>
      </c>
      <c r="R1239" s="33" t="s">
        <v>3473</v>
      </c>
      <c r="S1239">
        <v>37</v>
      </c>
      <c r="T1239" s="1" t="s">
        <v>13878</v>
      </c>
      <c r="U1239" s="1" t="str">
        <f>HYPERLINK("http://ictvonline.org/taxonomy/p/taxonomy-history?taxnode_id=202111609","ICTVonline=202111609")</f>
        <v>ICTVonline=202111609</v>
      </c>
    </row>
    <row r="1240" spans="1:21" x14ac:dyDescent="0.2">
      <c r="A1240" s="3">
        <v>1239</v>
      </c>
      <c r="B1240" s="1" t="s">
        <v>4875</v>
      </c>
      <c r="D1240" s="1" t="s">
        <v>4876</v>
      </c>
      <c r="F1240" s="1" t="s">
        <v>4880</v>
      </c>
      <c r="H1240" s="1" t="s">
        <v>4881</v>
      </c>
      <c r="L1240" s="1" t="s">
        <v>9829</v>
      </c>
      <c r="N1240" s="1" t="s">
        <v>4511</v>
      </c>
      <c r="P1240" s="1" t="s">
        <v>9901</v>
      </c>
      <c r="Q1240" s="30" t="s">
        <v>2565</v>
      </c>
      <c r="R1240" s="33" t="s">
        <v>3473</v>
      </c>
      <c r="S1240">
        <v>37</v>
      </c>
      <c r="T1240" s="1" t="s">
        <v>13878</v>
      </c>
      <c r="U1240" s="1" t="str">
        <f>HYPERLINK("http://ictvonline.org/taxonomy/p/taxonomy-history?taxnode_id=202111612","ICTVonline=202111612")</f>
        <v>ICTVonline=202111612</v>
      </c>
    </row>
    <row r="1241" spans="1:21" x14ac:dyDescent="0.2">
      <c r="A1241" s="3">
        <v>1240</v>
      </c>
      <c r="B1241" s="1" t="s">
        <v>4875</v>
      </c>
      <c r="D1241" s="1" t="s">
        <v>4876</v>
      </c>
      <c r="F1241" s="1" t="s">
        <v>4880</v>
      </c>
      <c r="H1241" s="1" t="s">
        <v>4881</v>
      </c>
      <c r="L1241" s="1" t="s">
        <v>9829</v>
      </c>
      <c r="N1241" s="1" t="s">
        <v>4511</v>
      </c>
      <c r="P1241" s="1" t="s">
        <v>9902</v>
      </c>
      <c r="Q1241" s="30" t="s">
        <v>2565</v>
      </c>
      <c r="R1241" s="33" t="s">
        <v>3473</v>
      </c>
      <c r="S1241">
        <v>37</v>
      </c>
      <c r="T1241" s="1" t="s">
        <v>13878</v>
      </c>
      <c r="U1241" s="1" t="str">
        <f>HYPERLINK("http://ictvonline.org/taxonomy/p/taxonomy-history?taxnode_id=202111614","ICTVonline=202111614")</f>
        <v>ICTVonline=202111614</v>
      </c>
    </row>
    <row r="1242" spans="1:21" x14ac:dyDescent="0.2">
      <c r="A1242" s="3">
        <v>1241</v>
      </c>
      <c r="B1242" s="1" t="s">
        <v>4875</v>
      </c>
      <c r="D1242" s="1" t="s">
        <v>4876</v>
      </c>
      <c r="F1242" s="1" t="s">
        <v>4880</v>
      </c>
      <c r="H1242" s="1" t="s">
        <v>4881</v>
      </c>
      <c r="L1242" s="1" t="s">
        <v>9829</v>
      </c>
      <c r="N1242" s="1" t="s">
        <v>4511</v>
      </c>
      <c r="P1242" s="1" t="s">
        <v>9903</v>
      </c>
      <c r="Q1242" s="30" t="s">
        <v>2565</v>
      </c>
      <c r="R1242" s="33" t="s">
        <v>3473</v>
      </c>
      <c r="S1242">
        <v>37</v>
      </c>
      <c r="T1242" s="1" t="s">
        <v>13878</v>
      </c>
      <c r="U1242" s="1" t="str">
        <f>HYPERLINK("http://ictvonline.org/taxonomy/p/taxonomy-history?taxnode_id=202111613","ICTVonline=202111613")</f>
        <v>ICTVonline=202111613</v>
      </c>
    </row>
    <row r="1243" spans="1:21" x14ac:dyDescent="0.2">
      <c r="A1243" s="3">
        <v>1242</v>
      </c>
      <c r="B1243" s="1" t="s">
        <v>4875</v>
      </c>
      <c r="D1243" s="1" t="s">
        <v>4876</v>
      </c>
      <c r="F1243" s="1" t="s">
        <v>4880</v>
      </c>
      <c r="H1243" s="1" t="s">
        <v>4881</v>
      </c>
      <c r="L1243" s="1" t="s">
        <v>9829</v>
      </c>
      <c r="N1243" s="1" t="s">
        <v>4511</v>
      </c>
      <c r="P1243" s="1" t="s">
        <v>9904</v>
      </c>
      <c r="Q1243" s="30" t="s">
        <v>2565</v>
      </c>
      <c r="R1243" s="33" t="s">
        <v>3473</v>
      </c>
      <c r="S1243">
        <v>37</v>
      </c>
      <c r="T1243" s="1" t="s">
        <v>13878</v>
      </c>
      <c r="U1243" s="1" t="str">
        <f>HYPERLINK("http://ictvonline.org/taxonomy/p/taxonomy-history?taxnode_id=202107029","ICTVonline=202107029")</f>
        <v>ICTVonline=202107029</v>
      </c>
    </row>
    <row r="1244" spans="1:21" x14ac:dyDescent="0.2">
      <c r="A1244" s="3">
        <v>1243</v>
      </c>
      <c r="B1244" s="1" t="s">
        <v>4875</v>
      </c>
      <c r="D1244" s="1" t="s">
        <v>4876</v>
      </c>
      <c r="F1244" s="1" t="s">
        <v>4880</v>
      </c>
      <c r="H1244" s="1" t="s">
        <v>4881</v>
      </c>
      <c r="L1244" s="1" t="s">
        <v>9829</v>
      </c>
      <c r="N1244" s="1" t="s">
        <v>4511</v>
      </c>
      <c r="P1244" s="1" t="s">
        <v>9905</v>
      </c>
      <c r="Q1244" s="30" t="s">
        <v>2565</v>
      </c>
      <c r="R1244" s="33" t="s">
        <v>3473</v>
      </c>
      <c r="S1244">
        <v>37</v>
      </c>
      <c r="T1244" s="1" t="s">
        <v>13878</v>
      </c>
      <c r="U1244" s="1" t="str">
        <f>HYPERLINK("http://ictvonline.org/taxonomy/p/taxonomy-history?taxnode_id=202107030","ICTVonline=202107030")</f>
        <v>ICTVonline=202107030</v>
      </c>
    </row>
    <row r="1245" spans="1:21" x14ac:dyDescent="0.2">
      <c r="A1245" s="3">
        <v>1244</v>
      </c>
      <c r="B1245" s="1" t="s">
        <v>4875</v>
      </c>
      <c r="D1245" s="1" t="s">
        <v>4876</v>
      </c>
      <c r="F1245" s="1" t="s">
        <v>4880</v>
      </c>
      <c r="H1245" s="1" t="s">
        <v>4881</v>
      </c>
      <c r="L1245" s="1" t="s">
        <v>9829</v>
      </c>
      <c r="N1245" s="1" t="s">
        <v>4511</v>
      </c>
      <c r="P1245" s="1" t="s">
        <v>9906</v>
      </c>
      <c r="Q1245" s="30" t="s">
        <v>2565</v>
      </c>
      <c r="R1245" s="33" t="s">
        <v>3473</v>
      </c>
      <c r="S1245">
        <v>37</v>
      </c>
      <c r="T1245" s="1" t="s">
        <v>13878</v>
      </c>
      <c r="U1245" s="1" t="str">
        <f>HYPERLINK("http://ictvonline.org/taxonomy/p/taxonomy-history?taxnode_id=202111608","ICTVonline=202111608")</f>
        <v>ICTVonline=202111608</v>
      </c>
    </row>
    <row r="1246" spans="1:21" x14ac:dyDescent="0.2">
      <c r="A1246" s="3">
        <v>1245</v>
      </c>
      <c r="B1246" s="1" t="s">
        <v>4875</v>
      </c>
      <c r="D1246" s="1" t="s">
        <v>4876</v>
      </c>
      <c r="F1246" s="1" t="s">
        <v>4880</v>
      </c>
      <c r="H1246" s="1" t="s">
        <v>4881</v>
      </c>
      <c r="L1246" s="1" t="s">
        <v>9829</v>
      </c>
      <c r="N1246" s="1" t="s">
        <v>4511</v>
      </c>
      <c r="P1246" s="1" t="s">
        <v>9907</v>
      </c>
      <c r="Q1246" s="30" t="s">
        <v>2565</v>
      </c>
      <c r="R1246" s="33" t="s">
        <v>3473</v>
      </c>
      <c r="S1246">
        <v>37</v>
      </c>
      <c r="T1246" s="1" t="s">
        <v>13878</v>
      </c>
      <c r="U1246" s="1" t="str">
        <f>HYPERLINK("http://ictvonline.org/taxonomy/p/taxonomy-history?taxnode_id=202111610","ICTVonline=202111610")</f>
        <v>ICTVonline=202111610</v>
      </c>
    </row>
    <row r="1247" spans="1:21" x14ac:dyDescent="0.2">
      <c r="A1247" s="3">
        <v>1246</v>
      </c>
      <c r="B1247" s="1" t="s">
        <v>4875</v>
      </c>
      <c r="D1247" s="1" t="s">
        <v>4876</v>
      </c>
      <c r="F1247" s="1" t="s">
        <v>4880</v>
      </c>
      <c r="H1247" s="1" t="s">
        <v>4881</v>
      </c>
      <c r="L1247" s="1" t="s">
        <v>9829</v>
      </c>
      <c r="N1247" s="1" t="s">
        <v>4511</v>
      </c>
      <c r="P1247" s="1" t="s">
        <v>9908</v>
      </c>
      <c r="Q1247" s="30" t="s">
        <v>2565</v>
      </c>
      <c r="R1247" s="33" t="s">
        <v>3472</v>
      </c>
      <c r="S1247">
        <v>37</v>
      </c>
      <c r="T1247" s="1" t="s">
        <v>13892</v>
      </c>
      <c r="U1247" s="1" t="str">
        <f>HYPERLINK("http://ictvonline.org/taxonomy/p/taxonomy-history?taxnode_id=202112873","ICTVonline=202112873")</f>
        <v>ICTVonline=202112873</v>
      </c>
    </row>
    <row r="1248" spans="1:21" x14ac:dyDescent="0.2">
      <c r="A1248" s="3">
        <v>1247</v>
      </c>
      <c r="B1248" s="1" t="s">
        <v>4875</v>
      </c>
      <c r="D1248" s="1" t="s">
        <v>4876</v>
      </c>
      <c r="F1248" s="1" t="s">
        <v>4880</v>
      </c>
      <c r="H1248" s="1" t="s">
        <v>4881</v>
      </c>
      <c r="L1248" s="1" t="s">
        <v>9829</v>
      </c>
      <c r="N1248" s="1" t="s">
        <v>4511</v>
      </c>
      <c r="P1248" s="1" t="s">
        <v>9909</v>
      </c>
      <c r="Q1248" s="30" t="s">
        <v>2565</v>
      </c>
      <c r="R1248" s="33" t="s">
        <v>3473</v>
      </c>
      <c r="S1248">
        <v>37</v>
      </c>
      <c r="T1248" s="1" t="s">
        <v>13878</v>
      </c>
      <c r="U1248" s="1" t="str">
        <f>HYPERLINK("http://ictvonline.org/taxonomy/p/taxonomy-history?taxnode_id=202100239","ICTVonline=202100239")</f>
        <v>ICTVonline=202100239</v>
      </c>
    </row>
    <row r="1249" spans="1:21" x14ac:dyDescent="0.2">
      <c r="A1249" s="3">
        <v>1248</v>
      </c>
      <c r="B1249" s="1" t="s">
        <v>4875</v>
      </c>
      <c r="D1249" s="1" t="s">
        <v>4876</v>
      </c>
      <c r="F1249" s="1" t="s">
        <v>4880</v>
      </c>
      <c r="H1249" s="1" t="s">
        <v>4881</v>
      </c>
      <c r="L1249" s="1" t="s">
        <v>9829</v>
      </c>
      <c r="N1249" s="1" t="s">
        <v>4511</v>
      </c>
      <c r="P1249" s="1" t="s">
        <v>9910</v>
      </c>
      <c r="Q1249" s="30" t="s">
        <v>2565</v>
      </c>
      <c r="R1249" s="33" t="s">
        <v>3472</v>
      </c>
      <c r="S1249">
        <v>37</v>
      </c>
      <c r="T1249" s="1" t="s">
        <v>13892</v>
      </c>
      <c r="U1249" s="1" t="str">
        <f>HYPERLINK("http://ictvonline.org/taxonomy/p/taxonomy-history?taxnode_id=202112874","ICTVonline=202112874")</f>
        <v>ICTVonline=202112874</v>
      </c>
    </row>
    <row r="1250" spans="1:21" x14ac:dyDescent="0.2">
      <c r="A1250" s="3">
        <v>1249</v>
      </c>
      <c r="B1250" s="1" t="s">
        <v>4875</v>
      </c>
      <c r="D1250" s="1" t="s">
        <v>4876</v>
      </c>
      <c r="F1250" s="1" t="s">
        <v>4880</v>
      </c>
      <c r="H1250" s="1" t="s">
        <v>4881</v>
      </c>
      <c r="L1250" s="1" t="s">
        <v>9829</v>
      </c>
      <c r="N1250" s="1" t="s">
        <v>4511</v>
      </c>
      <c r="P1250" s="1" t="s">
        <v>9911</v>
      </c>
      <c r="Q1250" s="30" t="s">
        <v>2565</v>
      </c>
      <c r="R1250" s="33" t="s">
        <v>3472</v>
      </c>
      <c r="S1250">
        <v>37</v>
      </c>
      <c r="T1250" s="1" t="s">
        <v>13892</v>
      </c>
      <c r="U1250" s="1" t="str">
        <f>HYPERLINK("http://ictvonline.org/taxonomy/p/taxonomy-history?taxnode_id=202112876","ICTVonline=202112876")</f>
        <v>ICTVonline=202112876</v>
      </c>
    </row>
    <row r="1251" spans="1:21" x14ac:dyDescent="0.2">
      <c r="A1251" s="3">
        <v>1250</v>
      </c>
      <c r="B1251" s="1" t="s">
        <v>4875</v>
      </c>
      <c r="D1251" s="1" t="s">
        <v>4876</v>
      </c>
      <c r="F1251" s="1" t="s">
        <v>4880</v>
      </c>
      <c r="H1251" s="1" t="s">
        <v>4881</v>
      </c>
      <c r="L1251" s="1" t="s">
        <v>9829</v>
      </c>
      <c r="N1251" s="1" t="s">
        <v>4511</v>
      </c>
      <c r="P1251" s="1" t="s">
        <v>9912</v>
      </c>
      <c r="Q1251" s="30" t="s">
        <v>2565</v>
      </c>
      <c r="R1251" s="33" t="s">
        <v>3472</v>
      </c>
      <c r="S1251">
        <v>37</v>
      </c>
      <c r="T1251" s="1" t="s">
        <v>13892</v>
      </c>
      <c r="U1251" s="1" t="str">
        <f>HYPERLINK("http://ictvonline.org/taxonomy/p/taxonomy-history?taxnode_id=202112875","ICTVonline=202112875")</f>
        <v>ICTVonline=202112875</v>
      </c>
    </row>
    <row r="1252" spans="1:21" x14ac:dyDescent="0.2">
      <c r="A1252" s="3">
        <v>1251</v>
      </c>
      <c r="B1252" s="1" t="s">
        <v>4875</v>
      </c>
      <c r="D1252" s="1" t="s">
        <v>4876</v>
      </c>
      <c r="F1252" s="1" t="s">
        <v>4880</v>
      </c>
      <c r="H1252" s="1" t="s">
        <v>4881</v>
      </c>
      <c r="L1252" s="1" t="s">
        <v>9829</v>
      </c>
      <c r="N1252" s="1" t="s">
        <v>5082</v>
      </c>
      <c r="P1252" s="1" t="s">
        <v>9913</v>
      </c>
      <c r="Q1252" s="30" t="s">
        <v>2565</v>
      </c>
      <c r="R1252" s="33" t="s">
        <v>3473</v>
      </c>
      <c r="S1252">
        <v>37</v>
      </c>
      <c r="T1252" s="1" t="s">
        <v>13878</v>
      </c>
      <c r="U1252" s="1" t="str">
        <f>HYPERLINK("http://ictvonline.org/taxonomy/p/taxonomy-history?taxnode_id=202107948","ICTVonline=202107948")</f>
        <v>ICTVonline=202107948</v>
      </c>
    </row>
    <row r="1253" spans="1:21" x14ac:dyDescent="0.2">
      <c r="A1253" s="3">
        <v>1252</v>
      </c>
      <c r="B1253" s="1" t="s">
        <v>4875</v>
      </c>
      <c r="D1253" s="1" t="s">
        <v>4876</v>
      </c>
      <c r="F1253" s="1" t="s">
        <v>4880</v>
      </c>
      <c r="H1253" s="1" t="s">
        <v>4881</v>
      </c>
      <c r="L1253" s="1" t="s">
        <v>9829</v>
      </c>
      <c r="N1253" s="1" t="s">
        <v>5083</v>
      </c>
      <c r="P1253" s="1" t="s">
        <v>9914</v>
      </c>
      <c r="Q1253" s="30" t="s">
        <v>2565</v>
      </c>
      <c r="R1253" s="33" t="s">
        <v>3473</v>
      </c>
      <c r="S1253">
        <v>37</v>
      </c>
      <c r="T1253" s="1" t="s">
        <v>13878</v>
      </c>
      <c r="U1253" s="1" t="str">
        <f>HYPERLINK("http://ictvonline.org/taxonomy/p/taxonomy-history?taxnode_id=202107941","ICTVonline=202107941")</f>
        <v>ICTVonline=202107941</v>
      </c>
    </row>
    <row r="1254" spans="1:21" x14ac:dyDescent="0.2">
      <c r="A1254" s="3">
        <v>1253</v>
      </c>
      <c r="B1254" s="1" t="s">
        <v>4875</v>
      </c>
      <c r="D1254" s="1" t="s">
        <v>4876</v>
      </c>
      <c r="F1254" s="1" t="s">
        <v>4880</v>
      </c>
      <c r="H1254" s="1" t="s">
        <v>4881</v>
      </c>
      <c r="L1254" s="1" t="s">
        <v>9829</v>
      </c>
      <c r="N1254" s="1" t="s">
        <v>9915</v>
      </c>
      <c r="P1254" s="1" t="s">
        <v>9916</v>
      </c>
      <c r="Q1254" s="30" t="s">
        <v>2565</v>
      </c>
      <c r="R1254" s="33" t="s">
        <v>3472</v>
      </c>
      <c r="S1254">
        <v>37</v>
      </c>
      <c r="T1254" s="1" t="s">
        <v>13892</v>
      </c>
      <c r="U1254" s="1" t="str">
        <f>HYPERLINK("http://ictvonline.org/taxonomy/p/taxonomy-history?taxnode_id=202112856","ICTVonline=202112856")</f>
        <v>ICTVonline=202112856</v>
      </c>
    </row>
    <row r="1255" spans="1:21" x14ac:dyDescent="0.2">
      <c r="A1255" s="3">
        <v>1254</v>
      </c>
      <c r="B1255" s="1" t="s">
        <v>4875</v>
      </c>
      <c r="D1255" s="1" t="s">
        <v>4876</v>
      </c>
      <c r="F1255" s="1" t="s">
        <v>4880</v>
      </c>
      <c r="H1255" s="1" t="s">
        <v>4881</v>
      </c>
      <c r="L1255" s="1" t="s">
        <v>9829</v>
      </c>
      <c r="N1255" s="1" t="s">
        <v>9915</v>
      </c>
      <c r="P1255" s="1" t="s">
        <v>9917</v>
      </c>
      <c r="Q1255" s="30" t="s">
        <v>2565</v>
      </c>
      <c r="R1255" s="33" t="s">
        <v>3472</v>
      </c>
      <c r="S1255">
        <v>37</v>
      </c>
      <c r="T1255" s="1" t="s">
        <v>13892</v>
      </c>
      <c r="U1255" s="1" t="str">
        <f>HYPERLINK("http://ictvonline.org/taxonomy/p/taxonomy-history?taxnode_id=202112855","ICTVonline=202112855")</f>
        <v>ICTVonline=202112855</v>
      </c>
    </row>
    <row r="1256" spans="1:21" x14ac:dyDescent="0.2">
      <c r="A1256" s="3">
        <v>1255</v>
      </c>
      <c r="B1256" s="1" t="s">
        <v>4875</v>
      </c>
      <c r="D1256" s="1" t="s">
        <v>4876</v>
      </c>
      <c r="F1256" s="1" t="s">
        <v>4880</v>
      </c>
      <c r="H1256" s="1" t="s">
        <v>4881</v>
      </c>
      <c r="L1256" s="1" t="s">
        <v>9829</v>
      </c>
      <c r="N1256" s="1" t="s">
        <v>9915</v>
      </c>
      <c r="P1256" s="1" t="s">
        <v>9918</v>
      </c>
      <c r="Q1256" s="30" t="s">
        <v>2565</v>
      </c>
      <c r="R1256" s="33" t="s">
        <v>3472</v>
      </c>
      <c r="S1256">
        <v>37</v>
      </c>
      <c r="T1256" s="1" t="s">
        <v>13892</v>
      </c>
      <c r="U1256" s="1" t="str">
        <f>HYPERLINK("http://ictvonline.org/taxonomy/p/taxonomy-history?taxnode_id=202112854","ICTVonline=202112854")</f>
        <v>ICTVonline=202112854</v>
      </c>
    </row>
    <row r="1257" spans="1:21" x14ac:dyDescent="0.2">
      <c r="A1257" s="3">
        <v>1256</v>
      </c>
      <c r="B1257" s="1" t="s">
        <v>4875</v>
      </c>
      <c r="D1257" s="1" t="s">
        <v>4876</v>
      </c>
      <c r="F1257" s="1" t="s">
        <v>4880</v>
      </c>
      <c r="H1257" s="1" t="s">
        <v>4881</v>
      </c>
      <c r="L1257" s="1" t="s">
        <v>9829</v>
      </c>
      <c r="N1257" s="1" t="s">
        <v>9919</v>
      </c>
      <c r="P1257" s="1" t="s">
        <v>9920</v>
      </c>
      <c r="Q1257" s="30" t="s">
        <v>2565</v>
      </c>
      <c r="R1257" s="33" t="s">
        <v>3473</v>
      </c>
      <c r="S1257">
        <v>37</v>
      </c>
      <c r="T1257" s="1" t="s">
        <v>13892</v>
      </c>
      <c r="U1257" s="1" t="str">
        <f>HYPERLINK("http://ictvonline.org/taxonomy/p/taxonomy-history?taxnode_id=202111588","ICTVonline=202111588")</f>
        <v>ICTVonline=202111588</v>
      </c>
    </row>
    <row r="1258" spans="1:21" x14ac:dyDescent="0.2">
      <c r="A1258" s="3">
        <v>1257</v>
      </c>
      <c r="B1258" s="1" t="s">
        <v>4875</v>
      </c>
      <c r="D1258" s="1" t="s">
        <v>4876</v>
      </c>
      <c r="F1258" s="1" t="s">
        <v>4880</v>
      </c>
      <c r="H1258" s="1" t="s">
        <v>4881</v>
      </c>
      <c r="L1258" s="1" t="s">
        <v>9829</v>
      </c>
      <c r="N1258" s="1" t="s">
        <v>9919</v>
      </c>
      <c r="P1258" s="1" t="s">
        <v>9921</v>
      </c>
      <c r="Q1258" s="30" t="s">
        <v>2565</v>
      </c>
      <c r="R1258" s="33" t="s">
        <v>3473</v>
      </c>
      <c r="S1258">
        <v>37</v>
      </c>
      <c r="T1258" s="1" t="s">
        <v>13892</v>
      </c>
      <c r="U1258" s="1" t="str">
        <f>HYPERLINK("http://ictvonline.org/taxonomy/p/taxonomy-history?taxnode_id=202111590","ICTVonline=202111590")</f>
        <v>ICTVonline=202111590</v>
      </c>
    </row>
    <row r="1259" spans="1:21" x14ac:dyDescent="0.2">
      <c r="A1259" s="3">
        <v>1258</v>
      </c>
      <c r="B1259" s="1" t="s">
        <v>4875</v>
      </c>
      <c r="D1259" s="1" t="s">
        <v>4876</v>
      </c>
      <c r="F1259" s="1" t="s">
        <v>4880</v>
      </c>
      <c r="H1259" s="1" t="s">
        <v>4881</v>
      </c>
      <c r="L1259" s="1" t="s">
        <v>9829</v>
      </c>
      <c r="N1259" s="1" t="s">
        <v>9919</v>
      </c>
      <c r="P1259" s="1" t="s">
        <v>9922</v>
      </c>
      <c r="Q1259" s="30" t="s">
        <v>2565</v>
      </c>
      <c r="R1259" s="33" t="s">
        <v>3473</v>
      </c>
      <c r="S1259">
        <v>37</v>
      </c>
      <c r="T1259" s="1" t="s">
        <v>13892</v>
      </c>
      <c r="U1259" s="1" t="str">
        <f>HYPERLINK("http://ictvonline.org/taxonomy/p/taxonomy-history?taxnode_id=202111589","ICTVonline=202111589")</f>
        <v>ICTVonline=202111589</v>
      </c>
    </row>
    <row r="1260" spans="1:21" x14ac:dyDescent="0.2">
      <c r="A1260" s="3">
        <v>1259</v>
      </c>
      <c r="B1260" s="1" t="s">
        <v>4875</v>
      </c>
      <c r="D1260" s="1" t="s">
        <v>4876</v>
      </c>
      <c r="F1260" s="1" t="s">
        <v>4880</v>
      </c>
      <c r="H1260" s="1" t="s">
        <v>4881</v>
      </c>
      <c r="L1260" s="1" t="s">
        <v>9829</v>
      </c>
      <c r="N1260" s="1" t="s">
        <v>5084</v>
      </c>
      <c r="P1260" s="1" t="s">
        <v>9923</v>
      </c>
      <c r="Q1260" s="30" t="s">
        <v>2565</v>
      </c>
      <c r="R1260" s="33" t="s">
        <v>3473</v>
      </c>
      <c r="S1260">
        <v>37</v>
      </c>
      <c r="T1260" s="1" t="s">
        <v>13878</v>
      </c>
      <c r="U1260" s="1" t="str">
        <f>HYPERLINK("http://ictvonline.org/taxonomy/p/taxonomy-history?taxnode_id=202107954","ICTVonline=202107954")</f>
        <v>ICTVonline=202107954</v>
      </c>
    </row>
    <row r="1261" spans="1:21" x14ac:dyDescent="0.2">
      <c r="A1261" s="3">
        <v>1260</v>
      </c>
      <c r="B1261" s="1" t="s">
        <v>4875</v>
      </c>
      <c r="D1261" s="1" t="s">
        <v>4876</v>
      </c>
      <c r="F1261" s="1" t="s">
        <v>4880</v>
      </c>
      <c r="H1261" s="1" t="s">
        <v>4881</v>
      </c>
      <c r="L1261" s="1" t="s">
        <v>9829</v>
      </c>
      <c r="N1261" s="1" t="s">
        <v>5995</v>
      </c>
      <c r="P1261" s="1" t="s">
        <v>9924</v>
      </c>
      <c r="Q1261" s="30" t="s">
        <v>2565</v>
      </c>
      <c r="R1261" s="33" t="s">
        <v>3473</v>
      </c>
      <c r="S1261">
        <v>37</v>
      </c>
      <c r="T1261" s="1" t="s">
        <v>13878</v>
      </c>
      <c r="U1261" s="1" t="str">
        <f>HYPERLINK("http://ictvonline.org/taxonomy/p/taxonomy-history?taxnode_id=202111596","ICTVonline=202111596")</f>
        <v>ICTVonline=202111596</v>
      </c>
    </row>
    <row r="1262" spans="1:21" x14ac:dyDescent="0.2">
      <c r="A1262" s="3">
        <v>1261</v>
      </c>
      <c r="B1262" s="1" t="s">
        <v>4875</v>
      </c>
      <c r="D1262" s="1" t="s">
        <v>4876</v>
      </c>
      <c r="F1262" s="1" t="s">
        <v>4880</v>
      </c>
      <c r="H1262" s="1" t="s">
        <v>4881</v>
      </c>
      <c r="L1262" s="1" t="s">
        <v>9829</v>
      </c>
      <c r="N1262" s="1" t="s">
        <v>9925</v>
      </c>
      <c r="P1262" s="1" t="s">
        <v>9926</v>
      </c>
      <c r="Q1262" s="30" t="s">
        <v>2565</v>
      </c>
      <c r="R1262" s="33" t="s">
        <v>3472</v>
      </c>
      <c r="S1262">
        <v>37</v>
      </c>
      <c r="T1262" s="1" t="s">
        <v>13892</v>
      </c>
      <c r="U1262" s="1" t="str">
        <f>HYPERLINK("http://ictvonline.org/taxonomy/p/taxonomy-history?taxnode_id=202112858","ICTVonline=202112858")</f>
        <v>ICTVonline=202112858</v>
      </c>
    </row>
    <row r="1263" spans="1:21" x14ac:dyDescent="0.2">
      <c r="A1263" s="3">
        <v>1262</v>
      </c>
      <c r="B1263" s="1" t="s">
        <v>4875</v>
      </c>
      <c r="D1263" s="1" t="s">
        <v>4876</v>
      </c>
      <c r="F1263" s="1" t="s">
        <v>4880</v>
      </c>
      <c r="H1263" s="1" t="s">
        <v>4881</v>
      </c>
      <c r="L1263" s="1" t="s">
        <v>9829</v>
      </c>
      <c r="N1263" s="1" t="s">
        <v>5085</v>
      </c>
      <c r="P1263" s="1" t="s">
        <v>9927</v>
      </c>
      <c r="Q1263" s="30" t="s">
        <v>2565</v>
      </c>
      <c r="R1263" s="33" t="s">
        <v>3473</v>
      </c>
      <c r="S1263">
        <v>37</v>
      </c>
      <c r="T1263" s="1" t="s">
        <v>13878</v>
      </c>
      <c r="U1263" s="1" t="str">
        <f>HYPERLINK("http://ictvonline.org/taxonomy/p/taxonomy-history?taxnode_id=202107960","ICTVonline=202107960")</f>
        <v>ICTVonline=202107960</v>
      </c>
    </row>
    <row r="1264" spans="1:21" x14ac:dyDescent="0.2">
      <c r="A1264" s="3">
        <v>1263</v>
      </c>
      <c r="B1264" s="1" t="s">
        <v>4875</v>
      </c>
      <c r="D1264" s="1" t="s">
        <v>4876</v>
      </c>
      <c r="F1264" s="1" t="s">
        <v>4880</v>
      </c>
      <c r="H1264" s="1" t="s">
        <v>4881</v>
      </c>
      <c r="L1264" s="1" t="s">
        <v>9829</v>
      </c>
      <c r="N1264" s="1" t="s">
        <v>5086</v>
      </c>
      <c r="P1264" s="1" t="s">
        <v>9928</v>
      </c>
      <c r="Q1264" s="30" t="s">
        <v>2565</v>
      </c>
      <c r="R1264" s="33" t="s">
        <v>3473</v>
      </c>
      <c r="S1264">
        <v>37</v>
      </c>
      <c r="T1264" s="1" t="s">
        <v>13878</v>
      </c>
      <c r="U1264" s="1" t="str">
        <f>HYPERLINK("http://ictvonline.org/taxonomy/p/taxonomy-history?taxnode_id=202107944","ICTVonline=202107944")</f>
        <v>ICTVonline=202107944</v>
      </c>
    </row>
    <row r="1265" spans="1:21" x14ac:dyDescent="0.2">
      <c r="A1265" s="3">
        <v>1264</v>
      </c>
      <c r="B1265" s="1" t="s">
        <v>4875</v>
      </c>
      <c r="D1265" s="1" t="s">
        <v>4876</v>
      </c>
      <c r="F1265" s="1" t="s">
        <v>4880</v>
      </c>
      <c r="H1265" s="1" t="s">
        <v>4881</v>
      </c>
      <c r="L1265" s="1" t="s">
        <v>9829</v>
      </c>
      <c r="N1265" s="1" t="s">
        <v>5087</v>
      </c>
      <c r="P1265" s="1" t="s">
        <v>9929</v>
      </c>
      <c r="Q1265" s="30" t="s">
        <v>2565</v>
      </c>
      <c r="R1265" s="33" t="s">
        <v>3473</v>
      </c>
      <c r="S1265">
        <v>37</v>
      </c>
      <c r="T1265" s="1" t="s">
        <v>13878</v>
      </c>
      <c r="U1265" s="1" t="str">
        <f>HYPERLINK("http://ictvonline.org/taxonomy/p/taxonomy-history?taxnode_id=202107966","ICTVonline=202107966")</f>
        <v>ICTVonline=202107966</v>
      </c>
    </row>
    <row r="1266" spans="1:21" x14ac:dyDescent="0.2">
      <c r="A1266" s="3">
        <v>1265</v>
      </c>
      <c r="B1266" s="1" t="s">
        <v>4875</v>
      </c>
      <c r="D1266" s="1" t="s">
        <v>4876</v>
      </c>
      <c r="F1266" s="1" t="s">
        <v>4880</v>
      </c>
      <c r="H1266" s="1" t="s">
        <v>4881</v>
      </c>
      <c r="L1266" s="1" t="s">
        <v>9829</v>
      </c>
      <c r="N1266" s="1" t="s">
        <v>5088</v>
      </c>
      <c r="P1266" s="1" t="s">
        <v>9930</v>
      </c>
      <c r="Q1266" s="30" t="s">
        <v>2565</v>
      </c>
      <c r="R1266" s="33" t="s">
        <v>3473</v>
      </c>
      <c r="S1266">
        <v>37</v>
      </c>
      <c r="T1266" s="1" t="s">
        <v>13878</v>
      </c>
      <c r="U1266" s="1" t="str">
        <f>HYPERLINK("http://ictvonline.org/taxonomy/p/taxonomy-history?taxnode_id=202107031","ICTVonline=202107031")</f>
        <v>ICTVonline=202107031</v>
      </c>
    </row>
    <row r="1267" spans="1:21" x14ac:dyDescent="0.2">
      <c r="A1267" s="3">
        <v>1266</v>
      </c>
      <c r="B1267" s="1" t="s">
        <v>4875</v>
      </c>
      <c r="D1267" s="1" t="s">
        <v>4876</v>
      </c>
      <c r="F1267" s="1" t="s">
        <v>4880</v>
      </c>
      <c r="H1267" s="1" t="s">
        <v>4881</v>
      </c>
      <c r="L1267" s="1" t="s">
        <v>9829</v>
      </c>
      <c r="N1267" s="1" t="s">
        <v>5089</v>
      </c>
      <c r="P1267" s="1" t="s">
        <v>9931</v>
      </c>
      <c r="Q1267" s="30" t="s">
        <v>2565</v>
      </c>
      <c r="R1267" s="33" t="s">
        <v>3473</v>
      </c>
      <c r="S1267">
        <v>37</v>
      </c>
      <c r="T1267" s="1" t="s">
        <v>13878</v>
      </c>
      <c r="U1267" s="1" t="str">
        <f>HYPERLINK("http://ictvonline.org/taxonomy/p/taxonomy-history?taxnode_id=202100236","ICTVonline=202100236")</f>
        <v>ICTVonline=202100236</v>
      </c>
    </row>
    <row r="1268" spans="1:21" x14ac:dyDescent="0.2">
      <c r="A1268" s="3">
        <v>1267</v>
      </c>
      <c r="B1268" s="1" t="s">
        <v>4875</v>
      </c>
      <c r="D1268" s="1" t="s">
        <v>4876</v>
      </c>
      <c r="F1268" s="1" t="s">
        <v>4880</v>
      </c>
      <c r="H1268" s="1" t="s">
        <v>4881</v>
      </c>
      <c r="L1268" s="1" t="s">
        <v>9829</v>
      </c>
      <c r="N1268" s="1" t="s">
        <v>5089</v>
      </c>
      <c r="P1268" s="1" t="s">
        <v>9932</v>
      </c>
      <c r="Q1268" s="30" t="s">
        <v>2565</v>
      </c>
      <c r="R1268" s="33" t="s">
        <v>3473</v>
      </c>
      <c r="S1268">
        <v>37</v>
      </c>
      <c r="T1268" s="1" t="s">
        <v>13878</v>
      </c>
      <c r="U1268" s="1" t="str">
        <f>HYPERLINK("http://ictvonline.org/taxonomy/p/taxonomy-history?taxnode_id=202100234","ICTVonline=202100234")</f>
        <v>ICTVonline=202100234</v>
      </c>
    </row>
    <row r="1269" spans="1:21" x14ac:dyDescent="0.2">
      <c r="A1269" s="3">
        <v>1268</v>
      </c>
      <c r="B1269" s="1" t="s">
        <v>4875</v>
      </c>
      <c r="D1269" s="1" t="s">
        <v>4876</v>
      </c>
      <c r="F1269" s="1" t="s">
        <v>4880</v>
      </c>
      <c r="H1269" s="1" t="s">
        <v>4881</v>
      </c>
      <c r="L1269" s="1" t="s">
        <v>9829</v>
      </c>
      <c r="N1269" s="1" t="s">
        <v>5089</v>
      </c>
      <c r="P1269" s="1" t="s">
        <v>9933</v>
      </c>
      <c r="Q1269" s="30" t="s">
        <v>2565</v>
      </c>
      <c r="R1269" s="33" t="s">
        <v>3472</v>
      </c>
      <c r="S1269">
        <v>37</v>
      </c>
      <c r="T1269" s="1" t="s">
        <v>13892</v>
      </c>
      <c r="U1269" s="1" t="str">
        <f>HYPERLINK("http://ictvonline.org/taxonomy/p/taxonomy-history?taxnode_id=202112870","ICTVonline=202112870")</f>
        <v>ICTVonline=202112870</v>
      </c>
    </row>
    <row r="1270" spans="1:21" x14ac:dyDescent="0.2">
      <c r="A1270" s="3">
        <v>1269</v>
      </c>
      <c r="B1270" s="1" t="s">
        <v>4875</v>
      </c>
      <c r="D1270" s="1" t="s">
        <v>4876</v>
      </c>
      <c r="F1270" s="1" t="s">
        <v>4880</v>
      </c>
      <c r="H1270" s="1" t="s">
        <v>4881</v>
      </c>
      <c r="L1270" s="1" t="s">
        <v>9829</v>
      </c>
      <c r="N1270" s="1" t="s">
        <v>9934</v>
      </c>
      <c r="P1270" s="1" t="s">
        <v>9935</v>
      </c>
      <c r="Q1270" s="30" t="s">
        <v>2565</v>
      </c>
      <c r="R1270" s="33" t="s">
        <v>3472</v>
      </c>
      <c r="S1270">
        <v>37</v>
      </c>
      <c r="T1270" s="1" t="s">
        <v>13892</v>
      </c>
      <c r="U1270" s="1" t="str">
        <f>HYPERLINK("http://ictvonline.org/taxonomy/p/taxonomy-history?taxnode_id=202112860","ICTVonline=202112860")</f>
        <v>ICTVonline=202112860</v>
      </c>
    </row>
    <row r="1271" spans="1:21" x14ac:dyDescent="0.2">
      <c r="A1271" s="3">
        <v>1270</v>
      </c>
      <c r="B1271" s="1" t="s">
        <v>4875</v>
      </c>
      <c r="D1271" s="1" t="s">
        <v>4876</v>
      </c>
      <c r="F1271" s="1" t="s">
        <v>4880</v>
      </c>
      <c r="H1271" s="1" t="s">
        <v>4881</v>
      </c>
      <c r="L1271" s="1" t="s">
        <v>9829</v>
      </c>
      <c r="N1271" s="1" t="s">
        <v>5996</v>
      </c>
      <c r="P1271" s="1" t="s">
        <v>9936</v>
      </c>
      <c r="Q1271" s="30" t="s">
        <v>2565</v>
      </c>
      <c r="R1271" s="33" t="s">
        <v>3473</v>
      </c>
      <c r="S1271">
        <v>37</v>
      </c>
      <c r="T1271" s="1" t="s">
        <v>13878</v>
      </c>
      <c r="U1271" s="1" t="str">
        <f>HYPERLINK("http://ictvonline.org/taxonomy/p/taxonomy-history?taxnode_id=202111606","ICTVonline=202111606")</f>
        <v>ICTVonline=202111606</v>
      </c>
    </row>
    <row r="1272" spans="1:21" x14ac:dyDescent="0.2">
      <c r="A1272" s="3">
        <v>1271</v>
      </c>
      <c r="B1272" s="1" t="s">
        <v>4875</v>
      </c>
      <c r="D1272" s="1" t="s">
        <v>4876</v>
      </c>
      <c r="F1272" s="1" t="s">
        <v>4880</v>
      </c>
      <c r="H1272" s="1" t="s">
        <v>4881</v>
      </c>
      <c r="L1272" s="1" t="s">
        <v>9829</v>
      </c>
      <c r="N1272" s="1" t="s">
        <v>5090</v>
      </c>
      <c r="P1272" s="1" t="s">
        <v>9937</v>
      </c>
      <c r="Q1272" s="30" t="s">
        <v>2565</v>
      </c>
      <c r="R1272" s="33" t="s">
        <v>3473</v>
      </c>
      <c r="S1272">
        <v>37</v>
      </c>
      <c r="T1272" s="1" t="s">
        <v>13878</v>
      </c>
      <c r="U1272" s="1" t="str">
        <f>HYPERLINK("http://ictvonline.org/taxonomy/p/taxonomy-history?taxnode_id=202107939","ICTVonline=202107939")</f>
        <v>ICTVonline=202107939</v>
      </c>
    </row>
    <row r="1273" spans="1:21" x14ac:dyDescent="0.2">
      <c r="A1273" s="3">
        <v>1272</v>
      </c>
      <c r="B1273" s="1" t="s">
        <v>4875</v>
      </c>
      <c r="D1273" s="1" t="s">
        <v>4876</v>
      </c>
      <c r="F1273" s="1" t="s">
        <v>4880</v>
      </c>
      <c r="H1273" s="1" t="s">
        <v>4881</v>
      </c>
      <c r="L1273" s="1" t="s">
        <v>9829</v>
      </c>
      <c r="N1273" s="1" t="s">
        <v>9938</v>
      </c>
      <c r="P1273" s="1" t="s">
        <v>9939</v>
      </c>
      <c r="Q1273" s="30" t="s">
        <v>2565</v>
      </c>
      <c r="R1273" s="33" t="s">
        <v>3472</v>
      </c>
      <c r="S1273">
        <v>37</v>
      </c>
      <c r="T1273" s="1" t="s">
        <v>13892</v>
      </c>
      <c r="U1273" s="1" t="str">
        <f>HYPERLINK("http://ictvonline.org/taxonomy/p/taxonomy-history?taxnode_id=202112872","ICTVonline=202112872")</f>
        <v>ICTVonline=202112872</v>
      </c>
    </row>
    <row r="1274" spans="1:21" x14ac:dyDescent="0.2">
      <c r="A1274" s="3">
        <v>1273</v>
      </c>
      <c r="B1274" s="1" t="s">
        <v>4875</v>
      </c>
      <c r="D1274" s="1" t="s">
        <v>4876</v>
      </c>
      <c r="F1274" s="1" t="s">
        <v>4880</v>
      </c>
      <c r="H1274" s="1" t="s">
        <v>4881</v>
      </c>
      <c r="L1274" s="1" t="s">
        <v>9829</v>
      </c>
      <c r="N1274" s="1" t="s">
        <v>9938</v>
      </c>
      <c r="P1274" s="1" t="s">
        <v>9940</v>
      </c>
      <c r="Q1274" s="30" t="s">
        <v>2565</v>
      </c>
      <c r="R1274" s="33" t="s">
        <v>3473</v>
      </c>
      <c r="S1274">
        <v>37</v>
      </c>
      <c r="T1274" s="1" t="s">
        <v>13892</v>
      </c>
      <c r="U1274" s="1" t="str">
        <f>HYPERLINK("http://ictvonline.org/taxonomy/p/taxonomy-history?taxnode_id=202111600","ICTVonline=202111600")</f>
        <v>ICTVonline=202111600</v>
      </c>
    </row>
    <row r="1275" spans="1:21" x14ac:dyDescent="0.2">
      <c r="A1275" s="3">
        <v>1274</v>
      </c>
      <c r="B1275" s="1" t="s">
        <v>4875</v>
      </c>
      <c r="D1275" s="1" t="s">
        <v>4876</v>
      </c>
      <c r="F1275" s="1" t="s">
        <v>4880</v>
      </c>
      <c r="H1275" s="1" t="s">
        <v>4881</v>
      </c>
      <c r="L1275" s="1" t="s">
        <v>9829</v>
      </c>
      <c r="N1275" s="1" t="s">
        <v>5091</v>
      </c>
      <c r="P1275" s="1" t="s">
        <v>9941</v>
      </c>
      <c r="Q1275" s="30" t="s">
        <v>2565</v>
      </c>
      <c r="R1275" s="33" t="s">
        <v>3473</v>
      </c>
      <c r="S1275">
        <v>37</v>
      </c>
      <c r="T1275" s="1" t="s">
        <v>13878</v>
      </c>
      <c r="U1275" s="1" t="str">
        <f>HYPERLINK("http://ictvonline.org/taxonomy/p/taxonomy-history?taxnode_id=202107952","ICTVonline=202107952")</f>
        <v>ICTVonline=202107952</v>
      </c>
    </row>
    <row r="1276" spans="1:21" x14ac:dyDescent="0.2">
      <c r="A1276" s="3">
        <v>1275</v>
      </c>
      <c r="B1276" s="1" t="s">
        <v>4875</v>
      </c>
      <c r="D1276" s="1" t="s">
        <v>4876</v>
      </c>
      <c r="F1276" s="1" t="s">
        <v>4880</v>
      </c>
      <c r="H1276" s="1" t="s">
        <v>4881</v>
      </c>
      <c r="L1276" s="1" t="s">
        <v>9829</v>
      </c>
      <c r="N1276" s="1" t="s">
        <v>5091</v>
      </c>
      <c r="P1276" s="1" t="s">
        <v>9942</v>
      </c>
      <c r="Q1276" s="30" t="s">
        <v>2565</v>
      </c>
      <c r="R1276" s="33" t="s">
        <v>3473</v>
      </c>
      <c r="S1276">
        <v>37</v>
      </c>
      <c r="T1276" s="1" t="s">
        <v>13878</v>
      </c>
      <c r="U1276" s="1" t="str">
        <f>HYPERLINK("http://ictvonline.org/taxonomy/p/taxonomy-history?taxnode_id=202111594","ICTVonline=202111594")</f>
        <v>ICTVonline=202111594</v>
      </c>
    </row>
    <row r="1277" spans="1:21" x14ac:dyDescent="0.2">
      <c r="A1277" s="3">
        <v>1276</v>
      </c>
      <c r="B1277" s="1" t="s">
        <v>4875</v>
      </c>
      <c r="D1277" s="1" t="s">
        <v>4876</v>
      </c>
      <c r="F1277" s="1" t="s">
        <v>4880</v>
      </c>
      <c r="H1277" s="1" t="s">
        <v>4881</v>
      </c>
      <c r="L1277" s="1" t="s">
        <v>9829</v>
      </c>
      <c r="N1277" s="1" t="s">
        <v>5091</v>
      </c>
      <c r="P1277" s="1" t="s">
        <v>9943</v>
      </c>
      <c r="Q1277" s="30" t="s">
        <v>2565</v>
      </c>
      <c r="R1277" s="33" t="s">
        <v>3473</v>
      </c>
      <c r="S1277">
        <v>37</v>
      </c>
      <c r="T1277" s="1" t="s">
        <v>13878</v>
      </c>
      <c r="U1277" s="1" t="str">
        <f>HYPERLINK("http://ictvonline.org/taxonomy/p/taxonomy-history?taxnode_id=202111592","ICTVonline=202111592")</f>
        <v>ICTVonline=202111592</v>
      </c>
    </row>
    <row r="1278" spans="1:21" x14ac:dyDescent="0.2">
      <c r="A1278" s="3">
        <v>1277</v>
      </c>
      <c r="B1278" s="1" t="s">
        <v>4875</v>
      </c>
      <c r="D1278" s="1" t="s">
        <v>4876</v>
      </c>
      <c r="F1278" s="1" t="s">
        <v>4880</v>
      </c>
      <c r="H1278" s="1" t="s">
        <v>4881</v>
      </c>
      <c r="L1278" s="1" t="s">
        <v>9829</v>
      </c>
      <c r="N1278" s="1" t="s">
        <v>5091</v>
      </c>
      <c r="P1278" s="1" t="s">
        <v>9944</v>
      </c>
      <c r="Q1278" s="30" t="s">
        <v>2565</v>
      </c>
      <c r="R1278" s="33" t="s">
        <v>3473</v>
      </c>
      <c r="S1278">
        <v>37</v>
      </c>
      <c r="T1278" s="1" t="s">
        <v>13878</v>
      </c>
      <c r="U1278" s="1" t="str">
        <f>HYPERLINK("http://ictvonline.org/taxonomy/p/taxonomy-history?taxnode_id=202111593","ICTVonline=202111593")</f>
        <v>ICTVonline=202111593</v>
      </c>
    </row>
    <row r="1279" spans="1:21" x14ac:dyDescent="0.2">
      <c r="A1279" s="3">
        <v>1278</v>
      </c>
      <c r="B1279" s="1" t="s">
        <v>4875</v>
      </c>
      <c r="D1279" s="1" t="s">
        <v>4876</v>
      </c>
      <c r="F1279" s="1" t="s">
        <v>4880</v>
      </c>
      <c r="H1279" s="1" t="s">
        <v>4881</v>
      </c>
      <c r="L1279" s="1" t="s">
        <v>9829</v>
      </c>
      <c r="N1279" s="1" t="s">
        <v>5997</v>
      </c>
      <c r="P1279" s="1" t="s">
        <v>9945</v>
      </c>
      <c r="Q1279" s="30" t="s">
        <v>2565</v>
      </c>
      <c r="R1279" s="33" t="s">
        <v>3473</v>
      </c>
      <c r="S1279">
        <v>37</v>
      </c>
      <c r="T1279" s="1" t="s">
        <v>13878</v>
      </c>
      <c r="U1279" s="1" t="str">
        <f>HYPERLINK("http://ictvonline.org/taxonomy/p/taxonomy-history?taxnode_id=202111584","ICTVonline=202111584")</f>
        <v>ICTVonline=202111584</v>
      </c>
    </row>
    <row r="1280" spans="1:21" x14ac:dyDescent="0.2">
      <c r="A1280" s="3">
        <v>1279</v>
      </c>
      <c r="B1280" s="1" t="s">
        <v>4875</v>
      </c>
      <c r="D1280" s="1" t="s">
        <v>4876</v>
      </c>
      <c r="F1280" s="1" t="s">
        <v>4880</v>
      </c>
      <c r="H1280" s="1" t="s">
        <v>4881</v>
      </c>
      <c r="L1280" s="1" t="s">
        <v>9829</v>
      </c>
      <c r="N1280" s="1" t="s">
        <v>9946</v>
      </c>
      <c r="P1280" s="1" t="s">
        <v>9947</v>
      </c>
      <c r="Q1280" s="30" t="s">
        <v>2565</v>
      </c>
      <c r="R1280" s="33" t="s">
        <v>3472</v>
      </c>
      <c r="S1280">
        <v>37</v>
      </c>
      <c r="T1280" s="1" t="s">
        <v>13892</v>
      </c>
      <c r="U1280" s="1" t="str">
        <f>HYPERLINK("http://ictvonline.org/taxonomy/p/taxonomy-history?taxnode_id=202112862","ICTVonline=202112862")</f>
        <v>ICTVonline=202112862</v>
      </c>
    </row>
    <row r="1281" spans="1:21" x14ac:dyDescent="0.2">
      <c r="A1281" s="3">
        <v>1280</v>
      </c>
      <c r="B1281" s="1" t="s">
        <v>4875</v>
      </c>
      <c r="D1281" s="1" t="s">
        <v>4876</v>
      </c>
      <c r="F1281" s="1" t="s">
        <v>4880</v>
      </c>
      <c r="H1281" s="1" t="s">
        <v>4881</v>
      </c>
      <c r="L1281" s="1" t="s">
        <v>9948</v>
      </c>
      <c r="N1281" s="1" t="s">
        <v>9949</v>
      </c>
      <c r="P1281" s="1" t="s">
        <v>9950</v>
      </c>
      <c r="Q1281" s="30" t="s">
        <v>2565</v>
      </c>
      <c r="R1281" s="33" t="s">
        <v>3472</v>
      </c>
      <c r="S1281">
        <v>37</v>
      </c>
      <c r="T1281" s="1" t="s">
        <v>13879</v>
      </c>
      <c r="U1281" s="1" t="str">
        <f>HYPERLINK("http://ictvonline.org/taxonomy/p/taxonomy-history?taxnode_id=202113547","ICTVonline=202113547")</f>
        <v>ICTVonline=202113547</v>
      </c>
    </row>
    <row r="1282" spans="1:21" x14ac:dyDescent="0.2">
      <c r="A1282" s="3">
        <v>1281</v>
      </c>
      <c r="B1282" s="1" t="s">
        <v>4875</v>
      </c>
      <c r="D1282" s="1" t="s">
        <v>4876</v>
      </c>
      <c r="F1282" s="1" t="s">
        <v>4880</v>
      </c>
      <c r="H1282" s="1" t="s">
        <v>4881</v>
      </c>
      <c r="L1282" s="1" t="s">
        <v>9948</v>
      </c>
      <c r="N1282" s="1" t="s">
        <v>9949</v>
      </c>
      <c r="P1282" s="1" t="s">
        <v>9951</v>
      </c>
      <c r="Q1282" s="30" t="s">
        <v>2565</v>
      </c>
      <c r="R1282" s="33" t="s">
        <v>3472</v>
      </c>
      <c r="S1282">
        <v>37</v>
      </c>
      <c r="T1282" s="1" t="s">
        <v>13879</v>
      </c>
      <c r="U1282" s="1" t="str">
        <f>HYPERLINK("http://ictvonline.org/taxonomy/p/taxonomy-history?taxnode_id=202113548","ICTVonline=202113548")</f>
        <v>ICTVonline=202113548</v>
      </c>
    </row>
    <row r="1283" spans="1:21" x14ac:dyDescent="0.2">
      <c r="A1283" s="3">
        <v>1282</v>
      </c>
      <c r="B1283" s="1" t="s">
        <v>4875</v>
      </c>
      <c r="D1283" s="1" t="s">
        <v>4876</v>
      </c>
      <c r="F1283" s="1" t="s">
        <v>4880</v>
      </c>
      <c r="H1283" s="1" t="s">
        <v>4881</v>
      </c>
      <c r="L1283" s="1" t="s">
        <v>6072</v>
      </c>
      <c r="M1283" s="1" t="s">
        <v>5154</v>
      </c>
      <c r="N1283" s="1" t="s">
        <v>5155</v>
      </c>
      <c r="P1283" s="1" t="s">
        <v>9952</v>
      </c>
      <c r="Q1283" s="30" t="s">
        <v>2565</v>
      </c>
      <c r="R1283" s="33" t="s">
        <v>3473</v>
      </c>
      <c r="S1283">
        <v>37</v>
      </c>
      <c r="T1283" s="1" t="s">
        <v>13878</v>
      </c>
      <c r="U1283" s="1" t="str">
        <f>HYPERLINK("http://ictvonline.org/taxonomy/p/taxonomy-history?taxnode_id=202108003","ICTVonline=202108003")</f>
        <v>ICTVonline=202108003</v>
      </c>
    </row>
    <row r="1284" spans="1:21" x14ac:dyDescent="0.2">
      <c r="A1284" s="3">
        <v>1283</v>
      </c>
      <c r="B1284" s="1" t="s">
        <v>4875</v>
      </c>
      <c r="D1284" s="1" t="s">
        <v>4876</v>
      </c>
      <c r="F1284" s="1" t="s">
        <v>4880</v>
      </c>
      <c r="H1284" s="1" t="s">
        <v>4881</v>
      </c>
      <c r="L1284" s="1" t="s">
        <v>6072</v>
      </c>
      <c r="M1284" s="1" t="s">
        <v>5154</v>
      </c>
      <c r="N1284" s="1" t="s">
        <v>5155</v>
      </c>
      <c r="P1284" s="1" t="s">
        <v>9953</v>
      </c>
      <c r="Q1284" s="30" t="s">
        <v>2565</v>
      </c>
      <c r="R1284" s="33" t="s">
        <v>3473</v>
      </c>
      <c r="S1284">
        <v>37</v>
      </c>
      <c r="T1284" s="1" t="s">
        <v>13878</v>
      </c>
      <c r="U1284" s="1" t="str">
        <f>HYPERLINK("http://ictvonline.org/taxonomy/p/taxonomy-history?taxnode_id=202108004","ICTVonline=202108004")</f>
        <v>ICTVonline=202108004</v>
      </c>
    </row>
    <row r="1285" spans="1:21" x14ac:dyDescent="0.2">
      <c r="A1285" s="3">
        <v>1284</v>
      </c>
      <c r="B1285" s="1" t="s">
        <v>4875</v>
      </c>
      <c r="D1285" s="1" t="s">
        <v>4876</v>
      </c>
      <c r="F1285" s="1" t="s">
        <v>4880</v>
      </c>
      <c r="H1285" s="1" t="s">
        <v>4881</v>
      </c>
      <c r="L1285" s="1" t="s">
        <v>6072</v>
      </c>
      <c r="M1285" s="1" t="s">
        <v>5154</v>
      </c>
      <c r="N1285" s="1" t="s">
        <v>4591</v>
      </c>
      <c r="P1285" s="1" t="s">
        <v>9954</v>
      </c>
      <c r="Q1285" s="30" t="s">
        <v>2565</v>
      </c>
      <c r="R1285" s="33" t="s">
        <v>3473</v>
      </c>
      <c r="S1285">
        <v>37</v>
      </c>
      <c r="T1285" s="1" t="s">
        <v>13878</v>
      </c>
      <c r="U1285" s="1" t="str">
        <f>HYPERLINK("http://ictvonline.org/taxonomy/p/taxonomy-history?taxnode_id=202108011","ICTVonline=202108011")</f>
        <v>ICTVonline=202108011</v>
      </c>
    </row>
    <row r="1286" spans="1:21" x14ac:dyDescent="0.2">
      <c r="A1286" s="3">
        <v>1285</v>
      </c>
      <c r="B1286" s="1" t="s">
        <v>4875</v>
      </c>
      <c r="D1286" s="1" t="s">
        <v>4876</v>
      </c>
      <c r="F1286" s="1" t="s">
        <v>4880</v>
      </c>
      <c r="H1286" s="1" t="s">
        <v>4881</v>
      </c>
      <c r="L1286" s="1" t="s">
        <v>6072</v>
      </c>
      <c r="M1286" s="1" t="s">
        <v>5154</v>
      </c>
      <c r="N1286" s="1" t="s">
        <v>4591</v>
      </c>
      <c r="P1286" s="1" t="s">
        <v>9955</v>
      </c>
      <c r="Q1286" s="30" t="s">
        <v>2565</v>
      </c>
      <c r="R1286" s="33" t="s">
        <v>3473</v>
      </c>
      <c r="S1286">
        <v>37</v>
      </c>
      <c r="T1286" s="1" t="s">
        <v>13878</v>
      </c>
      <c r="U1286" s="1" t="str">
        <f>HYPERLINK("http://ictvonline.org/taxonomy/p/taxonomy-history?taxnode_id=202108009","ICTVonline=202108009")</f>
        <v>ICTVonline=202108009</v>
      </c>
    </row>
    <row r="1287" spans="1:21" x14ac:dyDescent="0.2">
      <c r="A1287" s="3">
        <v>1286</v>
      </c>
      <c r="B1287" s="1" t="s">
        <v>4875</v>
      </c>
      <c r="D1287" s="1" t="s">
        <v>4876</v>
      </c>
      <c r="F1287" s="1" t="s">
        <v>4880</v>
      </c>
      <c r="H1287" s="1" t="s">
        <v>4881</v>
      </c>
      <c r="L1287" s="1" t="s">
        <v>6072</v>
      </c>
      <c r="M1287" s="1" t="s">
        <v>5154</v>
      </c>
      <c r="N1287" s="1" t="s">
        <v>4591</v>
      </c>
      <c r="P1287" s="1" t="s">
        <v>9956</v>
      </c>
      <c r="Q1287" s="30" t="s">
        <v>2565</v>
      </c>
      <c r="R1287" s="33" t="s">
        <v>3473</v>
      </c>
      <c r="S1287">
        <v>37</v>
      </c>
      <c r="T1287" s="1" t="s">
        <v>13878</v>
      </c>
      <c r="U1287" s="1" t="str">
        <f>HYPERLINK("http://ictvonline.org/taxonomy/p/taxonomy-history?taxnode_id=202108015","ICTVonline=202108015")</f>
        <v>ICTVonline=202108015</v>
      </c>
    </row>
    <row r="1288" spans="1:21" x14ac:dyDescent="0.2">
      <c r="A1288" s="3">
        <v>1287</v>
      </c>
      <c r="B1288" s="1" t="s">
        <v>4875</v>
      </c>
      <c r="D1288" s="1" t="s">
        <v>4876</v>
      </c>
      <c r="F1288" s="1" t="s">
        <v>4880</v>
      </c>
      <c r="H1288" s="1" t="s">
        <v>4881</v>
      </c>
      <c r="L1288" s="1" t="s">
        <v>6072</v>
      </c>
      <c r="M1288" s="1" t="s">
        <v>5154</v>
      </c>
      <c r="N1288" s="1" t="s">
        <v>4591</v>
      </c>
      <c r="P1288" s="1" t="s">
        <v>9957</v>
      </c>
      <c r="Q1288" s="30" t="s">
        <v>2565</v>
      </c>
      <c r="R1288" s="33" t="s">
        <v>3472</v>
      </c>
      <c r="S1288">
        <v>37</v>
      </c>
      <c r="T1288" s="1" t="s">
        <v>13893</v>
      </c>
      <c r="U1288" s="1" t="str">
        <f>HYPERLINK("http://ictvonline.org/taxonomy/p/taxonomy-history?taxnode_id=202112900","ICTVonline=202112900")</f>
        <v>ICTVonline=202112900</v>
      </c>
    </row>
    <row r="1289" spans="1:21" x14ac:dyDescent="0.2">
      <c r="A1289" s="3">
        <v>1288</v>
      </c>
      <c r="B1289" s="1" t="s">
        <v>4875</v>
      </c>
      <c r="D1289" s="1" t="s">
        <v>4876</v>
      </c>
      <c r="F1289" s="1" t="s">
        <v>4880</v>
      </c>
      <c r="H1289" s="1" t="s">
        <v>4881</v>
      </c>
      <c r="L1289" s="1" t="s">
        <v>6072</v>
      </c>
      <c r="M1289" s="1" t="s">
        <v>5154</v>
      </c>
      <c r="N1289" s="1" t="s">
        <v>4591</v>
      </c>
      <c r="P1289" s="1" t="s">
        <v>9958</v>
      </c>
      <c r="Q1289" s="30" t="s">
        <v>2565</v>
      </c>
      <c r="R1289" s="33" t="s">
        <v>3473</v>
      </c>
      <c r="S1289">
        <v>37</v>
      </c>
      <c r="T1289" s="1" t="s">
        <v>13878</v>
      </c>
      <c r="U1289" s="1" t="str">
        <f>HYPERLINK("http://ictvonline.org/taxonomy/p/taxonomy-history?taxnode_id=202108008","ICTVonline=202108008")</f>
        <v>ICTVonline=202108008</v>
      </c>
    </row>
    <row r="1290" spans="1:21" x14ac:dyDescent="0.2">
      <c r="A1290" s="3">
        <v>1289</v>
      </c>
      <c r="B1290" s="1" t="s">
        <v>4875</v>
      </c>
      <c r="D1290" s="1" t="s">
        <v>4876</v>
      </c>
      <c r="F1290" s="1" t="s">
        <v>4880</v>
      </c>
      <c r="H1290" s="1" t="s">
        <v>4881</v>
      </c>
      <c r="L1290" s="1" t="s">
        <v>6072</v>
      </c>
      <c r="M1290" s="1" t="s">
        <v>5154</v>
      </c>
      <c r="N1290" s="1" t="s">
        <v>4591</v>
      </c>
      <c r="P1290" s="1" t="s">
        <v>9959</v>
      </c>
      <c r="Q1290" s="30" t="s">
        <v>2565</v>
      </c>
      <c r="R1290" s="33" t="s">
        <v>3472</v>
      </c>
      <c r="S1290">
        <v>37</v>
      </c>
      <c r="T1290" s="1" t="s">
        <v>13893</v>
      </c>
      <c r="U1290" s="1" t="str">
        <f>HYPERLINK("http://ictvonline.org/taxonomy/p/taxonomy-history?taxnode_id=202112901","ICTVonline=202112901")</f>
        <v>ICTVonline=202112901</v>
      </c>
    </row>
    <row r="1291" spans="1:21" x14ac:dyDescent="0.2">
      <c r="A1291" s="3">
        <v>1290</v>
      </c>
      <c r="B1291" s="1" t="s">
        <v>4875</v>
      </c>
      <c r="D1291" s="1" t="s">
        <v>4876</v>
      </c>
      <c r="F1291" s="1" t="s">
        <v>4880</v>
      </c>
      <c r="H1291" s="1" t="s">
        <v>4881</v>
      </c>
      <c r="L1291" s="1" t="s">
        <v>6072</v>
      </c>
      <c r="M1291" s="1" t="s">
        <v>5154</v>
      </c>
      <c r="N1291" s="1" t="s">
        <v>4591</v>
      </c>
      <c r="P1291" s="1" t="s">
        <v>9960</v>
      </c>
      <c r="Q1291" s="30" t="s">
        <v>2565</v>
      </c>
      <c r="R1291" s="33" t="s">
        <v>3473</v>
      </c>
      <c r="S1291">
        <v>37</v>
      </c>
      <c r="T1291" s="1" t="s">
        <v>13878</v>
      </c>
      <c r="U1291" s="1" t="str">
        <f>HYPERLINK("http://ictvonline.org/taxonomy/p/taxonomy-history?taxnode_id=202108005","ICTVonline=202108005")</f>
        <v>ICTVonline=202108005</v>
      </c>
    </row>
    <row r="1292" spans="1:21" x14ac:dyDescent="0.2">
      <c r="A1292" s="3">
        <v>1291</v>
      </c>
      <c r="B1292" s="1" t="s">
        <v>4875</v>
      </c>
      <c r="D1292" s="1" t="s">
        <v>4876</v>
      </c>
      <c r="F1292" s="1" t="s">
        <v>4880</v>
      </c>
      <c r="H1292" s="1" t="s">
        <v>4881</v>
      </c>
      <c r="L1292" s="1" t="s">
        <v>6072</v>
      </c>
      <c r="M1292" s="1" t="s">
        <v>5154</v>
      </c>
      <c r="N1292" s="1" t="s">
        <v>4591</v>
      </c>
      <c r="P1292" s="1" t="s">
        <v>9961</v>
      </c>
      <c r="Q1292" s="30" t="s">
        <v>2565</v>
      </c>
      <c r="R1292" s="33" t="s">
        <v>3472</v>
      </c>
      <c r="S1292">
        <v>37</v>
      </c>
      <c r="T1292" s="1" t="s">
        <v>13893</v>
      </c>
      <c r="U1292" s="1" t="str">
        <f>HYPERLINK("http://ictvonline.org/taxonomy/p/taxonomy-history?taxnode_id=202112899","ICTVonline=202112899")</f>
        <v>ICTVonline=202112899</v>
      </c>
    </row>
    <row r="1293" spans="1:21" x14ac:dyDescent="0.2">
      <c r="A1293" s="3">
        <v>1292</v>
      </c>
      <c r="B1293" s="1" t="s">
        <v>4875</v>
      </c>
      <c r="D1293" s="1" t="s">
        <v>4876</v>
      </c>
      <c r="F1293" s="1" t="s">
        <v>4880</v>
      </c>
      <c r="H1293" s="1" t="s">
        <v>4881</v>
      </c>
      <c r="L1293" s="1" t="s">
        <v>6072</v>
      </c>
      <c r="M1293" s="1" t="s">
        <v>5154</v>
      </c>
      <c r="N1293" s="1" t="s">
        <v>4591</v>
      </c>
      <c r="P1293" s="1" t="s">
        <v>9962</v>
      </c>
      <c r="Q1293" s="30" t="s">
        <v>2565</v>
      </c>
      <c r="R1293" s="33" t="s">
        <v>3473</v>
      </c>
      <c r="S1293">
        <v>37</v>
      </c>
      <c r="T1293" s="1" t="s">
        <v>13878</v>
      </c>
      <c r="U1293" s="1" t="str">
        <f>HYPERLINK("http://ictvonline.org/taxonomy/p/taxonomy-history?taxnode_id=202108013","ICTVonline=202108013")</f>
        <v>ICTVonline=202108013</v>
      </c>
    </row>
    <row r="1294" spans="1:21" x14ac:dyDescent="0.2">
      <c r="A1294" s="3">
        <v>1293</v>
      </c>
      <c r="B1294" s="1" t="s">
        <v>4875</v>
      </c>
      <c r="D1294" s="1" t="s">
        <v>4876</v>
      </c>
      <c r="F1294" s="1" t="s">
        <v>4880</v>
      </c>
      <c r="H1294" s="1" t="s">
        <v>4881</v>
      </c>
      <c r="L1294" s="1" t="s">
        <v>6072</v>
      </c>
      <c r="M1294" s="1" t="s">
        <v>5154</v>
      </c>
      <c r="N1294" s="1" t="s">
        <v>4591</v>
      </c>
      <c r="P1294" s="1" t="s">
        <v>9963</v>
      </c>
      <c r="Q1294" s="30" t="s">
        <v>2565</v>
      </c>
      <c r="R1294" s="33" t="s">
        <v>3473</v>
      </c>
      <c r="S1294">
        <v>37</v>
      </c>
      <c r="T1294" s="1" t="s">
        <v>13878</v>
      </c>
      <c r="U1294" s="1" t="str">
        <f>HYPERLINK("http://ictvonline.org/taxonomy/p/taxonomy-history?taxnode_id=202108006","ICTVonline=202108006")</f>
        <v>ICTVonline=202108006</v>
      </c>
    </row>
    <row r="1295" spans="1:21" x14ac:dyDescent="0.2">
      <c r="A1295" s="3">
        <v>1294</v>
      </c>
      <c r="B1295" s="1" t="s">
        <v>4875</v>
      </c>
      <c r="D1295" s="1" t="s">
        <v>4876</v>
      </c>
      <c r="F1295" s="1" t="s">
        <v>4880</v>
      </c>
      <c r="H1295" s="1" t="s">
        <v>4881</v>
      </c>
      <c r="L1295" s="1" t="s">
        <v>6072</v>
      </c>
      <c r="M1295" s="1" t="s">
        <v>5154</v>
      </c>
      <c r="N1295" s="1" t="s">
        <v>4591</v>
      </c>
      <c r="P1295" s="1" t="s">
        <v>9964</v>
      </c>
      <c r="Q1295" s="30" t="s">
        <v>2565</v>
      </c>
      <c r="R1295" s="33" t="s">
        <v>3473</v>
      </c>
      <c r="S1295">
        <v>37</v>
      </c>
      <c r="T1295" s="1" t="s">
        <v>13878</v>
      </c>
      <c r="U1295" s="1" t="str">
        <f>HYPERLINK("http://ictvonline.org/taxonomy/p/taxonomy-history?taxnode_id=202100595","ICTVonline=202100595")</f>
        <v>ICTVonline=202100595</v>
      </c>
    </row>
    <row r="1296" spans="1:21" x14ac:dyDescent="0.2">
      <c r="A1296" s="3">
        <v>1295</v>
      </c>
      <c r="B1296" s="1" t="s">
        <v>4875</v>
      </c>
      <c r="D1296" s="1" t="s">
        <v>4876</v>
      </c>
      <c r="F1296" s="1" t="s">
        <v>4880</v>
      </c>
      <c r="H1296" s="1" t="s">
        <v>4881</v>
      </c>
      <c r="L1296" s="1" t="s">
        <v>6072</v>
      </c>
      <c r="M1296" s="1" t="s">
        <v>5154</v>
      </c>
      <c r="N1296" s="1" t="s">
        <v>4591</v>
      </c>
      <c r="P1296" s="1" t="s">
        <v>9965</v>
      </c>
      <c r="Q1296" s="30" t="s">
        <v>2565</v>
      </c>
      <c r="R1296" s="33" t="s">
        <v>3473</v>
      </c>
      <c r="S1296">
        <v>37</v>
      </c>
      <c r="T1296" s="1" t="s">
        <v>13878</v>
      </c>
      <c r="U1296" s="1" t="str">
        <f>HYPERLINK("http://ictvonline.org/taxonomy/p/taxonomy-history?taxnode_id=202108007","ICTVonline=202108007")</f>
        <v>ICTVonline=202108007</v>
      </c>
    </row>
    <row r="1297" spans="1:21" x14ac:dyDescent="0.2">
      <c r="A1297" s="3">
        <v>1296</v>
      </c>
      <c r="B1297" s="1" t="s">
        <v>4875</v>
      </c>
      <c r="D1297" s="1" t="s">
        <v>4876</v>
      </c>
      <c r="F1297" s="1" t="s">
        <v>4880</v>
      </c>
      <c r="H1297" s="1" t="s">
        <v>4881</v>
      </c>
      <c r="L1297" s="1" t="s">
        <v>6072</v>
      </c>
      <c r="M1297" s="1" t="s">
        <v>5154</v>
      </c>
      <c r="N1297" s="1" t="s">
        <v>4591</v>
      </c>
      <c r="P1297" s="1" t="s">
        <v>9966</v>
      </c>
      <c r="Q1297" s="30" t="s">
        <v>2565</v>
      </c>
      <c r="R1297" s="33" t="s">
        <v>3472</v>
      </c>
      <c r="S1297">
        <v>37</v>
      </c>
      <c r="T1297" s="1" t="s">
        <v>13893</v>
      </c>
      <c r="U1297" s="1" t="str">
        <f>HYPERLINK("http://ictvonline.org/taxonomy/p/taxonomy-history?taxnode_id=202112898","ICTVonline=202112898")</f>
        <v>ICTVonline=202112898</v>
      </c>
    </row>
    <row r="1298" spans="1:21" x14ac:dyDescent="0.2">
      <c r="A1298" s="3">
        <v>1297</v>
      </c>
      <c r="B1298" s="1" t="s">
        <v>4875</v>
      </c>
      <c r="D1298" s="1" t="s">
        <v>4876</v>
      </c>
      <c r="F1298" s="1" t="s">
        <v>4880</v>
      </c>
      <c r="H1298" s="1" t="s">
        <v>4881</v>
      </c>
      <c r="L1298" s="1" t="s">
        <v>6072</v>
      </c>
      <c r="M1298" s="1" t="s">
        <v>5154</v>
      </c>
      <c r="N1298" s="1" t="s">
        <v>4591</v>
      </c>
      <c r="P1298" s="1" t="s">
        <v>9967</v>
      </c>
      <c r="Q1298" s="30" t="s">
        <v>2565</v>
      </c>
      <c r="R1298" s="33" t="s">
        <v>3473</v>
      </c>
      <c r="S1298">
        <v>37</v>
      </c>
      <c r="T1298" s="1" t="s">
        <v>13878</v>
      </c>
      <c r="U1298" s="1" t="str">
        <f>HYPERLINK("http://ictvonline.org/taxonomy/p/taxonomy-history?taxnode_id=202108012","ICTVonline=202108012")</f>
        <v>ICTVonline=202108012</v>
      </c>
    </row>
    <row r="1299" spans="1:21" x14ac:dyDescent="0.2">
      <c r="A1299" s="3">
        <v>1298</v>
      </c>
      <c r="B1299" s="1" t="s">
        <v>4875</v>
      </c>
      <c r="D1299" s="1" t="s">
        <v>4876</v>
      </c>
      <c r="F1299" s="1" t="s">
        <v>4880</v>
      </c>
      <c r="H1299" s="1" t="s">
        <v>4881</v>
      </c>
      <c r="L1299" s="1" t="s">
        <v>6072</v>
      </c>
      <c r="M1299" s="1" t="s">
        <v>5154</v>
      </c>
      <c r="N1299" s="1" t="s">
        <v>4591</v>
      </c>
      <c r="P1299" s="1" t="s">
        <v>9968</v>
      </c>
      <c r="Q1299" s="30" t="s">
        <v>2565</v>
      </c>
      <c r="R1299" s="33" t="s">
        <v>3473</v>
      </c>
      <c r="S1299">
        <v>37</v>
      </c>
      <c r="T1299" s="1" t="s">
        <v>13878</v>
      </c>
      <c r="U1299" s="1" t="str">
        <f>HYPERLINK("http://ictvonline.org/taxonomy/p/taxonomy-history?taxnode_id=202108010","ICTVonline=202108010")</f>
        <v>ICTVonline=202108010</v>
      </c>
    </row>
    <row r="1300" spans="1:21" x14ac:dyDescent="0.2">
      <c r="A1300" s="3">
        <v>1299</v>
      </c>
      <c r="B1300" s="1" t="s">
        <v>4875</v>
      </c>
      <c r="D1300" s="1" t="s">
        <v>4876</v>
      </c>
      <c r="F1300" s="1" t="s">
        <v>4880</v>
      </c>
      <c r="H1300" s="1" t="s">
        <v>4881</v>
      </c>
      <c r="L1300" s="1" t="s">
        <v>6072</v>
      </c>
      <c r="M1300" s="1" t="s">
        <v>5154</v>
      </c>
      <c r="N1300" s="1" t="s">
        <v>4591</v>
      </c>
      <c r="P1300" s="1" t="s">
        <v>9969</v>
      </c>
      <c r="Q1300" s="30" t="s">
        <v>2565</v>
      </c>
      <c r="R1300" s="33" t="s">
        <v>3473</v>
      </c>
      <c r="S1300">
        <v>37</v>
      </c>
      <c r="T1300" s="1" t="s">
        <v>13878</v>
      </c>
      <c r="U1300" s="1" t="str">
        <f>HYPERLINK("http://ictvonline.org/taxonomy/p/taxonomy-history?taxnode_id=202108014","ICTVonline=202108014")</f>
        <v>ICTVonline=202108014</v>
      </c>
    </row>
    <row r="1301" spans="1:21" x14ac:dyDescent="0.2">
      <c r="A1301" s="3">
        <v>1300</v>
      </c>
      <c r="B1301" s="1" t="s">
        <v>4875</v>
      </c>
      <c r="D1301" s="1" t="s">
        <v>4876</v>
      </c>
      <c r="F1301" s="1" t="s">
        <v>4880</v>
      </c>
      <c r="H1301" s="1" t="s">
        <v>4881</v>
      </c>
      <c r="L1301" s="1" t="s">
        <v>6072</v>
      </c>
      <c r="M1301" s="1" t="s">
        <v>6073</v>
      </c>
      <c r="N1301" s="1" t="s">
        <v>6074</v>
      </c>
      <c r="P1301" s="1" t="s">
        <v>9970</v>
      </c>
      <c r="Q1301" s="30" t="s">
        <v>2565</v>
      </c>
      <c r="R1301" s="33" t="s">
        <v>3472</v>
      </c>
      <c r="S1301">
        <v>37</v>
      </c>
      <c r="T1301" s="1" t="s">
        <v>13894</v>
      </c>
      <c r="U1301" s="1" t="str">
        <f>HYPERLINK("http://ictvonline.org/taxonomy/p/taxonomy-history?taxnode_id=202113054","ICTVonline=202113054")</f>
        <v>ICTVonline=202113054</v>
      </c>
    </row>
    <row r="1302" spans="1:21" x14ac:dyDescent="0.2">
      <c r="A1302" s="3">
        <v>1301</v>
      </c>
      <c r="B1302" s="1" t="s">
        <v>4875</v>
      </c>
      <c r="D1302" s="1" t="s">
        <v>4876</v>
      </c>
      <c r="F1302" s="1" t="s">
        <v>4880</v>
      </c>
      <c r="H1302" s="1" t="s">
        <v>4881</v>
      </c>
      <c r="L1302" s="1" t="s">
        <v>6072</v>
      </c>
      <c r="M1302" s="1" t="s">
        <v>6073</v>
      </c>
      <c r="N1302" s="1" t="s">
        <v>6074</v>
      </c>
      <c r="P1302" s="1" t="s">
        <v>9971</v>
      </c>
      <c r="Q1302" s="30" t="s">
        <v>2565</v>
      </c>
      <c r="R1302" s="33" t="s">
        <v>3473</v>
      </c>
      <c r="S1302">
        <v>37</v>
      </c>
      <c r="T1302" s="1" t="s">
        <v>13878</v>
      </c>
      <c r="U1302" s="1" t="str">
        <f>HYPERLINK("http://ictvonline.org/taxonomy/p/taxonomy-history?taxnode_id=202111693","ICTVonline=202111693")</f>
        <v>ICTVonline=202111693</v>
      </c>
    </row>
    <row r="1303" spans="1:21" x14ac:dyDescent="0.2">
      <c r="A1303" s="3">
        <v>1302</v>
      </c>
      <c r="B1303" s="1" t="s">
        <v>4875</v>
      </c>
      <c r="D1303" s="1" t="s">
        <v>4876</v>
      </c>
      <c r="F1303" s="1" t="s">
        <v>4880</v>
      </c>
      <c r="H1303" s="1" t="s">
        <v>4881</v>
      </c>
      <c r="L1303" s="1" t="s">
        <v>6072</v>
      </c>
      <c r="M1303" s="1" t="s">
        <v>6073</v>
      </c>
      <c r="N1303" s="1" t="s">
        <v>6074</v>
      </c>
      <c r="P1303" s="1" t="s">
        <v>9972</v>
      </c>
      <c r="Q1303" s="30" t="s">
        <v>2565</v>
      </c>
      <c r="R1303" s="33" t="s">
        <v>3473</v>
      </c>
      <c r="S1303">
        <v>37</v>
      </c>
      <c r="T1303" s="1" t="s">
        <v>13878</v>
      </c>
      <c r="U1303" s="1" t="str">
        <f>HYPERLINK("http://ictvonline.org/taxonomy/p/taxonomy-history?taxnode_id=202111694","ICTVonline=202111694")</f>
        <v>ICTVonline=202111694</v>
      </c>
    </row>
    <row r="1304" spans="1:21" x14ac:dyDescent="0.2">
      <c r="A1304" s="3">
        <v>1303</v>
      </c>
      <c r="B1304" s="1" t="s">
        <v>4875</v>
      </c>
      <c r="D1304" s="1" t="s">
        <v>4876</v>
      </c>
      <c r="F1304" s="1" t="s">
        <v>4880</v>
      </c>
      <c r="H1304" s="1" t="s">
        <v>4881</v>
      </c>
      <c r="L1304" s="1" t="s">
        <v>6072</v>
      </c>
      <c r="M1304" s="1" t="s">
        <v>6073</v>
      </c>
      <c r="N1304" s="1" t="s">
        <v>6074</v>
      </c>
      <c r="P1304" s="1" t="s">
        <v>9973</v>
      </c>
      <c r="Q1304" s="30" t="s">
        <v>2565</v>
      </c>
      <c r="R1304" s="33" t="s">
        <v>3473</v>
      </c>
      <c r="S1304">
        <v>37</v>
      </c>
      <c r="T1304" s="1" t="s">
        <v>13878</v>
      </c>
      <c r="U1304" s="1" t="str">
        <f>HYPERLINK("http://ictvonline.org/taxonomy/p/taxonomy-history?taxnode_id=202111695","ICTVonline=202111695")</f>
        <v>ICTVonline=202111695</v>
      </c>
    </row>
    <row r="1305" spans="1:21" x14ac:dyDescent="0.2">
      <c r="A1305" s="3">
        <v>1304</v>
      </c>
      <c r="B1305" s="1" t="s">
        <v>4875</v>
      </c>
      <c r="D1305" s="1" t="s">
        <v>4876</v>
      </c>
      <c r="F1305" s="1" t="s">
        <v>4880</v>
      </c>
      <c r="H1305" s="1" t="s">
        <v>4881</v>
      </c>
      <c r="L1305" s="1" t="s">
        <v>6072</v>
      </c>
      <c r="M1305" s="1" t="s">
        <v>6073</v>
      </c>
      <c r="N1305" s="1" t="s">
        <v>6074</v>
      </c>
      <c r="P1305" s="1" t="s">
        <v>9974</v>
      </c>
      <c r="Q1305" s="30" t="s">
        <v>2565</v>
      </c>
      <c r="R1305" s="33" t="s">
        <v>3473</v>
      </c>
      <c r="S1305">
        <v>37</v>
      </c>
      <c r="T1305" s="1" t="s">
        <v>13878</v>
      </c>
      <c r="U1305" s="1" t="str">
        <f>HYPERLINK("http://ictvonline.org/taxonomy/p/taxonomy-history?taxnode_id=202111701","ICTVonline=202111701")</f>
        <v>ICTVonline=202111701</v>
      </c>
    </row>
    <row r="1306" spans="1:21" x14ac:dyDescent="0.2">
      <c r="A1306" s="3">
        <v>1305</v>
      </c>
      <c r="B1306" s="1" t="s">
        <v>4875</v>
      </c>
      <c r="D1306" s="1" t="s">
        <v>4876</v>
      </c>
      <c r="F1306" s="1" t="s">
        <v>4880</v>
      </c>
      <c r="H1306" s="1" t="s">
        <v>4881</v>
      </c>
      <c r="L1306" s="1" t="s">
        <v>6072</v>
      </c>
      <c r="M1306" s="1" t="s">
        <v>6073</v>
      </c>
      <c r="N1306" s="1" t="s">
        <v>6074</v>
      </c>
      <c r="P1306" s="1" t="s">
        <v>9975</v>
      </c>
      <c r="Q1306" s="30" t="s">
        <v>2565</v>
      </c>
      <c r="R1306" s="33" t="s">
        <v>3473</v>
      </c>
      <c r="S1306">
        <v>37</v>
      </c>
      <c r="T1306" s="1" t="s">
        <v>13878</v>
      </c>
      <c r="U1306" s="1" t="str">
        <f>HYPERLINK("http://ictvonline.org/taxonomy/p/taxonomy-history?taxnode_id=202111702","ICTVonline=202111702")</f>
        <v>ICTVonline=202111702</v>
      </c>
    </row>
    <row r="1307" spans="1:21" x14ac:dyDescent="0.2">
      <c r="A1307" s="3">
        <v>1306</v>
      </c>
      <c r="B1307" s="1" t="s">
        <v>4875</v>
      </c>
      <c r="D1307" s="1" t="s">
        <v>4876</v>
      </c>
      <c r="F1307" s="1" t="s">
        <v>4880</v>
      </c>
      <c r="H1307" s="1" t="s">
        <v>4881</v>
      </c>
      <c r="L1307" s="1" t="s">
        <v>6072</v>
      </c>
      <c r="M1307" s="1" t="s">
        <v>6073</v>
      </c>
      <c r="N1307" s="1" t="s">
        <v>6074</v>
      </c>
      <c r="P1307" s="1" t="s">
        <v>9976</v>
      </c>
      <c r="Q1307" s="30" t="s">
        <v>2565</v>
      </c>
      <c r="R1307" s="33" t="s">
        <v>3473</v>
      </c>
      <c r="S1307">
        <v>37</v>
      </c>
      <c r="T1307" s="1" t="s">
        <v>13878</v>
      </c>
      <c r="U1307" s="1" t="str">
        <f>HYPERLINK("http://ictvonline.org/taxonomy/p/taxonomy-history?taxnode_id=202111692","ICTVonline=202111692")</f>
        <v>ICTVonline=202111692</v>
      </c>
    </row>
    <row r="1308" spans="1:21" x14ac:dyDescent="0.2">
      <c r="A1308" s="3">
        <v>1307</v>
      </c>
      <c r="B1308" s="1" t="s">
        <v>4875</v>
      </c>
      <c r="D1308" s="1" t="s">
        <v>4876</v>
      </c>
      <c r="F1308" s="1" t="s">
        <v>4880</v>
      </c>
      <c r="H1308" s="1" t="s">
        <v>4881</v>
      </c>
      <c r="L1308" s="1" t="s">
        <v>6072</v>
      </c>
      <c r="M1308" s="1" t="s">
        <v>6073</v>
      </c>
      <c r="N1308" s="1" t="s">
        <v>6074</v>
      </c>
      <c r="P1308" s="1" t="s">
        <v>9977</v>
      </c>
      <c r="Q1308" s="30" t="s">
        <v>2565</v>
      </c>
      <c r="R1308" s="33" t="s">
        <v>3473</v>
      </c>
      <c r="S1308">
        <v>37</v>
      </c>
      <c r="T1308" s="1" t="s">
        <v>13878</v>
      </c>
      <c r="U1308" s="1" t="str">
        <f>HYPERLINK("http://ictvonline.org/taxonomy/p/taxonomy-history?taxnode_id=202111699","ICTVonline=202111699")</f>
        <v>ICTVonline=202111699</v>
      </c>
    </row>
    <row r="1309" spans="1:21" x14ac:dyDescent="0.2">
      <c r="A1309" s="3">
        <v>1308</v>
      </c>
      <c r="B1309" s="1" t="s">
        <v>4875</v>
      </c>
      <c r="D1309" s="1" t="s">
        <v>4876</v>
      </c>
      <c r="F1309" s="1" t="s">
        <v>4880</v>
      </c>
      <c r="H1309" s="1" t="s">
        <v>4881</v>
      </c>
      <c r="L1309" s="1" t="s">
        <v>6072</v>
      </c>
      <c r="M1309" s="1" t="s">
        <v>6073</v>
      </c>
      <c r="N1309" s="1" t="s">
        <v>6074</v>
      </c>
      <c r="P1309" s="1" t="s">
        <v>9978</v>
      </c>
      <c r="Q1309" s="30" t="s">
        <v>2565</v>
      </c>
      <c r="R1309" s="33" t="s">
        <v>3473</v>
      </c>
      <c r="S1309">
        <v>37</v>
      </c>
      <c r="T1309" s="1" t="s">
        <v>13878</v>
      </c>
      <c r="U1309" s="1" t="str">
        <f>HYPERLINK("http://ictvonline.org/taxonomy/p/taxonomy-history?taxnode_id=202111697","ICTVonline=202111697")</f>
        <v>ICTVonline=202111697</v>
      </c>
    </row>
    <row r="1310" spans="1:21" x14ac:dyDescent="0.2">
      <c r="A1310" s="3">
        <v>1309</v>
      </c>
      <c r="B1310" s="1" t="s">
        <v>4875</v>
      </c>
      <c r="D1310" s="1" t="s">
        <v>4876</v>
      </c>
      <c r="F1310" s="1" t="s">
        <v>4880</v>
      </c>
      <c r="H1310" s="1" t="s">
        <v>4881</v>
      </c>
      <c r="L1310" s="1" t="s">
        <v>6072</v>
      </c>
      <c r="M1310" s="1" t="s">
        <v>6073</v>
      </c>
      <c r="N1310" s="1" t="s">
        <v>6074</v>
      </c>
      <c r="P1310" s="1" t="s">
        <v>9979</v>
      </c>
      <c r="Q1310" s="30" t="s">
        <v>2565</v>
      </c>
      <c r="R1310" s="33" t="s">
        <v>3473</v>
      </c>
      <c r="S1310">
        <v>37</v>
      </c>
      <c r="T1310" s="1" t="s">
        <v>13878</v>
      </c>
      <c r="U1310" s="1" t="str">
        <f>HYPERLINK("http://ictvonline.org/taxonomy/p/taxonomy-history?taxnode_id=202111696","ICTVonline=202111696")</f>
        <v>ICTVonline=202111696</v>
      </c>
    </row>
    <row r="1311" spans="1:21" x14ac:dyDescent="0.2">
      <c r="A1311" s="3">
        <v>1310</v>
      </c>
      <c r="B1311" s="1" t="s">
        <v>4875</v>
      </c>
      <c r="D1311" s="1" t="s">
        <v>4876</v>
      </c>
      <c r="F1311" s="1" t="s">
        <v>4880</v>
      </c>
      <c r="H1311" s="1" t="s">
        <v>4881</v>
      </c>
      <c r="L1311" s="1" t="s">
        <v>6072</v>
      </c>
      <c r="M1311" s="1" t="s">
        <v>6073</v>
      </c>
      <c r="N1311" s="1" t="s">
        <v>6074</v>
      </c>
      <c r="P1311" s="1" t="s">
        <v>9980</v>
      </c>
      <c r="Q1311" s="30" t="s">
        <v>2565</v>
      </c>
      <c r="R1311" s="33" t="s">
        <v>3473</v>
      </c>
      <c r="S1311">
        <v>37</v>
      </c>
      <c r="T1311" s="1" t="s">
        <v>13878</v>
      </c>
      <c r="U1311" s="1" t="str">
        <f>HYPERLINK("http://ictvonline.org/taxonomy/p/taxonomy-history?taxnode_id=202111698","ICTVonline=202111698")</f>
        <v>ICTVonline=202111698</v>
      </c>
    </row>
    <row r="1312" spans="1:21" x14ac:dyDescent="0.2">
      <c r="A1312" s="3">
        <v>1311</v>
      </c>
      <c r="B1312" s="1" t="s">
        <v>4875</v>
      </c>
      <c r="D1312" s="1" t="s">
        <v>4876</v>
      </c>
      <c r="F1312" s="1" t="s">
        <v>4880</v>
      </c>
      <c r="H1312" s="1" t="s">
        <v>4881</v>
      </c>
      <c r="L1312" s="1" t="s">
        <v>6072</v>
      </c>
      <c r="M1312" s="1" t="s">
        <v>6073</v>
      </c>
      <c r="N1312" s="1" t="s">
        <v>6074</v>
      </c>
      <c r="P1312" s="1" t="s">
        <v>9981</v>
      </c>
      <c r="Q1312" s="30" t="s">
        <v>2565</v>
      </c>
      <c r="R1312" s="33" t="s">
        <v>3473</v>
      </c>
      <c r="S1312">
        <v>37</v>
      </c>
      <c r="T1312" s="1" t="s">
        <v>13878</v>
      </c>
      <c r="U1312" s="1" t="str">
        <f>HYPERLINK("http://ictvonline.org/taxonomy/p/taxonomy-history?taxnode_id=202111700","ICTVonline=202111700")</f>
        <v>ICTVonline=202111700</v>
      </c>
    </row>
    <row r="1313" spans="1:21" x14ac:dyDescent="0.2">
      <c r="A1313" s="3">
        <v>1312</v>
      </c>
      <c r="B1313" s="1" t="s">
        <v>4875</v>
      </c>
      <c r="D1313" s="1" t="s">
        <v>4876</v>
      </c>
      <c r="F1313" s="1" t="s">
        <v>4880</v>
      </c>
      <c r="H1313" s="1" t="s">
        <v>4881</v>
      </c>
      <c r="L1313" s="1" t="s">
        <v>6072</v>
      </c>
      <c r="M1313" s="1" t="s">
        <v>6073</v>
      </c>
      <c r="N1313" s="1" t="s">
        <v>6075</v>
      </c>
      <c r="P1313" s="1" t="s">
        <v>9982</v>
      </c>
      <c r="Q1313" s="30" t="s">
        <v>2565</v>
      </c>
      <c r="R1313" s="33" t="s">
        <v>3473</v>
      </c>
      <c r="S1313">
        <v>37</v>
      </c>
      <c r="T1313" s="1" t="s">
        <v>13878</v>
      </c>
      <c r="U1313" s="1" t="str">
        <f>HYPERLINK("http://ictvonline.org/taxonomy/p/taxonomy-history?taxnode_id=202111690","ICTVonline=202111690")</f>
        <v>ICTVonline=202111690</v>
      </c>
    </row>
    <row r="1314" spans="1:21" x14ac:dyDescent="0.2">
      <c r="A1314" s="3">
        <v>1313</v>
      </c>
      <c r="B1314" s="1" t="s">
        <v>4875</v>
      </c>
      <c r="D1314" s="1" t="s">
        <v>4876</v>
      </c>
      <c r="F1314" s="1" t="s">
        <v>4880</v>
      </c>
      <c r="H1314" s="1" t="s">
        <v>4881</v>
      </c>
      <c r="L1314" s="1" t="s">
        <v>6072</v>
      </c>
      <c r="M1314" s="1" t="s">
        <v>6073</v>
      </c>
      <c r="N1314" s="1" t="s">
        <v>6075</v>
      </c>
      <c r="P1314" s="1" t="s">
        <v>9983</v>
      </c>
      <c r="Q1314" s="30" t="s">
        <v>2565</v>
      </c>
      <c r="R1314" s="33" t="s">
        <v>3473</v>
      </c>
      <c r="S1314">
        <v>37</v>
      </c>
      <c r="T1314" s="1" t="s">
        <v>13878</v>
      </c>
      <c r="U1314" s="1" t="str">
        <f>HYPERLINK("http://ictvonline.org/taxonomy/p/taxonomy-history?taxnode_id=202111689","ICTVonline=202111689")</f>
        <v>ICTVonline=202111689</v>
      </c>
    </row>
    <row r="1315" spans="1:21" x14ac:dyDescent="0.2">
      <c r="A1315" s="3">
        <v>1314</v>
      </c>
      <c r="B1315" s="1" t="s">
        <v>4875</v>
      </c>
      <c r="D1315" s="1" t="s">
        <v>4876</v>
      </c>
      <c r="F1315" s="1" t="s">
        <v>4880</v>
      </c>
      <c r="H1315" s="1" t="s">
        <v>4881</v>
      </c>
      <c r="L1315" s="1" t="s">
        <v>6072</v>
      </c>
      <c r="N1315" s="1" t="s">
        <v>5156</v>
      </c>
      <c r="P1315" s="1" t="s">
        <v>9984</v>
      </c>
      <c r="Q1315" s="30" t="s">
        <v>2565</v>
      </c>
      <c r="R1315" s="33" t="s">
        <v>3473</v>
      </c>
      <c r="S1315">
        <v>37</v>
      </c>
      <c r="T1315" s="1" t="s">
        <v>13878</v>
      </c>
      <c r="U1315" s="1" t="str">
        <f>HYPERLINK("http://ictvonline.org/taxonomy/p/taxonomy-history?taxnode_id=202100596","ICTVonline=202100596")</f>
        <v>ICTVonline=202100596</v>
      </c>
    </row>
    <row r="1316" spans="1:21" x14ac:dyDescent="0.2">
      <c r="A1316" s="3">
        <v>1315</v>
      </c>
      <c r="B1316" s="1" t="s">
        <v>4875</v>
      </c>
      <c r="D1316" s="1" t="s">
        <v>4876</v>
      </c>
      <c r="F1316" s="1" t="s">
        <v>4880</v>
      </c>
      <c r="H1316" s="1" t="s">
        <v>4881</v>
      </c>
      <c r="L1316" s="1" t="s">
        <v>6072</v>
      </c>
      <c r="N1316" s="1" t="s">
        <v>4590</v>
      </c>
      <c r="P1316" s="1" t="s">
        <v>9985</v>
      </c>
      <c r="Q1316" s="30" t="s">
        <v>2565</v>
      </c>
      <c r="R1316" s="33" t="s">
        <v>3473</v>
      </c>
      <c r="S1316">
        <v>37</v>
      </c>
      <c r="T1316" s="1" t="s">
        <v>13878</v>
      </c>
      <c r="U1316" s="1" t="str">
        <f>HYPERLINK("http://ictvonline.org/taxonomy/p/taxonomy-history?taxnode_id=202106293","ICTVonline=202106293")</f>
        <v>ICTVonline=202106293</v>
      </c>
    </row>
    <row r="1317" spans="1:21" x14ac:dyDescent="0.2">
      <c r="A1317" s="3">
        <v>1316</v>
      </c>
      <c r="B1317" s="1" t="s">
        <v>4875</v>
      </c>
      <c r="D1317" s="1" t="s">
        <v>4876</v>
      </c>
      <c r="F1317" s="1" t="s">
        <v>4880</v>
      </c>
      <c r="H1317" s="1" t="s">
        <v>4881</v>
      </c>
      <c r="L1317" s="1" t="s">
        <v>6076</v>
      </c>
      <c r="M1317" s="1" t="s">
        <v>6077</v>
      </c>
      <c r="N1317" s="1" t="s">
        <v>6078</v>
      </c>
      <c r="P1317" s="1" t="s">
        <v>9986</v>
      </c>
      <c r="Q1317" s="30" t="s">
        <v>2565</v>
      </c>
      <c r="R1317" s="33" t="s">
        <v>3473</v>
      </c>
      <c r="S1317">
        <v>37</v>
      </c>
      <c r="T1317" s="1" t="s">
        <v>13878</v>
      </c>
      <c r="U1317" s="1" t="str">
        <f>HYPERLINK("http://ictvonline.org/taxonomy/p/taxonomy-history?taxnode_id=202111740","ICTVonline=202111740")</f>
        <v>ICTVonline=202111740</v>
      </c>
    </row>
    <row r="1318" spans="1:21" x14ac:dyDescent="0.2">
      <c r="A1318" s="3">
        <v>1317</v>
      </c>
      <c r="B1318" s="1" t="s">
        <v>4875</v>
      </c>
      <c r="D1318" s="1" t="s">
        <v>4876</v>
      </c>
      <c r="F1318" s="1" t="s">
        <v>4880</v>
      </c>
      <c r="H1318" s="1" t="s">
        <v>4881</v>
      </c>
      <c r="L1318" s="1" t="s">
        <v>6076</v>
      </c>
      <c r="M1318" s="1" t="s">
        <v>6077</v>
      </c>
      <c r="N1318" s="1" t="s">
        <v>6078</v>
      </c>
      <c r="P1318" s="1" t="s">
        <v>9987</v>
      </c>
      <c r="Q1318" s="30" t="s">
        <v>2565</v>
      </c>
      <c r="R1318" s="33" t="s">
        <v>3472</v>
      </c>
      <c r="S1318">
        <v>37</v>
      </c>
      <c r="T1318" s="1" t="s">
        <v>13895</v>
      </c>
      <c r="U1318" s="1" t="str">
        <f>HYPERLINK("http://ictvonline.org/taxonomy/p/taxonomy-history?taxnode_id=202113049","ICTVonline=202113049")</f>
        <v>ICTVonline=202113049</v>
      </c>
    </row>
    <row r="1319" spans="1:21" x14ac:dyDescent="0.2">
      <c r="A1319" s="3">
        <v>1318</v>
      </c>
      <c r="B1319" s="1" t="s">
        <v>4875</v>
      </c>
      <c r="D1319" s="1" t="s">
        <v>4876</v>
      </c>
      <c r="F1319" s="1" t="s">
        <v>4880</v>
      </c>
      <c r="H1319" s="1" t="s">
        <v>4881</v>
      </c>
      <c r="L1319" s="1" t="s">
        <v>6076</v>
      </c>
      <c r="M1319" s="1" t="s">
        <v>6077</v>
      </c>
      <c r="N1319" s="1" t="s">
        <v>6078</v>
      </c>
      <c r="P1319" s="1" t="s">
        <v>9988</v>
      </c>
      <c r="Q1319" s="30" t="s">
        <v>2565</v>
      </c>
      <c r="R1319" s="33" t="s">
        <v>3473</v>
      </c>
      <c r="S1319">
        <v>37</v>
      </c>
      <c r="T1319" s="1" t="s">
        <v>13878</v>
      </c>
      <c r="U1319" s="1" t="str">
        <f>HYPERLINK("http://ictvonline.org/taxonomy/p/taxonomy-history?taxnode_id=202111736","ICTVonline=202111736")</f>
        <v>ICTVonline=202111736</v>
      </c>
    </row>
    <row r="1320" spans="1:21" x14ac:dyDescent="0.2">
      <c r="A1320" s="3">
        <v>1319</v>
      </c>
      <c r="B1320" s="1" t="s">
        <v>4875</v>
      </c>
      <c r="D1320" s="1" t="s">
        <v>4876</v>
      </c>
      <c r="F1320" s="1" t="s">
        <v>4880</v>
      </c>
      <c r="H1320" s="1" t="s">
        <v>4881</v>
      </c>
      <c r="L1320" s="1" t="s">
        <v>6076</v>
      </c>
      <c r="M1320" s="1" t="s">
        <v>6077</v>
      </c>
      <c r="N1320" s="1" t="s">
        <v>6078</v>
      </c>
      <c r="P1320" s="1" t="s">
        <v>9989</v>
      </c>
      <c r="Q1320" s="30" t="s">
        <v>2565</v>
      </c>
      <c r="R1320" s="33" t="s">
        <v>3473</v>
      </c>
      <c r="S1320">
        <v>37</v>
      </c>
      <c r="T1320" s="1" t="s">
        <v>13878</v>
      </c>
      <c r="U1320" s="1" t="str">
        <f>HYPERLINK("http://ictvonline.org/taxonomy/p/taxonomy-history?taxnode_id=202111739","ICTVonline=202111739")</f>
        <v>ICTVonline=202111739</v>
      </c>
    </row>
    <row r="1321" spans="1:21" x14ac:dyDescent="0.2">
      <c r="A1321" s="3">
        <v>1320</v>
      </c>
      <c r="B1321" s="1" t="s">
        <v>4875</v>
      </c>
      <c r="D1321" s="1" t="s">
        <v>4876</v>
      </c>
      <c r="F1321" s="1" t="s">
        <v>4880</v>
      </c>
      <c r="H1321" s="1" t="s">
        <v>4881</v>
      </c>
      <c r="L1321" s="1" t="s">
        <v>6076</v>
      </c>
      <c r="M1321" s="1" t="s">
        <v>6077</v>
      </c>
      <c r="N1321" s="1" t="s">
        <v>6078</v>
      </c>
      <c r="P1321" s="1" t="s">
        <v>9990</v>
      </c>
      <c r="Q1321" s="30" t="s">
        <v>2565</v>
      </c>
      <c r="R1321" s="33" t="s">
        <v>3473</v>
      </c>
      <c r="S1321">
        <v>37</v>
      </c>
      <c r="T1321" s="1" t="s">
        <v>13878</v>
      </c>
      <c r="U1321" s="1" t="str">
        <f>HYPERLINK("http://ictvonline.org/taxonomy/p/taxonomy-history?taxnode_id=202111742","ICTVonline=202111742")</f>
        <v>ICTVonline=202111742</v>
      </c>
    </row>
    <row r="1322" spans="1:21" x14ac:dyDescent="0.2">
      <c r="A1322" s="3">
        <v>1321</v>
      </c>
      <c r="B1322" s="1" t="s">
        <v>4875</v>
      </c>
      <c r="D1322" s="1" t="s">
        <v>4876</v>
      </c>
      <c r="F1322" s="1" t="s">
        <v>4880</v>
      </c>
      <c r="H1322" s="1" t="s">
        <v>4881</v>
      </c>
      <c r="L1322" s="1" t="s">
        <v>6076</v>
      </c>
      <c r="M1322" s="1" t="s">
        <v>6077</v>
      </c>
      <c r="N1322" s="1" t="s">
        <v>6078</v>
      </c>
      <c r="P1322" s="1" t="s">
        <v>9991</v>
      </c>
      <c r="Q1322" s="30" t="s">
        <v>2565</v>
      </c>
      <c r="R1322" s="33" t="s">
        <v>3473</v>
      </c>
      <c r="S1322">
        <v>37</v>
      </c>
      <c r="T1322" s="1" t="s">
        <v>13878</v>
      </c>
      <c r="U1322" s="1" t="str">
        <f>HYPERLINK("http://ictvonline.org/taxonomy/p/taxonomy-history?taxnode_id=202111762","ICTVonline=202111762")</f>
        <v>ICTVonline=202111762</v>
      </c>
    </row>
    <row r="1323" spans="1:21" x14ac:dyDescent="0.2">
      <c r="A1323" s="3">
        <v>1322</v>
      </c>
      <c r="B1323" s="1" t="s">
        <v>4875</v>
      </c>
      <c r="D1323" s="1" t="s">
        <v>4876</v>
      </c>
      <c r="F1323" s="1" t="s">
        <v>4880</v>
      </c>
      <c r="H1323" s="1" t="s">
        <v>4881</v>
      </c>
      <c r="L1323" s="1" t="s">
        <v>6076</v>
      </c>
      <c r="M1323" s="1" t="s">
        <v>6077</v>
      </c>
      <c r="N1323" s="1" t="s">
        <v>6078</v>
      </c>
      <c r="P1323" s="1" t="s">
        <v>9992</v>
      </c>
      <c r="Q1323" s="30" t="s">
        <v>2565</v>
      </c>
      <c r="R1323" s="33" t="s">
        <v>3473</v>
      </c>
      <c r="S1323">
        <v>37</v>
      </c>
      <c r="T1323" s="1" t="s">
        <v>13878</v>
      </c>
      <c r="U1323" s="1" t="str">
        <f>HYPERLINK("http://ictvonline.org/taxonomy/p/taxonomy-history?taxnode_id=202111741","ICTVonline=202111741")</f>
        <v>ICTVonline=202111741</v>
      </c>
    </row>
    <row r="1324" spans="1:21" x14ac:dyDescent="0.2">
      <c r="A1324" s="3">
        <v>1323</v>
      </c>
      <c r="B1324" s="1" t="s">
        <v>4875</v>
      </c>
      <c r="D1324" s="1" t="s">
        <v>4876</v>
      </c>
      <c r="F1324" s="1" t="s">
        <v>4880</v>
      </c>
      <c r="H1324" s="1" t="s">
        <v>4881</v>
      </c>
      <c r="L1324" s="1" t="s">
        <v>6076</v>
      </c>
      <c r="M1324" s="1" t="s">
        <v>6077</v>
      </c>
      <c r="N1324" s="1" t="s">
        <v>6078</v>
      </c>
      <c r="P1324" s="1" t="s">
        <v>9993</v>
      </c>
      <c r="Q1324" s="30" t="s">
        <v>2565</v>
      </c>
      <c r="R1324" s="33" t="s">
        <v>3473</v>
      </c>
      <c r="S1324">
        <v>37</v>
      </c>
      <c r="T1324" s="1" t="s">
        <v>13878</v>
      </c>
      <c r="U1324" s="1" t="str">
        <f>HYPERLINK("http://ictvonline.org/taxonomy/p/taxonomy-history?taxnode_id=202111737","ICTVonline=202111737")</f>
        <v>ICTVonline=202111737</v>
      </c>
    </row>
    <row r="1325" spans="1:21" x14ac:dyDescent="0.2">
      <c r="A1325" s="3">
        <v>1324</v>
      </c>
      <c r="B1325" s="1" t="s">
        <v>4875</v>
      </c>
      <c r="D1325" s="1" t="s">
        <v>4876</v>
      </c>
      <c r="F1325" s="1" t="s">
        <v>4880</v>
      </c>
      <c r="H1325" s="1" t="s">
        <v>4881</v>
      </c>
      <c r="L1325" s="1" t="s">
        <v>6076</v>
      </c>
      <c r="M1325" s="1" t="s">
        <v>6077</v>
      </c>
      <c r="N1325" s="1" t="s">
        <v>6078</v>
      </c>
      <c r="P1325" s="1" t="s">
        <v>9994</v>
      </c>
      <c r="Q1325" s="30" t="s">
        <v>2565</v>
      </c>
      <c r="R1325" s="33" t="s">
        <v>3473</v>
      </c>
      <c r="S1325">
        <v>37</v>
      </c>
      <c r="T1325" s="1" t="s">
        <v>13878</v>
      </c>
      <c r="U1325" s="1" t="str">
        <f>HYPERLINK("http://ictvonline.org/taxonomy/p/taxonomy-history?taxnode_id=202111738","ICTVonline=202111738")</f>
        <v>ICTVonline=202111738</v>
      </c>
    </row>
    <row r="1326" spans="1:21" x14ac:dyDescent="0.2">
      <c r="A1326" s="3">
        <v>1325</v>
      </c>
      <c r="B1326" s="1" t="s">
        <v>4875</v>
      </c>
      <c r="D1326" s="1" t="s">
        <v>4876</v>
      </c>
      <c r="F1326" s="1" t="s">
        <v>4880</v>
      </c>
      <c r="H1326" s="1" t="s">
        <v>4881</v>
      </c>
      <c r="L1326" s="1" t="s">
        <v>6076</v>
      </c>
      <c r="M1326" s="1" t="s">
        <v>6077</v>
      </c>
      <c r="N1326" s="1" t="s">
        <v>6078</v>
      </c>
      <c r="P1326" s="1" t="s">
        <v>9995</v>
      </c>
      <c r="Q1326" s="30" t="s">
        <v>2565</v>
      </c>
      <c r="R1326" s="33" t="s">
        <v>3472</v>
      </c>
      <c r="S1326">
        <v>37</v>
      </c>
      <c r="T1326" s="1" t="s">
        <v>13895</v>
      </c>
      <c r="U1326" s="1" t="str">
        <f>HYPERLINK("http://ictvonline.org/taxonomy/p/taxonomy-history?taxnode_id=202113048","ICTVonline=202113048")</f>
        <v>ICTVonline=202113048</v>
      </c>
    </row>
    <row r="1327" spans="1:21" x14ac:dyDescent="0.2">
      <c r="A1327" s="3">
        <v>1326</v>
      </c>
      <c r="B1327" s="1" t="s">
        <v>4875</v>
      </c>
      <c r="D1327" s="1" t="s">
        <v>4876</v>
      </c>
      <c r="F1327" s="1" t="s">
        <v>4880</v>
      </c>
      <c r="H1327" s="1" t="s">
        <v>4881</v>
      </c>
      <c r="L1327" s="1" t="s">
        <v>6076</v>
      </c>
      <c r="M1327" s="1" t="s">
        <v>6077</v>
      </c>
      <c r="N1327" s="1" t="s">
        <v>6079</v>
      </c>
      <c r="P1327" s="1" t="s">
        <v>9996</v>
      </c>
      <c r="Q1327" s="30" t="s">
        <v>2565</v>
      </c>
      <c r="R1327" s="33" t="s">
        <v>3473</v>
      </c>
      <c r="S1327">
        <v>37</v>
      </c>
      <c r="T1327" s="1" t="s">
        <v>13878</v>
      </c>
      <c r="U1327" s="1" t="str">
        <f>HYPERLINK("http://ictvonline.org/taxonomy/p/taxonomy-history?taxnode_id=202111746","ICTVonline=202111746")</f>
        <v>ICTVonline=202111746</v>
      </c>
    </row>
    <row r="1328" spans="1:21" x14ac:dyDescent="0.2">
      <c r="A1328" s="3">
        <v>1327</v>
      </c>
      <c r="B1328" s="1" t="s">
        <v>4875</v>
      </c>
      <c r="D1328" s="1" t="s">
        <v>4876</v>
      </c>
      <c r="F1328" s="1" t="s">
        <v>4880</v>
      </c>
      <c r="H1328" s="1" t="s">
        <v>4881</v>
      </c>
      <c r="L1328" s="1" t="s">
        <v>6076</v>
      </c>
      <c r="M1328" s="1" t="s">
        <v>6077</v>
      </c>
      <c r="N1328" s="1" t="s">
        <v>6079</v>
      </c>
      <c r="P1328" s="1" t="s">
        <v>9997</v>
      </c>
      <c r="Q1328" s="30" t="s">
        <v>2565</v>
      </c>
      <c r="R1328" s="33" t="s">
        <v>3473</v>
      </c>
      <c r="S1328">
        <v>37</v>
      </c>
      <c r="T1328" s="1" t="s">
        <v>13878</v>
      </c>
      <c r="U1328" s="1" t="str">
        <f>HYPERLINK("http://ictvonline.org/taxonomy/p/taxonomy-history?taxnode_id=202111747","ICTVonline=202111747")</f>
        <v>ICTVonline=202111747</v>
      </c>
    </row>
    <row r="1329" spans="1:21" x14ac:dyDescent="0.2">
      <c r="A1329" s="3">
        <v>1328</v>
      </c>
      <c r="B1329" s="1" t="s">
        <v>4875</v>
      </c>
      <c r="D1329" s="1" t="s">
        <v>4876</v>
      </c>
      <c r="F1329" s="1" t="s">
        <v>4880</v>
      </c>
      <c r="H1329" s="1" t="s">
        <v>4881</v>
      </c>
      <c r="L1329" s="1" t="s">
        <v>6076</v>
      </c>
      <c r="M1329" s="1" t="s">
        <v>6077</v>
      </c>
      <c r="N1329" s="1" t="s">
        <v>6079</v>
      </c>
      <c r="P1329" s="1" t="s">
        <v>9998</v>
      </c>
      <c r="Q1329" s="30" t="s">
        <v>2565</v>
      </c>
      <c r="R1329" s="33" t="s">
        <v>3473</v>
      </c>
      <c r="S1329">
        <v>37</v>
      </c>
      <c r="T1329" s="1" t="s">
        <v>13878</v>
      </c>
      <c r="U1329" s="1" t="str">
        <f>HYPERLINK("http://ictvonline.org/taxonomy/p/taxonomy-history?taxnode_id=202111748","ICTVonline=202111748")</f>
        <v>ICTVonline=202111748</v>
      </c>
    </row>
    <row r="1330" spans="1:21" x14ac:dyDescent="0.2">
      <c r="A1330" s="3">
        <v>1329</v>
      </c>
      <c r="B1330" s="1" t="s">
        <v>4875</v>
      </c>
      <c r="D1330" s="1" t="s">
        <v>4876</v>
      </c>
      <c r="F1330" s="1" t="s">
        <v>4880</v>
      </c>
      <c r="H1330" s="1" t="s">
        <v>4881</v>
      </c>
      <c r="L1330" s="1" t="s">
        <v>6076</v>
      </c>
      <c r="M1330" s="1" t="s">
        <v>6077</v>
      </c>
      <c r="N1330" s="1" t="s">
        <v>6080</v>
      </c>
      <c r="P1330" s="1" t="s">
        <v>9999</v>
      </c>
      <c r="Q1330" s="30" t="s">
        <v>2565</v>
      </c>
      <c r="R1330" s="33" t="s">
        <v>3473</v>
      </c>
      <c r="S1330">
        <v>37</v>
      </c>
      <c r="T1330" s="1" t="s">
        <v>13878</v>
      </c>
      <c r="U1330" s="1" t="str">
        <f>HYPERLINK("http://ictvonline.org/taxonomy/p/taxonomy-history?taxnode_id=202111744","ICTVonline=202111744")</f>
        <v>ICTVonline=202111744</v>
      </c>
    </row>
    <row r="1331" spans="1:21" x14ac:dyDescent="0.2">
      <c r="A1331" s="3">
        <v>1330</v>
      </c>
      <c r="B1331" s="1" t="s">
        <v>4875</v>
      </c>
      <c r="D1331" s="1" t="s">
        <v>4876</v>
      </c>
      <c r="F1331" s="1" t="s">
        <v>4880</v>
      </c>
      <c r="H1331" s="1" t="s">
        <v>4881</v>
      </c>
      <c r="L1331" s="1" t="s">
        <v>6076</v>
      </c>
      <c r="M1331" s="1" t="s">
        <v>625</v>
      </c>
      <c r="N1331" s="1" t="s">
        <v>6081</v>
      </c>
      <c r="P1331" s="1" t="s">
        <v>10000</v>
      </c>
      <c r="Q1331" s="30" t="s">
        <v>2565</v>
      </c>
      <c r="R1331" s="33" t="s">
        <v>3473</v>
      </c>
      <c r="S1331">
        <v>37</v>
      </c>
      <c r="T1331" s="1" t="s">
        <v>13878</v>
      </c>
      <c r="U1331" s="1" t="str">
        <f>HYPERLINK("http://ictvonline.org/taxonomy/p/taxonomy-history?taxnode_id=202100598","ICTVonline=202100598")</f>
        <v>ICTVonline=202100598</v>
      </c>
    </row>
    <row r="1332" spans="1:21" x14ac:dyDescent="0.2">
      <c r="A1332" s="3">
        <v>1331</v>
      </c>
      <c r="B1332" s="1" t="s">
        <v>4875</v>
      </c>
      <c r="D1332" s="1" t="s">
        <v>4876</v>
      </c>
      <c r="F1332" s="1" t="s">
        <v>4880</v>
      </c>
      <c r="H1332" s="1" t="s">
        <v>4881</v>
      </c>
      <c r="L1332" s="1" t="s">
        <v>6076</v>
      </c>
      <c r="M1332" s="1" t="s">
        <v>625</v>
      </c>
      <c r="N1332" s="1" t="s">
        <v>6081</v>
      </c>
      <c r="P1332" s="1" t="s">
        <v>10001</v>
      </c>
      <c r="Q1332" s="30" t="s">
        <v>2565</v>
      </c>
      <c r="R1332" s="33" t="s">
        <v>3473</v>
      </c>
      <c r="S1332">
        <v>37</v>
      </c>
      <c r="T1332" s="1" t="s">
        <v>13878</v>
      </c>
      <c r="U1332" s="1" t="str">
        <f>HYPERLINK("http://ictvonline.org/taxonomy/p/taxonomy-history?taxnode_id=202111729","ICTVonline=202111729")</f>
        <v>ICTVonline=202111729</v>
      </c>
    </row>
    <row r="1333" spans="1:21" x14ac:dyDescent="0.2">
      <c r="A1333" s="3">
        <v>1332</v>
      </c>
      <c r="B1333" s="1" t="s">
        <v>4875</v>
      </c>
      <c r="D1333" s="1" t="s">
        <v>4876</v>
      </c>
      <c r="F1333" s="1" t="s">
        <v>4880</v>
      </c>
      <c r="H1333" s="1" t="s">
        <v>4881</v>
      </c>
      <c r="L1333" s="1" t="s">
        <v>6076</v>
      </c>
      <c r="M1333" s="1" t="s">
        <v>625</v>
      </c>
      <c r="N1333" s="1" t="s">
        <v>6081</v>
      </c>
      <c r="P1333" s="1" t="s">
        <v>10002</v>
      </c>
      <c r="Q1333" s="30" t="s">
        <v>2565</v>
      </c>
      <c r="R1333" s="33" t="s">
        <v>3473</v>
      </c>
      <c r="S1333">
        <v>37</v>
      </c>
      <c r="T1333" s="1" t="s">
        <v>13878</v>
      </c>
      <c r="U1333" s="1" t="str">
        <f>HYPERLINK("http://ictvonline.org/taxonomy/p/taxonomy-history?taxnode_id=202111730","ICTVonline=202111730")</f>
        <v>ICTVonline=202111730</v>
      </c>
    </row>
    <row r="1334" spans="1:21" x14ac:dyDescent="0.2">
      <c r="A1334" s="3">
        <v>1333</v>
      </c>
      <c r="B1334" s="1" t="s">
        <v>4875</v>
      </c>
      <c r="D1334" s="1" t="s">
        <v>4876</v>
      </c>
      <c r="F1334" s="1" t="s">
        <v>4880</v>
      </c>
      <c r="H1334" s="1" t="s">
        <v>4881</v>
      </c>
      <c r="L1334" s="1" t="s">
        <v>6076</v>
      </c>
      <c r="M1334" s="1" t="s">
        <v>625</v>
      </c>
      <c r="N1334" s="1" t="s">
        <v>4592</v>
      </c>
      <c r="P1334" s="1" t="s">
        <v>10003</v>
      </c>
      <c r="Q1334" s="30" t="s">
        <v>2565</v>
      </c>
      <c r="R1334" s="33" t="s">
        <v>3473</v>
      </c>
      <c r="S1334">
        <v>37</v>
      </c>
      <c r="T1334" s="1" t="s">
        <v>13878</v>
      </c>
      <c r="U1334" s="1" t="str">
        <f>HYPERLINK("http://ictvonline.org/taxonomy/p/taxonomy-history?taxnode_id=202111732","ICTVonline=202111732")</f>
        <v>ICTVonline=202111732</v>
      </c>
    </row>
    <row r="1335" spans="1:21" x14ac:dyDescent="0.2">
      <c r="A1335" s="3">
        <v>1334</v>
      </c>
      <c r="B1335" s="1" t="s">
        <v>4875</v>
      </c>
      <c r="D1335" s="1" t="s">
        <v>4876</v>
      </c>
      <c r="F1335" s="1" t="s">
        <v>4880</v>
      </c>
      <c r="H1335" s="1" t="s">
        <v>4881</v>
      </c>
      <c r="L1335" s="1" t="s">
        <v>6076</v>
      </c>
      <c r="M1335" s="1" t="s">
        <v>625</v>
      </c>
      <c r="N1335" s="1" t="s">
        <v>4592</v>
      </c>
      <c r="P1335" s="1" t="s">
        <v>10004</v>
      </c>
      <c r="Q1335" s="30" t="s">
        <v>2565</v>
      </c>
      <c r="R1335" s="33" t="s">
        <v>3473</v>
      </c>
      <c r="S1335">
        <v>37</v>
      </c>
      <c r="T1335" s="1" t="s">
        <v>13878</v>
      </c>
      <c r="U1335" s="1" t="str">
        <f>HYPERLINK("http://ictvonline.org/taxonomy/p/taxonomy-history?taxnode_id=202111733","ICTVonline=202111733")</f>
        <v>ICTVonline=202111733</v>
      </c>
    </row>
    <row r="1336" spans="1:21" x14ac:dyDescent="0.2">
      <c r="A1336" s="3">
        <v>1335</v>
      </c>
      <c r="B1336" s="1" t="s">
        <v>4875</v>
      </c>
      <c r="D1336" s="1" t="s">
        <v>4876</v>
      </c>
      <c r="F1336" s="1" t="s">
        <v>4880</v>
      </c>
      <c r="H1336" s="1" t="s">
        <v>4881</v>
      </c>
      <c r="L1336" s="1" t="s">
        <v>6076</v>
      </c>
      <c r="M1336" s="1" t="s">
        <v>625</v>
      </c>
      <c r="N1336" s="1" t="s">
        <v>4592</v>
      </c>
      <c r="P1336" s="1" t="s">
        <v>10005</v>
      </c>
      <c r="Q1336" s="30" t="s">
        <v>2565</v>
      </c>
      <c r="R1336" s="33" t="s">
        <v>3473</v>
      </c>
      <c r="S1336">
        <v>37</v>
      </c>
      <c r="T1336" s="1" t="s">
        <v>13878</v>
      </c>
      <c r="U1336" s="1" t="str">
        <f>HYPERLINK("http://ictvonline.org/taxonomy/p/taxonomy-history?taxnode_id=202100600","ICTVonline=202100600")</f>
        <v>ICTVonline=202100600</v>
      </c>
    </row>
    <row r="1337" spans="1:21" x14ac:dyDescent="0.2">
      <c r="A1337" s="3">
        <v>1336</v>
      </c>
      <c r="B1337" s="1" t="s">
        <v>4875</v>
      </c>
      <c r="D1337" s="1" t="s">
        <v>4876</v>
      </c>
      <c r="F1337" s="1" t="s">
        <v>4880</v>
      </c>
      <c r="H1337" s="1" t="s">
        <v>4881</v>
      </c>
      <c r="L1337" s="1" t="s">
        <v>6076</v>
      </c>
      <c r="M1337" s="1" t="s">
        <v>625</v>
      </c>
      <c r="N1337" s="1" t="s">
        <v>4592</v>
      </c>
      <c r="P1337" s="1" t="s">
        <v>10006</v>
      </c>
      <c r="Q1337" s="30" t="s">
        <v>2565</v>
      </c>
      <c r="R1337" s="33" t="s">
        <v>3473</v>
      </c>
      <c r="S1337">
        <v>37</v>
      </c>
      <c r="T1337" s="1" t="s">
        <v>13878</v>
      </c>
      <c r="U1337" s="1" t="str">
        <f>HYPERLINK("http://ictvonline.org/taxonomy/p/taxonomy-history?taxnode_id=202111731","ICTVonline=202111731")</f>
        <v>ICTVonline=202111731</v>
      </c>
    </row>
    <row r="1338" spans="1:21" x14ac:dyDescent="0.2">
      <c r="A1338" s="3">
        <v>1337</v>
      </c>
      <c r="B1338" s="1" t="s">
        <v>4875</v>
      </c>
      <c r="D1338" s="1" t="s">
        <v>4876</v>
      </c>
      <c r="F1338" s="1" t="s">
        <v>4880</v>
      </c>
      <c r="H1338" s="1" t="s">
        <v>4881</v>
      </c>
      <c r="L1338" s="1" t="s">
        <v>6076</v>
      </c>
      <c r="M1338" s="1" t="s">
        <v>6082</v>
      </c>
      <c r="N1338" s="1" t="s">
        <v>6083</v>
      </c>
      <c r="P1338" s="1" t="s">
        <v>10007</v>
      </c>
      <c r="Q1338" s="30" t="s">
        <v>2565</v>
      </c>
      <c r="R1338" s="33" t="s">
        <v>3473</v>
      </c>
      <c r="S1338">
        <v>37</v>
      </c>
      <c r="T1338" s="1" t="s">
        <v>13878</v>
      </c>
      <c r="U1338" s="1" t="str">
        <f>HYPERLINK("http://ictvonline.org/taxonomy/p/taxonomy-history?taxnode_id=202100599","ICTVonline=202100599")</f>
        <v>ICTVonline=202100599</v>
      </c>
    </row>
    <row r="1339" spans="1:21" x14ac:dyDescent="0.2">
      <c r="A1339" s="3">
        <v>1338</v>
      </c>
      <c r="B1339" s="1" t="s">
        <v>4875</v>
      </c>
      <c r="D1339" s="1" t="s">
        <v>4876</v>
      </c>
      <c r="F1339" s="1" t="s">
        <v>4880</v>
      </c>
      <c r="H1339" s="1" t="s">
        <v>4881</v>
      </c>
      <c r="L1339" s="1" t="s">
        <v>6076</v>
      </c>
      <c r="M1339" s="1" t="s">
        <v>6082</v>
      </c>
      <c r="N1339" s="1" t="s">
        <v>6083</v>
      </c>
      <c r="P1339" s="1" t="s">
        <v>10008</v>
      </c>
      <c r="Q1339" s="30" t="s">
        <v>2565</v>
      </c>
      <c r="R1339" s="33" t="s">
        <v>3473</v>
      </c>
      <c r="S1339">
        <v>37</v>
      </c>
      <c r="T1339" s="1" t="s">
        <v>13878</v>
      </c>
      <c r="U1339" s="1" t="str">
        <f>HYPERLINK("http://ictvonline.org/taxonomy/p/taxonomy-history?taxnode_id=202111753","ICTVonline=202111753")</f>
        <v>ICTVonline=202111753</v>
      </c>
    </row>
    <row r="1340" spans="1:21" x14ac:dyDescent="0.2">
      <c r="A1340" s="3">
        <v>1339</v>
      </c>
      <c r="B1340" s="1" t="s">
        <v>4875</v>
      </c>
      <c r="D1340" s="1" t="s">
        <v>4876</v>
      </c>
      <c r="F1340" s="1" t="s">
        <v>4880</v>
      </c>
      <c r="H1340" s="1" t="s">
        <v>4881</v>
      </c>
      <c r="L1340" s="1" t="s">
        <v>6076</v>
      </c>
      <c r="M1340" s="2" t="s">
        <v>6082</v>
      </c>
      <c r="N1340" s="1" t="s">
        <v>6084</v>
      </c>
      <c r="P1340" s="1" t="s">
        <v>10009</v>
      </c>
      <c r="Q1340" s="30" t="s">
        <v>2565</v>
      </c>
      <c r="R1340" s="33" t="s">
        <v>3473</v>
      </c>
      <c r="S1340">
        <v>37</v>
      </c>
      <c r="T1340" s="1" t="s">
        <v>13878</v>
      </c>
      <c r="U1340" s="1" t="str">
        <f>HYPERLINK("http://ictvonline.org/taxonomy/p/taxonomy-history?taxnode_id=202111751","ICTVonline=202111751")</f>
        <v>ICTVonline=202111751</v>
      </c>
    </row>
    <row r="1341" spans="1:21" x14ac:dyDescent="0.2">
      <c r="A1341" s="3">
        <v>1340</v>
      </c>
      <c r="B1341" s="1" t="s">
        <v>4875</v>
      </c>
      <c r="D1341" s="1" t="s">
        <v>4876</v>
      </c>
      <c r="F1341" s="1" t="s">
        <v>4880</v>
      </c>
      <c r="H1341" s="1" t="s">
        <v>4881</v>
      </c>
      <c r="L1341" s="1" t="s">
        <v>6076</v>
      </c>
      <c r="N1341" s="1" t="s">
        <v>6085</v>
      </c>
      <c r="P1341" s="1" t="s">
        <v>10010</v>
      </c>
      <c r="Q1341" s="30" t="s">
        <v>2565</v>
      </c>
      <c r="R1341" s="33" t="s">
        <v>3473</v>
      </c>
      <c r="S1341">
        <v>37</v>
      </c>
      <c r="T1341" s="1" t="s">
        <v>13878</v>
      </c>
      <c r="U1341" s="1" t="str">
        <f>HYPERLINK("http://ictvonline.org/taxonomy/p/taxonomy-history?taxnode_id=202111755","ICTVonline=202111755")</f>
        <v>ICTVonline=202111755</v>
      </c>
    </row>
    <row r="1342" spans="1:21" x14ac:dyDescent="0.2">
      <c r="A1342" s="3">
        <v>1341</v>
      </c>
      <c r="B1342" s="1" t="s">
        <v>4875</v>
      </c>
      <c r="D1342" s="1" t="s">
        <v>4876</v>
      </c>
      <c r="F1342" s="1" t="s">
        <v>4880</v>
      </c>
      <c r="H1342" s="1" t="s">
        <v>4881</v>
      </c>
      <c r="L1342" s="1" t="s">
        <v>6076</v>
      </c>
      <c r="N1342" s="1" t="s">
        <v>6085</v>
      </c>
      <c r="P1342" s="1" t="s">
        <v>10011</v>
      </c>
      <c r="Q1342" s="30" t="s">
        <v>2565</v>
      </c>
      <c r="R1342" s="33" t="s">
        <v>3473</v>
      </c>
      <c r="S1342">
        <v>37</v>
      </c>
      <c r="T1342" s="1" t="s">
        <v>13878</v>
      </c>
      <c r="U1342" s="1" t="str">
        <f>HYPERLINK("http://ictvonline.org/taxonomy/p/taxonomy-history?taxnode_id=202111756","ICTVonline=202111756")</f>
        <v>ICTVonline=202111756</v>
      </c>
    </row>
    <row r="1343" spans="1:21" x14ac:dyDescent="0.2">
      <c r="A1343" s="3">
        <v>1342</v>
      </c>
      <c r="B1343" s="1" t="s">
        <v>4875</v>
      </c>
      <c r="D1343" s="1" t="s">
        <v>4876</v>
      </c>
      <c r="F1343" s="1" t="s">
        <v>4880</v>
      </c>
      <c r="H1343" s="1" t="s">
        <v>4881</v>
      </c>
      <c r="L1343" s="1" t="s">
        <v>6076</v>
      </c>
      <c r="N1343" s="1" t="s">
        <v>6085</v>
      </c>
      <c r="P1343" s="1" t="s">
        <v>10012</v>
      </c>
      <c r="Q1343" s="30" t="s">
        <v>2565</v>
      </c>
      <c r="R1343" s="33" t="s">
        <v>3472</v>
      </c>
      <c r="S1343">
        <v>37</v>
      </c>
      <c r="T1343" s="1" t="s">
        <v>13896</v>
      </c>
      <c r="U1343" s="1" t="str">
        <f>HYPERLINK("http://ictvonline.org/taxonomy/p/taxonomy-history?taxnode_id=202112983","ICTVonline=202112983")</f>
        <v>ICTVonline=202112983</v>
      </c>
    </row>
    <row r="1344" spans="1:21" x14ac:dyDescent="0.2">
      <c r="A1344" s="3">
        <v>1343</v>
      </c>
      <c r="B1344" s="1" t="s">
        <v>4875</v>
      </c>
      <c r="D1344" s="1" t="s">
        <v>4876</v>
      </c>
      <c r="F1344" s="1" t="s">
        <v>4880</v>
      </c>
      <c r="H1344" s="1" t="s">
        <v>4881</v>
      </c>
      <c r="L1344" s="1" t="s">
        <v>6076</v>
      </c>
      <c r="N1344" s="1" t="s">
        <v>4589</v>
      </c>
      <c r="P1344" s="1" t="s">
        <v>10013</v>
      </c>
      <c r="Q1344" s="30" t="s">
        <v>2565</v>
      </c>
      <c r="R1344" s="33" t="s">
        <v>3473</v>
      </c>
      <c r="S1344">
        <v>37</v>
      </c>
      <c r="T1344" s="1" t="s">
        <v>13878</v>
      </c>
      <c r="U1344" s="1" t="str">
        <f>HYPERLINK("http://ictvonline.org/taxonomy/p/taxonomy-history?taxnode_id=202100592","ICTVonline=202100592")</f>
        <v>ICTVonline=202100592</v>
      </c>
    </row>
    <row r="1345" spans="1:21" x14ac:dyDescent="0.2">
      <c r="A1345" s="3">
        <v>1344</v>
      </c>
      <c r="B1345" s="1" t="s">
        <v>4875</v>
      </c>
      <c r="D1345" s="1" t="s">
        <v>4876</v>
      </c>
      <c r="F1345" s="1" t="s">
        <v>4880</v>
      </c>
      <c r="H1345" s="1" t="s">
        <v>4881</v>
      </c>
      <c r="L1345" s="1" t="s">
        <v>6076</v>
      </c>
      <c r="N1345" s="1" t="s">
        <v>4589</v>
      </c>
      <c r="P1345" s="1" t="s">
        <v>10014</v>
      </c>
      <c r="Q1345" s="30" t="s">
        <v>2565</v>
      </c>
      <c r="R1345" s="33" t="s">
        <v>3473</v>
      </c>
      <c r="S1345">
        <v>37</v>
      </c>
      <c r="T1345" s="1" t="s">
        <v>13878</v>
      </c>
      <c r="U1345" s="1" t="str">
        <f>HYPERLINK("http://ictvonline.org/taxonomy/p/taxonomy-history?taxnode_id=202100593","ICTVonline=202100593")</f>
        <v>ICTVonline=202100593</v>
      </c>
    </row>
    <row r="1346" spans="1:21" x14ac:dyDescent="0.2">
      <c r="A1346" s="3">
        <v>1345</v>
      </c>
      <c r="B1346" s="1" t="s">
        <v>4875</v>
      </c>
      <c r="D1346" s="1" t="s">
        <v>4876</v>
      </c>
      <c r="F1346" s="1" t="s">
        <v>4880</v>
      </c>
      <c r="H1346" s="1" t="s">
        <v>4881</v>
      </c>
      <c r="L1346" s="1" t="s">
        <v>6076</v>
      </c>
      <c r="N1346" s="1" t="s">
        <v>6086</v>
      </c>
      <c r="P1346" s="1" t="s">
        <v>10015</v>
      </c>
      <c r="Q1346" s="30" t="s">
        <v>2565</v>
      </c>
      <c r="R1346" s="33" t="s">
        <v>3473</v>
      </c>
      <c r="S1346">
        <v>37</v>
      </c>
      <c r="T1346" s="1" t="s">
        <v>13878</v>
      </c>
      <c r="U1346" s="1" t="str">
        <f>HYPERLINK("http://ictvonline.org/taxonomy/p/taxonomy-history?taxnode_id=202111761","ICTVonline=202111761")</f>
        <v>ICTVonline=202111761</v>
      </c>
    </row>
    <row r="1347" spans="1:21" x14ac:dyDescent="0.2">
      <c r="A1347" s="3">
        <v>1346</v>
      </c>
      <c r="B1347" s="1" t="s">
        <v>4875</v>
      </c>
      <c r="D1347" s="1" t="s">
        <v>4876</v>
      </c>
      <c r="F1347" s="1" t="s">
        <v>4880</v>
      </c>
      <c r="H1347" s="1" t="s">
        <v>4881</v>
      </c>
      <c r="L1347" s="1" t="s">
        <v>6076</v>
      </c>
      <c r="N1347" s="1" t="s">
        <v>6086</v>
      </c>
      <c r="P1347" s="1" t="s">
        <v>10016</v>
      </c>
      <c r="Q1347" s="30" t="s">
        <v>2565</v>
      </c>
      <c r="R1347" s="33" t="s">
        <v>3473</v>
      </c>
      <c r="S1347">
        <v>37</v>
      </c>
      <c r="T1347" s="1" t="s">
        <v>13878</v>
      </c>
      <c r="U1347" s="1" t="str">
        <f>HYPERLINK("http://ictvonline.org/taxonomy/p/taxonomy-history?taxnode_id=202111760","ICTVonline=202111760")</f>
        <v>ICTVonline=202111760</v>
      </c>
    </row>
    <row r="1348" spans="1:21" x14ac:dyDescent="0.2">
      <c r="A1348" s="3">
        <v>1347</v>
      </c>
      <c r="B1348" s="1" t="s">
        <v>4875</v>
      </c>
      <c r="D1348" s="1" t="s">
        <v>4876</v>
      </c>
      <c r="F1348" s="1" t="s">
        <v>4880</v>
      </c>
      <c r="H1348" s="1" t="s">
        <v>4881</v>
      </c>
      <c r="L1348" s="1" t="s">
        <v>6076</v>
      </c>
      <c r="N1348" s="1" t="s">
        <v>10017</v>
      </c>
      <c r="P1348" s="1" t="s">
        <v>10018</v>
      </c>
      <c r="Q1348" s="30" t="s">
        <v>2565</v>
      </c>
      <c r="R1348" s="33" t="s">
        <v>3472</v>
      </c>
      <c r="S1348">
        <v>37</v>
      </c>
      <c r="T1348" s="1" t="s">
        <v>13897</v>
      </c>
      <c r="U1348" s="1" t="str">
        <f>HYPERLINK("http://ictvonline.org/taxonomy/p/taxonomy-history?taxnode_id=202112346","ICTVonline=202112346")</f>
        <v>ICTVonline=202112346</v>
      </c>
    </row>
    <row r="1349" spans="1:21" x14ac:dyDescent="0.2">
      <c r="A1349" s="3">
        <v>1348</v>
      </c>
      <c r="B1349" s="1" t="s">
        <v>4875</v>
      </c>
      <c r="D1349" s="1" t="s">
        <v>4876</v>
      </c>
      <c r="F1349" s="1" t="s">
        <v>4880</v>
      </c>
      <c r="H1349" s="1" t="s">
        <v>4881</v>
      </c>
      <c r="L1349" s="1" t="s">
        <v>6076</v>
      </c>
      <c r="N1349" s="1" t="s">
        <v>6087</v>
      </c>
      <c r="P1349" s="1" t="s">
        <v>10019</v>
      </c>
      <c r="Q1349" s="30" t="s">
        <v>2565</v>
      </c>
      <c r="R1349" s="33" t="s">
        <v>3473</v>
      </c>
      <c r="S1349">
        <v>37</v>
      </c>
      <c r="T1349" s="1" t="s">
        <v>13878</v>
      </c>
      <c r="U1349" s="1" t="str">
        <f>HYPERLINK("http://ictvonline.org/taxonomy/p/taxonomy-history?taxnode_id=202111758","ICTVonline=202111758")</f>
        <v>ICTVonline=202111758</v>
      </c>
    </row>
    <row r="1350" spans="1:21" x14ac:dyDescent="0.2">
      <c r="A1350" s="3">
        <v>1349</v>
      </c>
      <c r="B1350" s="1" t="s">
        <v>4875</v>
      </c>
      <c r="D1350" s="1" t="s">
        <v>4876</v>
      </c>
      <c r="F1350" s="1" t="s">
        <v>4880</v>
      </c>
      <c r="H1350" s="1" t="s">
        <v>4881</v>
      </c>
      <c r="L1350" s="1" t="s">
        <v>10020</v>
      </c>
      <c r="N1350" s="1" t="s">
        <v>10021</v>
      </c>
      <c r="P1350" s="1" t="s">
        <v>10022</v>
      </c>
      <c r="Q1350" s="30" t="s">
        <v>2565</v>
      </c>
      <c r="R1350" s="33" t="s">
        <v>3472</v>
      </c>
      <c r="S1350">
        <v>37</v>
      </c>
      <c r="T1350" s="1" t="s">
        <v>13876</v>
      </c>
      <c r="U1350" s="1" t="str">
        <f>HYPERLINK("http://ictvonline.org/taxonomy/p/taxonomy-history?taxnode_id=202112177","ICTVonline=202112177")</f>
        <v>ICTVonline=202112177</v>
      </c>
    </row>
    <row r="1351" spans="1:21" x14ac:dyDescent="0.2">
      <c r="A1351" s="3">
        <v>1350</v>
      </c>
      <c r="B1351" s="1" t="s">
        <v>4875</v>
      </c>
      <c r="D1351" s="1" t="s">
        <v>4876</v>
      </c>
      <c r="F1351" s="1" t="s">
        <v>4880</v>
      </c>
      <c r="H1351" s="1" t="s">
        <v>4881</v>
      </c>
      <c r="L1351" s="1" t="s">
        <v>10020</v>
      </c>
      <c r="N1351" s="1" t="s">
        <v>10023</v>
      </c>
      <c r="P1351" s="1" t="s">
        <v>10024</v>
      </c>
      <c r="Q1351" s="30" t="s">
        <v>2565</v>
      </c>
      <c r="R1351" s="33" t="s">
        <v>3472</v>
      </c>
      <c r="S1351">
        <v>37</v>
      </c>
      <c r="T1351" s="1" t="s">
        <v>13876</v>
      </c>
      <c r="U1351" s="1" t="str">
        <f>HYPERLINK("http://ictvonline.org/taxonomy/p/taxonomy-history?taxnode_id=202112176","ICTVonline=202112176")</f>
        <v>ICTVonline=202112176</v>
      </c>
    </row>
    <row r="1352" spans="1:21" x14ac:dyDescent="0.2">
      <c r="A1352" s="3">
        <v>1351</v>
      </c>
      <c r="B1352" s="1" t="s">
        <v>4875</v>
      </c>
      <c r="D1352" s="1" t="s">
        <v>4876</v>
      </c>
      <c r="F1352" s="1" t="s">
        <v>4880</v>
      </c>
      <c r="H1352" s="1" t="s">
        <v>4881</v>
      </c>
      <c r="L1352" s="1" t="s">
        <v>6088</v>
      </c>
      <c r="M1352" s="1" t="s">
        <v>6089</v>
      </c>
      <c r="N1352" s="1" t="s">
        <v>4602</v>
      </c>
      <c r="P1352" s="1" t="s">
        <v>10025</v>
      </c>
      <c r="Q1352" s="30" t="s">
        <v>2565</v>
      </c>
      <c r="R1352" s="33" t="s">
        <v>3473</v>
      </c>
      <c r="S1352">
        <v>37</v>
      </c>
      <c r="T1352" s="1" t="s">
        <v>13878</v>
      </c>
      <c r="U1352" s="1" t="str">
        <f>HYPERLINK("http://ictvonline.org/taxonomy/p/taxonomy-history?taxnode_id=202100672","ICTVonline=202100672")</f>
        <v>ICTVonline=202100672</v>
      </c>
    </row>
    <row r="1353" spans="1:21" x14ac:dyDescent="0.2">
      <c r="A1353" s="3">
        <v>1352</v>
      </c>
      <c r="B1353" s="1" t="s">
        <v>4875</v>
      </c>
      <c r="D1353" s="1" t="s">
        <v>4876</v>
      </c>
      <c r="F1353" s="1" t="s">
        <v>4880</v>
      </c>
      <c r="H1353" s="1" t="s">
        <v>4881</v>
      </c>
      <c r="L1353" s="1" t="s">
        <v>6088</v>
      </c>
      <c r="M1353" s="1" t="s">
        <v>6089</v>
      </c>
      <c r="N1353" s="1" t="s">
        <v>4604</v>
      </c>
      <c r="P1353" s="1" t="s">
        <v>10026</v>
      </c>
      <c r="Q1353" s="30" t="s">
        <v>2565</v>
      </c>
      <c r="R1353" s="33" t="s">
        <v>3473</v>
      </c>
      <c r="S1353">
        <v>37</v>
      </c>
      <c r="T1353" s="1" t="s">
        <v>13878</v>
      </c>
      <c r="U1353" s="1" t="str">
        <f>HYPERLINK("http://ictvonline.org/taxonomy/p/taxonomy-history?taxnode_id=202100643","ICTVonline=202100643")</f>
        <v>ICTVonline=202100643</v>
      </c>
    </row>
    <row r="1354" spans="1:21" x14ac:dyDescent="0.2">
      <c r="A1354" s="3">
        <v>1353</v>
      </c>
      <c r="B1354" s="1" t="s">
        <v>4875</v>
      </c>
      <c r="D1354" s="1" t="s">
        <v>4876</v>
      </c>
      <c r="F1354" s="1" t="s">
        <v>4880</v>
      </c>
      <c r="H1354" s="1" t="s">
        <v>4881</v>
      </c>
      <c r="L1354" s="1" t="s">
        <v>6088</v>
      </c>
      <c r="M1354" s="1" t="s">
        <v>6089</v>
      </c>
      <c r="N1354" s="1" t="s">
        <v>4604</v>
      </c>
      <c r="P1354" s="1" t="s">
        <v>10027</v>
      </c>
      <c r="Q1354" s="30" t="s">
        <v>2565</v>
      </c>
      <c r="R1354" s="33" t="s">
        <v>3473</v>
      </c>
      <c r="S1354">
        <v>37</v>
      </c>
      <c r="T1354" s="1" t="s">
        <v>13878</v>
      </c>
      <c r="U1354" s="1" t="str">
        <f>HYPERLINK("http://ictvonline.org/taxonomy/p/taxonomy-history?taxnode_id=202100644","ICTVonline=202100644")</f>
        <v>ICTVonline=202100644</v>
      </c>
    </row>
    <row r="1355" spans="1:21" x14ac:dyDescent="0.2">
      <c r="A1355" s="3">
        <v>1354</v>
      </c>
      <c r="B1355" s="1" t="s">
        <v>4875</v>
      </c>
      <c r="D1355" s="1" t="s">
        <v>4876</v>
      </c>
      <c r="F1355" s="1" t="s">
        <v>4880</v>
      </c>
      <c r="H1355" s="1" t="s">
        <v>4881</v>
      </c>
      <c r="L1355" s="1" t="s">
        <v>6088</v>
      </c>
      <c r="M1355" s="1" t="s">
        <v>6089</v>
      </c>
      <c r="N1355" s="1" t="s">
        <v>4604</v>
      </c>
      <c r="P1355" s="1" t="s">
        <v>10028</v>
      </c>
      <c r="Q1355" s="30" t="s">
        <v>2565</v>
      </c>
      <c r="R1355" s="33" t="s">
        <v>3473</v>
      </c>
      <c r="S1355">
        <v>37</v>
      </c>
      <c r="T1355" s="1" t="s">
        <v>13878</v>
      </c>
      <c r="U1355" s="1" t="str">
        <f>HYPERLINK("http://ictvonline.org/taxonomy/p/taxonomy-history?taxnode_id=202100645","ICTVonline=202100645")</f>
        <v>ICTVonline=202100645</v>
      </c>
    </row>
    <row r="1356" spans="1:21" x14ac:dyDescent="0.2">
      <c r="A1356" s="3">
        <v>1355</v>
      </c>
      <c r="B1356" s="1" t="s">
        <v>4875</v>
      </c>
      <c r="D1356" s="1" t="s">
        <v>4876</v>
      </c>
      <c r="F1356" s="1" t="s">
        <v>4880</v>
      </c>
      <c r="H1356" s="1" t="s">
        <v>4881</v>
      </c>
      <c r="L1356" s="1" t="s">
        <v>6088</v>
      </c>
      <c r="M1356" s="1" t="s">
        <v>6089</v>
      </c>
      <c r="N1356" s="1" t="s">
        <v>4604</v>
      </c>
      <c r="P1356" s="1" t="s">
        <v>10029</v>
      </c>
      <c r="Q1356" s="30" t="s">
        <v>2565</v>
      </c>
      <c r="R1356" s="33" t="s">
        <v>3473</v>
      </c>
      <c r="S1356">
        <v>37</v>
      </c>
      <c r="T1356" s="1" t="s">
        <v>13878</v>
      </c>
      <c r="U1356" s="1" t="str">
        <f>HYPERLINK("http://ictvonline.org/taxonomy/p/taxonomy-history?taxnode_id=202100646","ICTVonline=202100646")</f>
        <v>ICTVonline=202100646</v>
      </c>
    </row>
    <row r="1357" spans="1:21" x14ac:dyDescent="0.2">
      <c r="A1357" s="3">
        <v>1356</v>
      </c>
      <c r="B1357" s="1" t="s">
        <v>4875</v>
      </c>
      <c r="D1357" s="1" t="s">
        <v>4876</v>
      </c>
      <c r="F1357" s="1" t="s">
        <v>4880</v>
      </c>
      <c r="H1357" s="1" t="s">
        <v>4881</v>
      </c>
      <c r="L1357" s="1" t="s">
        <v>6088</v>
      </c>
      <c r="M1357" s="1" t="s">
        <v>6089</v>
      </c>
      <c r="N1357" s="1" t="s">
        <v>4604</v>
      </c>
      <c r="P1357" s="1" t="s">
        <v>10030</v>
      </c>
      <c r="Q1357" s="30" t="s">
        <v>2565</v>
      </c>
      <c r="R1357" s="33" t="s">
        <v>3473</v>
      </c>
      <c r="S1357">
        <v>37</v>
      </c>
      <c r="T1357" s="1" t="s">
        <v>13878</v>
      </c>
      <c r="U1357" s="1" t="str">
        <f>HYPERLINK("http://ictvonline.org/taxonomy/p/taxonomy-history?taxnode_id=202100647","ICTVonline=202100647")</f>
        <v>ICTVonline=202100647</v>
      </c>
    </row>
    <row r="1358" spans="1:21" x14ac:dyDescent="0.2">
      <c r="A1358" s="3">
        <v>1357</v>
      </c>
      <c r="B1358" s="1" t="s">
        <v>4875</v>
      </c>
      <c r="D1358" s="1" t="s">
        <v>4876</v>
      </c>
      <c r="F1358" s="1" t="s">
        <v>4880</v>
      </c>
      <c r="H1358" s="1" t="s">
        <v>4881</v>
      </c>
      <c r="L1358" s="1" t="s">
        <v>6088</v>
      </c>
      <c r="M1358" s="1" t="s">
        <v>6089</v>
      </c>
      <c r="N1358" s="1" t="s">
        <v>4604</v>
      </c>
      <c r="P1358" s="1" t="s">
        <v>10031</v>
      </c>
      <c r="Q1358" s="30" t="s">
        <v>2565</v>
      </c>
      <c r="R1358" s="33" t="s">
        <v>3473</v>
      </c>
      <c r="S1358">
        <v>37</v>
      </c>
      <c r="T1358" s="1" t="s">
        <v>13878</v>
      </c>
      <c r="U1358" s="1" t="str">
        <f>HYPERLINK("http://ictvonline.org/taxonomy/p/taxonomy-history?taxnode_id=202100648","ICTVonline=202100648")</f>
        <v>ICTVonline=202100648</v>
      </c>
    </row>
    <row r="1359" spans="1:21" x14ac:dyDescent="0.2">
      <c r="A1359" s="3">
        <v>1358</v>
      </c>
      <c r="B1359" s="1" t="s">
        <v>4875</v>
      </c>
      <c r="D1359" s="1" t="s">
        <v>4876</v>
      </c>
      <c r="F1359" s="1" t="s">
        <v>4880</v>
      </c>
      <c r="H1359" s="1" t="s">
        <v>4881</v>
      </c>
      <c r="L1359" s="1" t="s">
        <v>6088</v>
      </c>
      <c r="M1359" s="1" t="s">
        <v>6089</v>
      </c>
      <c r="N1359" s="1" t="s">
        <v>4604</v>
      </c>
      <c r="P1359" s="1" t="s">
        <v>10032</v>
      </c>
      <c r="Q1359" s="30" t="s">
        <v>2565</v>
      </c>
      <c r="R1359" s="33" t="s">
        <v>3473</v>
      </c>
      <c r="S1359">
        <v>37</v>
      </c>
      <c r="T1359" s="1" t="s">
        <v>13878</v>
      </c>
      <c r="U1359" s="1" t="str">
        <f>HYPERLINK("http://ictvonline.org/taxonomy/p/taxonomy-history?taxnode_id=202100649","ICTVonline=202100649")</f>
        <v>ICTVonline=202100649</v>
      </c>
    </row>
    <row r="1360" spans="1:21" x14ac:dyDescent="0.2">
      <c r="A1360" s="3">
        <v>1359</v>
      </c>
      <c r="B1360" s="1" t="s">
        <v>4875</v>
      </c>
      <c r="D1360" s="1" t="s">
        <v>4876</v>
      </c>
      <c r="F1360" s="1" t="s">
        <v>4880</v>
      </c>
      <c r="H1360" s="1" t="s">
        <v>4881</v>
      </c>
      <c r="L1360" s="1" t="s">
        <v>6088</v>
      </c>
      <c r="M1360" s="1" t="s">
        <v>6089</v>
      </c>
      <c r="N1360" s="1" t="s">
        <v>4604</v>
      </c>
      <c r="P1360" s="1" t="s">
        <v>10033</v>
      </c>
      <c r="Q1360" s="30" t="s">
        <v>2565</v>
      </c>
      <c r="R1360" s="33" t="s">
        <v>3473</v>
      </c>
      <c r="S1360">
        <v>37</v>
      </c>
      <c r="T1360" s="1" t="s">
        <v>13878</v>
      </c>
      <c r="U1360" s="1" t="str">
        <f>HYPERLINK("http://ictvonline.org/taxonomy/p/taxonomy-history?taxnode_id=202100650","ICTVonline=202100650")</f>
        <v>ICTVonline=202100650</v>
      </c>
    </row>
    <row r="1361" spans="1:21" x14ac:dyDescent="0.2">
      <c r="A1361" s="3">
        <v>1360</v>
      </c>
      <c r="B1361" s="1" t="s">
        <v>4875</v>
      </c>
      <c r="D1361" s="1" t="s">
        <v>4876</v>
      </c>
      <c r="F1361" s="1" t="s">
        <v>4880</v>
      </c>
      <c r="H1361" s="1" t="s">
        <v>4881</v>
      </c>
      <c r="L1361" s="1" t="s">
        <v>6088</v>
      </c>
      <c r="M1361" s="1" t="s">
        <v>6089</v>
      </c>
      <c r="N1361" s="1" t="s">
        <v>6090</v>
      </c>
      <c r="P1361" s="1" t="s">
        <v>10034</v>
      </c>
      <c r="Q1361" s="30" t="s">
        <v>2565</v>
      </c>
      <c r="R1361" s="33" t="s">
        <v>3473</v>
      </c>
      <c r="S1361">
        <v>37</v>
      </c>
      <c r="T1361" s="1" t="s">
        <v>13878</v>
      </c>
      <c r="U1361" s="1" t="str">
        <f>HYPERLINK("http://ictvonline.org/taxonomy/p/taxonomy-history?taxnode_id=202111771","ICTVonline=202111771")</f>
        <v>ICTVonline=202111771</v>
      </c>
    </row>
    <row r="1362" spans="1:21" x14ac:dyDescent="0.2">
      <c r="A1362" s="3">
        <v>1361</v>
      </c>
      <c r="B1362" s="1" t="s">
        <v>4875</v>
      </c>
      <c r="D1362" s="1" t="s">
        <v>4876</v>
      </c>
      <c r="F1362" s="1" t="s">
        <v>4880</v>
      </c>
      <c r="H1362" s="1" t="s">
        <v>4881</v>
      </c>
      <c r="L1362" s="1" t="s">
        <v>6088</v>
      </c>
      <c r="M1362" s="1" t="s">
        <v>6091</v>
      </c>
      <c r="N1362" s="1" t="s">
        <v>4608</v>
      </c>
      <c r="P1362" s="1" t="s">
        <v>10035</v>
      </c>
      <c r="Q1362" s="30" t="s">
        <v>2565</v>
      </c>
      <c r="R1362" s="33" t="s">
        <v>3473</v>
      </c>
      <c r="S1362">
        <v>37</v>
      </c>
      <c r="T1362" s="1" t="s">
        <v>13878</v>
      </c>
      <c r="U1362" s="1" t="str">
        <f>HYPERLINK("http://ictvonline.org/taxonomy/p/taxonomy-history?taxnode_id=202100633","ICTVonline=202100633")</f>
        <v>ICTVonline=202100633</v>
      </c>
    </row>
    <row r="1363" spans="1:21" x14ac:dyDescent="0.2">
      <c r="A1363" s="3">
        <v>1362</v>
      </c>
      <c r="B1363" s="1" t="s">
        <v>4875</v>
      </c>
      <c r="D1363" s="1" t="s">
        <v>4876</v>
      </c>
      <c r="F1363" s="1" t="s">
        <v>4880</v>
      </c>
      <c r="H1363" s="1" t="s">
        <v>4881</v>
      </c>
      <c r="L1363" s="1" t="s">
        <v>6088</v>
      </c>
      <c r="M1363" s="1" t="s">
        <v>6091</v>
      </c>
      <c r="N1363" s="1" t="s">
        <v>4608</v>
      </c>
      <c r="P1363" s="1" t="s">
        <v>10036</v>
      </c>
      <c r="Q1363" s="30" t="s">
        <v>2565</v>
      </c>
      <c r="R1363" s="33" t="s">
        <v>3473</v>
      </c>
      <c r="S1363">
        <v>37</v>
      </c>
      <c r="T1363" s="1" t="s">
        <v>13878</v>
      </c>
      <c r="U1363" s="1" t="str">
        <f>HYPERLINK("http://ictvonline.org/taxonomy/p/taxonomy-history?taxnode_id=202100634","ICTVonline=202100634")</f>
        <v>ICTVonline=202100634</v>
      </c>
    </row>
    <row r="1364" spans="1:21" x14ac:dyDescent="0.2">
      <c r="A1364" s="3">
        <v>1363</v>
      </c>
      <c r="B1364" s="1" t="s">
        <v>4875</v>
      </c>
      <c r="D1364" s="1" t="s">
        <v>4876</v>
      </c>
      <c r="F1364" s="1" t="s">
        <v>4880</v>
      </c>
      <c r="H1364" s="1" t="s">
        <v>4881</v>
      </c>
      <c r="L1364" s="1" t="s">
        <v>6088</v>
      </c>
      <c r="M1364" s="1" t="s">
        <v>6091</v>
      </c>
      <c r="N1364" s="1" t="s">
        <v>6092</v>
      </c>
      <c r="P1364" s="1" t="s">
        <v>10037</v>
      </c>
      <c r="Q1364" s="30" t="s">
        <v>2565</v>
      </c>
      <c r="R1364" s="33" t="s">
        <v>3473</v>
      </c>
      <c r="S1364">
        <v>37</v>
      </c>
      <c r="T1364" s="1" t="s">
        <v>13878</v>
      </c>
      <c r="U1364" s="1" t="str">
        <f>HYPERLINK("http://ictvonline.org/taxonomy/p/taxonomy-history?taxnode_id=202111774","ICTVonline=202111774")</f>
        <v>ICTVonline=202111774</v>
      </c>
    </row>
    <row r="1365" spans="1:21" x14ac:dyDescent="0.2">
      <c r="A1365" s="3">
        <v>1364</v>
      </c>
      <c r="B1365" s="1" t="s">
        <v>4875</v>
      </c>
      <c r="D1365" s="1" t="s">
        <v>4876</v>
      </c>
      <c r="F1365" s="1" t="s">
        <v>4880</v>
      </c>
      <c r="H1365" s="1" t="s">
        <v>4881</v>
      </c>
      <c r="L1365" s="1" t="s">
        <v>6088</v>
      </c>
      <c r="M1365" s="1" t="s">
        <v>6093</v>
      </c>
      <c r="N1365" s="1" t="s">
        <v>6094</v>
      </c>
      <c r="P1365" s="1" t="s">
        <v>10038</v>
      </c>
      <c r="Q1365" s="30" t="s">
        <v>2565</v>
      </c>
      <c r="R1365" s="33" t="s">
        <v>3473</v>
      </c>
      <c r="S1365">
        <v>37</v>
      </c>
      <c r="T1365" s="1" t="s">
        <v>13878</v>
      </c>
      <c r="U1365" s="1" t="str">
        <f>HYPERLINK("http://ictvonline.org/taxonomy/p/taxonomy-history?taxnode_id=202111779","ICTVonline=202111779")</f>
        <v>ICTVonline=202111779</v>
      </c>
    </row>
    <row r="1366" spans="1:21" x14ac:dyDescent="0.2">
      <c r="A1366" s="3">
        <v>1365</v>
      </c>
      <c r="B1366" s="1" t="s">
        <v>4875</v>
      </c>
      <c r="D1366" s="1" t="s">
        <v>4876</v>
      </c>
      <c r="F1366" s="1" t="s">
        <v>4880</v>
      </c>
      <c r="H1366" s="1" t="s">
        <v>4881</v>
      </c>
      <c r="L1366" s="1" t="s">
        <v>6088</v>
      </c>
      <c r="M1366" s="1" t="s">
        <v>6093</v>
      </c>
      <c r="N1366" s="1" t="s">
        <v>6095</v>
      </c>
      <c r="P1366" s="1" t="s">
        <v>10039</v>
      </c>
      <c r="Q1366" s="30" t="s">
        <v>2565</v>
      </c>
      <c r="R1366" s="33" t="s">
        <v>3473</v>
      </c>
      <c r="S1366">
        <v>37</v>
      </c>
      <c r="T1366" s="1" t="s">
        <v>13878</v>
      </c>
      <c r="U1366" s="1" t="str">
        <f>HYPERLINK("http://ictvonline.org/taxonomy/p/taxonomy-history?taxnode_id=202111777","ICTVonline=202111777")</f>
        <v>ICTVonline=202111777</v>
      </c>
    </row>
    <row r="1367" spans="1:21" x14ac:dyDescent="0.2">
      <c r="A1367" s="3">
        <v>1366</v>
      </c>
      <c r="B1367" s="1" t="s">
        <v>4875</v>
      </c>
      <c r="D1367" s="1" t="s">
        <v>4876</v>
      </c>
      <c r="F1367" s="1" t="s">
        <v>4880</v>
      </c>
      <c r="H1367" s="1" t="s">
        <v>4881</v>
      </c>
      <c r="L1367" s="1" t="s">
        <v>6088</v>
      </c>
      <c r="M1367" s="1" t="s">
        <v>6096</v>
      </c>
      <c r="N1367" s="1" t="s">
        <v>4606</v>
      </c>
      <c r="P1367" s="1" t="s">
        <v>10040</v>
      </c>
      <c r="Q1367" s="30" t="s">
        <v>2565</v>
      </c>
      <c r="R1367" s="33" t="s">
        <v>3473</v>
      </c>
      <c r="S1367">
        <v>37</v>
      </c>
      <c r="T1367" s="1" t="s">
        <v>13878</v>
      </c>
      <c r="U1367" s="1" t="str">
        <f>HYPERLINK("http://ictvonline.org/taxonomy/p/taxonomy-history?taxnode_id=202105495","ICTVonline=202105495")</f>
        <v>ICTVonline=202105495</v>
      </c>
    </row>
    <row r="1368" spans="1:21" x14ac:dyDescent="0.2">
      <c r="A1368" s="3">
        <v>1367</v>
      </c>
      <c r="B1368" s="1" t="s">
        <v>4875</v>
      </c>
      <c r="D1368" s="1" t="s">
        <v>4876</v>
      </c>
      <c r="F1368" s="1" t="s">
        <v>4880</v>
      </c>
      <c r="H1368" s="1" t="s">
        <v>4881</v>
      </c>
      <c r="L1368" s="1" t="s">
        <v>6088</v>
      </c>
      <c r="M1368" s="1" t="s">
        <v>6096</v>
      </c>
      <c r="N1368" s="1" t="s">
        <v>4606</v>
      </c>
      <c r="P1368" s="1" t="s">
        <v>10041</v>
      </c>
      <c r="Q1368" s="30" t="s">
        <v>2565</v>
      </c>
      <c r="R1368" s="33" t="s">
        <v>3473</v>
      </c>
      <c r="S1368">
        <v>37</v>
      </c>
      <c r="T1368" s="1" t="s">
        <v>13878</v>
      </c>
      <c r="U1368" s="1" t="str">
        <f>HYPERLINK("http://ictvonline.org/taxonomy/p/taxonomy-history?taxnode_id=202105496","ICTVonline=202105496")</f>
        <v>ICTVonline=202105496</v>
      </c>
    </row>
    <row r="1369" spans="1:21" x14ac:dyDescent="0.2">
      <c r="A1369" s="3">
        <v>1368</v>
      </c>
      <c r="B1369" s="1" t="s">
        <v>4875</v>
      </c>
      <c r="D1369" s="1" t="s">
        <v>4876</v>
      </c>
      <c r="F1369" s="1" t="s">
        <v>4880</v>
      </c>
      <c r="H1369" s="1" t="s">
        <v>4881</v>
      </c>
      <c r="L1369" s="1" t="s">
        <v>6088</v>
      </c>
      <c r="M1369" s="1" t="s">
        <v>6096</v>
      </c>
      <c r="N1369" s="1" t="s">
        <v>6097</v>
      </c>
      <c r="P1369" s="1" t="s">
        <v>10042</v>
      </c>
      <c r="Q1369" s="30" t="s">
        <v>2565</v>
      </c>
      <c r="R1369" s="33" t="s">
        <v>3473</v>
      </c>
      <c r="S1369">
        <v>37</v>
      </c>
      <c r="T1369" s="1" t="s">
        <v>13878</v>
      </c>
      <c r="U1369" s="1" t="str">
        <f>HYPERLINK("http://ictvonline.org/taxonomy/p/taxonomy-history?taxnode_id=202105494","ICTVonline=202105494")</f>
        <v>ICTVonline=202105494</v>
      </c>
    </row>
    <row r="1370" spans="1:21" x14ac:dyDescent="0.2">
      <c r="A1370" s="3">
        <v>1369</v>
      </c>
      <c r="B1370" s="1" t="s">
        <v>4875</v>
      </c>
      <c r="D1370" s="1" t="s">
        <v>4876</v>
      </c>
      <c r="F1370" s="1" t="s">
        <v>4880</v>
      </c>
      <c r="H1370" s="1" t="s">
        <v>4881</v>
      </c>
      <c r="L1370" s="1" t="s">
        <v>6088</v>
      </c>
      <c r="M1370" s="1" t="s">
        <v>6096</v>
      </c>
      <c r="N1370" s="1" t="s">
        <v>6098</v>
      </c>
      <c r="P1370" s="1" t="s">
        <v>10043</v>
      </c>
      <c r="Q1370" s="30" t="s">
        <v>2565</v>
      </c>
      <c r="R1370" s="33" t="s">
        <v>3473</v>
      </c>
      <c r="S1370">
        <v>37</v>
      </c>
      <c r="T1370" s="1" t="s">
        <v>13878</v>
      </c>
      <c r="U1370" s="1" t="str">
        <f>HYPERLINK("http://ictvonline.org/taxonomy/p/taxonomy-history?taxnode_id=202111637","ICTVonline=202111637")</f>
        <v>ICTVonline=202111637</v>
      </c>
    </row>
    <row r="1371" spans="1:21" x14ac:dyDescent="0.2">
      <c r="A1371" s="3">
        <v>1370</v>
      </c>
      <c r="B1371" s="1" t="s">
        <v>4875</v>
      </c>
      <c r="D1371" s="1" t="s">
        <v>4876</v>
      </c>
      <c r="F1371" s="1" t="s">
        <v>4880</v>
      </c>
      <c r="H1371" s="1" t="s">
        <v>4881</v>
      </c>
      <c r="L1371" s="1" t="s">
        <v>6088</v>
      </c>
      <c r="M1371" s="1" t="s">
        <v>6096</v>
      </c>
      <c r="N1371" s="1" t="s">
        <v>6098</v>
      </c>
      <c r="P1371" s="1" t="s">
        <v>10044</v>
      </c>
      <c r="Q1371" s="30" t="s">
        <v>2565</v>
      </c>
      <c r="R1371" s="33" t="s">
        <v>3473</v>
      </c>
      <c r="S1371">
        <v>37</v>
      </c>
      <c r="T1371" s="1" t="s">
        <v>13878</v>
      </c>
      <c r="U1371" s="1" t="str">
        <f>HYPERLINK("http://ictvonline.org/taxonomy/p/taxonomy-history?taxnode_id=202111636","ICTVonline=202111636")</f>
        <v>ICTVonline=202111636</v>
      </c>
    </row>
    <row r="1372" spans="1:21" x14ac:dyDescent="0.2">
      <c r="A1372" s="3">
        <v>1371</v>
      </c>
      <c r="B1372" s="1" t="s">
        <v>4875</v>
      </c>
      <c r="D1372" s="1" t="s">
        <v>4876</v>
      </c>
      <c r="F1372" s="1" t="s">
        <v>4880</v>
      </c>
      <c r="H1372" s="1" t="s">
        <v>4881</v>
      </c>
      <c r="L1372" s="1" t="s">
        <v>6088</v>
      </c>
      <c r="M1372" s="1" t="s">
        <v>6099</v>
      </c>
      <c r="N1372" s="1" t="s">
        <v>4616</v>
      </c>
      <c r="P1372" s="1" t="s">
        <v>10045</v>
      </c>
      <c r="Q1372" s="30" t="s">
        <v>2565</v>
      </c>
      <c r="R1372" s="33" t="s">
        <v>3473</v>
      </c>
      <c r="S1372">
        <v>37</v>
      </c>
      <c r="T1372" s="1" t="s">
        <v>13878</v>
      </c>
      <c r="U1372" s="1" t="str">
        <f>HYPERLINK("http://ictvonline.org/taxonomy/p/taxonomy-history?taxnode_id=202100657","ICTVonline=202100657")</f>
        <v>ICTVonline=202100657</v>
      </c>
    </row>
    <row r="1373" spans="1:21" x14ac:dyDescent="0.2">
      <c r="A1373" s="3">
        <v>1372</v>
      </c>
      <c r="B1373" s="1" t="s">
        <v>4875</v>
      </c>
      <c r="D1373" s="1" t="s">
        <v>4876</v>
      </c>
      <c r="F1373" s="1" t="s">
        <v>4880</v>
      </c>
      <c r="H1373" s="1" t="s">
        <v>4881</v>
      </c>
      <c r="L1373" s="1" t="s">
        <v>6088</v>
      </c>
      <c r="M1373" s="1" t="s">
        <v>6099</v>
      </c>
      <c r="N1373" s="1" t="s">
        <v>4616</v>
      </c>
      <c r="P1373" s="1" t="s">
        <v>10046</v>
      </c>
      <c r="Q1373" s="30" t="s">
        <v>2565</v>
      </c>
      <c r="R1373" s="33" t="s">
        <v>3473</v>
      </c>
      <c r="S1373">
        <v>37</v>
      </c>
      <c r="T1373" s="1" t="s">
        <v>13878</v>
      </c>
      <c r="U1373" s="1" t="str">
        <f>HYPERLINK("http://ictvonline.org/taxonomy/p/taxonomy-history?taxnode_id=202100658","ICTVonline=202100658")</f>
        <v>ICTVonline=202100658</v>
      </c>
    </row>
    <row r="1374" spans="1:21" x14ac:dyDescent="0.2">
      <c r="A1374" s="3">
        <v>1373</v>
      </c>
      <c r="B1374" s="1" t="s">
        <v>4875</v>
      </c>
      <c r="D1374" s="1" t="s">
        <v>4876</v>
      </c>
      <c r="F1374" s="1" t="s">
        <v>4880</v>
      </c>
      <c r="H1374" s="1" t="s">
        <v>4881</v>
      </c>
      <c r="L1374" s="1" t="s">
        <v>6088</v>
      </c>
      <c r="M1374" s="1" t="s">
        <v>6099</v>
      </c>
      <c r="N1374" s="1" t="s">
        <v>4616</v>
      </c>
      <c r="P1374" s="1" t="s">
        <v>10047</v>
      </c>
      <c r="Q1374" s="30" t="s">
        <v>2565</v>
      </c>
      <c r="R1374" s="33" t="s">
        <v>3473</v>
      </c>
      <c r="S1374">
        <v>37</v>
      </c>
      <c r="T1374" s="1" t="s">
        <v>13878</v>
      </c>
      <c r="U1374" s="1" t="str">
        <f>HYPERLINK("http://ictvonline.org/taxonomy/p/taxonomy-history?taxnode_id=202100659","ICTVonline=202100659")</f>
        <v>ICTVonline=202100659</v>
      </c>
    </row>
    <row r="1375" spans="1:21" x14ac:dyDescent="0.2">
      <c r="A1375" s="3">
        <v>1374</v>
      </c>
      <c r="B1375" s="1" t="s">
        <v>4875</v>
      </c>
      <c r="D1375" s="1" t="s">
        <v>4876</v>
      </c>
      <c r="F1375" s="1" t="s">
        <v>4880</v>
      </c>
      <c r="H1375" s="1" t="s">
        <v>4881</v>
      </c>
      <c r="L1375" s="1" t="s">
        <v>6088</v>
      </c>
      <c r="M1375" s="1" t="s">
        <v>6099</v>
      </c>
      <c r="N1375" s="1" t="s">
        <v>4617</v>
      </c>
      <c r="P1375" s="1" t="s">
        <v>10048</v>
      </c>
      <c r="Q1375" s="30" t="s">
        <v>2565</v>
      </c>
      <c r="R1375" s="33" t="s">
        <v>3473</v>
      </c>
      <c r="S1375">
        <v>37</v>
      </c>
      <c r="T1375" s="1" t="s">
        <v>13878</v>
      </c>
      <c r="U1375" s="1" t="str">
        <f>HYPERLINK("http://ictvonline.org/taxonomy/p/taxonomy-history?taxnode_id=202100669","ICTVonline=202100669")</f>
        <v>ICTVonline=202100669</v>
      </c>
    </row>
    <row r="1376" spans="1:21" x14ac:dyDescent="0.2">
      <c r="A1376" s="3">
        <v>1375</v>
      </c>
      <c r="B1376" s="1" t="s">
        <v>4875</v>
      </c>
      <c r="D1376" s="1" t="s">
        <v>4876</v>
      </c>
      <c r="F1376" s="1" t="s">
        <v>4880</v>
      </c>
      <c r="H1376" s="1" t="s">
        <v>4881</v>
      </c>
      <c r="L1376" s="1" t="s">
        <v>6088</v>
      </c>
      <c r="M1376" s="1" t="s">
        <v>6099</v>
      </c>
      <c r="N1376" s="1" t="s">
        <v>4617</v>
      </c>
      <c r="P1376" s="1" t="s">
        <v>10049</v>
      </c>
      <c r="Q1376" s="30" t="s">
        <v>2565</v>
      </c>
      <c r="R1376" s="33" t="s">
        <v>3473</v>
      </c>
      <c r="S1376">
        <v>37</v>
      </c>
      <c r="T1376" s="1" t="s">
        <v>13878</v>
      </c>
      <c r="U1376" s="1" t="str">
        <f>HYPERLINK("http://ictvonline.org/taxonomy/p/taxonomy-history?taxnode_id=202100670","ICTVonline=202100670")</f>
        <v>ICTVonline=202100670</v>
      </c>
    </row>
    <row r="1377" spans="1:21" x14ac:dyDescent="0.2">
      <c r="A1377" s="3">
        <v>1376</v>
      </c>
      <c r="B1377" s="1" t="s">
        <v>4875</v>
      </c>
      <c r="D1377" s="1" t="s">
        <v>4876</v>
      </c>
      <c r="F1377" s="1" t="s">
        <v>4880</v>
      </c>
      <c r="H1377" s="1" t="s">
        <v>4881</v>
      </c>
      <c r="L1377" s="1" t="s">
        <v>6088</v>
      </c>
      <c r="M1377" s="1" t="s">
        <v>6100</v>
      </c>
      <c r="N1377" s="1" t="s">
        <v>6101</v>
      </c>
      <c r="P1377" s="1" t="s">
        <v>10050</v>
      </c>
      <c r="Q1377" s="30" t="s">
        <v>2565</v>
      </c>
      <c r="R1377" s="33" t="s">
        <v>3473</v>
      </c>
      <c r="S1377">
        <v>37</v>
      </c>
      <c r="T1377" s="1" t="s">
        <v>13878</v>
      </c>
      <c r="U1377" s="1" t="str">
        <f>HYPERLINK("http://ictvonline.org/taxonomy/p/taxonomy-history?taxnode_id=202111786","ICTVonline=202111786")</f>
        <v>ICTVonline=202111786</v>
      </c>
    </row>
    <row r="1378" spans="1:21" x14ac:dyDescent="0.2">
      <c r="A1378" s="3">
        <v>1377</v>
      </c>
      <c r="B1378" s="1" t="s">
        <v>4875</v>
      </c>
      <c r="D1378" s="1" t="s">
        <v>4876</v>
      </c>
      <c r="F1378" s="1" t="s">
        <v>4880</v>
      </c>
      <c r="H1378" s="1" t="s">
        <v>4881</v>
      </c>
      <c r="L1378" s="1" t="s">
        <v>6088</v>
      </c>
      <c r="M1378" s="1" t="s">
        <v>6100</v>
      </c>
      <c r="N1378" s="1" t="s">
        <v>6102</v>
      </c>
      <c r="P1378" s="1" t="s">
        <v>10051</v>
      </c>
      <c r="Q1378" s="30" t="s">
        <v>2565</v>
      </c>
      <c r="R1378" s="33" t="s">
        <v>3473</v>
      </c>
      <c r="S1378">
        <v>37</v>
      </c>
      <c r="T1378" s="1" t="s">
        <v>13878</v>
      </c>
      <c r="U1378" s="1" t="str">
        <f>HYPERLINK("http://ictvonline.org/taxonomy/p/taxonomy-history?taxnode_id=202111788","ICTVonline=202111788")</f>
        <v>ICTVonline=202111788</v>
      </c>
    </row>
    <row r="1379" spans="1:21" x14ac:dyDescent="0.2">
      <c r="A1379" s="3">
        <v>1378</v>
      </c>
      <c r="B1379" s="1" t="s">
        <v>4875</v>
      </c>
      <c r="D1379" s="1" t="s">
        <v>4876</v>
      </c>
      <c r="F1379" s="1" t="s">
        <v>4880</v>
      </c>
      <c r="H1379" s="1" t="s">
        <v>4881</v>
      </c>
      <c r="L1379" s="1" t="s">
        <v>6088</v>
      </c>
      <c r="M1379" s="1" t="s">
        <v>6100</v>
      </c>
      <c r="N1379" s="1" t="s">
        <v>6103</v>
      </c>
      <c r="P1379" s="1" t="s">
        <v>10052</v>
      </c>
      <c r="Q1379" s="30" t="s">
        <v>2565</v>
      </c>
      <c r="R1379" s="33" t="s">
        <v>3473</v>
      </c>
      <c r="S1379">
        <v>37</v>
      </c>
      <c r="T1379" s="1" t="s">
        <v>13878</v>
      </c>
      <c r="U1379" s="1" t="str">
        <f>HYPERLINK("http://ictvonline.org/taxonomy/p/taxonomy-history?taxnode_id=202111784","ICTVonline=202111784")</f>
        <v>ICTVonline=202111784</v>
      </c>
    </row>
    <row r="1380" spans="1:21" x14ac:dyDescent="0.2">
      <c r="A1380" s="3">
        <v>1379</v>
      </c>
      <c r="B1380" s="1" t="s">
        <v>4875</v>
      </c>
      <c r="D1380" s="1" t="s">
        <v>4876</v>
      </c>
      <c r="F1380" s="1" t="s">
        <v>4880</v>
      </c>
      <c r="H1380" s="1" t="s">
        <v>4881</v>
      </c>
      <c r="L1380" s="1" t="s">
        <v>6088</v>
      </c>
      <c r="M1380" s="1" t="s">
        <v>6104</v>
      </c>
      <c r="N1380" s="1" t="s">
        <v>6105</v>
      </c>
      <c r="P1380" s="1" t="s">
        <v>10053</v>
      </c>
      <c r="Q1380" s="30" t="s">
        <v>2565</v>
      </c>
      <c r="R1380" s="33" t="s">
        <v>3473</v>
      </c>
      <c r="S1380">
        <v>37</v>
      </c>
      <c r="T1380" s="1" t="s">
        <v>13878</v>
      </c>
      <c r="U1380" s="1" t="str">
        <f>HYPERLINK("http://ictvonline.org/taxonomy/p/taxonomy-history?taxnode_id=202111797","ICTVonline=202111797")</f>
        <v>ICTVonline=202111797</v>
      </c>
    </row>
    <row r="1381" spans="1:21" x14ac:dyDescent="0.2">
      <c r="A1381" s="3">
        <v>1380</v>
      </c>
      <c r="B1381" s="1" t="s">
        <v>4875</v>
      </c>
      <c r="D1381" s="1" t="s">
        <v>4876</v>
      </c>
      <c r="F1381" s="1" t="s">
        <v>4880</v>
      </c>
      <c r="H1381" s="1" t="s">
        <v>4881</v>
      </c>
      <c r="L1381" s="1" t="s">
        <v>6088</v>
      </c>
      <c r="M1381" s="1" t="s">
        <v>6104</v>
      </c>
      <c r="N1381" s="1" t="s">
        <v>6106</v>
      </c>
      <c r="P1381" s="1" t="s">
        <v>10054</v>
      </c>
      <c r="Q1381" s="30" t="s">
        <v>2565</v>
      </c>
      <c r="R1381" s="33" t="s">
        <v>3473</v>
      </c>
      <c r="S1381">
        <v>37</v>
      </c>
      <c r="T1381" s="1" t="s">
        <v>13878</v>
      </c>
      <c r="U1381" s="1" t="str">
        <f>HYPERLINK("http://ictvonline.org/taxonomy/p/taxonomy-history?taxnode_id=202111801","ICTVonline=202111801")</f>
        <v>ICTVonline=202111801</v>
      </c>
    </row>
    <row r="1382" spans="1:21" x14ac:dyDescent="0.2">
      <c r="A1382" s="3">
        <v>1381</v>
      </c>
      <c r="B1382" s="1" t="s">
        <v>4875</v>
      </c>
      <c r="D1382" s="1" t="s">
        <v>4876</v>
      </c>
      <c r="F1382" s="1" t="s">
        <v>4880</v>
      </c>
      <c r="H1382" s="1" t="s">
        <v>4881</v>
      </c>
      <c r="L1382" s="1" t="s">
        <v>6088</v>
      </c>
      <c r="M1382" s="1" t="s">
        <v>6104</v>
      </c>
      <c r="N1382" s="1" t="s">
        <v>6106</v>
      </c>
      <c r="P1382" s="1" t="s">
        <v>10055</v>
      </c>
      <c r="Q1382" s="30" t="s">
        <v>2565</v>
      </c>
      <c r="R1382" s="33" t="s">
        <v>3473</v>
      </c>
      <c r="S1382">
        <v>37</v>
      </c>
      <c r="T1382" s="1" t="s">
        <v>13878</v>
      </c>
      <c r="U1382" s="1" t="str">
        <f>HYPERLINK("http://ictvonline.org/taxonomy/p/taxonomy-history?taxnode_id=202111802","ICTVonline=202111802")</f>
        <v>ICTVonline=202111802</v>
      </c>
    </row>
    <row r="1383" spans="1:21" x14ac:dyDescent="0.2">
      <c r="A1383" s="3">
        <v>1382</v>
      </c>
      <c r="B1383" s="1" t="s">
        <v>4875</v>
      </c>
      <c r="D1383" s="1" t="s">
        <v>4876</v>
      </c>
      <c r="F1383" s="1" t="s">
        <v>4880</v>
      </c>
      <c r="H1383" s="1" t="s">
        <v>4881</v>
      </c>
      <c r="L1383" s="1" t="s">
        <v>6088</v>
      </c>
      <c r="M1383" s="1" t="s">
        <v>6104</v>
      </c>
      <c r="N1383" s="1" t="s">
        <v>4597</v>
      </c>
      <c r="P1383" s="1" t="s">
        <v>10056</v>
      </c>
      <c r="Q1383" s="30" t="s">
        <v>2565</v>
      </c>
      <c r="R1383" s="33" t="s">
        <v>3473</v>
      </c>
      <c r="S1383">
        <v>37</v>
      </c>
      <c r="T1383" s="1" t="s">
        <v>13878</v>
      </c>
      <c r="U1383" s="1" t="str">
        <f>HYPERLINK("http://ictvonline.org/taxonomy/p/taxonomy-history?taxnode_id=202105488","ICTVonline=202105488")</f>
        <v>ICTVonline=202105488</v>
      </c>
    </row>
    <row r="1384" spans="1:21" x14ac:dyDescent="0.2">
      <c r="A1384" s="3">
        <v>1383</v>
      </c>
      <c r="B1384" s="1" t="s">
        <v>4875</v>
      </c>
      <c r="D1384" s="1" t="s">
        <v>4876</v>
      </c>
      <c r="F1384" s="1" t="s">
        <v>4880</v>
      </c>
      <c r="H1384" s="1" t="s">
        <v>4881</v>
      </c>
      <c r="L1384" s="1" t="s">
        <v>6088</v>
      </c>
      <c r="M1384" s="1" t="s">
        <v>6104</v>
      </c>
      <c r="N1384" s="1" t="s">
        <v>6107</v>
      </c>
      <c r="P1384" s="1" t="s">
        <v>10057</v>
      </c>
      <c r="Q1384" s="30" t="s">
        <v>2565</v>
      </c>
      <c r="R1384" s="33" t="s">
        <v>3473</v>
      </c>
      <c r="S1384">
        <v>37</v>
      </c>
      <c r="T1384" s="1" t="s">
        <v>13878</v>
      </c>
      <c r="U1384" s="1" t="str">
        <f>HYPERLINK("http://ictvonline.org/taxonomy/p/taxonomy-history?taxnode_id=202111791","ICTVonline=202111791")</f>
        <v>ICTVonline=202111791</v>
      </c>
    </row>
    <row r="1385" spans="1:21" x14ac:dyDescent="0.2">
      <c r="A1385" s="3">
        <v>1384</v>
      </c>
      <c r="B1385" s="1" t="s">
        <v>4875</v>
      </c>
      <c r="D1385" s="1" t="s">
        <v>4876</v>
      </c>
      <c r="F1385" s="1" t="s">
        <v>4880</v>
      </c>
      <c r="H1385" s="1" t="s">
        <v>4881</v>
      </c>
      <c r="L1385" s="1" t="s">
        <v>6088</v>
      </c>
      <c r="M1385" s="1" t="s">
        <v>6104</v>
      </c>
      <c r="N1385" s="1" t="s">
        <v>6108</v>
      </c>
      <c r="P1385" s="1" t="s">
        <v>10058</v>
      </c>
      <c r="Q1385" s="30" t="s">
        <v>2565</v>
      </c>
      <c r="R1385" s="33" t="s">
        <v>3473</v>
      </c>
      <c r="S1385">
        <v>37</v>
      </c>
      <c r="T1385" s="1" t="s">
        <v>13878</v>
      </c>
      <c r="U1385" s="1" t="str">
        <f>HYPERLINK("http://ictvonline.org/taxonomy/p/taxonomy-history?taxnode_id=202111795","ICTVonline=202111795")</f>
        <v>ICTVonline=202111795</v>
      </c>
    </row>
    <row r="1386" spans="1:21" x14ac:dyDescent="0.2">
      <c r="A1386" s="3">
        <v>1385</v>
      </c>
      <c r="B1386" s="1" t="s">
        <v>4875</v>
      </c>
      <c r="D1386" s="1" t="s">
        <v>4876</v>
      </c>
      <c r="F1386" s="1" t="s">
        <v>4880</v>
      </c>
      <c r="H1386" s="1" t="s">
        <v>4881</v>
      </c>
      <c r="L1386" s="1" t="s">
        <v>6088</v>
      </c>
      <c r="M1386" s="1" t="s">
        <v>6104</v>
      </c>
      <c r="N1386" s="1" t="s">
        <v>6109</v>
      </c>
      <c r="P1386" s="1" t="s">
        <v>10059</v>
      </c>
      <c r="Q1386" s="30" t="s">
        <v>2565</v>
      </c>
      <c r="R1386" s="33" t="s">
        <v>3473</v>
      </c>
      <c r="S1386">
        <v>37</v>
      </c>
      <c r="T1386" s="1" t="s">
        <v>13878</v>
      </c>
      <c r="U1386" s="1" t="str">
        <f>HYPERLINK("http://ictvonline.org/taxonomy/p/taxonomy-history?taxnode_id=202111799","ICTVonline=202111799")</f>
        <v>ICTVonline=202111799</v>
      </c>
    </row>
    <row r="1387" spans="1:21" x14ac:dyDescent="0.2">
      <c r="A1387" s="3">
        <v>1386</v>
      </c>
      <c r="B1387" s="1" t="s">
        <v>4875</v>
      </c>
      <c r="D1387" s="1" t="s">
        <v>4876</v>
      </c>
      <c r="F1387" s="1" t="s">
        <v>4880</v>
      </c>
      <c r="H1387" s="1" t="s">
        <v>4881</v>
      </c>
      <c r="L1387" s="1" t="s">
        <v>6088</v>
      </c>
      <c r="M1387" s="1" t="s">
        <v>6104</v>
      </c>
      <c r="N1387" s="1" t="s">
        <v>6110</v>
      </c>
      <c r="P1387" s="1" t="s">
        <v>10060</v>
      </c>
      <c r="Q1387" s="30" t="s">
        <v>2565</v>
      </c>
      <c r="R1387" s="33" t="s">
        <v>3473</v>
      </c>
      <c r="S1387">
        <v>37</v>
      </c>
      <c r="T1387" s="1" t="s">
        <v>13878</v>
      </c>
      <c r="U1387" s="1" t="str">
        <f>HYPERLINK("http://ictvonline.org/taxonomy/p/taxonomy-history?taxnode_id=202111793","ICTVonline=202111793")</f>
        <v>ICTVonline=202111793</v>
      </c>
    </row>
    <row r="1388" spans="1:21" x14ac:dyDescent="0.2">
      <c r="A1388" s="3">
        <v>1387</v>
      </c>
      <c r="B1388" s="1" t="s">
        <v>4875</v>
      </c>
      <c r="D1388" s="1" t="s">
        <v>4876</v>
      </c>
      <c r="F1388" s="1" t="s">
        <v>4880</v>
      </c>
      <c r="H1388" s="1" t="s">
        <v>4881</v>
      </c>
      <c r="L1388" s="1" t="s">
        <v>6088</v>
      </c>
      <c r="M1388" s="1" t="s">
        <v>6111</v>
      </c>
      <c r="N1388" s="1" t="s">
        <v>6112</v>
      </c>
      <c r="P1388" s="1" t="s">
        <v>10061</v>
      </c>
      <c r="Q1388" s="30" t="s">
        <v>2565</v>
      </c>
      <c r="R1388" s="33" t="s">
        <v>3473</v>
      </c>
      <c r="S1388">
        <v>37</v>
      </c>
      <c r="T1388" s="1" t="s">
        <v>13878</v>
      </c>
      <c r="U1388" s="1" t="str">
        <f>HYPERLINK("http://ictvonline.org/taxonomy/p/taxonomy-history?taxnode_id=202111810","ICTVonline=202111810")</f>
        <v>ICTVonline=202111810</v>
      </c>
    </row>
    <row r="1389" spans="1:21" x14ac:dyDescent="0.2">
      <c r="A1389" s="3">
        <v>1388</v>
      </c>
      <c r="B1389" s="1" t="s">
        <v>4875</v>
      </c>
      <c r="D1389" s="1" t="s">
        <v>4876</v>
      </c>
      <c r="F1389" s="1" t="s">
        <v>4880</v>
      </c>
      <c r="H1389" s="1" t="s">
        <v>4881</v>
      </c>
      <c r="L1389" s="1" t="s">
        <v>6088</v>
      </c>
      <c r="M1389" s="1" t="s">
        <v>6111</v>
      </c>
      <c r="N1389" s="1" t="s">
        <v>6112</v>
      </c>
      <c r="P1389" s="1" t="s">
        <v>10062</v>
      </c>
      <c r="Q1389" s="30" t="s">
        <v>2565</v>
      </c>
      <c r="R1389" s="33" t="s">
        <v>3473</v>
      </c>
      <c r="S1389">
        <v>37</v>
      </c>
      <c r="T1389" s="1" t="s">
        <v>13878</v>
      </c>
      <c r="U1389" s="1" t="str">
        <f>HYPERLINK("http://ictvonline.org/taxonomy/p/taxonomy-history?taxnode_id=202111811","ICTVonline=202111811")</f>
        <v>ICTVonline=202111811</v>
      </c>
    </row>
    <row r="1390" spans="1:21" x14ac:dyDescent="0.2">
      <c r="A1390" s="3">
        <v>1389</v>
      </c>
      <c r="B1390" s="1" t="s">
        <v>4875</v>
      </c>
      <c r="D1390" s="1" t="s">
        <v>4876</v>
      </c>
      <c r="F1390" s="1" t="s">
        <v>4880</v>
      </c>
      <c r="H1390" s="1" t="s">
        <v>4881</v>
      </c>
      <c r="L1390" s="1" t="s">
        <v>6088</v>
      </c>
      <c r="M1390" s="1" t="s">
        <v>6111</v>
      </c>
      <c r="N1390" s="1" t="s">
        <v>6112</v>
      </c>
      <c r="P1390" s="1" t="s">
        <v>10063</v>
      </c>
      <c r="Q1390" s="30" t="s">
        <v>2565</v>
      </c>
      <c r="R1390" s="33" t="s">
        <v>3473</v>
      </c>
      <c r="S1390">
        <v>37</v>
      </c>
      <c r="T1390" s="1" t="s">
        <v>13878</v>
      </c>
      <c r="U1390" s="1" t="str">
        <f>HYPERLINK("http://ictvonline.org/taxonomy/p/taxonomy-history?taxnode_id=202111812","ICTVonline=202111812")</f>
        <v>ICTVonline=202111812</v>
      </c>
    </row>
    <row r="1391" spans="1:21" x14ac:dyDescent="0.2">
      <c r="A1391" s="3">
        <v>1390</v>
      </c>
      <c r="B1391" s="1" t="s">
        <v>4875</v>
      </c>
      <c r="D1391" s="1" t="s">
        <v>4876</v>
      </c>
      <c r="F1391" s="1" t="s">
        <v>4880</v>
      </c>
      <c r="H1391" s="1" t="s">
        <v>4881</v>
      </c>
      <c r="L1391" s="1" t="s">
        <v>6088</v>
      </c>
      <c r="M1391" s="1" t="s">
        <v>6111</v>
      </c>
      <c r="N1391" s="1" t="s">
        <v>6112</v>
      </c>
      <c r="P1391" s="1" t="s">
        <v>10064</v>
      </c>
      <c r="Q1391" s="30" t="s">
        <v>2565</v>
      </c>
      <c r="R1391" s="33" t="s">
        <v>3473</v>
      </c>
      <c r="S1391">
        <v>37</v>
      </c>
      <c r="T1391" s="1" t="s">
        <v>13878</v>
      </c>
      <c r="U1391" s="1" t="str">
        <f>HYPERLINK("http://ictvonline.org/taxonomy/p/taxonomy-history?taxnode_id=202111813","ICTVonline=202111813")</f>
        <v>ICTVonline=202111813</v>
      </c>
    </row>
    <row r="1392" spans="1:21" x14ac:dyDescent="0.2">
      <c r="A1392" s="3">
        <v>1391</v>
      </c>
      <c r="B1392" s="1" t="s">
        <v>4875</v>
      </c>
      <c r="D1392" s="1" t="s">
        <v>4876</v>
      </c>
      <c r="F1392" s="1" t="s">
        <v>4880</v>
      </c>
      <c r="H1392" s="1" t="s">
        <v>4881</v>
      </c>
      <c r="L1392" s="1" t="s">
        <v>6088</v>
      </c>
      <c r="M1392" s="1" t="s">
        <v>6111</v>
      </c>
      <c r="N1392" s="1" t="s">
        <v>6113</v>
      </c>
      <c r="P1392" s="1" t="s">
        <v>10065</v>
      </c>
      <c r="Q1392" s="30" t="s">
        <v>2565</v>
      </c>
      <c r="R1392" s="33" t="s">
        <v>3473</v>
      </c>
      <c r="S1392">
        <v>37</v>
      </c>
      <c r="T1392" s="1" t="s">
        <v>13878</v>
      </c>
      <c r="U1392" s="1" t="str">
        <f>HYPERLINK("http://ictvonline.org/taxonomy/p/taxonomy-history?taxnode_id=202111808","ICTVonline=202111808")</f>
        <v>ICTVonline=202111808</v>
      </c>
    </row>
    <row r="1393" spans="1:21" x14ac:dyDescent="0.2">
      <c r="A1393" s="3">
        <v>1392</v>
      </c>
      <c r="B1393" s="1" t="s">
        <v>4875</v>
      </c>
      <c r="D1393" s="1" t="s">
        <v>4876</v>
      </c>
      <c r="F1393" s="1" t="s">
        <v>4880</v>
      </c>
      <c r="H1393" s="1" t="s">
        <v>4881</v>
      </c>
      <c r="L1393" s="1" t="s">
        <v>6088</v>
      </c>
      <c r="M1393" s="1" t="s">
        <v>6111</v>
      </c>
      <c r="N1393" s="1" t="s">
        <v>3537</v>
      </c>
      <c r="P1393" s="1" t="s">
        <v>10066</v>
      </c>
      <c r="Q1393" s="30" t="s">
        <v>2565</v>
      </c>
      <c r="R1393" s="33" t="s">
        <v>3473</v>
      </c>
      <c r="S1393">
        <v>37</v>
      </c>
      <c r="T1393" s="1" t="s">
        <v>13878</v>
      </c>
      <c r="U1393" s="1" t="str">
        <f>HYPERLINK("http://ictvonline.org/taxonomy/p/taxonomy-history?taxnode_id=202105491","ICTVonline=202105491")</f>
        <v>ICTVonline=202105491</v>
      </c>
    </row>
    <row r="1394" spans="1:21" x14ac:dyDescent="0.2">
      <c r="A1394" s="3">
        <v>1393</v>
      </c>
      <c r="B1394" s="1" t="s">
        <v>4875</v>
      </c>
      <c r="D1394" s="1" t="s">
        <v>4876</v>
      </c>
      <c r="F1394" s="1" t="s">
        <v>4880</v>
      </c>
      <c r="H1394" s="1" t="s">
        <v>4881</v>
      </c>
      <c r="L1394" s="1" t="s">
        <v>6088</v>
      </c>
      <c r="M1394" s="1" t="s">
        <v>6111</v>
      </c>
      <c r="N1394" s="1" t="s">
        <v>6114</v>
      </c>
      <c r="P1394" s="1" t="s">
        <v>10067</v>
      </c>
      <c r="Q1394" s="30" t="s">
        <v>2565</v>
      </c>
      <c r="R1394" s="33" t="s">
        <v>3473</v>
      </c>
      <c r="S1394">
        <v>37</v>
      </c>
      <c r="T1394" s="1" t="s">
        <v>13878</v>
      </c>
      <c r="U1394" s="1" t="str">
        <f>HYPERLINK("http://ictvonline.org/taxonomy/p/taxonomy-history?taxnode_id=202111805","ICTVonline=202111805")</f>
        <v>ICTVonline=202111805</v>
      </c>
    </row>
    <row r="1395" spans="1:21" x14ac:dyDescent="0.2">
      <c r="A1395" s="3">
        <v>1394</v>
      </c>
      <c r="B1395" s="1" t="s">
        <v>4875</v>
      </c>
      <c r="D1395" s="1" t="s">
        <v>4876</v>
      </c>
      <c r="F1395" s="1" t="s">
        <v>4880</v>
      </c>
      <c r="H1395" s="1" t="s">
        <v>4881</v>
      </c>
      <c r="L1395" s="1" t="s">
        <v>6088</v>
      </c>
      <c r="M1395" s="1" t="s">
        <v>6111</v>
      </c>
      <c r="N1395" s="1" t="s">
        <v>6114</v>
      </c>
      <c r="P1395" s="1" t="s">
        <v>10068</v>
      </c>
      <c r="Q1395" s="30" t="s">
        <v>2565</v>
      </c>
      <c r="R1395" s="33" t="s">
        <v>3473</v>
      </c>
      <c r="S1395">
        <v>37</v>
      </c>
      <c r="T1395" s="1" t="s">
        <v>13878</v>
      </c>
      <c r="U1395" s="1" t="str">
        <f>HYPERLINK("http://ictvonline.org/taxonomy/p/taxonomy-history?taxnode_id=202111806","ICTVonline=202111806")</f>
        <v>ICTVonline=202111806</v>
      </c>
    </row>
    <row r="1396" spans="1:21" x14ac:dyDescent="0.2">
      <c r="A1396" s="3">
        <v>1395</v>
      </c>
      <c r="B1396" s="1" t="s">
        <v>4875</v>
      </c>
      <c r="D1396" s="1" t="s">
        <v>4876</v>
      </c>
      <c r="F1396" s="1" t="s">
        <v>4880</v>
      </c>
      <c r="H1396" s="1" t="s">
        <v>4881</v>
      </c>
      <c r="L1396" s="1" t="s">
        <v>6088</v>
      </c>
      <c r="N1396" s="1" t="s">
        <v>6115</v>
      </c>
      <c r="P1396" s="1" t="s">
        <v>10069</v>
      </c>
      <c r="Q1396" s="30" t="s">
        <v>2565</v>
      </c>
      <c r="R1396" s="33" t="s">
        <v>3473</v>
      </c>
      <c r="S1396">
        <v>37</v>
      </c>
      <c r="T1396" s="1" t="s">
        <v>13878</v>
      </c>
      <c r="U1396" s="1" t="str">
        <f>HYPERLINK("http://ictvonline.org/taxonomy/p/taxonomy-history?taxnode_id=202111818","ICTVonline=202111818")</f>
        <v>ICTVonline=202111818</v>
      </c>
    </row>
    <row r="1397" spans="1:21" x14ac:dyDescent="0.2">
      <c r="A1397" s="3">
        <v>1396</v>
      </c>
      <c r="B1397" s="1" t="s">
        <v>4875</v>
      </c>
      <c r="D1397" s="1" t="s">
        <v>4876</v>
      </c>
      <c r="F1397" s="1" t="s">
        <v>4880</v>
      </c>
      <c r="H1397" s="1" t="s">
        <v>4881</v>
      </c>
      <c r="L1397" s="1" t="s">
        <v>6088</v>
      </c>
      <c r="N1397" s="1" t="s">
        <v>6115</v>
      </c>
      <c r="P1397" s="1" t="s">
        <v>10070</v>
      </c>
      <c r="Q1397" s="30" t="s">
        <v>2565</v>
      </c>
      <c r="R1397" s="33" t="s">
        <v>3473</v>
      </c>
      <c r="S1397">
        <v>37</v>
      </c>
      <c r="T1397" s="1" t="s">
        <v>13878</v>
      </c>
      <c r="U1397" s="1" t="str">
        <f>HYPERLINK("http://ictvonline.org/taxonomy/p/taxonomy-history?taxnode_id=202111815","ICTVonline=202111815")</f>
        <v>ICTVonline=202111815</v>
      </c>
    </row>
    <row r="1398" spans="1:21" x14ac:dyDescent="0.2">
      <c r="A1398" s="3">
        <v>1397</v>
      </c>
      <c r="B1398" s="1" t="s">
        <v>4875</v>
      </c>
      <c r="D1398" s="1" t="s">
        <v>4876</v>
      </c>
      <c r="F1398" s="1" t="s">
        <v>4880</v>
      </c>
      <c r="H1398" s="1" t="s">
        <v>4881</v>
      </c>
      <c r="L1398" s="1" t="s">
        <v>6088</v>
      </c>
      <c r="N1398" s="1" t="s">
        <v>6115</v>
      </c>
      <c r="P1398" s="1" t="s">
        <v>10071</v>
      </c>
      <c r="Q1398" s="30" t="s">
        <v>2565</v>
      </c>
      <c r="R1398" s="33" t="s">
        <v>3473</v>
      </c>
      <c r="S1398">
        <v>37</v>
      </c>
      <c r="T1398" s="1" t="s">
        <v>13878</v>
      </c>
      <c r="U1398" s="1" t="str">
        <f>HYPERLINK("http://ictvonline.org/taxonomy/p/taxonomy-history?taxnode_id=202111816","ICTVonline=202111816")</f>
        <v>ICTVonline=202111816</v>
      </c>
    </row>
    <row r="1399" spans="1:21" x14ac:dyDescent="0.2">
      <c r="A1399" s="3">
        <v>1398</v>
      </c>
      <c r="B1399" s="1" t="s">
        <v>4875</v>
      </c>
      <c r="D1399" s="1" t="s">
        <v>4876</v>
      </c>
      <c r="F1399" s="1" t="s">
        <v>4880</v>
      </c>
      <c r="H1399" s="1" t="s">
        <v>4881</v>
      </c>
      <c r="L1399" s="1" t="s">
        <v>6088</v>
      </c>
      <c r="N1399" s="1" t="s">
        <v>6115</v>
      </c>
      <c r="P1399" s="1" t="s">
        <v>10072</v>
      </c>
      <c r="Q1399" s="30" t="s">
        <v>2565</v>
      </c>
      <c r="R1399" s="33" t="s">
        <v>3473</v>
      </c>
      <c r="S1399">
        <v>37</v>
      </c>
      <c r="T1399" s="1" t="s">
        <v>13878</v>
      </c>
      <c r="U1399" s="1" t="str">
        <f>HYPERLINK("http://ictvonline.org/taxonomy/p/taxonomy-history?taxnode_id=202111817","ICTVonline=202111817")</f>
        <v>ICTVonline=202111817</v>
      </c>
    </row>
    <row r="1400" spans="1:21" x14ac:dyDescent="0.2">
      <c r="A1400" s="3">
        <v>1399</v>
      </c>
      <c r="B1400" s="1" t="s">
        <v>4875</v>
      </c>
      <c r="D1400" s="1" t="s">
        <v>4876</v>
      </c>
      <c r="F1400" s="1" t="s">
        <v>4880</v>
      </c>
      <c r="H1400" s="1" t="s">
        <v>4881</v>
      </c>
      <c r="L1400" s="1" t="s">
        <v>6088</v>
      </c>
      <c r="N1400" s="1" t="s">
        <v>6116</v>
      </c>
      <c r="P1400" s="1" t="s">
        <v>10073</v>
      </c>
      <c r="Q1400" s="30" t="s">
        <v>2565</v>
      </c>
      <c r="R1400" s="33" t="s">
        <v>3473</v>
      </c>
      <c r="S1400">
        <v>37</v>
      </c>
      <c r="T1400" s="1" t="s">
        <v>13878</v>
      </c>
      <c r="U1400" s="1" t="str">
        <f>HYPERLINK("http://ictvonline.org/taxonomy/p/taxonomy-history?taxnode_id=202111842","ICTVonline=202111842")</f>
        <v>ICTVonline=202111842</v>
      </c>
    </row>
    <row r="1401" spans="1:21" x14ac:dyDescent="0.2">
      <c r="A1401" s="3">
        <v>1400</v>
      </c>
      <c r="B1401" s="1" t="s">
        <v>4875</v>
      </c>
      <c r="D1401" s="1" t="s">
        <v>4876</v>
      </c>
      <c r="F1401" s="1" t="s">
        <v>4880</v>
      </c>
      <c r="H1401" s="1" t="s">
        <v>4881</v>
      </c>
      <c r="L1401" s="1" t="s">
        <v>6088</v>
      </c>
      <c r="N1401" s="1" t="s">
        <v>6117</v>
      </c>
      <c r="P1401" s="1" t="s">
        <v>10074</v>
      </c>
      <c r="Q1401" s="30" t="s">
        <v>2565</v>
      </c>
      <c r="R1401" s="33" t="s">
        <v>3473</v>
      </c>
      <c r="S1401">
        <v>37</v>
      </c>
      <c r="T1401" s="1" t="s">
        <v>13878</v>
      </c>
      <c r="U1401" s="1" t="str">
        <f>HYPERLINK("http://ictvonline.org/taxonomy/p/taxonomy-history?taxnode_id=202111820","ICTVonline=202111820")</f>
        <v>ICTVonline=202111820</v>
      </c>
    </row>
    <row r="1402" spans="1:21" x14ac:dyDescent="0.2">
      <c r="A1402" s="3">
        <v>1401</v>
      </c>
      <c r="B1402" s="1" t="s">
        <v>4875</v>
      </c>
      <c r="D1402" s="1" t="s">
        <v>4876</v>
      </c>
      <c r="F1402" s="1" t="s">
        <v>4880</v>
      </c>
      <c r="H1402" s="1" t="s">
        <v>4881</v>
      </c>
      <c r="L1402" s="1" t="s">
        <v>6088</v>
      </c>
      <c r="N1402" s="1" t="s">
        <v>10075</v>
      </c>
      <c r="P1402" s="1" t="s">
        <v>10076</v>
      </c>
      <c r="Q1402" s="30" t="s">
        <v>2565</v>
      </c>
      <c r="R1402" s="33" t="s">
        <v>3472</v>
      </c>
      <c r="S1402">
        <v>37</v>
      </c>
      <c r="T1402" s="1" t="s">
        <v>13898</v>
      </c>
      <c r="U1402" s="1" t="str">
        <f>HYPERLINK("http://ictvonline.org/taxonomy/p/taxonomy-history?taxnode_id=202112917","ICTVonline=202112917")</f>
        <v>ICTVonline=202112917</v>
      </c>
    </row>
    <row r="1403" spans="1:21" x14ac:dyDescent="0.2">
      <c r="A1403" s="3">
        <v>1402</v>
      </c>
      <c r="B1403" s="1" t="s">
        <v>4875</v>
      </c>
      <c r="D1403" s="1" t="s">
        <v>4876</v>
      </c>
      <c r="F1403" s="1" t="s">
        <v>4880</v>
      </c>
      <c r="H1403" s="1" t="s">
        <v>4881</v>
      </c>
      <c r="L1403" s="1" t="s">
        <v>6088</v>
      </c>
      <c r="N1403" s="1" t="s">
        <v>10075</v>
      </c>
      <c r="P1403" s="1" t="s">
        <v>10077</v>
      </c>
      <c r="Q1403" s="30" t="s">
        <v>2565</v>
      </c>
      <c r="R1403" s="33" t="s">
        <v>3472</v>
      </c>
      <c r="S1403">
        <v>37</v>
      </c>
      <c r="T1403" s="1" t="s">
        <v>13898</v>
      </c>
      <c r="U1403" s="1" t="str">
        <f>HYPERLINK("http://ictvonline.org/taxonomy/p/taxonomy-history?taxnode_id=202112918","ICTVonline=202112918")</f>
        <v>ICTVonline=202112918</v>
      </c>
    </row>
    <row r="1404" spans="1:21" x14ac:dyDescent="0.2">
      <c r="A1404" s="3">
        <v>1403</v>
      </c>
      <c r="B1404" s="1" t="s">
        <v>4875</v>
      </c>
      <c r="D1404" s="1" t="s">
        <v>4876</v>
      </c>
      <c r="F1404" s="1" t="s">
        <v>4880</v>
      </c>
      <c r="H1404" s="1" t="s">
        <v>4881</v>
      </c>
      <c r="L1404" s="1" t="s">
        <v>6088</v>
      </c>
      <c r="N1404" s="1" t="s">
        <v>10078</v>
      </c>
      <c r="P1404" s="1" t="s">
        <v>10079</v>
      </c>
      <c r="Q1404" s="30" t="s">
        <v>2565</v>
      </c>
      <c r="R1404" s="33" t="s">
        <v>3472</v>
      </c>
      <c r="S1404">
        <v>37</v>
      </c>
      <c r="T1404" s="1" t="s">
        <v>13898</v>
      </c>
      <c r="U1404" s="1" t="str">
        <f>HYPERLINK("http://ictvonline.org/taxonomy/p/taxonomy-history?taxnode_id=202113605","ICTVonline=202113605")</f>
        <v>ICTVonline=202113605</v>
      </c>
    </row>
    <row r="1405" spans="1:21" x14ac:dyDescent="0.2">
      <c r="A1405" s="3">
        <v>1404</v>
      </c>
      <c r="B1405" s="1" t="s">
        <v>4875</v>
      </c>
      <c r="D1405" s="1" t="s">
        <v>4876</v>
      </c>
      <c r="F1405" s="1" t="s">
        <v>4880</v>
      </c>
      <c r="H1405" s="1" t="s">
        <v>4881</v>
      </c>
      <c r="L1405" s="1" t="s">
        <v>6088</v>
      </c>
      <c r="N1405" s="1" t="s">
        <v>10080</v>
      </c>
      <c r="P1405" s="1" t="s">
        <v>10081</v>
      </c>
      <c r="Q1405" s="30" t="s">
        <v>2565</v>
      </c>
      <c r="R1405" s="33" t="s">
        <v>3472</v>
      </c>
      <c r="S1405">
        <v>37</v>
      </c>
      <c r="T1405" s="1" t="s">
        <v>13898</v>
      </c>
      <c r="U1405" s="1" t="str">
        <f>HYPERLINK("http://ictvonline.org/taxonomy/p/taxonomy-history?taxnode_id=202113612","ICTVonline=202113612")</f>
        <v>ICTVonline=202113612</v>
      </c>
    </row>
    <row r="1406" spans="1:21" x14ac:dyDescent="0.2">
      <c r="A1406" s="3">
        <v>1405</v>
      </c>
      <c r="B1406" s="1" t="s">
        <v>4875</v>
      </c>
      <c r="D1406" s="1" t="s">
        <v>4876</v>
      </c>
      <c r="F1406" s="1" t="s">
        <v>4880</v>
      </c>
      <c r="H1406" s="1" t="s">
        <v>4881</v>
      </c>
      <c r="L1406" s="1" t="s">
        <v>6088</v>
      </c>
      <c r="N1406" s="1" t="s">
        <v>6118</v>
      </c>
      <c r="P1406" s="1" t="s">
        <v>10082</v>
      </c>
      <c r="Q1406" s="30" t="s">
        <v>2565</v>
      </c>
      <c r="R1406" s="33" t="s">
        <v>3473</v>
      </c>
      <c r="S1406">
        <v>37</v>
      </c>
      <c r="T1406" s="1" t="s">
        <v>13878</v>
      </c>
      <c r="U1406" s="1" t="str">
        <f>HYPERLINK("http://ictvonline.org/taxonomy/p/taxonomy-history?taxnode_id=202111834","ICTVonline=202111834")</f>
        <v>ICTVonline=202111834</v>
      </c>
    </row>
    <row r="1407" spans="1:21" x14ac:dyDescent="0.2">
      <c r="A1407" s="3">
        <v>1406</v>
      </c>
      <c r="B1407" s="1" t="s">
        <v>4875</v>
      </c>
      <c r="D1407" s="1" t="s">
        <v>4876</v>
      </c>
      <c r="F1407" s="1" t="s">
        <v>4880</v>
      </c>
      <c r="H1407" s="1" t="s">
        <v>4881</v>
      </c>
      <c r="L1407" s="1" t="s">
        <v>6088</v>
      </c>
      <c r="N1407" s="1" t="s">
        <v>6119</v>
      </c>
      <c r="P1407" s="1" t="s">
        <v>10083</v>
      </c>
      <c r="Q1407" s="30" t="s">
        <v>2565</v>
      </c>
      <c r="R1407" s="33" t="s">
        <v>3473</v>
      </c>
      <c r="S1407">
        <v>37</v>
      </c>
      <c r="T1407" s="1" t="s">
        <v>13878</v>
      </c>
      <c r="U1407" s="1" t="str">
        <f>HYPERLINK("http://ictvonline.org/taxonomy/p/taxonomy-history?taxnode_id=202111830","ICTVonline=202111830")</f>
        <v>ICTVonline=202111830</v>
      </c>
    </row>
    <row r="1408" spans="1:21" x14ac:dyDescent="0.2">
      <c r="A1408" s="3">
        <v>1407</v>
      </c>
      <c r="B1408" s="1" t="s">
        <v>4875</v>
      </c>
      <c r="D1408" s="1" t="s">
        <v>4876</v>
      </c>
      <c r="F1408" s="1" t="s">
        <v>4880</v>
      </c>
      <c r="H1408" s="1" t="s">
        <v>4881</v>
      </c>
      <c r="L1408" s="1" t="s">
        <v>6088</v>
      </c>
      <c r="N1408" s="1" t="s">
        <v>5158</v>
      </c>
      <c r="P1408" s="1" t="s">
        <v>10084</v>
      </c>
      <c r="Q1408" s="30" t="s">
        <v>2565</v>
      </c>
      <c r="R1408" s="33" t="s">
        <v>3473</v>
      </c>
      <c r="S1408">
        <v>37</v>
      </c>
      <c r="T1408" s="1" t="s">
        <v>13878</v>
      </c>
      <c r="U1408" s="1" t="str">
        <f>HYPERLINK("http://ictvonline.org/taxonomy/p/taxonomy-history?taxnode_id=202107900","ICTVonline=202107900")</f>
        <v>ICTVonline=202107900</v>
      </c>
    </row>
    <row r="1409" spans="1:21" x14ac:dyDescent="0.2">
      <c r="A1409" s="3">
        <v>1408</v>
      </c>
      <c r="B1409" s="1" t="s">
        <v>4875</v>
      </c>
      <c r="D1409" s="1" t="s">
        <v>4876</v>
      </c>
      <c r="F1409" s="1" t="s">
        <v>4880</v>
      </c>
      <c r="H1409" s="1" t="s">
        <v>4881</v>
      </c>
      <c r="L1409" s="1" t="s">
        <v>6088</v>
      </c>
      <c r="N1409" s="1" t="s">
        <v>5158</v>
      </c>
      <c r="P1409" s="1" t="s">
        <v>10085</v>
      </c>
      <c r="Q1409" s="30" t="s">
        <v>2565</v>
      </c>
      <c r="R1409" s="33" t="s">
        <v>3473</v>
      </c>
      <c r="S1409">
        <v>37</v>
      </c>
      <c r="T1409" s="1" t="s">
        <v>13878</v>
      </c>
      <c r="U1409" s="1" t="str">
        <f>HYPERLINK("http://ictvonline.org/taxonomy/p/taxonomy-history?taxnode_id=202107903","ICTVonline=202107903")</f>
        <v>ICTVonline=202107903</v>
      </c>
    </row>
    <row r="1410" spans="1:21" x14ac:dyDescent="0.2">
      <c r="A1410" s="3">
        <v>1409</v>
      </c>
      <c r="B1410" s="1" t="s">
        <v>4875</v>
      </c>
      <c r="D1410" s="1" t="s">
        <v>4876</v>
      </c>
      <c r="F1410" s="1" t="s">
        <v>4880</v>
      </c>
      <c r="H1410" s="1" t="s">
        <v>4881</v>
      </c>
      <c r="L1410" s="1" t="s">
        <v>6088</v>
      </c>
      <c r="N1410" s="1" t="s">
        <v>5158</v>
      </c>
      <c r="P1410" s="1" t="s">
        <v>10086</v>
      </c>
      <c r="Q1410" s="30" t="s">
        <v>2565</v>
      </c>
      <c r="R1410" s="33" t="s">
        <v>3473</v>
      </c>
      <c r="S1410">
        <v>37</v>
      </c>
      <c r="T1410" s="1" t="s">
        <v>13878</v>
      </c>
      <c r="U1410" s="1" t="str">
        <f>HYPERLINK("http://ictvonline.org/taxonomy/p/taxonomy-history?taxnode_id=202107901","ICTVonline=202107901")</f>
        <v>ICTVonline=202107901</v>
      </c>
    </row>
    <row r="1411" spans="1:21" x14ac:dyDescent="0.2">
      <c r="A1411" s="3">
        <v>1410</v>
      </c>
      <c r="B1411" s="1" t="s">
        <v>4875</v>
      </c>
      <c r="D1411" s="1" t="s">
        <v>4876</v>
      </c>
      <c r="F1411" s="1" t="s">
        <v>4880</v>
      </c>
      <c r="H1411" s="1" t="s">
        <v>4881</v>
      </c>
      <c r="L1411" s="1" t="s">
        <v>6088</v>
      </c>
      <c r="N1411" s="1" t="s">
        <v>5158</v>
      </c>
      <c r="P1411" s="1" t="s">
        <v>10087</v>
      </c>
      <c r="Q1411" s="30" t="s">
        <v>2565</v>
      </c>
      <c r="R1411" s="33" t="s">
        <v>3473</v>
      </c>
      <c r="S1411">
        <v>37</v>
      </c>
      <c r="T1411" s="1" t="s">
        <v>13878</v>
      </c>
      <c r="U1411" s="1" t="str">
        <f>HYPERLINK("http://ictvonline.org/taxonomy/p/taxonomy-history?taxnode_id=202107902","ICTVonline=202107902")</f>
        <v>ICTVonline=202107902</v>
      </c>
    </row>
    <row r="1412" spans="1:21" x14ac:dyDescent="0.2">
      <c r="A1412" s="3">
        <v>1411</v>
      </c>
      <c r="B1412" s="1" t="s">
        <v>4875</v>
      </c>
      <c r="D1412" s="1" t="s">
        <v>4876</v>
      </c>
      <c r="F1412" s="1" t="s">
        <v>4880</v>
      </c>
      <c r="H1412" s="1" t="s">
        <v>4881</v>
      </c>
      <c r="L1412" s="1" t="s">
        <v>6088</v>
      </c>
      <c r="N1412" s="1" t="s">
        <v>10088</v>
      </c>
      <c r="P1412" s="1" t="s">
        <v>10089</v>
      </c>
      <c r="Q1412" s="30" t="s">
        <v>2565</v>
      </c>
      <c r="R1412" s="33" t="s">
        <v>3472</v>
      </c>
      <c r="S1412">
        <v>37</v>
      </c>
      <c r="T1412" s="1" t="s">
        <v>13899</v>
      </c>
      <c r="U1412" s="1" t="str">
        <f>HYPERLINK("http://ictvonline.org/taxonomy/p/taxonomy-history?taxnode_id=202112789","ICTVonline=202112789")</f>
        <v>ICTVonline=202112789</v>
      </c>
    </row>
    <row r="1413" spans="1:21" x14ac:dyDescent="0.2">
      <c r="A1413" s="3">
        <v>1412</v>
      </c>
      <c r="B1413" s="1" t="s">
        <v>4875</v>
      </c>
      <c r="D1413" s="1" t="s">
        <v>4876</v>
      </c>
      <c r="F1413" s="1" t="s">
        <v>4880</v>
      </c>
      <c r="H1413" s="1" t="s">
        <v>4881</v>
      </c>
      <c r="L1413" s="1" t="s">
        <v>6088</v>
      </c>
      <c r="N1413" s="1" t="s">
        <v>6120</v>
      </c>
      <c r="P1413" s="1" t="s">
        <v>10090</v>
      </c>
      <c r="Q1413" s="30" t="s">
        <v>2565</v>
      </c>
      <c r="R1413" s="33" t="s">
        <v>3473</v>
      </c>
      <c r="S1413">
        <v>37</v>
      </c>
      <c r="T1413" s="1" t="s">
        <v>13878</v>
      </c>
      <c r="U1413" s="1" t="str">
        <f>HYPERLINK("http://ictvonline.org/taxonomy/p/taxonomy-history?taxnode_id=202111823","ICTVonline=202111823")</f>
        <v>ICTVonline=202111823</v>
      </c>
    </row>
    <row r="1414" spans="1:21" x14ac:dyDescent="0.2">
      <c r="A1414" s="3">
        <v>1413</v>
      </c>
      <c r="B1414" s="1" t="s">
        <v>4875</v>
      </c>
      <c r="D1414" s="1" t="s">
        <v>4876</v>
      </c>
      <c r="F1414" s="1" t="s">
        <v>4880</v>
      </c>
      <c r="H1414" s="1" t="s">
        <v>4881</v>
      </c>
      <c r="L1414" s="1" t="s">
        <v>6088</v>
      </c>
      <c r="N1414" s="1" t="s">
        <v>6120</v>
      </c>
      <c r="P1414" s="1" t="s">
        <v>10091</v>
      </c>
      <c r="Q1414" s="30" t="s">
        <v>2565</v>
      </c>
      <c r="R1414" s="33" t="s">
        <v>3473</v>
      </c>
      <c r="S1414">
        <v>37</v>
      </c>
      <c r="T1414" s="1" t="s">
        <v>13878</v>
      </c>
      <c r="U1414" s="1" t="str">
        <f>HYPERLINK("http://ictvonline.org/taxonomy/p/taxonomy-history?taxnode_id=202111822","ICTVonline=202111822")</f>
        <v>ICTVonline=202111822</v>
      </c>
    </row>
    <row r="1415" spans="1:21" x14ac:dyDescent="0.2">
      <c r="A1415" s="3">
        <v>1414</v>
      </c>
      <c r="B1415" s="1" t="s">
        <v>4875</v>
      </c>
      <c r="D1415" s="1" t="s">
        <v>4876</v>
      </c>
      <c r="F1415" s="1" t="s">
        <v>4880</v>
      </c>
      <c r="H1415" s="1" t="s">
        <v>4881</v>
      </c>
      <c r="L1415" s="1" t="s">
        <v>6088</v>
      </c>
      <c r="N1415" s="1" t="s">
        <v>13900</v>
      </c>
      <c r="P1415" s="1" t="s">
        <v>13901</v>
      </c>
      <c r="Q1415" s="30" t="s">
        <v>2565</v>
      </c>
      <c r="R1415" s="33" t="s">
        <v>3472</v>
      </c>
      <c r="S1415">
        <v>37</v>
      </c>
      <c r="T1415" s="1" t="s">
        <v>13898</v>
      </c>
      <c r="U1415" s="1" t="str">
        <f>HYPERLINK("http://ictvonline.org/taxonomy/p/taxonomy-history?taxnode_id=202113608","ICTVonline=202113608")</f>
        <v>ICTVonline=202113608</v>
      </c>
    </row>
    <row r="1416" spans="1:21" x14ac:dyDescent="0.2">
      <c r="A1416" s="3">
        <v>1415</v>
      </c>
      <c r="B1416" s="1" t="s">
        <v>4875</v>
      </c>
      <c r="D1416" s="1" t="s">
        <v>4876</v>
      </c>
      <c r="F1416" s="1" t="s">
        <v>4880</v>
      </c>
      <c r="H1416" s="1" t="s">
        <v>4881</v>
      </c>
      <c r="L1416" s="1" t="s">
        <v>6088</v>
      </c>
      <c r="N1416" s="1" t="s">
        <v>13900</v>
      </c>
      <c r="P1416" s="1" t="s">
        <v>13902</v>
      </c>
      <c r="Q1416" s="30" t="s">
        <v>2565</v>
      </c>
      <c r="R1416" s="33" t="s">
        <v>3472</v>
      </c>
      <c r="S1416">
        <v>37</v>
      </c>
      <c r="T1416" s="1" t="s">
        <v>13898</v>
      </c>
      <c r="U1416" s="1" t="str">
        <f>HYPERLINK("http://ictvonline.org/taxonomy/p/taxonomy-history?taxnode_id=202113607","ICTVonline=202113607")</f>
        <v>ICTVonline=202113607</v>
      </c>
    </row>
    <row r="1417" spans="1:21" x14ac:dyDescent="0.2">
      <c r="A1417" s="3">
        <v>1416</v>
      </c>
      <c r="B1417" s="1" t="s">
        <v>4875</v>
      </c>
      <c r="D1417" s="1" t="s">
        <v>4876</v>
      </c>
      <c r="F1417" s="1" t="s">
        <v>4880</v>
      </c>
      <c r="H1417" s="1" t="s">
        <v>4881</v>
      </c>
      <c r="L1417" s="1" t="s">
        <v>6088</v>
      </c>
      <c r="N1417" s="1" t="s">
        <v>10092</v>
      </c>
      <c r="P1417" s="1" t="s">
        <v>10093</v>
      </c>
      <c r="Q1417" s="30" t="s">
        <v>2565</v>
      </c>
      <c r="R1417" s="33" t="s">
        <v>3472</v>
      </c>
      <c r="S1417">
        <v>37</v>
      </c>
      <c r="T1417" s="1" t="s">
        <v>13898</v>
      </c>
      <c r="U1417" s="1" t="str">
        <f>HYPERLINK("http://ictvonline.org/taxonomy/p/taxonomy-history?taxnode_id=202112920","ICTVonline=202112920")</f>
        <v>ICTVonline=202112920</v>
      </c>
    </row>
    <row r="1418" spans="1:21" x14ac:dyDescent="0.2">
      <c r="A1418" s="3">
        <v>1417</v>
      </c>
      <c r="B1418" s="1" t="s">
        <v>4875</v>
      </c>
      <c r="D1418" s="1" t="s">
        <v>4876</v>
      </c>
      <c r="F1418" s="1" t="s">
        <v>4880</v>
      </c>
      <c r="H1418" s="1" t="s">
        <v>4881</v>
      </c>
      <c r="L1418" s="1" t="s">
        <v>6088</v>
      </c>
      <c r="N1418" s="1" t="s">
        <v>6121</v>
      </c>
      <c r="P1418" s="1" t="s">
        <v>10094</v>
      </c>
      <c r="Q1418" s="30" t="s">
        <v>2565</v>
      </c>
      <c r="R1418" s="33" t="s">
        <v>3473</v>
      </c>
      <c r="S1418">
        <v>37</v>
      </c>
      <c r="T1418" s="1" t="s">
        <v>13878</v>
      </c>
      <c r="U1418" s="1" t="str">
        <f>HYPERLINK("http://ictvonline.org/taxonomy/p/taxonomy-history?taxnode_id=202111840","ICTVonline=202111840")</f>
        <v>ICTVonline=202111840</v>
      </c>
    </row>
    <row r="1419" spans="1:21" x14ac:dyDescent="0.2">
      <c r="A1419" s="3">
        <v>1418</v>
      </c>
      <c r="B1419" s="1" t="s">
        <v>4875</v>
      </c>
      <c r="D1419" s="1" t="s">
        <v>4876</v>
      </c>
      <c r="F1419" s="1" t="s">
        <v>4880</v>
      </c>
      <c r="H1419" s="1" t="s">
        <v>4881</v>
      </c>
      <c r="L1419" s="1" t="s">
        <v>6088</v>
      </c>
      <c r="N1419" s="1" t="s">
        <v>6122</v>
      </c>
      <c r="P1419" s="1" t="s">
        <v>10095</v>
      </c>
      <c r="Q1419" s="30" t="s">
        <v>2565</v>
      </c>
      <c r="R1419" s="33" t="s">
        <v>3473</v>
      </c>
      <c r="S1419">
        <v>37</v>
      </c>
      <c r="T1419" s="1" t="s">
        <v>13878</v>
      </c>
      <c r="U1419" s="1" t="str">
        <f>HYPERLINK("http://ictvonline.org/taxonomy/p/taxonomy-history?taxnode_id=202111828","ICTVonline=202111828")</f>
        <v>ICTVonline=202111828</v>
      </c>
    </row>
    <row r="1420" spans="1:21" x14ac:dyDescent="0.2">
      <c r="A1420" s="3">
        <v>1419</v>
      </c>
      <c r="B1420" s="1" t="s">
        <v>4875</v>
      </c>
      <c r="D1420" s="1" t="s">
        <v>4876</v>
      </c>
      <c r="F1420" s="1" t="s">
        <v>4880</v>
      </c>
      <c r="H1420" s="1" t="s">
        <v>4881</v>
      </c>
      <c r="L1420" s="1" t="s">
        <v>6088</v>
      </c>
      <c r="N1420" s="1" t="s">
        <v>6123</v>
      </c>
      <c r="P1420" s="1" t="s">
        <v>10096</v>
      </c>
      <c r="Q1420" s="30" t="s">
        <v>2565</v>
      </c>
      <c r="R1420" s="33" t="s">
        <v>3473</v>
      </c>
      <c r="S1420">
        <v>37</v>
      </c>
      <c r="T1420" s="1" t="s">
        <v>13878</v>
      </c>
      <c r="U1420" s="1" t="str">
        <f>HYPERLINK("http://ictvonline.org/taxonomy/p/taxonomy-history?taxnode_id=202111838","ICTVonline=202111838")</f>
        <v>ICTVonline=202111838</v>
      </c>
    </row>
    <row r="1421" spans="1:21" x14ac:dyDescent="0.2">
      <c r="A1421" s="3">
        <v>1420</v>
      </c>
      <c r="B1421" s="1" t="s">
        <v>4875</v>
      </c>
      <c r="D1421" s="1" t="s">
        <v>4876</v>
      </c>
      <c r="F1421" s="1" t="s">
        <v>4880</v>
      </c>
      <c r="H1421" s="1" t="s">
        <v>4881</v>
      </c>
      <c r="L1421" s="1" t="s">
        <v>6088</v>
      </c>
      <c r="N1421" s="1" t="s">
        <v>5160</v>
      </c>
      <c r="P1421" s="1" t="s">
        <v>10097</v>
      </c>
      <c r="Q1421" s="30" t="s">
        <v>2565</v>
      </c>
      <c r="R1421" s="33" t="s">
        <v>3473</v>
      </c>
      <c r="S1421">
        <v>37</v>
      </c>
      <c r="T1421" s="1" t="s">
        <v>13878</v>
      </c>
      <c r="U1421" s="1" t="str">
        <f>HYPERLINK("http://ictvonline.org/taxonomy/p/taxonomy-history?taxnode_id=202107691","ICTVonline=202107691")</f>
        <v>ICTVonline=202107691</v>
      </c>
    </row>
    <row r="1422" spans="1:21" x14ac:dyDescent="0.2">
      <c r="A1422" s="3">
        <v>1421</v>
      </c>
      <c r="B1422" s="1" t="s">
        <v>4875</v>
      </c>
      <c r="D1422" s="1" t="s">
        <v>4876</v>
      </c>
      <c r="F1422" s="1" t="s">
        <v>4880</v>
      </c>
      <c r="H1422" s="1" t="s">
        <v>4881</v>
      </c>
      <c r="L1422" s="1" t="s">
        <v>6088</v>
      </c>
      <c r="N1422" s="1" t="s">
        <v>10098</v>
      </c>
      <c r="P1422" s="1" t="s">
        <v>10099</v>
      </c>
      <c r="Q1422" s="30" t="s">
        <v>2565</v>
      </c>
      <c r="R1422" s="33" t="s">
        <v>3472</v>
      </c>
      <c r="S1422">
        <v>37</v>
      </c>
      <c r="T1422" s="1" t="s">
        <v>13898</v>
      </c>
      <c r="U1422" s="1" t="str">
        <f>HYPERLINK("http://ictvonline.org/taxonomy/p/taxonomy-history?taxnode_id=202113610","ICTVonline=202113610")</f>
        <v>ICTVonline=202113610</v>
      </c>
    </row>
    <row r="1423" spans="1:21" x14ac:dyDescent="0.2">
      <c r="A1423" s="3">
        <v>1422</v>
      </c>
      <c r="B1423" s="1" t="s">
        <v>4875</v>
      </c>
      <c r="D1423" s="1" t="s">
        <v>4876</v>
      </c>
      <c r="F1423" s="1" t="s">
        <v>4880</v>
      </c>
      <c r="H1423" s="1" t="s">
        <v>4881</v>
      </c>
      <c r="L1423" s="1" t="s">
        <v>6088</v>
      </c>
      <c r="N1423" s="1" t="s">
        <v>10100</v>
      </c>
      <c r="P1423" s="1" t="s">
        <v>10101</v>
      </c>
      <c r="Q1423" s="30" t="s">
        <v>2565</v>
      </c>
      <c r="R1423" s="33" t="s">
        <v>3472</v>
      </c>
      <c r="S1423">
        <v>37</v>
      </c>
      <c r="T1423" s="1" t="s">
        <v>13898</v>
      </c>
      <c r="U1423" s="1" t="str">
        <f>HYPERLINK("http://ictvonline.org/taxonomy/p/taxonomy-history?taxnode_id=202112922","ICTVonline=202112922")</f>
        <v>ICTVonline=202112922</v>
      </c>
    </row>
    <row r="1424" spans="1:21" x14ac:dyDescent="0.2">
      <c r="A1424" s="3">
        <v>1423</v>
      </c>
      <c r="B1424" s="1" t="s">
        <v>4875</v>
      </c>
      <c r="D1424" s="1" t="s">
        <v>4876</v>
      </c>
      <c r="F1424" s="1" t="s">
        <v>4880</v>
      </c>
      <c r="H1424" s="1" t="s">
        <v>4881</v>
      </c>
      <c r="L1424" s="1" t="s">
        <v>6088</v>
      </c>
      <c r="N1424" s="1" t="s">
        <v>6124</v>
      </c>
      <c r="P1424" s="1" t="s">
        <v>10102</v>
      </c>
      <c r="Q1424" s="30" t="s">
        <v>2565</v>
      </c>
      <c r="R1424" s="33" t="s">
        <v>3473</v>
      </c>
      <c r="S1424">
        <v>37</v>
      </c>
      <c r="T1424" s="1" t="s">
        <v>13878</v>
      </c>
      <c r="U1424" s="1" t="str">
        <f>HYPERLINK("http://ictvonline.org/taxonomy/p/taxonomy-history?taxnode_id=202111832","ICTVonline=202111832")</f>
        <v>ICTVonline=202111832</v>
      </c>
    </row>
    <row r="1425" spans="1:21" x14ac:dyDescent="0.2">
      <c r="A1425" s="3">
        <v>1424</v>
      </c>
      <c r="B1425" s="1" t="s">
        <v>4875</v>
      </c>
      <c r="D1425" s="1" t="s">
        <v>4876</v>
      </c>
      <c r="F1425" s="1" t="s">
        <v>4880</v>
      </c>
      <c r="H1425" s="1" t="s">
        <v>4881</v>
      </c>
      <c r="L1425" s="1" t="s">
        <v>6088</v>
      </c>
      <c r="N1425" s="1" t="s">
        <v>6125</v>
      </c>
      <c r="P1425" s="1" t="s">
        <v>10103</v>
      </c>
      <c r="Q1425" s="30" t="s">
        <v>2565</v>
      </c>
      <c r="R1425" s="33" t="s">
        <v>3473</v>
      </c>
      <c r="S1425">
        <v>37</v>
      </c>
      <c r="T1425" s="1" t="s">
        <v>13878</v>
      </c>
      <c r="U1425" s="1" t="str">
        <f>HYPERLINK("http://ictvonline.org/taxonomy/p/taxonomy-history?taxnode_id=202111825","ICTVonline=202111825")</f>
        <v>ICTVonline=202111825</v>
      </c>
    </row>
    <row r="1426" spans="1:21" x14ac:dyDescent="0.2">
      <c r="A1426" s="3">
        <v>1425</v>
      </c>
      <c r="B1426" s="1" t="s">
        <v>4875</v>
      </c>
      <c r="D1426" s="1" t="s">
        <v>4876</v>
      </c>
      <c r="F1426" s="1" t="s">
        <v>4880</v>
      </c>
      <c r="H1426" s="1" t="s">
        <v>4881</v>
      </c>
      <c r="L1426" s="1" t="s">
        <v>6088</v>
      </c>
      <c r="N1426" s="1" t="s">
        <v>6125</v>
      </c>
      <c r="P1426" s="1" t="s">
        <v>10104</v>
      </c>
      <c r="Q1426" s="30" t="s">
        <v>2565</v>
      </c>
      <c r="R1426" s="33" t="s">
        <v>3473</v>
      </c>
      <c r="S1426">
        <v>37</v>
      </c>
      <c r="T1426" s="1" t="s">
        <v>13878</v>
      </c>
      <c r="U1426" s="1" t="str">
        <f>HYPERLINK("http://ictvonline.org/taxonomy/p/taxonomy-history?taxnode_id=202111826","ICTVonline=202111826")</f>
        <v>ICTVonline=202111826</v>
      </c>
    </row>
    <row r="1427" spans="1:21" x14ac:dyDescent="0.2">
      <c r="A1427" s="3">
        <v>1426</v>
      </c>
      <c r="B1427" s="1" t="s">
        <v>4875</v>
      </c>
      <c r="D1427" s="1" t="s">
        <v>4876</v>
      </c>
      <c r="F1427" s="1" t="s">
        <v>4880</v>
      </c>
      <c r="H1427" s="1" t="s">
        <v>4881</v>
      </c>
      <c r="L1427" s="1" t="s">
        <v>6088</v>
      </c>
      <c r="N1427" s="1" t="s">
        <v>6126</v>
      </c>
      <c r="P1427" s="1" t="s">
        <v>10105</v>
      </c>
      <c r="Q1427" s="30" t="s">
        <v>2565</v>
      </c>
      <c r="R1427" s="33" t="s">
        <v>3473</v>
      </c>
      <c r="S1427">
        <v>37</v>
      </c>
      <c r="T1427" s="1" t="s">
        <v>13878</v>
      </c>
      <c r="U1427" s="1" t="str">
        <f>HYPERLINK("http://ictvonline.org/taxonomy/p/taxonomy-history?taxnode_id=202111836","ICTVonline=202111836")</f>
        <v>ICTVonline=202111836</v>
      </c>
    </row>
    <row r="1428" spans="1:21" x14ac:dyDescent="0.2">
      <c r="A1428" s="3">
        <v>1427</v>
      </c>
      <c r="B1428" s="1" t="s">
        <v>4875</v>
      </c>
      <c r="D1428" s="1" t="s">
        <v>4876</v>
      </c>
      <c r="F1428" s="1" t="s">
        <v>4880</v>
      </c>
      <c r="H1428" s="1" t="s">
        <v>4881</v>
      </c>
      <c r="L1428" s="1" t="s">
        <v>10106</v>
      </c>
      <c r="M1428" s="1" t="s">
        <v>5989</v>
      </c>
      <c r="N1428" s="1" t="s">
        <v>5990</v>
      </c>
      <c r="P1428" s="1" t="s">
        <v>10107</v>
      </c>
      <c r="Q1428" s="30" t="s">
        <v>2565</v>
      </c>
      <c r="R1428" s="33" t="s">
        <v>3473</v>
      </c>
      <c r="S1428">
        <v>37</v>
      </c>
      <c r="T1428" s="1" t="s">
        <v>13885</v>
      </c>
      <c r="U1428" s="1" t="str">
        <f>HYPERLINK("http://ictvonline.org/taxonomy/p/taxonomy-history?taxnode_id=202109997","ICTVonline=202109997")</f>
        <v>ICTVonline=202109997</v>
      </c>
    </row>
    <row r="1429" spans="1:21" x14ac:dyDescent="0.2">
      <c r="A1429" s="3">
        <v>1428</v>
      </c>
      <c r="B1429" s="1" t="s">
        <v>4875</v>
      </c>
      <c r="D1429" s="1" t="s">
        <v>4876</v>
      </c>
      <c r="F1429" s="1" t="s">
        <v>4880</v>
      </c>
      <c r="H1429" s="1" t="s">
        <v>4881</v>
      </c>
      <c r="L1429" s="1" t="s">
        <v>10106</v>
      </c>
      <c r="M1429" s="1" t="s">
        <v>5989</v>
      </c>
      <c r="N1429" s="1" t="s">
        <v>5990</v>
      </c>
      <c r="P1429" s="1" t="s">
        <v>10108</v>
      </c>
      <c r="Q1429" s="30" t="s">
        <v>2565</v>
      </c>
      <c r="R1429" s="33" t="s">
        <v>3473</v>
      </c>
      <c r="S1429">
        <v>37</v>
      </c>
      <c r="T1429" s="1" t="s">
        <v>13885</v>
      </c>
      <c r="U1429" s="1" t="str">
        <f>HYPERLINK("http://ictvonline.org/taxonomy/p/taxonomy-history?taxnode_id=202109996","ICTVonline=202109996")</f>
        <v>ICTVonline=202109996</v>
      </c>
    </row>
    <row r="1430" spans="1:21" x14ac:dyDescent="0.2">
      <c r="A1430" s="3">
        <v>1429</v>
      </c>
      <c r="B1430" s="1" t="s">
        <v>4875</v>
      </c>
      <c r="D1430" s="1" t="s">
        <v>4876</v>
      </c>
      <c r="F1430" s="1" t="s">
        <v>4880</v>
      </c>
      <c r="H1430" s="1" t="s">
        <v>4881</v>
      </c>
      <c r="L1430" s="1" t="s">
        <v>10106</v>
      </c>
      <c r="M1430" s="1" t="s">
        <v>5989</v>
      </c>
      <c r="N1430" s="1" t="s">
        <v>5990</v>
      </c>
      <c r="P1430" s="1" t="s">
        <v>10109</v>
      </c>
      <c r="Q1430" s="30" t="s">
        <v>2565</v>
      </c>
      <c r="R1430" s="33" t="s">
        <v>3473</v>
      </c>
      <c r="S1430">
        <v>37</v>
      </c>
      <c r="T1430" s="1" t="s">
        <v>13885</v>
      </c>
      <c r="U1430" s="1" t="str">
        <f>HYPERLINK("http://ictvonline.org/taxonomy/p/taxonomy-history?taxnode_id=202109995","ICTVonline=202109995")</f>
        <v>ICTVonline=202109995</v>
      </c>
    </row>
    <row r="1431" spans="1:21" x14ac:dyDescent="0.2">
      <c r="A1431" s="3">
        <v>1430</v>
      </c>
      <c r="B1431" s="1" t="s">
        <v>4875</v>
      </c>
      <c r="D1431" s="1" t="s">
        <v>4876</v>
      </c>
      <c r="F1431" s="1" t="s">
        <v>4880</v>
      </c>
      <c r="H1431" s="1" t="s">
        <v>4881</v>
      </c>
      <c r="L1431" s="1" t="s">
        <v>10106</v>
      </c>
      <c r="M1431" s="1" t="s">
        <v>5989</v>
      </c>
      <c r="N1431" s="1" t="s">
        <v>5991</v>
      </c>
      <c r="P1431" s="1" t="s">
        <v>10110</v>
      </c>
      <c r="Q1431" s="30" t="s">
        <v>2565</v>
      </c>
      <c r="R1431" s="33" t="s">
        <v>3473</v>
      </c>
      <c r="S1431">
        <v>37</v>
      </c>
      <c r="T1431" s="1" t="s">
        <v>13885</v>
      </c>
      <c r="U1431" s="1" t="str">
        <f>HYPERLINK("http://ictvonline.org/taxonomy/p/taxonomy-history?taxnode_id=202100339","ICTVonline=202100339")</f>
        <v>ICTVonline=202100339</v>
      </c>
    </row>
    <row r="1432" spans="1:21" x14ac:dyDescent="0.2">
      <c r="A1432" s="3">
        <v>1431</v>
      </c>
      <c r="B1432" s="1" t="s">
        <v>4875</v>
      </c>
      <c r="D1432" s="1" t="s">
        <v>4876</v>
      </c>
      <c r="F1432" s="1" t="s">
        <v>4880</v>
      </c>
      <c r="H1432" s="1" t="s">
        <v>4881</v>
      </c>
      <c r="L1432" s="1" t="s">
        <v>10106</v>
      </c>
      <c r="M1432" s="1" t="s">
        <v>1240</v>
      </c>
      <c r="N1432" s="1" t="s">
        <v>4512</v>
      </c>
      <c r="P1432" s="1" t="s">
        <v>10111</v>
      </c>
      <c r="Q1432" s="30" t="s">
        <v>2565</v>
      </c>
      <c r="R1432" s="33" t="s">
        <v>3472</v>
      </c>
      <c r="S1432">
        <v>37</v>
      </c>
      <c r="T1432" s="1" t="s">
        <v>13885</v>
      </c>
      <c r="U1432" s="1" t="str">
        <f>HYPERLINK("http://ictvonline.org/taxonomy/p/taxonomy-history?taxnode_id=202113693","ICTVonline=202113693")</f>
        <v>ICTVonline=202113693</v>
      </c>
    </row>
    <row r="1433" spans="1:21" x14ac:dyDescent="0.2">
      <c r="A1433" s="3">
        <v>1432</v>
      </c>
      <c r="B1433" s="1" t="s">
        <v>4875</v>
      </c>
      <c r="D1433" s="1" t="s">
        <v>4876</v>
      </c>
      <c r="F1433" s="1" t="s">
        <v>4880</v>
      </c>
      <c r="H1433" s="1" t="s">
        <v>4881</v>
      </c>
      <c r="L1433" s="1" t="s">
        <v>10106</v>
      </c>
      <c r="M1433" s="1" t="s">
        <v>1240</v>
      </c>
      <c r="N1433" s="1" t="s">
        <v>4512</v>
      </c>
      <c r="P1433" s="1" t="s">
        <v>10112</v>
      </c>
      <c r="Q1433" s="30" t="s">
        <v>2565</v>
      </c>
      <c r="R1433" s="33" t="s">
        <v>3473</v>
      </c>
      <c r="S1433">
        <v>37</v>
      </c>
      <c r="T1433" s="1" t="s">
        <v>13885</v>
      </c>
      <c r="U1433" s="1" t="str">
        <f>HYPERLINK("http://ictvonline.org/taxonomy/p/taxonomy-history?taxnode_id=202100286","ICTVonline=202100286")</f>
        <v>ICTVonline=202100286</v>
      </c>
    </row>
    <row r="1434" spans="1:21" x14ac:dyDescent="0.2">
      <c r="A1434" s="3">
        <v>1433</v>
      </c>
      <c r="B1434" s="1" t="s">
        <v>4875</v>
      </c>
      <c r="D1434" s="1" t="s">
        <v>4876</v>
      </c>
      <c r="F1434" s="1" t="s">
        <v>4880</v>
      </c>
      <c r="H1434" s="1" t="s">
        <v>4881</v>
      </c>
      <c r="L1434" s="1" t="s">
        <v>10106</v>
      </c>
      <c r="M1434" s="1" t="s">
        <v>1240</v>
      </c>
      <c r="N1434" s="1" t="s">
        <v>4512</v>
      </c>
      <c r="P1434" s="1" t="s">
        <v>10113</v>
      </c>
      <c r="Q1434" s="30" t="s">
        <v>2565</v>
      </c>
      <c r="R1434" s="33" t="s">
        <v>3472</v>
      </c>
      <c r="S1434">
        <v>37</v>
      </c>
      <c r="T1434" s="1" t="s">
        <v>13885</v>
      </c>
      <c r="U1434" s="1" t="str">
        <f>HYPERLINK("http://ictvonline.org/taxonomy/p/taxonomy-history?taxnode_id=202113694","ICTVonline=202113694")</f>
        <v>ICTVonline=202113694</v>
      </c>
    </row>
    <row r="1435" spans="1:21" x14ac:dyDescent="0.2">
      <c r="A1435" s="3">
        <v>1434</v>
      </c>
      <c r="B1435" s="1" t="s">
        <v>4875</v>
      </c>
      <c r="D1435" s="1" t="s">
        <v>4876</v>
      </c>
      <c r="F1435" s="1" t="s">
        <v>4880</v>
      </c>
      <c r="H1435" s="1" t="s">
        <v>4881</v>
      </c>
      <c r="L1435" s="1" t="s">
        <v>10106</v>
      </c>
      <c r="M1435" s="1" t="s">
        <v>1240</v>
      </c>
      <c r="N1435" s="1" t="s">
        <v>4512</v>
      </c>
      <c r="P1435" s="1" t="s">
        <v>10114</v>
      </c>
      <c r="Q1435" s="30" t="s">
        <v>2565</v>
      </c>
      <c r="R1435" s="33" t="s">
        <v>3473</v>
      </c>
      <c r="S1435">
        <v>37</v>
      </c>
      <c r="T1435" s="1" t="s">
        <v>13885</v>
      </c>
      <c r="U1435" s="1" t="str">
        <f>HYPERLINK("http://ictvonline.org/taxonomy/p/taxonomy-history?taxnode_id=202100287","ICTVonline=202100287")</f>
        <v>ICTVonline=202100287</v>
      </c>
    </row>
    <row r="1436" spans="1:21" x14ac:dyDescent="0.2">
      <c r="A1436" s="3">
        <v>1435</v>
      </c>
      <c r="B1436" s="1" t="s">
        <v>4875</v>
      </c>
      <c r="D1436" s="1" t="s">
        <v>4876</v>
      </c>
      <c r="F1436" s="1" t="s">
        <v>4880</v>
      </c>
      <c r="H1436" s="1" t="s">
        <v>4881</v>
      </c>
      <c r="L1436" s="1" t="s">
        <v>10106</v>
      </c>
      <c r="M1436" s="1" t="s">
        <v>1240</v>
      </c>
      <c r="N1436" s="1" t="s">
        <v>4512</v>
      </c>
      <c r="P1436" s="1" t="s">
        <v>10115</v>
      </c>
      <c r="Q1436" s="30" t="s">
        <v>2565</v>
      </c>
      <c r="R1436" s="33" t="s">
        <v>3472</v>
      </c>
      <c r="S1436">
        <v>37</v>
      </c>
      <c r="T1436" s="1" t="s">
        <v>13885</v>
      </c>
      <c r="U1436" s="1" t="str">
        <f>HYPERLINK("http://ictvonline.org/taxonomy/p/taxonomy-history?taxnode_id=202113691","ICTVonline=202113691")</f>
        <v>ICTVonline=202113691</v>
      </c>
    </row>
    <row r="1437" spans="1:21" x14ac:dyDescent="0.2">
      <c r="A1437" s="3">
        <v>1436</v>
      </c>
      <c r="B1437" s="1" t="s">
        <v>4875</v>
      </c>
      <c r="D1437" s="1" t="s">
        <v>4876</v>
      </c>
      <c r="F1437" s="1" t="s">
        <v>4880</v>
      </c>
      <c r="H1437" s="1" t="s">
        <v>4881</v>
      </c>
      <c r="L1437" s="1" t="s">
        <v>10106</v>
      </c>
      <c r="M1437" s="1" t="s">
        <v>1240</v>
      </c>
      <c r="N1437" s="1" t="s">
        <v>4512</v>
      </c>
      <c r="P1437" s="1" t="s">
        <v>10116</v>
      </c>
      <c r="Q1437" s="30" t="s">
        <v>2565</v>
      </c>
      <c r="R1437" s="33" t="s">
        <v>3472</v>
      </c>
      <c r="S1437">
        <v>37</v>
      </c>
      <c r="T1437" s="1" t="s">
        <v>13885</v>
      </c>
      <c r="U1437" s="1" t="str">
        <f>HYPERLINK("http://ictvonline.org/taxonomy/p/taxonomy-history?taxnode_id=202113692","ICTVonline=202113692")</f>
        <v>ICTVonline=202113692</v>
      </c>
    </row>
    <row r="1438" spans="1:21" x14ac:dyDescent="0.2">
      <c r="A1438" s="3">
        <v>1437</v>
      </c>
      <c r="B1438" s="1" t="s">
        <v>4875</v>
      </c>
      <c r="D1438" s="1" t="s">
        <v>4876</v>
      </c>
      <c r="F1438" s="1" t="s">
        <v>4880</v>
      </c>
      <c r="H1438" s="1" t="s">
        <v>4881</v>
      </c>
      <c r="L1438" s="1" t="s">
        <v>10106</v>
      </c>
      <c r="M1438" s="1" t="s">
        <v>1240</v>
      </c>
      <c r="N1438" s="1" t="s">
        <v>4512</v>
      </c>
      <c r="P1438" s="1" t="s">
        <v>10117</v>
      </c>
      <c r="Q1438" s="30" t="s">
        <v>2565</v>
      </c>
      <c r="R1438" s="33" t="s">
        <v>3473</v>
      </c>
      <c r="S1438">
        <v>37</v>
      </c>
      <c r="T1438" s="1" t="s">
        <v>13885</v>
      </c>
      <c r="U1438" s="1" t="str">
        <f>HYPERLINK("http://ictvonline.org/taxonomy/p/taxonomy-history?taxnode_id=202100288","ICTVonline=202100288")</f>
        <v>ICTVonline=202100288</v>
      </c>
    </row>
    <row r="1439" spans="1:21" x14ac:dyDescent="0.2">
      <c r="A1439" s="3">
        <v>1438</v>
      </c>
      <c r="B1439" s="1" t="s">
        <v>4875</v>
      </c>
      <c r="D1439" s="1" t="s">
        <v>4876</v>
      </c>
      <c r="F1439" s="1" t="s">
        <v>4880</v>
      </c>
      <c r="H1439" s="1" t="s">
        <v>4881</v>
      </c>
      <c r="L1439" s="1" t="s">
        <v>10106</v>
      </c>
      <c r="M1439" s="1" t="s">
        <v>1240</v>
      </c>
      <c r="N1439" s="1" t="s">
        <v>4512</v>
      </c>
      <c r="P1439" s="1" t="s">
        <v>10118</v>
      </c>
      <c r="Q1439" s="30" t="s">
        <v>2565</v>
      </c>
      <c r="R1439" s="33" t="s">
        <v>3473</v>
      </c>
      <c r="S1439">
        <v>37</v>
      </c>
      <c r="T1439" s="1" t="s">
        <v>13885</v>
      </c>
      <c r="U1439" s="1" t="str">
        <f>HYPERLINK("http://ictvonline.org/taxonomy/p/taxonomy-history?taxnode_id=202100289","ICTVonline=202100289")</f>
        <v>ICTVonline=202100289</v>
      </c>
    </row>
    <row r="1440" spans="1:21" x14ac:dyDescent="0.2">
      <c r="A1440" s="3">
        <v>1439</v>
      </c>
      <c r="B1440" s="1" t="s">
        <v>4875</v>
      </c>
      <c r="D1440" s="1" t="s">
        <v>4876</v>
      </c>
      <c r="F1440" s="1" t="s">
        <v>4880</v>
      </c>
      <c r="H1440" s="1" t="s">
        <v>4881</v>
      </c>
      <c r="L1440" s="1" t="s">
        <v>10106</v>
      </c>
      <c r="M1440" s="1" t="s">
        <v>1240</v>
      </c>
      <c r="N1440" s="1" t="s">
        <v>4512</v>
      </c>
      <c r="P1440" s="1" t="s">
        <v>10119</v>
      </c>
      <c r="Q1440" s="30" t="s">
        <v>2565</v>
      </c>
      <c r="R1440" s="33" t="s">
        <v>3473</v>
      </c>
      <c r="S1440">
        <v>37</v>
      </c>
      <c r="T1440" s="1" t="s">
        <v>13885</v>
      </c>
      <c r="U1440" s="1" t="str">
        <f>HYPERLINK("http://ictvonline.org/taxonomy/p/taxonomy-history?taxnode_id=202107034","ICTVonline=202107034")</f>
        <v>ICTVonline=202107034</v>
      </c>
    </row>
    <row r="1441" spans="1:21" x14ac:dyDescent="0.2">
      <c r="A1441" s="3">
        <v>1440</v>
      </c>
      <c r="B1441" s="1" t="s">
        <v>4875</v>
      </c>
      <c r="D1441" s="1" t="s">
        <v>4876</v>
      </c>
      <c r="F1441" s="1" t="s">
        <v>4880</v>
      </c>
      <c r="H1441" s="1" t="s">
        <v>4881</v>
      </c>
      <c r="L1441" s="1" t="s">
        <v>10106</v>
      </c>
      <c r="M1441" s="1" t="s">
        <v>1240</v>
      </c>
      <c r="N1441" s="1" t="s">
        <v>4512</v>
      </c>
      <c r="P1441" s="1" t="s">
        <v>10120</v>
      </c>
      <c r="Q1441" s="30" t="s">
        <v>2565</v>
      </c>
      <c r="R1441" s="33" t="s">
        <v>3473</v>
      </c>
      <c r="S1441">
        <v>37</v>
      </c>
      <c r="T1441" s="1" t="s">
        <v>13885</v>
      </c>
      <c r="U1441" s="1" t="str">
        <f>HYPERLINK("http://ictvonline.org/taxonomy/p/taxonomy-history?taxnode_id=202100290","ICTVonline=202100290")</f>
        <v>ICTVonline=202100290</v>
      </c>
    </row>
    <row r="1442" spans="1:21" x14ac:dyDescent="0.2">
      <c r="A1442" s="3">
        <v>1441</v>
      </c>
      <c r="B1442" s="1" t="s">
        <v>4875</v>
      </c>
      <c r="D1442" s="1" t="s">
        <v>4876</v>
      </c>
      <c r="F1442" s="1" t="s">
        <v>4880</v>
      </c>
      <c r="H1442" s="1" t="s">
        <v>4881</v>
      </c>
      <c r="L1442" s="1" t="s">
        <v>10106</v>
      </c>
      <c r="M1442" s="1" t="s">
        <v>1240</v>
      </c>
      <c r="N1442" s="1" t="s">
        <v>4512</v>
      </c>
      <c r="P1442" s="1" t="s">
        <v>10121</v>
      </c>
      <c r="Q1442" s="30" t="s">
        <v>2565</v>
      </c>
      <c r="R1442" s="33" t="s">
        <v>3473</v>
      </c>
      <c r="S1442">
        <v>37</v>
      </c>
      <c r="T1442" s="1" t="s">
        <v>13885</v>
      </c>
      <c r="U1442" s="1" t="str">
        <f>HYPERLINK("http://ictvonline.org/taxonomy/p/taxonomy-history?taxnode_id=202100291","ICTVonline=202100291")</f>
        <v>ICTVonline=202100291</v>
      </c>
    </row>
    <row r="1443" spans="1:21" x14ac:dyDescent="0.2">
      <c r="A1443" s="3">
        <v>1442</v>
      </c>
      <c r="B1443" s="1" t="s">
        <v>4875</v>
      </c>
      <c r="D1443" s="1" t="s">
        <v>4876</v>
      </c>
      <c r="F1443" s="1" t="s">
        <v>4880</v>
      </c>
      <c r="H1443" s="1" t="s">
        <v>4881</v>
      </c>
      <c r="L1443" s="1" t="s">
        <v>10106</v>
      </c>
      <c r="M1443" s="1" t="s">
        <v>1240</v>
      </c>
      <c r="N1443" s="1" t="s">
        <v>4512</v>
      </c>
      <c r="P1443" s="1" t="s">
        <v>10122</v>
      </c>
      <c r="Q1443" s="30" t="s">
        <v>2565</v>
      </c>
      <c r="R1443" s="33" t="s">
        <v>3473</v>
      </c>
      <c r="S1443">
        <v>37</v>
      </c>
      <c r="T1443" s="1" t="s">
        <v>13885</v>
      </c>
      <c r="U1443" s="1" t="str">
        <f>HYPERLINK("http://ictvonline.org/taxonomy/p/taxonomy-history?taxnode_id=202107035","ICTVonline=202107035")</f>
        <v>ICTVonline=202107035</v>
      </c>
    </row>
    <row r="1444" spans="1:21" x14ac:dyDescent="0.2">
      <c r="A1444" s="3">
        <v>1443</v>
      </c>
      <c r="B1444" s="1" t="s">
        <v>4875</v>
      </c>
      <c r="D1444" s="1" t="s">
        <v>4876</v>
      </c>
      <c r="F1444" s="1" t="s">
        <v>4880</v>
      </c>
      <c r="H1444" s="1" t="s">
        <v>4881</v>
      </c>
      <c r="L1444" s="1" t="s">
        <v>10106</v>
      </c>
      <c r="M1444" s="1" t="s">
        <v>1240</v>
      </c>
      <c r="N1444" s="1" t="s">
        <v>4513</v>
      </c>
      <c r="P1444" s="1" t="s">
        <v>10123</v>
      </c>
      <c r="Q1444" s="30" t="s">
        <v>2565</v>
      </c>
      <c r="R1444" s="33" t="s">
        <v>3473</v>
      </c>
      <c r="S1444">
        <v>37</v>
      </c>
      <c r="T1444" s="1" t="s">
        <v>13885</v>
      </c>
      <c r="U1444" s="1" t="str">
        <f>HYPERLINK("http://ictvonline.org/taxonomy/p/taxonomy-history?taxnode_id=202100322","ICTVonline=202100322")</f>
        <v>ICTVonline=202100322</v>
      </c>
    </row>
    <row r="1445" spans="1:21" x14ac:dyDescent="0.2">
      <c r="A1445" s="3">
        <v>1444</v>
      </c>
      <c r="B1445" s="1" t="s">
        <v>4875</v>
      </c>
      <c r="D1445" s="1" t="s">
        <v>4876</v>
      </c>
      <c r="F1445" s="1" t="s">
        <v>4880</v>
      </c>
      <c r="H1445" s="1" t="s">
        <v>4881</v>
      </c>
      <c r="L1445" s="1" t="s">
        <v>10106</v>
      </c>
      <c r="M1445" s="1" t="s">
        <v>1240</v>
      </c>
      <c r="N1445" s="1" t="s">
        <v>4513</v>
      </c>
      <c r="P1445" s="1" t="s">
        <v>10124</v>
      </c>
      <c r="Q1445" s="30" t="s">
        <v>2565</v>
      </c>
      <c r="R1445" s="33" t="s">
        <v>3473</v>
      </c>
      <c r="S1445">
        <v>37</v>
      </c>
      <c r="T1445" s="1" t="s">
        <v>13885</v>
      </c>
      <c r="U1445" s="1" t="str">
        <f>HYPERLINK("http://ictvonline.org/taxonomy/p/taxonomy-history?taxnode_id=202100318","ICTVonline=202100318")</f>
        <v>ICTVonline=202100318</v>
      </c>
    </row>
    <row r="1446" spans="1:21" x14ac:dyDescent="0.2">
      <c r="A1446" s="3">
        <v>1445</v>
      </c>
      <c r="B1446" s="1" t="s">
        <v>4875</v>
      </c>
      <c r="D1446" s="1" t="s">
        <v>4876</v>
      </c>
      <c r="F1446" s="1" t="s">
        <v>4880</v>
      </c>
      <c r="H1446" s="1" t="s">
        <v>4881</v>
      </c>
      <c r="L1446" s="1" t="s">
        <v>10106</v>
      </c>
      <c r="M1446" s="1" t="s">
        <v>1240</v>
      </c>
      <c r="N1446" s="1" t="s">
        <v>4513</v>
      </c>
      <c r="P1446" s="1" t="s">
        <v>10125</v>
      </c>
      <c r="Q1446" s="30" t="s">
        <v>2565</v>
      </c>
      <c r="R1446" s="33" t="s">
        <v>3473</v>
      </c>
      <c r="S1446">
        <v>37</v>
      </c>
      <c r="T1446" s="1" t="s">
        <v>13885</v>
      </c>
      <c r="U1446" s="1" t="str">
        <f>HYPERLINK("http://ictvonline.org/taxonomy/p/taxonomy-history?taxnode_id=202100319","ICTVonline=202100319")</f>
        <v>ICTVonline=202100319</v>
      </c>
    </row>
    <row r="1447" spans="1:21" x14ac:dyDescent="0.2">
      <c r="A1447" s="3">
        <v>1446</v>
      </c>
      <c r="B1447" s="1" t="s">
        <v>4875</v>
      </c>
      <c r="D1447" s="1" t="s">
        <v>4876</v>
      </c>
      <c r="F1447" s="1" t="s">
        <v>4880</v>
      </c>
      <c r="H1447" s="1" t="s">
        <v>4881</v>
      </c>
      <c r="L1447" s="1" t="s">
        <v>10106</v>
      </c>
      <c r="M1447" s="1" t="s">
        <v>1240</v>
      </c>
      <c r="N1447" s="1" t="s">
        <v>4513</v>
      </c>
      <c r="P1447" s="1" t="s">
        <v>10126</v>
      </c>
      <c r="Q1447" s="30" t="s">
        <v>2565</v>
      </c>
      <c r="R1447" s="33" t="s">
        <v>3473</v>
      </c>
      <c r="S1447">
        <v>37</v>
      </c>
      <c r="T1447" s="1" t="s">
        <v>13885</v>
      </c>
      <c r="U1447" s="1" t="str">
        <f>HYPERLINK("http://ictvonline.org/taxonomy/p/taxonomy-history?taxnode_id=202100320","ICTVonline=202100320")</f>
        <v>ICTVonline=202100320</v>
      </c>
    </row>
    <row r="1448" spans="1:21" x14ac:dyDescent="0.2">
      <c r="A1448" s="3">
        <v>1447</v>
      </c>
      <c r="B1448" s="1" t="s">
        <v>4875</v>
      </c>
      <c r="D1448" s="1" t="s">
        <v>4876</v>
      </c>
      <c r="F1448" s="1" t="s">
        <v>4880</v>
      </c>
      <c r="H1448" s="1" t="s">
        <v>4881</v>
      </c>
      <c r="L1448" s="1" t="s">
        <v>10106</v>
      </c>
      <c r="M1448" s="1" t="s">
        <v>1240</v>
      </c>
      <c r="N1448" s="1" t="s">
        <v>4513</v>
      </c>
      <c r="P1448" s="1" t="s">
        <v>10127</v>
      </c>
      <c r="Q1448" s="30" t="s">
        <v>2565</v>
      </c>
      <c r="R1448" s="33" t="s">
        <v>3473</v>
      </c>
      <c r="S1448">
        <v>37</v>
      </c>
      <c r="T1448" s="1" t="s">
        <v>13885</v>
      </c>
      <c r="U1448" s="1" t="str">
        <f>HYPERLINK("http://ictvonline.org/taxonomy/p/taxonomy-history?taxnode_id=202100321","ICTVonline=202100321")</f>
        <v>ICTVonline=202100321</v>
      </c>
    </row>
    <row r="1449" spans="1:21" x14ac:dyDescent="0.2">
      <c r="A1449" s="3">
        <v>1448</v>
      </c>
      <c r="B1449" s="1" t="s">
        <v>4875</v>
      </c>
      <c r="D1449" s="1" t="s">
        <v>4876</v>
      </c>
      <c r="F1449" s="1" t="s">
        <v>4880</v>
      </c>
      <c r="H1449" s="1" t="s">
        <v>4881</v>
      </c>
      <c r="L1449" s="1" t="s">
        <v>10106</v>
      </c>
      <c r="M1449" s="1" t="s">
        <v>1240</v>
      </c>
      <c r="N1449" s="1" t="s">
        <v>4514</v>
      </c>
      <c r="P1449" s="1" t="s">
        <v>10128</v>
      </c>
      <c r="Q1449" s="30" t="s">
        <v>2565</v>
      </c>
      <c r="R1449" s="33" t="s">
        <v>3472</v>
      </c>
      <c r="S1449">
        <v>37</v>
      </c>
      <c r="T1449" s="1" t="s">
        <v>13885</v>
      </c>
      <c r="U1449" s="1" t="str">
        <f>HYPERLINK("http://ictvonline.org/taxonomy/p/taxonomy-history?taxnode_id=202113703","ICTVonline=202113703")</f>
        <v>ICTVonline=202113703</v>
      </c>
    </row>
    <row r="1450" spans="1:21" x14ac:dyDescent="0.2">
      <c r="A1450" s="3">
        <v>1449</v>
      </c>
      <c r="B1450" s="1" t="s">
        <v>4875</v>
      </c>
      <c r="D1450" s="1" t="s">
        <v>4876</v>
      </c>
      <c r="F1450" s="1" t="s">
        <v>4880</v>
      </c>
      <c r="H1450" s="1" t="s">
        <v>4881</v>
      </c>
      <c r="L1450" s="1" t="s">
        <v>10106</v>
      </c>
      <c r="M1450" s="1" t="s">
        <v>1240</v>
      </c>
      <c r="N1450" s="1" t="s">
        <v>4514</v>
      </c>
      <c r="P1450" s="1" t="s">
        <v>10129</v>
      </c>
      <c r="Q1450" s="30" t="s">
        <v>2565</v>
      </c>
      <c r="R1450" s="33" t="s">
        <v>3473</v>
      </c>
      <c r="S1450">
        <v>37</v>
      </c>
      <c r="T1450" s="1" t="s">
        <v>13885</v>
      </c>
      <c r="U1450" s="1" t="str">
        <f>HYPERLINK("http://ictvonline.org/taxonomy/p/taxonomy-history?taxnode_id=202107047","ICTVonline=202107047")</f>
        <v>ICTVonline=202107047</v>
      </c>
    </row>
    <row r="1451" spans="1:21" x14ac:dyDescent="0.2">
      <c r="A1451" s="3">
        <v>1450</v>
      </c>
      <c r="B1451" s="1" t="s">
        <v>4875</v>
      </c>
      <c r="D1451" s="1" t="s">
        <v>4876</v>
      </c>
      <c r="F1451" s="1" t="s">
        <v>4880</v>
      </c>
      <c r="H1451" s="1" t="s">
        <v>4881</v>
      </c>
      <c r="L1451" s="1" t="s">
        <v>10106</v>
      </c>
      <c r="M1451" s="1" t="s">
        <v>1240</v>
      </c>
      <c r="N1451" s="1" t="s">
        <v>4514</v>
      </c>
      <c r="P1451" s="1" t="s">
        <v>10130</v>
      </c>
      <c r="Q1451" s="30" t="s">
        <v>2565</v>
      </c>
      <c r="R1451" s="33" t="s">
        <v>3473</v>
      </c>
      <c r="S1451">
        <v>37</v>
      </c>
      <c r="T1451" s="1" t="s">
        <v>13885</v>
      </c>
      <c r="U1451" s="1" t="str">
        <f>HYPERLINK("http://ictvonline.org/taxonomy/p/taxonomy-history?taxnode_id=202100311","ICTVonline=202100311")</f>
        <v>ICTVonline=202100311</v>
      </c>
    </row>
    <row r="1452" spans="1:21" x14ac:dyDescent="0.2">
      <c r="A1452" s="3">
        <v>1451</v>
      </c>
      <c r="B1452" s="1" t="s">
        <v>4875</v>
      </c>
      <c r="D1452" s="1" t="s">
        <v>4876</v>
      </c>
      <c r="F1452" s="1" t="s">
        <v>4880</v>
      </c>
      <c r="H1452" s="1" t="s">
        <v>4881</v>
      </c>
      <c r="L1452" s="1" t="s">
        <v>10106</v>
      </c>
      <c r="M1452" s="1" t="s">
        <v>1240</v>
      </c>
      <c r="N1452" s="1" t="s">
        <v>4514</v>
      </c>
      <c r="P1452" s="1" t="s">
        <v>10131</v>
      </c>
      <c r="Q1452" s="30" t="s">
        <v>2565</v>
      </c>
      <c r="R1452" s="33" t="s">
        <v>3473</v>
      </c>
      <c r="S1452">
        <v>37</v>
      </c>
      <c r="T1452" s="1" t="s">
        <v>13885</v>
      </c>
      <c r="U1452" s="1" t="str">
        <f>HYPERLINK("http://ictvonline.org/taxonomy/p/taxonomy-history?taxnode_id=202100312","ICTVonline=202100312")</f>
        <v>ICTVonline=202100312</v>
      </c>
    </row>
    <row r="1453" spans="1:21" x14ac:dyDescent="0.2">
      <c r="A1453" s="3">
        <v>1452</v>
      </c>
      <c r="B1453" s="1" t="s">
        <v>4875</v>
      </c>
      <c r="D1453" s="1" t="s">
        <v>4876</v>
      </c>
      <c r="F1453" s="1" t="s">
        <v>4880</v>
      </c>
      <c r="H1453" s="1" t="s">
        <v>4881</v>
      </c>
      <c r="L1453" s="1" t="s">
        <v>10106</v>
      </c>
      <c r="M1453" s="1" t="s">
        <v>1240</v>
      </c>
      <c r="N1453" s="1" t="s">
        <v>4514</v>
      </c>
      <c r="P1453" s="1" t="s">
        <v>10132</v>
      </c>
      <c r="Q1453" s="30" t="s">
        <v>2565</v>
      </c>
      <c r="R1453" s="33" t="s">
        <v>3473</v>
      </c>
      <c r="S1453">
        <v>37</v>
      </c>
      <c r="T1453" s="1" t="s">
        <v>13885</v>
      </c>
      <c r="U1453" s="1" t="str">
        <f>HYPERLINK("http://ictvonline.org/taxonomy/p/taxonomy-history?taxnode_id=202107048","ICTVonline=202107048")</f>
        <v>ICTVonline=202107048</v>
      </c>
    </row>
    <row r="1454" spans="1:21" x14ac:dyDescent="0.2">
      <c r="A1454" s="3">
        <v>1453</v>
      </c>
      <c r="B1454" s="1" t="s">
        <v>4875</v>
      </c>
      <c r="D1454" s="1" t="s">
        <v>4876</v>
      </c>
      <c r="F1454" s="1" t="s">
        <v>4880</v>
      </c>
      <c r="H1454" s="1" t="s">
        <v>4881</v>
      </c>
      <c r="L1454" s="1" t="s">
        <v>10106</v>
      </c>
      <c r="M1454" s="1" t="s">
        <v>1240</v>
      </c>
      <c r="N1454" s="1" t="s">
        <v>4515</v>
      </c>
      <c r="P1454" s="1" t="s">
        <v>10133</v>
      </c>
      <c r="Q1454" s="30" t="s">
        <v>2565</v>
      </c>
      <c r="R1454" s="33" t="s">
        <v>3473</v>
      </c>
      <c r="S1454">
        <v>37</v>
      </c>
      <c r="T1454" s="1" t="s">
        <v>13885</v>
      </c>
      <c r="U1454" s="1" t="str">
        <f>HYPERLINK("http://ictvonline.org/taxonomy/p/taxonomy-history?taxnode_id=202100283","ICTVonline=202100283")</f>
        <v>ICTVonline=202100283</v>
      </c>
    </row>
    <row r="1455" spans="1:21" x14ac:dyDescent="0.2">
      <c r="A1455" s="3">
        <v>1454</v>
      </c>
      <c r="B1455" s="1" t="s">
        <v>4875</v>
      </c>
      <c r="D1455" s="1" t="s">
        <v>4876</v>
      </c>
      <c r="F1455" s="1" t="s">
        <v>4880</v>
      </c>
      <c r="H1455" s="1" t="s">
        <v>4881</v>
      </c>
      <c r="L1455" s="1" t="s">
        <v>10106</v>
      </c>
      <c r="M1455" s="1" t="s">
        <v>1240</v>
      </c>
      <c r="N1455" s="1" t="s">
        <v>4515</v>
      </c>
      <c r="P1455" s="1" t="s">
        <v>10134</v>
      </c>
      <c r="Q1455" s="30" t="s">
        <v>2565</v>
      </c>
      <c r="R1455" s="33" t="s">
        <v>3472</v>
      </c>
      <c r="S1455">
        <v>37</v>
      </c>
      <c r="T1455" s="1" t="s">
        <v>13885</v>
      </c>
      <c r="U1455" s="1" t="str">
        <f>HYPERLINK("http://ictvonline.org/taxonomy/p/taxonomy-history?taxnode_id=202113700","ICTVonline=202113700")</f>
        <v>ICTVonline=202113700</v>
      </c>
    </row>
    <row r="1456" spans="1:21" x14ac:dyDescent="0.2">
      <c r="A1456" s="3">
        <v>1455</v>
      </c>
      <c r="B1456" s="1" t="s">
        <v>4875</v>
      </c>
      <c r="D1456" s="1" t="s">
        <v>4876</v>
      </c>
      <c r="F1456" s="1" t="s">
        <v>4880</v>
      </c>
      <c r="H1456" s="1" t="s">
        <v>4881</v>
      </c>
      <c r="L1456" s="1" t="s">
        <v>10106</v>
      </c>
      <c r="M1456" s="1" t="s">
        <v>1240</v>
      </c>
      <c r="N1456" s="1" t="s">
        <v>4515</v>
      </c>
      <c r="P1456" s="1" t="s">
        <v>10135</v>
      </c>
      <c r="Q1456" s="30" t="s">
        <v>2565</v>
      </c>
      <c r="R1456" s="33" t="s">
        <v>3472</v>
      </c>
      <c r="S1456">
        <v>37</v>
      </c>
      <c r="T1456" s="1" t="s">
        <v>13885</v>
      </c>
      <c r="U1456" s="1" t="str">
        <f>HYPERLINK("http://ictvonline.org/taxonomy/p/taxonomy-history?taxnode_id=202113698","ICTVonline=202113698")</f>
        <v>ICTVonline=202113698</v>
      </c>
    </row>
    <row r="1457" spans="1:21" x14ac:dyDescent="0.2">
      <c r="A1457" s="3">
        <v>1456</v>
      </c>
      <c r="B1457" s="1" t="s">
        <v>4875</v>
      </c>
      <c r="D1457" s="1" t="s">
        <v>4876</v>
      </c>
      <c r="F1457" s="1" t="s">
        <v>4880</v>
      </c>
      <c r="H1457" s="1" t="s">
        <v>4881</v>
      </c>
      <c r="L1457" s="1" t="s">
        <v>10106</v>
      </c>
      <c r="M1457" s="1" t="s">
        <v>1240</v>
      </c>
      <c r="N1457" s="1" t="s">
        <v>4515</v>
      </c>
      <c r="P1457" s="1" t="s">
        <v>10136</v>
      </c>
      <c r="Q1457" s="30" t="s">
        <v>2565</v>
      </c>
      <c r="R1457" s="33" t="s">
        <v>3472</v>
      </c>
      <c r="S1457">
        <v>37</v>
      </c>
      <c r="T1457" s="1" t="s">
        <v>13885</v>
      </c>
      <c r="U1457" s="1" t="str">
        <f>HYPERLINK("http://ictvonline.org/taxonomy/p/taxonomy-history?taxnode_id=202113697","ICTVonline=202113697")</f>
        <v>ICTVonline=202113697</v>
      </c>
    </row>
    <row r="1458" spans="1:21" x14ac:dyDescent="0.2">
      <c r="A1458" s="3">
        <v>1457</v>
      </c>
      <c r="B1458" s="1" t="s">
        <v>4875</v>
      </c>
      <c r="D1458" s="1" t="s">
        <v>4876</v>
      </c>
      <c r="F1458" s="1" t="s">
        <v>4880</v>
      </c>
      <c r="H1458" s="1" t="s">
        <v>4881</v>
      </c>
      <c r="L1458" s="1" t="s">
        <v>10106</v>
      </c>
      <c r="M1458" s="1" t="s">
        <v>1240</v>
      </c>
      <c r="N1458" s="1" t="s">
        <v>4515</v>
      </c>
      <c r="P1458" s="1" t="s">
        <v>10137</v>
      </c>
      <c r="Q1458" s="30" t="s">
        <v>2565</v>
      </c>
      <c r="R1458" s="33" t="s">
        <v>3472</v>
      </c>
      <c r="S1458">
        <v>37</v>
      </c>
      <c r="T1458" s="1" t="s">
        <v>13885</v>
      </c>
      <c r="U1458" s="1" t="str">
        <f>HYPERLINK("http://ictvonline.org/taxonomy/p/taxonomy-history?taxnode_id=202113699","ICTVonline=202113699")</f>
        <v>ICTVonline=202113699</v>
      </c>
    </row>
    <row r="1459" spans="1:21" x14ac:dyDescent="0.2">
      <c r="A1459" s="3">
        <v>1458</v>
      </c>
      <c r="B1459" s="1" t="s">
        <v>4875</v>
      </c>
      <c r="D1459" s="1" t="s">
        <v>4876</v>
      </c>
      <c r="F1459" s="1" t="s">
        <v>4880</v>
      </c>
      <c r="H1459" s="1" t="s">
        <v>4881</v>
      </c>
      <c r="L1459" s="1" t="s">
        <v>10106</v>
      </c>
      <c r="M1459" s="1" t="s">
        <v>1240</v>
      </c>
      <c r="N1459" s="1" t="s">
        <v>4515</v>
      </c>
      <c r="P1459" s="1" t="s">
        <v>10138</v>
      </c>
      <c r="Q1459" s="30" t="s">
        <v>2565</v>
      </c>
      <c r="R1459" s="33" t="s">
        <v>3473</v>
      </c>
      <c r="S1459">
        <v>37</v>
      </c>
      <c r="T1459" s="1" t="s">
        <v>13885</v>
      </c>
      <c r="U1459" s="1" t="str">
        <f>HYPERLINK("http://ictvonline.org/taxonomy/p/taxonomy-history?taxnode_id=202100284","ICTVonline=202100284")</f>
        <v>ICTVonline=202100284</v>
      </c>
    </row>
    <row r="1460" spans="1:21" x14ac:dyDescent="0.2">
      <c r="A1460" s="3">
        <v>1459</v>
      </c>
      <c r="B1460" s="1" t="s">
        <v>4875</v>
      </c>
      <c r="D1460" s="1" t="s">
        <v>4876</v>
      </c>
      <c r="F1460" s="1" t="s">
        <v>4880</v>
      </c>
      <c r="H1460" s="1" t="s">
        <v>4881</v>
      </c>
      <c r="L1460" s="1" t="s">
        <v>10106</v>
      </c>
      <c r="M1460" s="1" t="s">
        <v>1240</v>
      </c>
      <c r="N1460" s="1" t="s">
        <v>10139</v>
      </c>
      <c r="P1460" s="1" t="s">
        <v>10140</v>
      </c>
      <c r="Q1460" s="30" t="s">
        <v>2565</v>
      </c>
      <c r="R1460" s="33" t="s">
        <v>3472</v>
      </c>
      <c r="S1460">
        <v>37</v>
      </c>
      <c r="T1460" s="1" t="s">
        <v>13885</v>
      </c>
      <c r="U1460" s="1" t="str">
        <f>HYPERLINK("http://ictvonline.org/taxonomy/p/taxonomy-history?taxnode_id=202113687","ICTVonline=202113687")</f>
        <v>ICTVonline=202113687</v>
      </c>
    </row>
    <row r="1461" spans="1:21" x14ac:dyDescent="0.2">
      <c r="A1461" s="3">
        <v>1460</v>
      </c>
      <c r="B1461" s="1" t="s">
        <v>4875</v>
      </c>
      <c r="D1461" s="1" t="s">
        <v>4876</v>
      </c>
      <c r="F1461" s="1" t="s">
        <v>4880</v>
      </c>
      <c r="H1461" s="1" t="s">
        <v>4881</v>
      </c>
      <c r="L1461" s="1" t="s">
        <v>10106</v>
      </c>
      <c r="M1461" s="1" t="s">
        <v>1240</v>
      </c>
      <c r="N1461" s="1" t="s">
        <v>6020</v>
      </c>
      <c r="P1461" s="1" t="s">
        <v>10141</v>
      </c>
      <c r="Q1461" s="30" t="s">
        <v>2565</v>
      </c>
      <c r="R1461" s="33" t="s">
        <v>3473</v>
      </c>
      <c r="S1461">
        <v>37</v>
      </c>
      <c r="T1461" s="1" t="s">
        <v>13885</v>
      </c>
      <c r="U1461" s="1" t="str">
        <f>HYPERLINK("http://ictvonline.org/taxonomy/p/taxonomy-history?taxnode_id=202110143","ICTVonline=202110143")</f>
        <v>ICTVonline=202110143</v>
      </c>
    </row>
    <row r="1462" spans="1:21" x14ac:dyDescent="0.2">
      <c r="A1462" s="3">
        <v>1461</v>
      </c>
      <c r="B1462" s="1" t="s">
        <v>4875</v>
      </c>
      <c r="D1462" s="1" t="s">
        <v>4876</v>
      </c>
      <c r="F1462" s="1" t="s">
        <v>4880</v>
      </c>
      <c r="H1462" s="1" t="s">
        <v>4881</v>
      </c>
      <c r="L1462" s="1" t="s">
        <v>10106</v>
      </c>
      <c r="M1462" s="1" t="s">
        <v>1240</v>
      </c>
      <c r="N1462" s="1" t="s">
        <v>6020</v>
      </c>
      <c r="P1462" s="1" t="s">
        <v>10142</v>
      </c>
      <c r="Q1462" s="30" t="s">
        <v>2565</v>
      </c>
      <c r="R1462" s="33" t="s">
        <v>3473</v>
      </c>
      <c r="S1462">
        <v>37</v>
      </c>
      <c r="T1462" s="1" t="s">
        <v>13885</v>
      </c>
      <c r="U1462" s="1" t="str">
        <f>HYPERLINK("http://ictvonline.org/taxonomy/p/taxonomy-history?taxnode_id=202110142","ICTVonline=202110142")</f>
        <v>ICTVonline=202110142</v>
      </c>
    </row>
    <row r="1463" spans="1:21" x14ac:dyDescent="0.2">
      <c r="A1463" s="3">
        <v>1462</v>
      </c>
      <c r="B1463" s="1" t="s">
        <v>4875</v>
      </c>
      <c r="D1463" s="1" t="s">
        <v>4876</v>
      </c>
      <c r="F1463" s="1" t="s">
        <v>4880</v>
      </c>
      <c r="H1463" s="1" t="s">
        <v>4881</v>
      </c>
      <c r="L1463" s="1" t="s">
        <v>10106</v>
      </c>
      <c r="M1463" s="1" t="s">
        <v>1240</v>
      </c>
      <c r="N1463" s="1" t="s">
        <v>4516</v>
      </c>
      <c r="P1463" s="1" t="s">
        <v>10143</v>
      </c>
      <c r="Q1463" s="30" t="s">
        <v>2565</v>
      </c>
      <c r="R1463" s="33" t="s">
        <v>3473</v>
      </c>
      <c r="S1463">
        <v>37</v>
      </c>
      <c r="T1463" s="1" t="s">
        <v>13885</v>
      </c>
      <c r="U1463" s="1" t="str">
        <f>HYPERLINK("http://ictvonline.org/taxonomy/p/taxonomy-history?taxnode_id=202100281","ICTVonline=202100281")</f>
        <v>ICTVonline=202100281</v>
      </c>
    </row>
    <row r="1464" spans="1:21" x14ac:dyDescent="0.2">
      <c r="A1464" s="3">
        <v>1463</v>
      </c>
      <c r="B1464" s="1" t="s">
        <v>4875</v>
      </c>
      <c r="D1464" s="1" t="s">
        <v>4876</v>
      </c>
      <c r="F1464" s="1" t="s">
        <v>4880</v>
      </c>
      <c r="H1464" s="1" t="s">
        <v>4881</v>
      </c>
      <c r="L1464" s="1" t="s">
        <v>10106</v>
      </c>
      <c r="M1464" s="1" t="s">
        <v>1240</v>
      </c>
      <c r="N1464" s="1" t="s">
        <v>4516</v>
      </c>
      <c r="P1464" s="1" t="s">
        <v>10144</v>
      </c>
      <c r="Q1464" s="30" t="s">
        <v>2565</v>
      </c>
      <c r="R1464" s="33" t="s">
        <v>3472</v>
      </c>
      <c r="S1464">
        <v>37</v>
      </c>
      <c r="T1464" s="1" t="s">
        <v>13885</v>
      </c>
      <c r="U1464" s="1" t="str">
        <f>HYPERLINK("http://ictvonline.org/taxonomy/p/taxonomy-history?taxnode_id=202113702","ICTVonline=202113702")</f>
        <v>ICTVonline=202113702</v>
      </c>
    </row>
    <row r="1465" spans="1:21" x14ac:dyDescent="0.2">
      <c r="A1465" s="3">
        <v>1464</v>
      </c>
      <c r="B1465" s="1" t="s">
        <v>4875</v>
      </c>
      <c r="D1465" s="1" t="s">
        <v>4876</v>
      </c>
      <c r="F1465" s="1" t="s">
        <v>4880</v>
      </c>
      <c r="H1465" s="1" t="s">
        <v>4881</v>
      </c>
      <c r="L1465" s="1" t="s">
        <v>10106</v>
      </c>
      <c r="M1465" s="1" t="s">
        <v>1240</v>
      </c>
      <c r="N1465" s="1" t="s">
        <v>4516</v>
      </c>
      <c r="P1465" s="1" t="s">
        <v>10145</v>
      </c>
      <c r="Q1465" s="30" t="s">
        <v>2565</v>
      </c>
      <c r="R1465" s="33" t="s">
        <v>3472</v>
      </c>
      <c r="S1465">
        <v>37</v>
      </c>
      <c r="T1465" s="1" t="s">
        <v>13885</v>
      </c>
      <c r="U1465" s="1" t="str">
        <f>HYPERLINK("http://ictvonline.org/taxonomy/p/taxonomy-history?taxnode_id=202113701","ICTVonline=202113701")</f>
        <v>ICTVonline=202113701</v>
      </c>
    </row>
    <row r="1466" spans="1:21" x14ac:dyDescent="0.2">
      <c r="A1466" s="3">
        <v>1465</v>
      </c>
      <c r="B1466" s="1" t="s">
        <v>4875</v>
      </c>
      <c r="D1466" s="1" t="s">
        <v>4876</v>
      </c>
      <c r="F1466" s="1" t="s">
        <v>4880</v>
      </c>
      <c r="H1466" s="1" t="s">
        <v>4881</v>
      </c>
      <c r="L1466" s="1" t="s">
        <v>10106</v>
      </c>
      <c r="M1466" s="1" t="s">
        <v>1240</v>
      </c>
      <c r="N1466" s="1" t="s">
        <v>4516</v>
      </c>
      <c r="P1466" s="1" t="s">
        <v>10146</v>
      </c>
      <c r="Q1466" s="30" t="s">
        <v>2565</v>
      </c>
      <c r="R1466" s="33" t="s">
        <v>3473</v>
      </c>
      <c r="S1466">
        <v>37</v>
      </c>
      <c r="T1466" s="1" t="s">
        <v>13885</v>
      </c>
      <c r="U1466" s="1" t="str">
        <f>HYPERLINK("http://ictvonline.org/taxonomy/p/taxonomy-history?taxnode_id=202100280","ICTVonline=202100280")</f>
        <v>ICTVonline=202100280</v>
      </c>
    </row>
    <row r="1467" spans="1:21" x14ac:dyDescent="0.2">
      <c r="A1467" s="3">
        <v>1466</v>
      </c>
      <c r="B1467" s="1" t="s">
        <v>4875</v>
      </c>
      <c r="D1467" s="1" t="s">
        <v>4876</v>
      </c>
      <c r="F1467" s="1" t="s">
        <v>4880</v>
      </c>
      <c r="H1467" s="1" t="s">
        <v>4881</v>
      </c>
      <c r="L1467" s="1" t="s">
        <v>10106</v>
      </c>
      <c r="M1467" s="1" t="s">
        <v>1240</v>
      </c>
      <c r="N1467" s="1" t="s">
        <v>3183</v>
      </c>
      <c r="P1467" s="1" t="s">
        <v>10147</v>
      </c>
      <c r="Q1467" s="30" t="s">
        <v>2565</v>
      </c>
      <c r="R1467" s="33" t="s">
        <v>3473</v>
      </c>
      <c r="S1467">
        <v>37</v>
      </c>
      <c r="T1467" s="1" t="s">
        <v>13885</v>
      </c>
      <c r="U1467" s="1" t="str">
        <f>HYPERLINK("http://ictvonline.org/taxonomy/p/taxonomy-history?taxnode_id=202107037","ICTVonline=202107037")</f>
        <v>ICTVonline=202107037</v>
      </c>
    </row>
    <row r="1468" spans="1:21" x14ac:dyDescent="0.2">
      <c r="A1468" s="3">
        <v>1467</v>
      </c>
      <c r="B1468" s="1" t="s">
        <v>4875</v>
      </c>
      <c r="D1468" s="1" t="s">
        <v>4876</v>
      </c>
      <c r="F1468" s="1" t="s">
        <v>4880</v>
      </c>
      <c r="H1468" s="1" t="s">
        <v>4881</v>
      </c>
      <c r="L1468" s="1" t="s">
        <v>10106</v>
      </c>
      <c r="M1468" s="1" t="s">
        <v>1240</v>
      </c>
      <c r="N1468" s="1" t="s">
        <v>3183</v>
      </c>
      <c r="P1468" s="1" t="s">
        <v>10148</v>
      </c>
      <c r="Q1468" s="30" t="s">
        <v>2565</v>
      </c>
      <c r="R1468" s="33" t="s">
        <v>3473</v>
      </c>
      <c r="S1468">
        <v>37</v>
      </c>
      <c r="T1468" s="1" t="s">
        <v>13885</v>
      </c>
      <c r="U1468" s="1" t="str">
        <f>HYPERLINK("http://ictvonline.org/taxonomy/p/taxonomy-history?taxnode_id=202100299","ICTVonline=202100299")</f>
        <v>ICTVonline=202100299</v>
      </c>
    </row>
    <row r="1469" spans="1:21" x14ac:dyDescent="0.2">
      <c r="A1469" s="3">
        <v>1468</v>
      </c>
      <c r="B1469" s="1" t="s">
        <v>4875</v>
      </c>
      <c r="D1469" s="1" t="s">
        <v>4876</v>
      </c>
      <c r="F1469" s="1" t="s">
        <v>4880</v>
      </c>
      <c r="H1469" s="1" t="s">
        <v>4881</v>
      </c>
      <c r="L1469" s="1" t="s">
        <v>10106</v>
      </c>
      <c r="M1469" s="1" t="s">
        <v>1240</v>
      </c>
      <c r="N1469" s="1" t="s">
        <v>3183</v>
      </c>
      <c r="P1469" s="1" t="s">
        <v>10149</v>
      </c>
      <c r="Q1469" s="30" t="s">
        <v>2565</v>
      </c>
      <c r="R1469" s="33" t="s">
        <v>3473</v>
      </c>
      <c r="S1469">
        <v>37</v>
      </c>
      <c r="T1469" s="1" t="s">
        <v>13885</v>
      </c>
      <c r="U1469" s="1" t="str">
        <f>HYPERLINK("http://ictvonline.org/taxonomy/p/taxonomy-history?taxnode_id=202100300","ICTVonline=202100300")</f>
        <v>ICTVonline=202100300</v>
      </c>
    </row>
    <row r="1470" spans="1:21" x14ac:dyDescent="0.2">
      <c r="A1470" s="3">
        <v>1469</v>
      </c>
      <c r="B1470" s="1" t="s">
        <v>4875</v>
      </c>
      <c r="D1470" s="1" t="s">
        <v>4876</v>
      </c>
      <c r="F1470" s="1" t="s">
        <v>4880</v>
      </c>
      <c r="H1470" s="1" t="s">
        <v>4881</v>
      </c>
      <c r="L1470" s="1" t="s">
        <v>10106</v>
      </c>
      <c r="M1470" s="1" t="s">
        <v>1240</v>
      </c>
      <c r="N1470" s="1" t="s">
        <v>4518</v>
      </c>
      <c r="P1470" s="1" t="s">
        <v>10150</v>
      </c>
      <c r="Q1470" s="30" t="s">
        <v>2565</v>
      </c>
      <c r="R1470" s="33" t="s">
        <v>3473</v>
      </c>
      <c r="S1470">
        <v>37</v>
      </c>
      <c r="T1470" s="1" t="s">
        <v>13885</v>
      </c>
      <c r="U1470" s="1" t="str">
        <f>HYPERLINK("http://ictvonline.org/taxonomy/p/taxonomy-history?taxnode_id=202107045","ICTVonline=202107045")</f>
        <v>ICTVonline=202107045</v>
      </c>
    </row>
    <row r="1471" spans="1:21" x14ac:dyDescent="0.2">
      <c r="A1471" s="3">
        <v>1470</v>
      </c>
      <c r="B1471" s="1" t="s">
        <v>4875</v>
      </c>
      <c r="D1471" s="1" t="s">
        <v>4876</v>
      </c>
      <c r="F1471" s="1" t="s">
        <v>4880</v>
      </c>
      <c r="H1471" s="1" t="s">
        <v>4881</v>
      </c>
      <c r="L1471" s="1" t="s">
        <v>10106</v>
      </c>
      <c r="M1471" s="1" t="s">
        <v>1240</v>
      </c>
      <c r="N1471" s="1" t="s">
        <v>4518</v>
      </c>
      <c r="P1471" s="1" t="s">
        <v>10151</v>
      </c>
      <c r="Q1471" s="30" t="s">
        <v>2565</v>
      </c>
      <c r="R1471" s="33" t="s">
        <v>3472</v>
      </c>
      <c r="S1471">
        <v>37</v>
      </c>
      <c r="T1471" s="1" t="s">
        <v>13885</v>
      </c>
      <c r="U1471" s="1" t="str">
        <f>HYPERLINK("http://ictvonline.org/taxonomy/p/taxonomy-history?taxnode_id=202113706","ICTVonline=202113706")</f>
        <v>ICTVonline=202113706</v>
      </c>
    </row>
    <row r="1472" spans="1:21" x14ac:dyDescent="0.2">
      <c r="A1472" s="3">
        <v>1471</v>
      </c>
      <c r="B1472" s="1" t="s">
        <v>4875</v>
      </c>
      <c r="D1472" s="1" t="s">
        <v>4876</v>
      </c>
      <c r="F1472" s="1" t="s">
        <v>4880</v>
      </c>
      <c r="H1472" s="1" t="s">
        <v>4881</v>
      </c>
      <c r="L1472" s="1" t="s">
        <v>10106</v>
      </c>
      <c r="M1472" s="1" t="s">
        <v>1240</v>
      </c>
      <c r="N1472" s="1" t="s">
        <v>4518</v>
      </c>
      <c r="P1472" s="1" t="s">
        <v>10152</v>
      </c>
      <c r="Q1472" s="30" t="s">
        <v>2565</v>
      </c>
      <c r="R1472" s="33" t="s">
        <v>3472</v>
      </c>
      <c r="S1472">
        <v>37</v>
      </c>
      <c r="T1472" s="1" t="s">
        <v>13885</v>
      </c>
      <c r="U1472" s="1" t="str">
        <f>HYPERLINK("http://ictvonline.org/taxonomy/p/taxonomy-history?taxnode_id=202113704","ICTVonline=202113704")</f>
        <v>ICTVonline=202113704</v>
      </c>
    </row>
    <row r="1473" spans="1:21" x14ac:dyDescent="0.2">
      <c r="A1473" s="3">
        <v>1472</v>
      </c>
      <c r="B1473" s="1" t="s">
        <v>4875</v>
      </c>
      <c r="D1473" s="1" t="s">
        <v>4876</v>
      </c>
      <c r="F1473" s="1" t="s">
        <v>4880</v>
      </c>
      <c r="H1473" s="1" t="s">
        <v>4881</v>
      </c>
      <c r="L1473" s="1" t="s">
        <v>10106</v>
      </c>
      <c r="M1473" s="1" t="s">
        <v>1240</v>
      </c>
      <c r="N1473" s="1" t="s">
        <v>4518</v>
      </c>
      <c r="P1473" s="1" t="s">
        <v>10153</v>
      </c>
      <c r="Q1473" s="30" t="s">
        <v>2565</v>
      </c>
      <c r="R1473" s="33" t="s">
        <v>3472</v>
      </c>
      <c r="S1473">
        <v>37</v>
      </c>
      <c r="T1473" s="1" t="s">
        <v>13885</v>
      </c>
      <c r="U1473" s="1" t="str">
        <f>HYPERLINK("http://ictvonline.org/taxonomy/p/taxonomy-history?taxnode_id=202113705","ICTVonline=202113705")</f>
        <v>ICTVonline=202113705</v>
      </c>
    </row>
    <row r="1474" spans="1:21" x14ac:dyDescent="0.2">
      <c r="A1474" s="3">
        <v>1473</v>
      </c>
      <c r="B1474" s="1" t="s">
        <v>4875</v>
      </c>
      <c r="D1474" s="1" t="s">
        <v>4876</v>
      </c>
      <c r="F1474" s="1" t="s">
        <v>4880</v>
      </c>
      <c r="H1474" s="1" t="s">
        <v>4881</v>
      </c>
      <c r="L1474" s="1" t="s">
        <v>10106</v>
      </c>
      <c r="M1474" s="1" t="s">
        <v>1240</v>
      </c>
      <c r="N1474" s="1" t="s">
        <v>4518</v>
      </c>
      <c r="P1474" s="1" t="s">
        <v>10154</v>
      </c>
      <c r="Q1474" s="30" t="s">
        <v>2565</v>
      </c>
      <c r="R1474" s="33" t="s">
        <v>3473</v>
      </c>
      <c r="S1474">
        <v>37</v>
      </c>
      <c r="T1474" s="1" t="s">
        <v>13885</v>
      </c>
      <c r="U1474" s="1" t="str">
        <f>HYPERLINK("http://ictvonline.org/taxonomy/p/taxonomy-history?taxnode_id=202107041","ICTVonline=202107041")</f>
        <v>ICTVonline=202107041</v>
      </c>
    </row>
    <row r="1475" spans="1:21" x14ac:dyDescent="0.2">
      <c r="A1475" s="3">
        <v>1474</v>
      </c>
      <c r="B1475" s="1" t="s">
        <v>4875</v>
      </c>
      <c r="D1475" s="1" t="s">
        <v>4876</v>
      </c>
      <c r="F1475" s="1" t="s">
        <v>4880</v>
      </c>
      <c r="H1475" s="1" t="s">
        <v>4881</v>
      </c>
      <c r="L1475" s="1" t="s">
        <v>10106</v>
      </c>
      <c r="M1475" s="1" t="s">
        <v>1240</v>
      </c>
      <c r="N1475" s="1" t="s">
        <v>4518</v>
      </c>
      <c r="P1475" s="1" t="s">
        <v>10155</v>
      </c>
      <c r="Q1475" s="30" t="s">
        <v>2565</v>
      </c>
      <c r="R1475" s="33" t="s">
        <v>3473</v>
      </c>
      <c r="S1475">
        <v>37</v>
      </c>
      <c r="T1475" s="1" t="s">
        <v>13885</v>
      </c>
      <c r="U1475" s="1" t="str">
        <f>HYPERLINK("http://ictvonline.org/taxonomy/p/taxonomy-history?taxnode_id=202100306","ICTVonline=202100306")</f>
        <v>ICTVonline=202100306</v>
      </c>
    </row>
    <row r="1476" spans="1:21" x14ac:dyDescent="0.2">
      <c r="A1476" s="3">
        <v>1475</v>
      </c>
      <c r="B1476" s="1" t="s">
        <v>4875</v>
      </c>
      <c r="D1476" s="1" t="s">
        <v>4876</v>
      </c>
      <c r="F1476" s="1" t="s">
        <v>4880</v>
      </c>
      <c r="H1476" s="1" t="s">
        <v>4881</v>
      </c>
      <c r="L1476" s="1" t="s">
        <v>10106</v>
      </c>
      <c r="M1476" s="1" t="s">
        <v>1240</v>
      </c>
      <c r="N1476" s="1" t="s">
        <v>4518</v>
      </c>
      <c r="P1476" s="1" t="s">
        <v>10156</v>
      </c>
      <c r="Q1476" s="30" t="s">
        <v>2565</v>
      </c>
      <c r="R1476" s="33" t="s">
        <v>3473</v>
      </c>
      <c r="S1476">
        <v>37</v>
      </c>
      <c r="T1476" s="1" t="s">
        <v>13885</v>
      </c>
      <c r="U1476" s="1" t="str">
        <f>HYPERLINK("http://ictvonline.org/taxonomy/p/taxonomy-history?taxnode_id=202100307","ICTVonline=202100307")</f>
        <v>ICTVonline=202100307</v>
      </c>
    </row>
    <row r="1477" spans="1:21" x14ac:dyDescent="0.2">
      <c r="A1477" s="3">
        <v>1476</v>
      </c>
      <c r="B1477" s="1" t="s">
        <v>4875</v>
      </c>
      <c r="D1477" s="1" t="s">
        <v>4876</v>
      </c>
      <c r="F1477" s="1" t="s">
        <v>4880</v>
      </c>
      <c r="H1477" s="1" t="s">
        <v>4881</v>
      </c>
      <c r="L1477" s="1" t="s">
        <v>10106</v>
      </c>
      <c r="M1477" s="1" t="s">
        <v>1240</v>
      </c>
      <c r="N1477" s="1" t="s">
        <v>4518</v>
      </c>
      <c r="P1477" s="1" t="s">
        <v>10157</v>
      </c>
      <c r="Q1477" s="30" t="s">
        <v>2565</v>
      </c>
      <c r="R1477" s="33" t="s">
        <v>3473</v>
      </c>
      <c r="S1477">
        <v>37</v>
      </c>
      <c r="T1477" s="1" t="s">
        <v>13885</v>
      </c>
      <c r="U1477" s="1" t="str">
        <f>HYPERLINK("http://ictvonline.org/taxonomy/p/taxonomy-history?taxnode_id=202107042","ICTVonline=202107042")</f>
        <v>ICTVonline=202107042</v>
      </c>
    </row>
    <row r="1478" spans="1:21" x14ac:dyDescent="0.2">
      <c r="A1478" s="3">
        <v>1477</v>
      </c>
      <c r="B1478" s="1" t="s">
        <v>4875</v>
      </c>
      <c r="D1478" s="1" t="s">
        <v>4876</v>
      </c>
      <c r="F1478" s="1" t="s">
        <v>4880</v>
      </c>
      <c r="H1478" s="1" t="s">
        <v>4881</v>
      </c>
      <c r="L1478" s="1" t="s">
        <v>10106</v>
      </c>
      <c r="M1478" s="1" t="s">
        <v>1240</v>
      </c>
      <c r="N1478" s="1" t="s">
        <v>4518</v>
      </c>
      <c r="P1478" s="1" t="s">
        <v>10158</v>
      </c>
      <c r="Q1478" s="30" t="s">
        <v>2565</v>
      </c>
      <c r="R1478" s="33" t="s">
        <v>3472</v>
      </c>
      <c r="S1478">
        <v>37</v>
      </c>
      <c r="T1478" s="1" t="s">
        <v>13885</v>
      </c>
      <c r="U1478" s="1" t="str">
        <f>HYPERLINK("http://ictvonline.org/taxonomy/p/taxonomy-history?taxnode_id=202113708","ICTVonline=202113708")</f>
        <v>ICTVonline=202113708</v>
      </c>
    </row>
    <row r="1479" spans="1:21" x14ac:dyDescent="0.2">
      <c r="A1479" s="3">
        <v>1478</v>
      </c>
      <c r="B1479" s="1" t="s">
        <v>4875</v>
      </c>
      <c r="D1479" s="1" t="s">
        <v>4876</v>
      </c>
      <c r="F1479" s="1" t="s">
        <v>4880</v>
      </c>
      <c r="H1479" s="1" t="s">
        <v>4881</v>
      </c>
      <c r="L1479" s="1" t="s">
        <v>10106</v>
      </c>
      <c r="M1479" s="1" t="s">
        <v>1240</v>
      </c>
      <c r="N1479" s="1" t="s">
        <v>4518</v>
      </c>
      <c r="P1479" s="1" t="s">
        <v>10159</v>
      </c>
      <c r="Q1479" s="30" t="s">
        <v>2565</v>
      </c>
      <c r="R1479" s="33" t="s">
        <v>3473</v>
      </c>
      <c r="S1479">
        <v>37</v>
      </c>
      <c r="T1479" s="1" t="s">
        <v>13885</v>
      </c>
      <c r="U1479" s="1" t="str">
        <f>HYPERLINK("http://ictvonline.org/taxonomy/p/taxonomy-history?taxnode_id=202107040","ICTVonline=202107040")</f>
        <v>ICTVonline=202107040</v>
      </c>
    </row>
    <row r="1480" spans="1:21" x14ac:dyDescent="0.2">
      <c r="A1480" s="3">
        <v>1479</v>
      </c>
      <c r="B1480" s="1" t="s">
        <v>4875</v>
      </c>
      <c r="D1480" s="1" t="s">
        <v>4876</v>
      </c>
      <c r="F1480" s="1" t="s">
        <v>4880</v>
      </c>
      <c r="H1480" s="1" t="s">
        <v>4881</v>
      </c>
      <c r="L1480" s="1" t="s">
        <v>10106</v>
      </c>
      <c r="M1480" s="1" t="s">
        <v>1240</v>
      </c>
      <c r="N1480" s="1" t="s">
        <v>4518</v>
      </c>
      <c r="P1480" s="1" t="s">
        <v>10160</v>
      </c>
      <c r="Q1480" s="30" t="s">
        <v>2565</v>
      </c>
      <c r="R1480" s="33" t="s">
        <v>3473</v>
      </c>
      <c r="S1480">
        <v>37</v>
      </c>
      <c r="T1480" s="1" t="s">
        <v>13885</v>
      </c>
      <c r="U1480" s="1" t="str">
        <f>HYPERLINK("http://ictvonline.org/taxonomy/p/taxonomy-history?taxnode_id=202100308","ICTVonline=202100308")</f>
        <v>ICTVonline=202100308</v>
      </c>
    </row>
    <row r="1481" spans="1:21" x14ac:dyDescent="0.2">
      <c r="A1481" s="3">
        <v>1480</v>
      </c>
      <c r="B1481" s="1" t="s">
        <v>4875</v>
      </c>
      <c r="D1481" s="1" t="s">
        <v>4876</v>
      </c>
      <c r="F1481" s="1" t="s">
        <v>4880</v>
      </c>
      <c r="H1481" s="1" t="s">
        <v>4881</v>
      </c>
      <c r="L1481" s="1" t="s">
        <v>10106</v>
      </c>
      <c r="M1481" s="1" t="s">
        <v>1240</v>
      </c>
      <c r="N1481" s="1" t="s">
        <v>4518</v>
      </c>
      <c r="P1481" s="1" t="s">
        <v>10161</v>
      </c>
      <c r="Q1481" s="30" t="s">
        <v>2565</v>
      </c>
      <c r="R1481" s="33" t="s">
        <v>3472</v>
      </c>
      <c r="S1481">
        <v>37</v>
      </c>
      <c r="T1481" s="1" t="s">
        <v>13885</v>
      </c>
      <c r="U1481" s="1" t="str">
        <f>HYPERLINK("http://ictvonline.org/taxonomy/p/taxonomy-history?taxnode_id=202113707","ICTVonline=202113707")</f>
        <v>ICTVonline=202113707</v>
      </c>
    </row>
    <row r="1482" spans="1:21" x14ac:dyDescent="0.2">
      <c r="A1482" s="3">
        <v>1481</v>
      </c>
      <c r="B1482" s="1" t="s">
        <v>4875</v>
      </c>
      <c r="D1482" s="1" t="s">
        <v>4876</v>
      </c>
      <c r="F1482" s="1" t="s">
        <v>4880</v>
      </c>
      <c r="H1482" s="1" t="s">
        <v>4881</v>
      </c>
      <c r="L1482" s="1" t="s">
        <v>10106</v>
      </c>
      <c r="M1482" s="1" t="s">
        <v>1240</v>
      </c>
      <c r="N1482" s="1" t="s">
        <v>4518</v>
      </c>
      <c r="P1482" s="1" t="s">
        <v>10162</v>
      </c>
      <c r="Q1482" s="30" t="s">
        <v>2565</v>
      </c>
      <c r="R1482" s="33" t="s">
        <v>3473</v>
      </c>
      <c r="S1482">
        <v>37</v>
      </c>
      <c r="T1482" s="1" t="s">
        <v>13885</v>
      </c>
      <c r="U1482" s="1" t="str">
        <f>HYPERLINK("http://ictvonline.org/taxonomy/p/taxonomy-history?taxnode_id=202107044","ICTVonline=202107044")</f>
        <v>ICTVonline=202107044</v>
      </c>
    </row>
    <row r="1483" spans="1:21" x14ac:dyDescent="0.2">
      <c r="A1483" s="3">
        <v>1482</v>
      </c>
      <c r="B1483" s="1" t="s">
        <v>4875</v>
      </c>
      <c r="D1483" s="1" t="s">
        <v>4876</v>
      </c>
      <c r="F1483" s="1" t="s">
        <v>4880</v>
      </c>
      <c r="H1483" s="1" t="s">
        <v>4881</v>
      </c>
      <c r="L1483" s="1" t="s">
        <v>10106</v>
      </c>
      <c r="M1483" s="1" t="s">
        <v>1240</v>
      </c>
      <c r="N1483" s="1" t="s">
        <v>4518</v>
      </c>
      <c r="P1483" s="1" t="s">
        <v>10163</v>
      </c>
      <c r="Q1483" s="30" t="s">
        <v>2565</v>
      </c>
      <c r="R1483" s="33" t="s">
        <v>3473</v>
      </c>
      <c r="S1483">
        <v>37</v>
      </c>
      <c r="T1483" s="1" t="s">
        <v>13885</v>
      </c>
      <c r="U1483" s="1" t="str">
        <f>HYPERLINK("http://ictvonline.org/taxonomy/p/taxonomy-history?taxnode_id=202100309","ICTVonline=202100309")</f>
        <v>ICTVonline=202100309</v>
      </c>
    </row>
    <row r="1484" spans="1:21" x14ac:dyDescent="0.2">
      <c r="A1484" s="3">
        <v>1483</v>
      </c>
      <c r="B1484" s="1" t="s">
        <v>4875</v>
      </c>
      <c r="D1484" s="1" t="s">
        <v>4876</v>
      </c>
      <c r="F1484" s="1" t="s">
        <v>4880</v>
      </c>
      <c r="H1484" s="1" t="s">
        <v>4881</v>
      </c>
      <c r="L1484" s="1" t="s">
        <v>10106</v>
      </c>
      <c r="M1484" s="1" t="s">
        <v>1240</v>
      </c>
      <c r="N1484" s="1" t="s">
        <v>10164</v>
      </c>
      <c r="P1484" s="1" t="s">
        <v>10165</v>
      </c>
      <c r="Q1484" s="30" t="s">
        <v>2565</v>
      </c>
      <c r="R1484" s="33" t="s">
        <v>3472</v>
      </c>
      <c r="S1484">
        <v>37</v>
      </c>
      <c r="T1484" s="1" t="s">
        <v>13885</v>
      </c>
      <c r="U1484" s="1" t="str">
        <f>HYPERLINK("http://ictvonline.org/taxonomy/p/taxonomy-history?taxnode_id=202113690","ICTVonline=202113690")</f>
        <v>ICTVonline=202113690</v>
      </c>
    </row>
    <row r="1485" spans="1:21" x14ac:dyDescent="0.2">
      <c r="A1485" s="3">
        <v>1484</v>
      </c>
      <c r="B1485" s="1" t="s">
        <v>4875</v>
      </c>
      <c r="D1485" s="1" t="s">
        <v>4876</v>
      </c>
      <c r="F1485" s="1" t="s">
        <v>4880</v>
      </c>
      <c r="H1485" s="1" t="s">
        <v>4881</v>
      </c>
      <c r="L1485" s="1" t="s">
        <v>10106</v>
      </c>
      <c r="M1485" s="1" t="s">
        <v>1240</v>
      </c>
      <c r="N1485" s="1" t="s">
        <v>10166</v>
      </c>
      <c r="P1485" s="1" t="s">
        <v>10167</v>
      </c>
      <c r="Q1485" s="30" t="s">
        <v>2565</v>
      </c>
      <c r="R1485" s="33" t="s">
        <v>3472</v>
      </c>
      <c r="S1485">
        <v>37</v>
      </c>
      <c r="T1485" s="1" t="s">
        <v>13885</v>
      </c>
      <c r="U1485" s="1" t="str">
        <f>HYPERLINK("http://ictvonline.org/taxonomy/p/taxonomy-history?taxnode_id=202113696","ICTVonline=202113696")</f>
        <v>ICTVonline=202113696</v>
      </c>
    </row>
    <row r="1486" spans="1:21" x14ac:dyDescent="0.2">
      <c r="A1486" s="3">
        <v>1485</v>
      </c>
      <c r="B1486" s="1" t="s">
        <v>4875</v>
      </c>
      <c r="D1486" s="1" t="s">
        <v>4876</v>
      </c>
      <c r="F1486" s="1" t="s">
        <v>4880</v>
      </c>
      <c r="H1486" s="1" t="s">
        <v>4881</v>
      </c>
      <c r="L1486" s="1" t="s">
        <v>10106</v>
      </c>
      <c r="M1486" s="1" t="s">
        <v>1240</v>
      </c>
      <c r="N1486" s="1" t="s">
        <v>4574</v>
      </c>
      <c r="P1486" s="1" t="s">
        <v>10168</v>
      </c>
      <c r="Q1486" s="30" t="s">
        <v>2565</v>
      </c>
      <c r="R1486" s="33" t="s">
        <v>3472</v>
      </c>
      <c r="S1486">
        <v>37</v>
      </c>
      <c r="T1486" s="1" t="s">
        <v>13885</v>
      </c>
      <c r="U1486" s="1" t="str">
        <f>HYPERLINK("http://ictvonline.org/taxonomy/p/taxonomy-history?taxnode_id=202113685","ICTVonline=202113685")</f>
        <v>ICTVonline=202113685</v>
      </c>
    </row>
    <row r="1487" spans="1:21" x14ac:dyDescent="0.2">
      <c r="A1487" s="3">
        <v>1486</v>
      </c>
      <c r="B1487" s="1" t="s">
        <v>4875</v>
      </c>
      <c r="D1487" s="1" t="s">
        <v>4876</v>
      </c>
      <c r="F1487" s="1" t="s">
        <v>4880</v>
      </c>
      <c r="H1487" s="1" t="s">
        <v>4881</v>
      </c>
      <c r="L1487" s="1" t="s">
        <v>10106</v>
      </c>
      <c r="M1487" s="1" t="s">
        <v>1240</v>
      </c>
      <c r="N1487" s="1" t="s">
        <v>4574</v>
      </c>
      <c r="P1487" s="1" t="s">
        <v>10169</v>
      </c>
      <c r="Q1487" s="30" t="s">
        <v>2565</v>
      </c>
      <c r="R1487" s="33" t="s">
        <v>3473</v>
      </c>
      <c r="S1487">
        <v>37</v>
      </c>
      <c r="T1487" s="1" t="s">
        <v>13885</v>
      </c>
      <c r="U1487" s="1" t="str">
        <f>HYPERLINK("http://ictvonline.org/taxonomy/p/taxonomy-history?taxnode_id=202100510","ICTVonline=202100510")</f>
        <v>ICTVonline=202100510</v>
      </c>
    </row>
    <row r="1488" spans="1:21" x14ac:dyDescent="0.2">
      <c r="A1488" s="3">
        <v>1487</v>
      </c>
      <c r="B1488" s="1" t="s">
        <v>4875</v>
      </c>
      <c r="D1488" s="1" t="s">
        <v>4876</v>
      </c>
      <c r="F1488" s="1" t="s">
        <v>4880</v>
      </c>
      <c r="H1488" s="1" t="s">
        <v>4881</v>
      </c>
      <c r="L1488" s="1" t="s">
        <v>10106</v>
      </c>
      <c r="M1488" s="1" t="s">
        <v>1240</v>
      </c>
      <c r="N1488" s="1" t="s">
        <v>4574</v>
      </c>
      <c r="P1488" s="1" t="s">
        <v>10170</v>
      </c>
      <c r="Q1488" s="30" t="s">
        <v>2565</v>
      </c>
      <c r="R1488" s="33" t="s">
        <v>3473</v>
      </c>
      <c r="S1488">
        <v>37</v>
      </c>
      <c r="T1488" s="1" t="s">
        <v>13885</v>
      </c>
      <c r="U1488" s="1" t="str">
        <f>HYPERLINK("http://ictvonline.org/taxonomy/p/taxonomy-history?taxnode_id=202100511","ICTVonline=202100511")</f>
        <v>ICTVonline=202100511</v>
      </c>
    </row>
    <row r="1489" spans="1:21" x14ac:dyDescent="0.2">
      <c r="A1489" s="3">
        <v>1488</v>
      </c>
      <c r="B1489" s="1" t="s">
        <v>4875</v>
      </c>
      <c r="D1489" s="1" t="s">
        <v>4876</v>
      </c>
      <c r="F1489" s="1" t="s">
        <v>4880</v>
      </c>
      <c r="H1489" s="1" t="s">
        <v>4881</v>
      </c>
      <c r="L1489" s="1" t="s">
        <v>10106</v>
      </c>
      <c r="M1489" s="1" t="s">
        <v>1240</v>
      </c>
      <c r="N1489" s="1" t="s">
        <v>4521</v>
      </c>
      <c r="P1489" s="1" t="s">
        <v>4522</v>
      </c>
      <c r="Q1489" s="30" t="s">
        <v>2565</v>
      </c>
      <c r="R1489" s="33" t="s">
        <v>3474</v>
      </c>
      <c r="S1489">
        <v>37</v>
      </c>
      <c r="T1489" s="1" t="s">
        <v>13903</v>
      </c>
      <c r="U1489" s="1" t="str">
        <f>HYPERLINK("http://ictvonline.org/taxonomy/p/taxonomy-history?taxnode_id=202107051","ICTVonline=202107051")</f>
        <v>ICTVonline=202107051</v>
      </c>
    </row>
    <row r="1490" spans="1:21" x14ac:dyDescent="0.2">
      <c r="A1490" s="3">
        <v>1489</v>
      </c>
      <c r="B1490" s="1" t="s">
        <v>4875</v>
      </c>
      <c r="D1490" s="1" t="s">
        <v>4876</v>
      </c>
      <c r="F1490" s="1" t="s">
        <v>4880</v>
      </c>
      <c r="H1490" s="1" t="s">
        <v>4881</v>
      </c>
      <c r="L1490" s="1" t="s">
        <v>10106</v>
      </c>
      <c r="M1490" s="1" t="s">
        <v>1240</v>
      </c>
      <c r="N1490" s="1" t="s">
        <v>4521</v>
      </c>
      <c r="P1490" s="1" t="s">
        <v>4523</v>
      </c>
      <c r="Q1490" s="30" t="s">
        <v>2565</v>
      </c>
      <c r="R1490" s="33" t="s">
        <v>3474</v>
      </c>
      <c r="S1490">
        <v>37</v>
      </c>
      <c r="T1490" s="1" t="s">
        <v>13903</v>
      </c>
      <c r="U1490" s="1" t="str">
        <f>HYPERLINK("http://ictvonline.org/taxonomy/p/taxonomy-history?taxnode_id=202107056","ICTVonline=202107056")</f>
        <v>ICTVonline=202107056</v>
      </c>
    </row>
    <row r="1491" spans="1:21" x14ac:dyDescent="0.2">
      <c r="A1491" s="3">
        <v>1490</v>
      </c>
      <c r="B1491" s="1" t="s">
        <v>4875</v>
      </c>
      <c r="D1491" s="1" t="s">
        <v>4876</v>
      </c>
      <c r="F1491" s="1" t="s">
        <v>4880</v>
      </c>
      <c r="H1491" s="1" t="s">
        <v>4881</v>
      </c>
      <c r="L1491" s="1" t="s">
        <v>10106</v>
      </c>
      <c r="M1491" s="1" t="s">
        <v>1240</v>
      </c>
      <c r="N1491" s="1" t="s">
        <v>4521</v>
      </c>
      <c r="P1491" s="1" t="s">
        <v>4524</v>
      </c>
      <c r="Q1491" s="30" t="s">
        <v>2565</v>
      </c>
      <c r="R1491" s="33" t="s">
        <v>3474</v>
      </c>
      <c r="S1491">
        <v>37</v>
      </c>
      <c r="T1491" s="1" t="s">
        <v>13903</v>
      </c>
      <c r="U1491" s="1" t="str">
        <f>HYPERLINK("http://ictvonline.org/taxonomy/p/taxonomy-history?taxnode_id=202107055","ICTVonline=202107055")</f>
        <v>ICTVonline=202107055</v>
      </c>
    </row>
    <row r="1492" spans="1:21" x14ac:dyDescent="0.2">
      <c r="A1492" s="3">
        <v>1491</v>
      </c>
      <c r="B1492" s="1" t="s">
        <v>4875</v>
      </c>
      <c r="D1492" s="1" t="s">
        <v>4876</v>
      </c>
      <c r="F1492" s="1" t="s">
        <v>4880</v>
      </c>
      <c r="H1492" s="1" t="s">
        <v>4881</v>
      </c>
      <c r="L1492" s="1" t="s">
        <v>10106</v>
      </c>
      <c r="M1492" s="1" t="s">
        <v>1240</v>
      </c>
      <c r="N1492" s="1" t="s">
        <v>4521</v>
      </c>
      <c r="P1492" s="1" t="s">
        <v>5999</v>
      </c>
      <c r="Q1492" s="30" t="s">
        <v>2565</v>
      </c>
      <c r="R1492" s="33" t="s">
        <v>3474</v>
      </c>
      <c r="S1492">
        <v>37</v>
      </c>
      <c r="T1492" s="1" t="s">
        <v>13903</v>
      </c>
      <c r="U1492" s="1" t="str">
        <f>HYPERLINK("http://ictvonline.org/taxonomy/p/taxonomy-history?taxnode_id=202112013","ICTVonline=202112013")</f>
        <v>ICTVonline=202112013</v>
      </c>
    </row>
    <row r="1493" spans="1:21" x14ac:dyDescent="0.2">
      <c r="A1493" s="3">
        <v>1492</v>
      </c>
      <c r="B1493" s="1" t="s">
        <v>4875</v>
      </c>
      <c r="D1493" s="1" t="s">
        <v>4876</v>
      </c>
      <c r="F1493" s="1" t="s">
        <v>4880</v>
      </c>
      <c r="H1493" s="1" t="s">
        <v>4881</v>
      </c>
      <c r="L1493" s="1" t="s">
        <v>10106</v>
      </c>
      <c r="M1493" s="1" t="s">
        <v>1240</v>
      </c>
      <c r="N1493" s="1" t="s">
        <v>4521</v>
      </c>
      <c r="P1493" s="1" t="s">
        <v>10171</v>
      </c>
      <c r="Q1493" s="30" t="s">
        <v>2565</v>
      </c>
      <c r="R1493" s="33" t="s">
        <v>3473</v>
      </c>
      <c r="S1493">
        <v>37</v>
      </c>
      <c r="T1493" s="1" t="s">
        <v>13885</v>
      </c>
      <c r="U1493" s="1" t="str">
        <f>HYPERLINK("http://ictvonline.org/taxonomy/p/taxonomy-history?taxnode_id=202111969","ICTVonline=202111969")</f>
        <v>ICTVonline=202111969</v>
      </c>
    </row>
    <row r="1494" spans="1:21" x14ac:dyDescent="0.2">
      <c r="A1494" s="3">
        <v>1493</v>
      </c>
      <c r="B1494" s="1" t="s">
        <v>4875</v>
      </c>
      <c r="D1494" s="1" t="s">
        <v>4876</v>
      </c>
      <c r="F1494" s="1" t="s">
        <v>4880</v>
      </c>
      <c r="H1494" s="1" t="s">
        <v>4881</v>
      </c>
      <c r="L1494" s="1" t="s">
        <v>10106</v>
      </c>
      <c r="M1494" s="1" t="s">
        <v>1240</v>
      </c>
      <c r="N1494" s="1" t="s">
        <v>4521</v>
      </c>
      <c r="P1494" s="1" t="s">
        <v>10172</v>
      </c>
      <c r="Q1494" s="30" t="s">
        <v>2565</v>
      </c>
      <c r="R1494" s="33" t="s">
        <v>3473</v>
      </c>
      <c r="S1494">
        <v>37</v>
      </c>
      <c r="T1494" s="1" t="s">
        <v>13885</v>
      </c>
      <c r="U1494" s="1" t="str">
        <f>HYPERLINK("http://ictvonline.org/taxonomy/p/taxonomy-history?taxnode_id=202100324","ICTVonline=202100324")</f>
        <v>ICTVonline=202100324</v>
      </c>
    </row>
    <row r="1495" spans="1:21" x14ac:dyDescent="0.2">
      <c r="A1495" s="3">
        <v>1494</v>
      </c>
      <c r="B1495" s="1" t="s">
        <v>4875</v>
      </c>
      <c r="D1495" s="1" t="s">
        <v>4876</v>
      </c>
      <c r="F1495" s="1" t="s">
        <v>4880</v>
      </c>
      <c r="H1495" s="1" t="s">
        <v>4881</v>
      </c>
      <c r="L1495" s="1" t="s">
        <v>10106</v>
      </c>
      <c r="M1495" s="1" t="s">
        <v>1240</v>
      </c>
      <c r="N1495" s="1" t="s">
        <v>4521</v>
      </c>
      <c r="P1495" s="1" t="s">
        <v>10173</v>
      </c>
      <c r="Q1495" s="30" t="s">
        <v>2565</v>
      </c>
      <c r="R1495" s="33" t="s">
        <v>3473</v>
      </c>
      <c r="S1495">
        <v>37</v>
      </c>
      <c r="T1495" s="1" t="s">
        <v>13885</v>
      </c>
      <c r="U1495" s="1" t="str">
        <f>HYPERLINK("http://ictvonline.org/taxonomy/p/taxonomy-history?taxnode_id=202100325","ICTVonline=202100325")</f>
        <v>ICTVonline=202100325</v>
      </c>
    </row>
    <row r="1496" spans="1:21" x14ac:dyDescent="0.2">
      <c r="A1496" s="3">
        <v>1495</v>
      </c>
      <c r="B1496" s="1" t="s">
        <v>4875</v>
      </c>
      <c r="D1496" s="1" t="s">
        <v>4876</v>
      </c>
      <c r="F1496" s="1" t="s">
        <v>4880</v>
      </c>
      <c r="H1496" s="1" t="s">
        <v>4881</v>
      </c>
      <c r="L1496" s="1" t="s">
        <v>10106</v>
      </c>
      <c r="M1496" s="1" t="s">
        <v>1240</v>
      </c>
      <c r="N1496" s="1" t="s">
        <v>4521</v>
      </c>
      <c r="P1496" s="1" t="s">
        <v>10174</v>
      </c>
      <c r="Q1496" s="30" t="s">
        <v>2565</v>
      </c>
      <c r="R1496" s="33" t="s">
        <v>3473</v>
      </c>
      <c r="S1496">
        <v>37</v>
      </c>
      <c r="T1496" s="1" t="s">
        <v>13885</v>
      </c>
      <c r="U1496" s="1" t="str">
        <f>HYPERLINK("http://ictvonline.org/taxonomy/p/taxonomy-history?taxnode_id=202112004","ICTVonline=202112004")</f>
        <v>ICTVonline=202112004</v>
      </c>
    </row>
    <row r="1497" spans="1:21" x14ac:dyDescent="0.2">
      <c r="A1497" s="3">
        <v>1496</v>
      </c>
      <c r="B1497" s="1" t="s">
        <v>4875</v>
      </c>
      <c r="D1497" s="1" t="s">
        <v>4876</v>
      </c>
      <c r="F1497" s="1" t="s">
        <v>4880</v>
      </c>
      <c r="H1497" s="1" t="s">
        <v>4881</v>
      </c>
      <c r="L1497" s="1" t="s">
        <v>10106</v>
      </c>
      <c r="M1497" s="1" t="s">
        <v>1240</v>
      </c>
      <c r="N1497" s="1" t="s">
        <v>4521</v>
      </c>
      <c r="P1497" s="1" t="s">
        <v>10175</v>
      </c>
      <c r="Q1497" s="30" t="s">
        <v>2565</v>
      </c>
      <c r="R1497" s="33" t="s">
        <v>3473</v>
      </c>
      <c r="S1497">
        <v>37</v>
      </c>
      <c r="T1497" s="1" t="s">
        <v>13885</v>
      </c>
      <c r="U1497" s="1" t="str">
        <f>HYPERLINK("http://ictvonline.org/taxonomy/p/taxonomy-history?taxnode_id=202112009","ICTVonline=202112009")</f>
        <v>ICTVonline=202112009</v>
      </c>
    </row>
    <row r="1498" spans="1:21" x14ac:dyDescent="0.2">
      <c r="A1498" s="3">
        <v>1497</v>
      </c>
      <c r="B1498" s="1" t="s">
        <v>4875</v>
      </c>
      <c r="D1498" s="1" t="s">
        <v>4876</v>
      </c>
      <c r="F1498" s="1" t="s">
        <v>4880</v>
      </c>
      <c r="H1498" s="1" t="s">
        <v>4881</v>
      </c>
      <c r="L1498" s="1" t="s">
        <v>10106</v>
      </c>
      <c r="M1498" s="1" t="s">
        <v>1240</v>
      </c>
      <c r="N1498" s="1" t="s">
        <v>4521</v>
      </c>
      <c r="P1498" s="1" t="s">
        <v>10176</v>
      </c>
      <c r="Q1498" s="30" t="s">
        <v>2565</v>
      </c>
      <c r="R1498" s="33" t="s">
        <v>3473</v>
      </c>
      <c r="S1498">
        <v>37</v>
      </c>
      <c r="T1498" s="1" t="s">
        <v>13885</v>
      </c>
      <c r="U1498" s="1" t="str">
        <f>HYPERLINK("http://ictvonline.org/taxonomy/p/taxonomy-history?taxnode_id=202111968","ICTVonline=202111968")</f>
        <v>ICTVonline=202111968</v>
      </c>
    </row>
    <row r="1499" spans="1:21" x14ac:dyDescent="0.2">
      <c r="A1499" s="3">
        <v>1498</v>
      </c>
      <c r="B1499" s="1" t="s">
        <v>4875</v>
      </c>
      <c r="D1499" s="1" t="s">
        <v>4876</v>
      </c>
      <c r="F1499" s="1" t="s">
        <v>4880</v>
      </c>
      <c r="H1499" s="1" t="s">
        <v>4881</v>
      </c>
      <c r="L1499" s="1" t="s">
        <v>10106</v>
      </c>
      <c r="M1499" s="1" t="s">
        <v>1240</v>
      </c>
      <c r="N1499" s="1" t="s">
        <v>4521</v>
      </c>
      <c r="P1499" s="1" t="s">
        <v>10177</v>
      </c>
      <c r="Q1499" s="30" t="s">
        <v>2565</v>
      </c>
      <c r="R1499" s="33" t="s">
        <v>3473</v>
      </c>
      <c r="S1499">
        <v>37</v>
      </c>
      <c r="T1499" s="1" t="s">
        <v>13885</v>
      </c>
      <c r="U1499" s="1" t="str">
        <f>HYPERLINK("http://ictvonline.org/taxonomy/p/taxonomy-history?taxnode_id=202100335","ICTVonline=202100335")</f>
        <v>ICTVonline=202100335</v>
      </c>
    </row>
    <row r="1500" spans="1:21" x14ac:dyDescent="0.2">
      <c r="A1500" s="3">
        <v>1499</v>
      </c>
      <c r="B1500" s="1" t="s">
        <v>4875</v>
      </c>
      <c r="D1500" s="1" t="s">
        <v>4876</v>
      </c>
      <c r="F1500" s="1" t="s">
        <v>4880</v>
      </c>
      <c r="H1500" s="1" t="s">
        <v>4881</v>
      </c>
      <c r="L1500" s="1" t="s">
        <v>10106</v>
      </c>
      <c r="M1500" s="1" t="s">
        <v>1240</v>
      </c>
      <c r="N1500" s="1" t="s">
        <v>4521</v>
      </c>
      <c r="P1500" s="1" t="s">
        <v>10178</v>
      </c>
      <c r="Q1500" s="30" t="s">
        <v>2565</v>
      </c>
      <c r="R1500" s="33" t="s">
        <v>3473</v>
      </c>
      <c r="S1500">
        <v>37</v>
      </c>
      <c r="T1500" s="1" t="s">
        <v>13885</v>
      </c>
      <c r="U1500" s="1" t="str">
        <f>HYPERLINK("http://ictvonline.org/taxonomy/p/taxonomy-history?taxnode_id=202100326","ICTVonline=202100326")</f>
        <v>ICTVonline=202100326</v>
      </c>
    </row>
    <row r="1501" spans="1:21" x14ac:dyDescent="0.2">
      <c r="A1501" s="3">
        <v>1500</v>
      </c>
      <c r="B1501" s="1" t="s">
        <v>4875</v>
      </c>
      <c r="D1501" s="1" t="s">
        <v>4876</v>
      </c>
      <c r="F1501" s="1" t="s">
        <v>4880</v>
      </c>
      <c r="H1501" s="1" t="s">
        <v>4881</v>
      </c>
      <c r="L1501" s="1" t="s">
        <v>10106</v>
      </c>
      <c r="M1501" s="1" t="s">
        <v>1240</v>
      </c>
      <c r="N1501" s="1" t="s">
        <v>4521</v>
      </c>
      <c r="P1501" s="1" t="s">
        <v>10179</v>
      </c>
      <c r="Q1501" s="30" t="s">
        <v>2565</v>
      </c>
      <c r="R1501" s="33" t="s">
        <v>3473</v>
      </c>
      <c r="S1501">
        <v>37</v>
      </c>
      <c r="T1501" s="1" t="s">
        <v>13885</v>
      </c>
      <c r="U1501" s="1" t="str">
        <f>HYPERLINK("http://ictvonline.org/taxonomy/p/taxonomy-history?taxnode_id=202111978","ICTVonline=202111978")</f>
        <v>ICTVonline=202111978</v>
      </c>
    </row>
    <row r="1502" spans="1:21" x14ac:dyDescent="0.2">
      <c r="A1502" s="3">
        <v>1501</v>
      </c>
      <c r="B1502" s="1" t="s">
        <v>4875</v>
      </c>
      <c r="D1502" s="1" t="s">
        <v>4876</v>
      </c>
      <c r="F1502" s="1" t="s">
        <v>4880</v>
      </c>
      <c r="H1502" s="1" t="s">
        <v>4881</v>
      </c>
      <c r="L1502" s="1" t="s">
        <v>10106</v>
      </c>
      <c r="M1502" s="1" t="s">
        <v>1240</v>
      </c>
      <c r="N1502" s="1" t="s">
        <v>4521</v>
      </c>
      <c r="P1502" s="1" t="s">
        <v>10180</v>
      </c>
      <c r="Q1502" s="30" t="s">
        <v>2565</v>
      </c>
      <c r="R1502" s="33" t="s">
        <v>3473</v>
      </c>
      <c r="S1502">
        <v>37</v>
      </c>
      <c r="T1502" s="1" t="s">
        <v>13885</v>
      </c>
      <c r="U1502" s="1" t="str">
        <f>HYPERLINK("http://ictvonline.org/taxonomy/p/taxonomy-history?taxnode_id=202111976","ICTVonline=202111976")</f>
        <v>ICTVonline=202111976</v>
      </c>
    </row>
    <row r="1503" spans="1:21" x14ac:dyDescent="0.2">
      <c r="A1503" s="3">
        <v>1502</v>
      </c>
      <c r="B1503" s="1" t="s">
        <v>4875</v>
      </c>
      <c r="D1503" s="1" t="s">
        <v>4876</v>
      </c>
      <c r="F1503" s="1" t="s">
        <v>4880</v>
      </c>
      <c r="H1503" s="1" t="s">
        <v>4881</v>
      </c>
      <c r="L1503" s="1" t="s">
        <v>10106</v>
      </c>
      <c r="M1503" s="1" t="s">
        <v>1240</v>
      </c>
      <c r="N1503" s="1" t="s">
        <v>4521</v>
      </c>
      <c r="P1503" s="1" t="s">
        <v>10181</v>
      </c>
      <c r="Q1503" s="30" t="s">
        <v>2565</v>
      </c>
      <c r="R1503" s="33" t="s">
        <v>3473</v>
      </c>
      <c r="S1503">
        <v>37</v>
      </c>
      <c r="T1503" s="1" t="s">
        <v>13885</v>
      </c>
      <c r="U1503" s="1" t="str">
        <f>HYPERLINK("http://ictvonline.org/taxonomy/p/taxonomy-history?taxnode_id=202100327","ICTVonline=202100327")</f>
        <v>ICTVonline=202100327</v>
      </c>
    </row>
    <row r="1504" spans="1:21" x14ac:dyDescent="0.2">
      <c r="A1504" s="3">
        <v>1503</v>
      </c>
      <c r="B1504" s="1" t="s">
        <v>4875</v>
      </c>
      <c r="D1504" s="1" t="s">
        <v>4876</v>
      </c>
      <c r="F1504" s="1" t="s">
        <v>4880</v>
      </c>
      <c r="H1504" s="1" t="s">
        <v>4881</v>
      </c>
      <c r="L1504" s="1" t="s">
        <v>10106</v>
      </c>
      <c r="M1504" s="1" t="s">
        <v>1240</v>
      </c>
      <c r="N1504" s="1" t="s">
        <v>4521</v>
      </c>
      <c r="P1504" s="1" t="s">
        <v>10182</v>
      </c>
      <c r="Q1504" s="30" t="s">
        <v>2565</v>
      </c>
      <c r="R1504" s="33" t="s">
        <v>3473</v>
      </c>
      <c r="S1504">
        <v>37</v>
      </c>
      <c r="T1504" s="1" t="s">
        <v>13885</v>
      </c>
      <c r="U1504" s="1" t="str">
        <f>HYPERLINK("http://ictvonline.org/taxonomy/p/taxonomy-history?taxnode_id=202111977","ICTVonline=202111977")</f>
        <v>ICTVonline=202111977</v>
      </c>
    </row>
    <row r="1505" spans="1:21" x14ac:dyDescent="0.2">
      <c r="A1505" s="3">
        <v>1504</v>
      </c>
      <c r="B1505" s="1" t="s">
        <v>4875</v>
      </c>
      <c r="D1505" s="1" t="s">
        <v>4876</v>
      </c>
      <c r="F1505" s="1" t="s">
        <v>4880</v>
      </c>
      <c r="H1505" s="1" t="s">
        <v>4881</v>
      </c>
      <c r="L1505" s="1" t="s">
        <v>10106</v>
      </c>
      <c r="M1505" s="1" t="s">
        <v>1240</v>
      </c>
      <c r="N1505" s="1" t="s">
        <v>4521</v>
      </c>
      <c r="P1505" s="1" t="s">
        <v>10183</v>
      </c>
      <c r="Q1505" s="30" t="s">
        <v>2565</v>
      </c>
      <c r="R1505" s="33" t="s">
        <v>3473</v>
      </c>
      <c r="S1505">
        <v>37</v>
      </c>
      <c r="T1505" s="1" t="s">
        <v>13885</v>
      </c>
      <c r="U1505" s="1" t="str">
        <f>HYPERLINK("http://ictvonline.org/taxonomy/p/taxonomy-history?taxnode_id=202112001","ICTVonline=202112001")</f>
        <v>ICTVonline=202112001</v>
      </c>
    </row>
    <row r="1506" spans="1:21" x14ac:dyDescent="0.2">
      <c r="A1506" s="3">
        <v>1505</v>
      </c>
      <c r="B1506" s="1" t="s">
        <v>4875</v>
      </c>
      <c r="D1506" s="1" t="s">
        <v>4876</v>
      </c>
      <c r="F1506" s="1" t="s">
        <v>4880</v>
      </c>
      <c r="H1506" s="1" t="s">
        <v>4881</v>
      </c>
      <c r="L1506" s="1" t="s">
        <v>10106</v>
      </c>
      <c r="M1506" s="1" t="s">
        <v>1240</v>
      </c>
      <c r="N1506" s="1" t="s">
        <v>4521</v>
      </c>
      <c r="P1506" s="1" t="s">
        <v>10184</v>
      </c>
      <c r="Q1506" s="30" t="s">
        <v>2565</v>
      </c>
      <c r="R1506" s="33" t="s">
        <v>3473</v>
      </c>
      <c r="S1506">
        <v>37</v>
      </c>
      <c r="T1506" s="1" t="s">
        <v>13885</v>
      </c>
      <c r="U1506" s="1" t="str">
        <f>HYPERLINK("http://ictvonline.org/taxonomy/p/taxonomy-history?taxnode_id=202111988","ICTVonline=202111988")</f>
        <v>ICTVonline=202111988</v>
      </c>
    </row>
    <row r="1507" spans="1:21" x14ac:dyDescent="0.2">
      <c r="A1507" s="3">
        <v>1506</v>
      </c>
      <c r="B1507" s="1" t="s">
        <v>4875</v>
      </c>
      <c r="D1507" s="1" t="s">
        <v>4876</v>
      </c>
      <c r="F1507" s="1" t="s">
        <v>4880</v>
      </c>
      <c r="H1507" s="1" t="s">
        <v>4881</v>
      </c>
      <c r="L1507" s="1" t="s">
        <v>10106</v>
      </c>
      <c r="M1507" s="1" t="s">
        <v>1240</v>
      </c>
      <c r="N1507" s="1" t="s">
        <v>4521</v>
      </c>
      <c r="P1507" s="1" t="s">
        <v>10185</v>
      </c>
      <c r="Q1507" s="30" t="s">
        <v>2565</v>
      </c>
      <c r="R1507" s="33" t="s">
        <v>3473</v>
      </c>
      <c r="S1507">
        <v>37</v>
      </c>
      <c r="T1507" s="1" t="s">
        <v>13885</v>
      </c>
      <c r="U1507" s="1" t="str">
        <f>HYPERLINK("http://ictvonline.org/taxonomy/p/taxonomy-history?taxnode_id=202112002","ICTVonline=202112002")</f>
        <v>ICTVonline=202112002</v>
      </c>
    </row>
    <row r="1508" spans="1:21" x14ac:dyDescent="0.2">
      <c r="A1508" s="3">
        <v>1507</v>
      </c>
      <c r="B1508" s="1" t="s">
        <v>4875</v>
      </c>
      <c r="D1508" s="1" t="s">
        <v>4876</v>
      </c>
      <c r="F1508" s="1" t="s">
        <v>4880</v>
      </c>
      <c r="H1508" s="1" t="s">
        <v>4881</v>
      </c>
      <c r="L1508" s="1" t="s">
        <v>10106</v>
      </c>
      <c r="M1508" s="1" t="s">
        <v>1240</v>
      </c>
      <c r="N1508" s="1" t="s">
        <v>4521</v>
      </c>
      <c r="P1508" s="1" t="s">
        <v>10186</v>
      </c>
      <c r="Q1508" s="30" t="s">
        <v>2565</v>
      </c>
      <c r="R1508" s="33" t="s">
        <v>3472</v>
      </c>
      <c r="S1508">
        <v>37</v>
      </c>
      <c r="T1508" s="1" t="s">
        <v>13885</v>
      </c>
      <c r="U1508" s="1" t="str">
        <f>HYPERLINK("http://ictvonline.org/taxonomy/p/taxonomy-history?taxnode_id=202113952","ICTVonline=202113952")</f>
        <v>ICTVonline=202113952</v>
      </c>
    </row>
    <row r="1509" spans="1:21" x14ac:dyDescent="0.2">
      <c r="A1509" s="3">
        <v>1508</v>
      </c>
      <c r="B1509" s="1" t="s">
        <v>4875</v>
      </c>
      <c r="D1509" s="1" t="s">
        <v>4876</v>
      </c>
      <c r="F1509" s="1" t="s">
        <v>4880</v>
      </c>
      <c r="H1509" s="1" t="s">
        <v>4881</v>
      </c>
      <c r="L1509" s="1" t="s">
        <v>10106</v>
      </c>
      <c r="M1509" s="1" t="s">
        <v>1240</v>
      </c>
      <c r="N1509" s="1" t="s">
        <v>4521</v>
      </c>
      <c r="P1509" s="1" t="s">
        <v>10187</v>
      </c>
      <c r="Q1509" s="30" t="s">
        <v>2565</v>
      </c>
      <c r="R1509" s="33" t="s">
        <v>3473</v>
      </c>
      <c r="S1509">
        <v>37</v>
      </c>
      <c r="T1509" s="1" t="s">
        <v>13885</v>
      </c>
      <c r="U1509" s="1" t="str">
        <f>HYPERLINK("http://ictvonline.org/taxonomy/p/taxonomy-history?taxnode_id=202111975","ICTVonline=202111975")</f>
        <v>ICTVonline=202111975</v>
      </c>
    </row>
    <row r="1510" spans="1:21" x14ac:dyDescent="0.2">
      <c r="A1510" s="3">
        <v>1509</v>
      </c>
      <c r="B1510" s="1" t="s">
        <v>4875</v>
      </c>
      <c r="D1510" s="1" t="s">
        <v>4876</v>
      </c>
      <c r="F1510" s="1" t="s">
        <v>4880</v>
      </c>
      <c r="H1510" s="1" t="s">
        <v>4881</v>
      </c>
      <c r="L1510" s="1" t="s">
        <v>10106</v>
      </c>
      <c r="M1510" s="1" t="s">
        <v>1240</v>
      </c>
      <c r="N1510" s="1" t="s">
        <v>4521</v>
      </c>
      <c r="P1510" s="1" t="s">
        <v>10188</v>
      </c>
      <c r="Q1510" s="30" t="s">
        <v>2565</v>
      </c>
      <c r="R1510" s="33" t="s">
        <v>3473</v>
      </c>
      <c r="S1510">
        <v>37</v>
      </c>
      <c r="T1510" s="1" t="s">
        <v>13885</v>
      </c>
      <c r="U1510" s="1" t="str">
        <f>HYPERLINK("http://ictvonline.org/taxonomy/p/taxonomy-history?taxnode_id=202111998","ICTVonline=202111998")</f>
        <v>ICTVonline=202111998</v>
      </c>
    </row>
    <row r="1511" spans="1:21" x14ac:dyDescent="0.2">
      <c r="A1511" s="3">
        <v>1510</v>
      </c>
      <c r="B1511" s="1" t="s">
        <v>4875</v>
      </c>
      <c r="D1511" s="1" t="s">
        <v>4876</v>
      </c>
      <c r="F1511" s="1" t="s">
        <v>4880</v>
      </c>
      <c r="H1511" s="1" t="s">
        <v>4881</v>
      </c>
      <c r="L1511" s="1" t="s">
        <v>10106</v>
      </c>
      <c r="M1511" s="1" t="s">
        <v>1240</v>
      </c>
      <c r="N1511" s="1" t="s">
        <v>4521</v>
      </c>
      <c r="P1511" s="1" t="s">
        <v>10189</v>
      </c>
      <c r="Q1511" s="30" t="s">
        <v>2565</v>
      </c>
      <c r="R1511" s="33" t="s">
        <v>3472</v>
      </c>
      <c r="S1511">
        <v>37</v>
      </c>
      <c r="T1511" s="1" t="s">
        <v>13885</v>
      </c>
      <c r="U1511" s="1" t="str">
        <f>HYPERLINK("http://ictvonline.org/taxonomy/p/taxonomy-history?taxnode_id=202113947","ICTVonline=202113947")</f>
        <v>ICTVonline=202113947</v>
      </c>
    </row>
    <row r="1512" spans="1:21" x14ac:dyDescent="0.2">
      <c r="A1512" s="3">
        <v>1511</v>
      </c>
      <c r="B1512" s="1" t="s">
        <v>4875</v>
      </c>
      <c r="D1512" s="1" t="s">
        <v>4876</v>
      </c>
      <c r="F1512" s="1" t="s">
        <v>4880</v>
      </c>
      <c r="H1512" s="1" t="s">
        <v>4881</v>
      </c>
      <c r="L1512" s="1" t="s">
        <v>10106</v>
      </c>
      <c r="M1512" s="1" t="s">
        <v>1240</v>
      </c>
      <c r="N1512" s="1" t="s">
        <v>4521</v>
      </c>
      <c r="P1512" s="1" t="s">
        <v>10190</v>
      </c>
      <c r="Q1512" s="30" t="s">
        <v>2565</v>
      </c>
      <c r="R1512" s="33" t="s">
        <v>3473</v>
      </c>
      <c r="S1512">
        <v>37</v>
      </c>
      <c r="T1512" s="1" t="s">
        <v>13885</v>
      </c>
      <c r="U1512" s="1" t="str">
        <f>HYPERLINK("http://ictvonline.org/taxonomy/p/taxonomy-history?taxnode_id=202111989","ICTVonline=202111989")</f>
        <v>ICTVonline=202111989</v>
      </c>
    </row>
    <row r="1513" spans="1:21" x14ac:dyDescent="0.2">
      <c r="A1513" s="3">
        <v>1512</v>
      </c>
      <c r="B1513" s="1" t="s">
        <v>4875</v>
      </c>
      <c r="D1513" s="1" t="s">
        <v>4876</v>
      </c>
      <c r="F1513" s="1" t="s">
        <v>4880</v>
      </c>
      <c r="H1513" s="1" t="s">
        <v>4881</v>
      </c>
      <c r="L1513" s="1" t="s">
        <v>10106</v>
      </c>
      <c r="M1513" s="1" t="s">
        <v>1240</v>
      </c>
      <c r="N1513" s="1" t="s">
        <v>4521</v>
      </c>
      <c r="P1513" s="1" t="s">
        <v>10191</v>
      </c>
      <c r="Q1513" s="30" t="s">
        <v>2565</v>
      </c>
      <c r="R1513" s="33" t="s">
        <v>3473</v>
      </c>
      <c r="S1513">
        <v>37</v>
      </c>
      <c r="T1513" s="1" t="s">
        <v>13885</v>
      </c>
      <c r="U1513" s="1" t="str">
        <f>HYPERLINK("http://ictvonline.org/taxonomy/p/taxonomy-history?taxnode_id=202111979","ICTVonline=202111979")</f>
        <v>ICTVonline=202111979</v>
      </c>
    </row>
    <row r="1514" spans="1:21" x14ac:dyDescent="0.2">
      <c r="A1514" s="3">
        <v>1513</v>
      </c>
      <c r="B1514" s="1" t="s">
        <v>4875</v>
      </c>
      <c r="D1514" s="1" t="s">
        <v>4876</v>
      </c>
      <c r="F1514" s="1" t="s">
        <v>4880</v>
      </c>
      <c r="H1514" s="1" t="s">
        <v>4881</v>
      </c>
      <c r="L1514" s="1" t="s">
        <v>10106</v>
      </c>
      <c r="M1514" s="1" t="s">
        <v>1240</v>
      </c>
      <c r="N1514" s="1" t="s">
        <v>4521</v>
      </c>
      <c r="P1514" s="1" t="s">
        <v>10192</v>
      </c>
      <c r="Q1514" s="30" t="s">
        <v>2565</v>
      </c>
      <c r="R1514" s="33" t="s">
        <v>3473</v>
      </c>
      <c r="S1514">
        <v>37</v>
      </c>
      <c r="T1514" s="1" t="s">
        <v>13885</v>
      </c>
      <c r="U1514" s="1" t="str">
        <f>HYPERLINK("http://ictvonline.org/taxonomy/p/taxonomy-history?taxnode_id=202112016","ICTVonline=202112016")</f>
        <v>ICTVonline=202112016</v>
      </c>
    </row>
    <row r="1515" spans="1:21" x14ac:dyDescent="0.2">
      <c r="A1515" s="3">
        <v>1514</v>
      </c>
      <c r="B1515" s="1" t="s">
        <v>4875</v>
      </c>
      <c r="D1515" s="1" t="s">
        <v>4876</v>
      </c>
      <c r="F1515" s="1" t="s">
        <v>4880</v>
      </c>
      <c r="H1515" s="1" t="s">
        <v>4881</v>
      </c>
      <c r="L1515" s="1" t="s">
        <v>10106</v>
      </c>
      <c r="M1515" s="1" t="s">
        <v>1240</v>
      </c>
      <c r="N1515" s="1" t="s">
        <v>4521</v>
      </c>
      <c r="P1515" s="1" t="s">
        <v>10193</v>
      </c>
      <c r="Q1515" s="30" t="s">
        <v>2565</v>
      </c>
      <c r="R1515" s="33" t="s">
        <v>3472</v>
      </c>
      <c r="S1515">
        <v>37</v>
      </c>
      <c r="T1515" s="1" t="s">
        <v>13885</v>
      </c>
      <c r="U1515" s="1" t="str">
        <f>HYPERLINK("http://ictvonline.org/taxonomy/p/taxonomy-history?taxnode_id=202113954","ICTVonline=202113954")</f>
        <v>ICTVonline=202113954</v>
      </c>
    </row>
    <row r="1516" spans="1:21" x14ac:dyDescent="0.2">
      <c r="A1516" s="3">
        <v>1515</v>
      </c>
      <c r="B1516" s="1" t="s">
        <v>4875</v>
      </c>
      <c r="D1516" s="1" t="s">
        <v>4876</v>
      </c>
      <c r="F1516" s="1" t="s">
        <v>4880</v>
      </c>
      <c r="H1516" s="1" t="s">
        <v>4881</v>
      </c>
      <c r="L1516" s="1" t="s">
        <v>10106</v>
      </c>
      <c r="M1516" s="1" t="s">
        <v>1240</v>
      </c>
      <c r="N1516" s="1" t="s">
        <v>4521</v>
      </c>
      <c r="P1516" s="1" t="s">
        <v>10194</v>
      </c>
      <c r="Q1516" s="30" t="s">
        <v>2565</v>
      </c>
      <c r="R1516" s="33" t="s">
        <v>3472</v>
      </c>
      <c r="S1516">
        <v>37</v>
      </c>
      <c r="T1516" s="1" t="s">
        <v>13885</v>
      </c>
      <c r="U1516" s="1" t="str">
        <f>HYPERLINK("http://ictvonline.org/taxonomy/p/taxonomy-history?taxnode_id=202113951","ICTVonline=202113951")</f>
        <v>ICTVonline=202113951</v>
      </c>
    </row>
    <row r="1517" spans="1:21" x14ac:dyDescent="0.2">
      <c r="A1517" s="3">
        <v>1516</v>
      </c>
      <c r="B1517" s="1" t="s">
        <v>4875</v>
      </c>
      <c r="D1517" s="1" t="s">
        <v>4876</v>
      </c>
      <c r="F1517" s="1" t="s">
        <v>4880</v>
      </c>
      <c r="H1517" s="1" t="s">
        <v>4881</v>
      </c>
      <c r="L1517" s="1" t="s">
        <v>10106</v>
      </c>
      <c r="M1517" s="1" t="s">
        <v>1240</v>
      </c>
      <c r="N1517" s="1" t="s">
        <v>4521</v>
      </c>
      <c r="P1517" s="1" t="s">
        <v>10195</v>
      </c>
      <c r="Q1517" s="30" t="s">
        <v>2565</v>
      </c>
      <c r="R1517" s="33" t="s">
        <v>3473</v>
      </c>
      <c r="S1517">
        <v>37</v>
      </c>
      <c r="T1517" s="1" t="s">
        <v>13885</v>
      </c>
      <c r="U1517" s="1" t="str">
        <f>HYPERLINK("http://ictvonline.org/taxonomy/p/taxonomy-history?taxnode_id=202111992","ICTVonline=202111992")</f>
        <v>ICTVonline=202111992</v>
      </c>
    </row>
    <row r="1518" spans="1:21" x14ac:dyDescent="0.2">
      <c r="A1518" s="3">
        <v>1517</v>
      </c>
      <c r="B1518" s="1" t="s">
        <v>4875</v>
      </c>
      <c r="D1518" s="1" t="s">
        <v>4876</v>
      </c>
      <c r="F1518" s="1" t="s">
        <v>4880</v>
      </c>
      <c r="H1518" s="1" t="s">
        <v>4881</v>
      </c>
      <c r="L1518" s="1" t="s">
        <v>10106</v>
      </c>
      <c r="M1518" s="1" t="s">
        <v>1240</v>
      </c>
      <c r="N1518" s="1" t="s">
        <v>4521</v>
      </c>
      <c r="P1518" s="1" t="s">
        <v>10196</v>
      </c>
      <c r="Q1518" s="30" t="s">
        <v>2565</v>
      </c>
      <c r="R1518" s="33" t="s">
        <v>3473</v>
      </c>
      <c r="S1518">
        <v>37</v>
      </c>
      <c r="T1518" s="1" t="s">
        <v>13885</v>
      </c>
      <c r="U1518" s="1" t="str">
        <f>HYPERLINK("http://ictvonline.org/taxonomy/p/taxonomy-history?taxnode_id=202111990","ICTVonline=202111990")</f>
        <v>ICTVonline=202111990</v>
      </c>
    </row>
    <row r="1519" spans="1:21" x14ac:dyDescent="0.2">
      <c r="A1519" s="3">
        <v>1518</v>
      </c>
      <c r="B1519" s="1" t="s">
        <v>4875</v>
      </c>
      <c r="D1519" s="1" t="s">
        <v>4876</v>
      </c>
      <c r="F1519" s="1" t="s">
        <v>4880</v>
      </c>
      <c r="H1519" s="1" t="s">
        <v>4881</v>
      </c>
      <c r="L1519" s="1" t="s">
        <v>10106</v>
      </c>
      <c r="M1519" s="1" t="s">
        <v>1240</v>
      </c>
      <c r="N1519" s="1" t="s">
        <v>4521</v>
      </c>
      <c r="P1519" s="1" t="s">
        <v>10197</v>
      </c>
      <c r="Q1519" s="30" t="s">
        <v>2565</v>
      </c>
      <c r="R1519" s="33" t="s">
        <v>3473</v>
      </c>
      <c r="S1519">
        <v>37</v>
      </c>
      <c r="T1519" s="1" t="s">
        <v>13885</v>
      </c>
      <c r="U1519" s="1" t="str">
        <f>HYPERLINK("http://ictvonline.org/taxonomy/p/taxonomy-history?taxnode_id=202111991","ICTVonline=202111991")</f>
        <v>ICTVonline=202111991</v>
      </c>
    </row>
    <row r="1520" spans="1:21" x14ac:dyDescent="0.2">
      <c r="A1520" s="3">
        <v>1519</v>
      </c>
      <c r="B1520" s="1" t="s">
        <v>4875</v>
      </c>
      <c r="D1520" s="1" t="s">
        <v>4876</v>
      </c>
      <c r="F1520" s="1" t="s">
        <v>4880</v>
      </c>
      <c r="H1520" s="1" t="s">
        <v>4881</v>
      </c>
      <c r="L1520" s="1" t="s">
        <v>10106</v>
      </c>
      <c r="M1520" s="1" t="s">
        <v>1240</v>
      </c>
      <c r="N1520" s="1" t="s">
        <v>4521</v>
      </c>
      <c r="P1520" s="1" t="s">
        <v>10198</v>
      </c>
      <c r="Q1520" s="30" t="s">
        <v>2565</v>
      </c>
      <c r="R1520" s="33" t="s">
        <v>3473</v>
      </c>
      <c r="S1520">
        <v>37</v>
      </c>
      <c r="T1520" s="1" t="s">
        <v>13885</v>
      </c>
      <c r="U1520" s="1" t="str">
        <f>HYPERLINK("http://ictvonline.org/taxonomy/p/taxonomy-history?taxnode_id=202111994","ICTVonline=202111994")</f>
        <v>ICTVonline=202111994</v>
      </c>
    </row>
    <row r="1521" spans="1:21" x14ac:dyDescent="0.2">
      <c r="A1521" s="3">
        <v>1520</v>
      </c>
      <c r="B1521" s="1" t="s">
        <v>4875</v>
      </c>
      <c r="D1521" s="1" t="s">
        <v>4876</v>
      </c>
      <c r="F1521" s="1" t="s">
        <v>4880</v>
      </c>
      <c r="H1521" s="1" t="s">
        <v>4881</v>
      </c>
      <c r="L1521" s="1" t="s">
        <v>10106</v>
      </c>
      <c r="M1521" s="1" t="s">
        <v>1240</v>
      </c>
      <c r="N1521" s="1" t="s">
        <v>4521</v>
      </c>
      <c r="P1521" s="1" t="s">
        <v>10199</v>
      </c>
      <c r="Q1521" s="30" t="s">
        <v>2565</v>
      </c>
      <c r="R1521" s="33" t="s">
        <v>3473</v>
      </c>
      <c r="S1521">
        <v>37</v>
      </c>
      <c r="T1521" s="1" t="s">
        <v>13885</v>
      </c>
      <c r="U1521" s="1" t="str">
        <f>HYPERLINK("http://ictvonline.org/taxonomy/p/taxonomy-history?taxnode_id=202111993","ICTVonline=202111993")</f>
        <v>ICTVonline=202111993</v>
      </c>
    </row>
    <row r="1522" spans="1:21" x14ac:dyDescent="0.2">
      <c r="A1522" s="3">
        <v>1521</v>
      </c>
      <c r="B1522" s="1" t="s">
        <v>4875</v>
      </c>
      <c r="D1522" s="1" t="s">
        <v>4876</v>
      </c>
      <c r="F1522" s="1" t="s">
        <v>4880</v>
      </c>
      <c r="H1522" s="1" t="s">
        <v>4881</v>
      </c>
      <c r="L1522" s="1" t="s">
        <v>10106</v>
      </c>
      <c r="M1522" s="1" t="s">
        <v>1240</v>
      </c>
      <c r="N1522" s="1" t="s">
        <v>4521</v>
      </c>
      <c r="P1522" s="1" t="s">
        <v>10200</v>
      </c>
      <c r="Q1522" s="30" t="s">
        <v>2565</v>
      </c>
      <c r="R1522" s="33" t="s">
        <v>3473</v>
      </c>
      <c r="S1522">
        <v>37</v>
      </c>
      <c r="T1522" s="1" t="s">
        <v>13885</v>
      </c>
      <c r="U1522" s="1" t="str">
        <f>HYPERLINK("http://ictvonline.org/taxonomy/p/taxonomy-history?taxnode_id=202111970","ICTVonline=202111970")</f>
        <v>ICTVonline=202111970</v>
      </c>
    </row>
    <row r="1523" spans="1:21" x14ac:dyDescent="0.2">
      <c r="A1523" s="3">
        <v>1522</v>
      </c>
      <c r="B1523" s="1" t="s">
        <v>4875</v>
      </c>
      <c r="D1523" s="1" t="s">
        <v>4876</v>
      </c>
      <c r="F1523" s="1" t="s">
        <v>4880</v>
      </c>
      <c r="H1523" s="1" t="s">
        <v>4881</v>
      </c>
      <c r="L1523" s="1" t="s">
        <v>10106</v>
      </c>
      <c r="M1523" s="1" t="s">
        <v>1240</v>
      </c>
      <c r="N1523" s="1" t="s">
        <v>4521</v>
      </c>
      <c r="P1523" s="1" t="s">
        <v>10201</v>
      </c>
      <c r="Q1523" s="30" t="s">
        <v>2565</v>
      </c>
      <c r="R1523" s="33" t="s">
        <v>3473</v>
      </c>
      <c r="S1523">
        <v>37</v>
      </c>
      <c r="T1523" s="1" t="s">
        <v>13885</v>
      </c>
      <c r="U1523" s="1" t="str">
        <f>HYPERLINK("http://ictvonline.org/taxonomy/p/taxonomy-history?taxnode_id=202100328","ICTVonline=202100328")</f>
        <v>ICTVonline=202100328</v>
      </c>
    </row>
    <row r="1524" spans="1:21" x14ac:dyDescent="0.2">
      <c r="A1524" s="3">
        <v>1523</v>
      </c>
      <c r="B1524" s="1" t="s">
        <v>4875</v>
      </c>
      <c r="D1524" s="1" t="s">
        <v>4876</v>
      </c>
      <c r="F1524" s="1" t="s">
        <v>4880</v>
      </c>
      <c r="H1524" s="1" t="s">
        <v>4881</v>
      </c>
      <c r="L1524" s="1" t="s">
        <v>10106</v>
      </c>
      <c r="M1524" s="1" t="s">
        <v>1240</v>
      </c>
      <c r="N1524" s="1" t="s">
        <v>4521</v>
      </c>
      <c r="P1524" s="1" t="s">
        <v>10202</v>
      </c>
      <c r="Q1524" s="30" t="s">
        <v>2565</v>
      </c>
      <c r="R1524" s="33" t="s">
        <v>3473</v>
      </c>
      <c r="S1524">
        <v>37</v>
      </c>
      <c r="T1524" s="1" t="s">
        <v>13885</v>
      </c>
      <c r="U1524" s="1" t="str">
        <f>HYPERLINK("http://ictvonline.org/taxonomy/p/taxonomy-history?taxnode_id=202107049","ICTVonline=202107049")</f>
        <v>ICTVonline=202107049</v>
      </c>
    </row>
    <row r="1525" spans="1:21" x14ac:dyDescent="0.2">
      <c r="A1525" s="3">
        <v>1524</v>
      </c>
      <c r="B1525" s="1" t="s">
        <v>4875</v>
      </c>
      <c r="D1525" s="1" t="s">
        <v>4876</v>
      </c>
      <c r="F1525" s="1" t="s">
        <v>4880</v>
      </c>
      <c r="H1525" s="1" t="s">
        <v>4881</v>
      </c>
      <c r="L1525" s="1" t="s">
        <v>10106</v>
      </c>
      <c r="M1525" s="1" t="s">
        <v>1240</v>
      </c>
      <c r="N1525" s="1" t="s">
        <v>4521</v>
      </c>
      <c r="P1525" s="1" t="s">
        <v>10203</v>
      </c>
      <c r="Q1525" s="30" t="s">
        <v>2565</v>
      </c>
      <c r="R1525" s="33" t="s">
        <v>3473</v>
      </c>
      <c r="S1525">
        <v>37</v>
      </c>
      <c r="T1525" s="1" t="s">
        <v>13885</v>
      </c>
      <c r="U1525" s="1" t="str">
        <f>HYPERLINK("http://ictvonline.org/taxonomy/p/taxonomy-history?taxnode_id=202100329","ICTVonline=202100329")</f>
        <v>ICTVonline=202100329</v>
      </c>
    </row>
    <row r="1526" spans="1:21" x14ac:dyDescent="0.2">
      <c r="A1526" s="3">
        <v>1525</v>
      </c>
      <c r="B1526" s="1" t="s">
        <v>4875</v>
      </c>
      <c r="D1526" s="1" t="s">
        <v>4876</v>
      </c>
      <c r="F1526" s="1" t="s">
        <v>4880</v>
      </c>
      <c r="H1526" s="1" t="s">
        <v>4881</v>
      </c>
      <c r="L1526" s="1" t="s">
        <v>10106</v>
      </c>
      <c r="M1526" s="1" t="s">
        <v>1240</v>
      </c>
      <c r="N1526" s="1" t="s">
        <v>4521</v>
      </c>
      <c r="P1526" s="1" t="s">
        <v>10204</v>
      </c>
      <c r="Q1526" s="30" t="s">
        <v>2565</v>
      </c>
      <c r="R1526" s="33" t="s">
        <v>3473</v>
      </c>
      <c r="S1526">
        <v>37</v>
      </c>
      <c r="T1526" s="1" t="s">
        <v>13885</v>
      </c>
      <c r="U1526" s="1" t="str">
        <f>HYPERLINK("http://ictvonline.org/taxonomy/p/taxonomy-history?taxnode_id=202111995","ICTVonline=202111995")</f>
        <v>ICTVonline=202111995</v>
      </c>
    </row>
    <row r="1527" spans="1:21" x14ac:dyDescent="0.2">
      <c r="A1527" s="3">
        <v>1526</v>
      </c>
      <c r="B1527" s="1" t="s">
        <v>4875</v>
      </c>
      <c r="D1527" s="1" t="s">
        <v>4876</v>
      </c>
      <c r="F1527" s="1" t="s">
        <v>4880</v>
      </c>
      <c r="H1527" s="1" t="s">
        <v>4881</v>
      </c>
      <c r="L1527" s="1" t="s">
        <v>10106</v>
      </c>
      <c r="M1527" s="1" t="s">
        <v>1240</v>
      </c>
      <c r="N1527" s="1" t="s">
        <v>4521</v>
      </c>
      <c r="P1527" s="1" t="s">
        <v>10205</v>
      </c>
      <c r="Q1527" s="30" t="s">
        <v>2565</v>
      </c>
      <c r="R1527" s="33" t="s">
        <v>3473</v>
      </c>
      <c r="S1527">
        <v>37</v>
      </c>
      <c r="T1527" s="1" t="s">
        <v>13885</v>
      </c>
      <c r="U1527" s="1" t="str">
        <f>HYPERLINK("http://ictvonline.org/taxonomy/p/taxonomy-history?taxnode_id=202112010","ICTVonline=202112010")</f>
        <v>ICTVonline=202112010</v>
      </c>
    </row>
    <row r="1528" spans="1:21" x14ac:dyDescent="0.2">
      <c r="A1528" s="3">
        <v>1527</v>
      </c>
      <c r="B1528" s="1" t="s">
        <v>4875</v>
      </c>
      <c r="D1528" s="1" t="s">
        <v>4876</v>
      </c>
      <c r="F1528" s="1" t="s">
        <v>4880</v>
      </c>
      <c r="H1528" s="1" t="s">
        <v>4881</v>
      </c>
      <c r="L1528" s="1" t="s">
        <v>10106</v>
      </c>
      <c r="M1528" s="1" t="s">
        <v>1240</v>
      </c>
      <c r="N1528" s="1" t="s">
        <v>4521</v>
      </c>
      <c r="P1528" s="1" t="s">
        <v>10206</v>
      </c>
      <c r="Q1528" s="30" t="s">
        <v>2565</v>
      </c>
      <c r="R1528" s="33" t="s">
        <v>3473</v>
      </c>
      <c r="S1528">
        <v>37</v>
      </c>
      <c r="T1528" s="1" t="s">
        <v>13885</v>
      </c>
      <c r="U1528" s="1" t="str">
        <f>HYPERLINK("http://ictvonline.org/taxonomy/p/taxonomy-history?taxnode_id=202111996","ICTVonline=202111996")</f>
        <v>ICTVonline=202111996</v>
      </c>
    </row>
    <row r="1529" spans="1:21" x14ac:dyDescent="0.2">
      <c r="A1529" s="3">
        <v>1528</v>
      </c>
      <c r="B1529" s="1" t="s">
        <v>4875</v>
      </c>
      <c r="D1529" s="1" t="s">
        <v>4876</v>
      </c>
      <c r="F1529" s="1" t="s">
        <v>4880</v>
      </c>
      <c r="H1529" s="1" t="s">
        <v>4881</v>
      </c>
      <c r="L1529" s="1" t="s">
        <v>10106</v>
      </c>
      <c r="M1529" s="1" t="s">
        <v>1240</v>
      </c>
      <c r="N1529" s="1" t="s">
        <v>4521</v>
      </c>
      <c r="P1529" s="1" t="s">
        <v>10207</v>
      </c>
      <c r="Q1529" s="30" t="s">
        <v>2565</v>
      </c>
      <c r="R1529" s="33" t="s">
        <v>3473</v>
      </c>
      <c r="S1529">
        <v>37</v>
      </c>
      <c r="T1529" s="1" t="s">
        <v>13885</v>
      </c>
      <c r="U1529" s="1" t="str">
        <f>HYPERLINK("http://ictvonline.org/taxonomy/p/taxonomy-history?taxnode_id=202111971","ICTVonline=202111971")</f>
        <v>ICTVonline=202111971</v>
      </c>
    </row>
    <row r="1530" spans="1:21" x14ac:dyDescent="0.2">
      <c r="A1530" s="3">
        <v>1529</v>
      </c>
      <c r="B1530" s="1" t="s">
        <v>4875</v>
      </c>
      <c r="D1530" s="1" t="s">
        <v>4876</v>
      </c>
      <c r="F1530" s="1" t="s">
        <v>4880</v>
      </c>
      <c r="H1530" s="1" t="s">
        <v>4881</v>
      </c>
      <c r="L1530" s="1" t="s">
        <v>10106</v>
      </c>
      <c r="M1530" s="1" t="s">
        <v>1240</v>
      </c>
      <c r="N1530" s="1" t="s">
        <v>4521</v>
      </c>
      <c r="P1530" s="1" t="s">
        <v>10208</v>
      </c>
      <c r="Q1530" s="30" t="s">
        <v>2565</v>
      </c>
      <c r="R1530" s="33" t="s">
        <v>3473</v>
      </c>
      <c r="S1530">
        <v>37</v>
      </c>
      <c r="T1530" s="1" t="s">
        <v>13885</v>
      </c>
      <c r="U1530" s="1" t="str">
        <f>HYPERLINK("http://ictvonline.org/taxonomy/p/taxonomy-history?taxnode_id=202111980","ICTVonline=202111980")</f>
        <v>ICTVonline=202111980</v>
      </c>
    </row>
    <row r="1531" spans="1:21" x14ac:dyDescent="0.2">
      <c r="A1531" s="3">
        <v>1530</v>
      </c>
      <c r="B1531" s="1" t="s">
        <v>4875</v>
      </c>
      <c r="D1531" s="1" t="s">
        <v>4876</v>
      </c>
      <c r="F1531" s="1" t="s">
        <v>4880</v>
      </c>
      <c r="H1531" s="1" t="s">
        <v>4881</v>
      </c>
      <c r="L1531" s="1" t="s">
        <v>10106</v>
      </c>
      <c r="M1531" s="1" t="s">
        <v>1240</v>
      </c>
      <c r="N1531" s="1" t="s">
        <v>4521</v>
      </c>
      <c r="P1531" s="1" t="s">
        <v>10209</v>
      </c>
      <c r="Q1531" s="30" t="s">
        <v>2565</v>
      </c>
      <c r="R1531" s="33" t="s">
        <v>3472</v>
      </c>
      <c r="S1531">
        <v>37</v>
      </c>
      <c r="T1531" s="1" t="s">
        <v>13885</v>
      </c>
      <c r="U1531" s="1" t="str">
        <f>HYPERLINK("http://ictvonline.org/taxonomy/p/taxonomy-history?taxnode_id=202113948","ICTVonline=202113948")</f>
        <v>ICTVonline=202113948</v>
      </c>
    </row>
    <row r="1532" spans="1:21" x14ac:dyDescent="0.2">
      <c r="A1532" s="3">
        <v>1531</v>
      </c>
      <c r="B1532" s="1" t="s">
        <v>4875</v>
      </c>
      <c r="D1532" s="1" t="s">
        <v>4876</v>
      </c>
      <c r="F1532" s="1" t="s">
        <v>4880</v>
      </c>
      <c r="H1532" s="1" t="s">
        <v>4881</v>
      </c>
      <c r="L1532" s="1" t="s">
        <v>10106</v>
      </c>
      <c r="M1532" s="1" t="s">
        <v>1240</v>
      </c>
      <c r="N1532" s="1" t="s">
        <v>4521</v>
      </c>
      <c r="P1532" s="1" t="s">
        <v>10210</v>
      </c>
      <c r="Q1532" s="30" t="s">
        <v>2565</v>
      </c>
      <c r="R1532" s="33" t="s">
        <v>3473</v>
      </c>
      <c r="S1532">
        <v>37</v>
      </c>
      <c r="T1532" s="1" t="s">
        <v>13885</v>
      </c>
      <c r="U1532" s="1" t="str">
        <f>HYPERLINK("http://ictvonline.org/taxonomy/p/taxonomy-history?taxnode_id=202111997","ICTVonline=202111997")</f>
        <v>ICTVonline=202111997</v>
      </c>
    </row>
    <row r="1533" spans="1:21" x14ac:dyDescent="0.2">
      <c r="A1533" s="3">
        <v>1532</v>
      </c>
      <c r="B1533" s="1" t="s">
        <v>4875</v>
      </c>
      <c r="D1533" s="1" t="s">
        <v>4876</v>
      </c>
      <c r="F1533" s="1" t="s">
        <v>4880</v>
      </c>
      <c r="H1533" s="1" t="s">
        <v>4881</v>
      </c>
      <c r="L1533" s="1" t="s">
        <v>10106</v>
      </c>
      <c r="M1533" s="1" t="s">
        <v>1240</v>
      </c>
      <c r="N1533" s="1" t="s">
        <v>4521</v>
      </c>
      <c r="P1533" s="1" t="s">
        <v>10211</v>
      </c>
      <c r="Q1533" s="30" t="s">
        <v>2565</v>
      </c>
      <c r="R1533" s="33" t="s">
        <v>3472</v>
      </c>
      <c r="S1533">
        <v>37</v>
      </c>
      <c r="T1533" s="1" t="s">
        <v>13885</v>
      </c>
      <c r="U1533" s="1" t="str">
        <f>HYPERLINK("http://ictvonline.org/taxonomy/p/taxonomy-history?taxnode_id=202113953","ICTVonline=202113953")</f>
        <v>ICTVonline=202113953</v>
      </c>
    </row>
    <row r="1534" spans="1:21" x14ac:dyDescent="0.2">
      <c r="A1534" s="3">
        <v>1533</v>
      </c>
      <c r="B1534" s="1" t="s">
        <v>4875</v>
      </c>
      <c r="D1534" s="1" t="s">
        <v>4876</v>
      </c>
      <c r="F1534" s="1" t="s">
        <v>4880</v>
      </c>
      <c r="H1534" s="1" t="s">
        <v>4881</v>
      </c>
      <c r="L1534" s="1" t="s">
        <v>10106</v>
      </c>
      <c r="M1534" s="1" t="s">
        <v>1240</v>
      </c>
      <c r="N1534" s="1" t="s">
        <v>4521</v>
      </c>
      <c r="P1534" s="1" t="s">
        <v>10212</v>
      </c>
      <c r="Q1534" s="30" t="s">
        <v>2565</v>
      </c>
      <c r="R1534" s="33" t="s">
        <v>3473</v>
      </c>
      <c r="S1534">
        <v>37</v>
      </c>
      <c r="T1534" s="1" t="s">
        <v>13885</v>
      </c>
      <c r="U1534" s="1" t="str">
        <f>HYPERLINK("http://ictvonline.org/taxonomy/p/taxonomy-history?taxnode_id=202112005","ICTVonline=202112005")</f>
        <v>ICTVonline=202112005</v>
      </c>
    </row>
    <row r="1535" spans="1:21" x14ac:dyDescent="0.2">
      <c r="A1535" s="3">
        <v>1534</v>
      </c>
      <c r="B1535" s="1" t="s">
        <v>4875</v>
      </c>
      <c r="D1535" s="1" t="s">
        <v>4876</v>
      </c>
      <c r="F1535" s="1" t="s">
        <v>4880</v>
      </c>
      <c r="H1535" s="1" t="s">
        <v>4881</v>
      </c>
      <c r="L1535" s="1" t="s">
        <v>10106</v>
      </c>
      <c r="M1535" s="1" t="s">
        <v>1240</v>
      </c>
      <c r="N1535" s="1" t="s">
        <v>4521</v>
      </c>
      <c r="P1535" s="1" t="s">
        <v>10213</v>
      </c>
      <c r="Q1535" s="30" t="s">
        <v>2565</v>
      </c>
      <c r="R1535" s="33" t="s">
        <v>3473</v>
      </c>
      <c r="S1535">
        <v>37</v>
      </c>
      <c r="T1535" s="1" t="s">
        <v>13885</v>
      </c>
      <c r="U1535" s="1" t="str">
        <f>HYPERLINK("http://ictvonline.org/taxonomy/p/taxonomy-history?taxnode_id=202111999","ICTVonline=202111999")</f>
        <v>ICTVonline=202111999</v>
      </c>
    </row>
    <row r="1536" spans="1:21" x14ac:dyDescent="0.2">
      <c r="A1536" s="3">
        <v>1535</v>
      </c>
      <c r="B1536" s="1" t="s">
        <v>4875</v>
      </c>
      <c r="D1536" s="1" t="s">
        <v>4876</v>
      </c>
      <c r="F1536" s="1" t="s">
        <v>4880</v>
      </c>
      <c r="H1536" s="1" t="s">
        <v>4881</v>
      </c>
      <c r="L1536" s="1" t="s">
        <v>10106</v>
      </c>
      <c r="M1536" s="1" t="s">
        <v>1240</v>
      </c>
      <c r="N1536" s="1" t="s">
        <v>4521</v>
      </c>
      <c r="P1536" s="1" t="s">
        <v>10214</v>
      </c>
      <c r="Q1536" s="30" t="s">
        <v>2565</v>
      </c>
      <c r="R1536" s="33" t="s">
        <v>3473</v>
      </c>
      <c r="S1536">
        <v>37</v>
      </c>
      <c r="T1536" s="1" t="s">
        <v>13885</v>
      </c>
      <c r="U1536" s="1" t="str">
        <f>HYPERLINK("http://ictvonline.org/taxonomy/p/taxonomy-history?taxnode_id=202112000","ICTVonline=202112000")</f>
        <v>ICTVonline=202112000</v>
      </c>
    </row>
    <row r="1537" spans="1:21" x14ac:dyDescent="0.2">
      <c r="A1537" s="3">
        <v>1536</v>
      </c>
      <c r="B1537" s="1" t="s">
        <v>4875</v>
      </c>
      <c r="D1537" s="1" t="s">
        <v>4876</v>
      </c>
      <c r="F1537" s="1" t="s">
        <v>4880</v>
      </c>
      <c r="H1537" s="1" t="s">
        <v>4881</v>
      </c>
      <c r="L1537" s="1" t="s">
        <v>10106</v>
      </c>
      <c r="M1537" s="1" t="s">
        <v>1240</v>
      </c>
      <c r="N1537" s="1" t="s">
        <v>4521</v>
      </c>
      <c r="P1537" s="1" t="s">
        <v>10215</v>
      </c>
      <c r="Q1537" s="30" t="s">
        <v>2565</v>
      </c>
      <c r="R1537" s="33" t="s">
        <v>3473</v>
      </c>
      <c r="S1537">
        <v>37</v>
      </c>
      <c r="T1537" s="1" t="s">
        <v>13885</v>
      </c>
      <c r="U1537" s="1" t="str">
        <f>HYPERLINK("http://ictvonline.org/taxonomy/p/taxonomy-history?taxnode_id=202112003","ICTVonline=202112003")</f>
        <v>ICTVonline=202112003</v>
      </c>
    </row>
    <row r="1538" spans="1:21" x14ac:dyDescent="0.2">
      <c r="A1538" s="3">
        <v>1537</v>
      </c>
      <c r="B1538" s="1" t="s">
        <v>4875</v>
      </c>
      <c r="D1538" s="1" t="s">
        <v>4876</v>
      </c>
      <c r="F1538" s="1" t="s">
        <v>4880</v>
      </c>
      <c r="H1538" s="1" t="s">
        <v>4881</v>
      </c>
      <c r="L1538" s="1" t="s">
        <v>10106</v>
      </c>
      <c r="M1538" s="1" t="s">
        <v>1240</v>
      </c>
      <c r="N1538" s="1" t="s">
        <v>4521</v>
      </c>
      <c r="P1538" s="1" t="s">
        <v>10216</v>
      </c>
      <c r="Q1538" s="30" t="s">
        <v>2565</v>
      </c>
      <c r="R1538" s="33" t="s">
        <v>3473</v>
      </c>
      <c r="S1538">
        <v>37</v>
      </c>
      <c r="T1538" s="1" t="s">
        <v>13885</v>
      </c>
      <c r="U1538" s="1" t="str">
        <f>HYPERLINK("http://ictvonline.org/taxonomy/p/taxonomy-history?taxnode_id=202111981","ICTVonline=202111981")</f>
        <v>ICTVonline=202111981</v>
      </c>
    </row>
    <row r="1539" spans="1:21" x14ac:dyDescent="0.2">
      <c r="A1539" s="3">
        <v>1538</v>
      </c>
      <c r="B1539" s="1" t="s">
        <v>4875</v>
      </c>
      <c r="D1539" s="1" t="s">
        <v>4876</v>
      </c>
      <c r="F1539" s="1" t="s">
        <v>4880</v>
      </c>
      <c r="H1539" s="1" t="s">
        <v>4881</v>
      </c>
      <c r="L1539" s="1" t="s">
        <v>10106</v>
      </c>
      <c r="M1539" s="1" t="s">
        <v>1240</v>
      </c>
      <c r="N1539" s="1" t="s">
        <v>4521</v>
      </c>
      <c r="P1539" s="1" t="s">
        <v>10217</v>
      </c>
      <c r="Q1539" s="30" t="s">
        <v>2565</v>
      </c>
      <c r="R1539" s="33" t="s">
        <v>3473</v>
      </c>
      <c r="S1539">
        <v>37</v>
      </c>
      <c r="T1539" s="1" t="s">
        <v>13885</v>
      </c>
      <c r="U1539" s="1" t="str">
        <f>HYPERLINK("http://ictvonline.org/taxonomy/p/taxonomy-history?taxnode_id=202111982","ICTVonline=202111982")</f>
        <v>ICTVonline=202111982</v>
      </c>
    </row>
    <row r="1540" spans="1:21" x14ac:dyDescent="0.2">
      <c r="A1540" s="3">
        <v>1539</v>
      </c>
      <c r="B1540" s="1" t="s">
        <v>4875</v>
      </c>
      <c r="D1540" s="1" t="s">
        <v>4876</v>
      </c>
      <c r="F1540" s="1" t="s">
        <v>4880</v>
      </c>
      <c r="H1540" s="1" t="s">
        <v>4881</v>
      </c>
      <c r="L1540" s="1" t="s">
        <v>10106</v>
      </c>
      <c r="M1540" s="1" t="s">
        <v>1240</v>
      </c>
      <c r="N1540" s="1" t="s">
        <v>4521</v>
      </c>
      <c r="P1540" s="1" t="s">
        <v>10218</v>
      </c>
      <c r="Q1540" s="30" t="s">
        <v>2565</v>
      </c>
      <c r="R1540" s="33" t="s">
        <v>3473</v>
      </c>
      <c r="S1540">
        <v>37</v>
      </c>
      <c r="T1540" s="1" t="s">
        <v>13885</v>
      </c>
      <c r="U1540" s="1" t="str">
        <f>HYPERLINK("http://ictvonline.org/taxonomy/p/taxonomy-history?taxnode_id=202100333","ICTVonline=202100333")</f>
        <v>ICTVonline=202100333</v>
      </c>
    </row>
    <row r="1541" spans="1:21" x14ac:dyDescent="0.2">
      <c r="A1541" s="3">
        <v>1540</v>
      </c>
      <c r="B1541" s="1" t="s">
        <v>4875</v>
      </c>
      <c r="D1541" s="1" t="s">
        <v>4876</v>
      </c>
      <c r="F1541" s="1" t="s">
        <v>4880</v>
      </c>
      <c r="H1541" s="1" t="s">
        <v>4881</v>
      </c>
      <c r="L1541" s="1" t="s">
        <v>10106</v>
      </c>
      <c r="M1541" s="1" t="s">
        <v>1240</v>
      </c>
      <c r="N1541" s="1" t="s">
        <v>4521</v>
      </c>
      <c r="P1541" s="1" t="s">
        <v>10219</v>
      </c>
      <c r="Q1541" s="30" t="s">
        <v>2565</v>
      </c>
      <c r="R1541" s="33" t="s">
        <v>3473</v>
      </c>
      <c r="S1541">
        <v>37</v>
      </c>
      <c r="T1541" s="1" t="s">
        <v>13885</v>
      </c>
      <c r="U1541" s="1" t="str">
        <f>HYPERLINK("http://ictvonline.org/taxonomy/p/taxonomy-history?taxnode_id=202100336","ICTVonline=202100336")</f>
        <v>ICTVonline=202100336</v>
      </c>
    </row>
    <row r="1542" spans="1:21" x14ac:dyDescent="0.2">
      <c r="A1542" s="3">
        <v>1541</v>
      </c>
      <c r="B1542" s="1" t="s">
        <v>4875</v>
      </c>
      <c r="D1542" s="1" t="s">
        <v>4876</v>
      </c>
      <c r="F1542" s="1" t="s">
        <v>4880</v>
      </c>
      <c r="H1542" s="1" t="s">
        <v>4881</v>
      </c>
      <c r="L1542" s="1" t="s">
        <v>10106</v>
      </c>
      <c r="M1542" s="1" t="s">
        <v>1240</v>
      </c>
      <c r="N1542" s="1" t="s">
        <v>4521</v>
      </c>
      <c r="P1542" s="1" t="s">
        <v>10220</v>
      </c>
      <c r="Q1542" s="30" t="s">
        <v>2565</v>
      </c>
      <c r="R1542" s="33" t="s">
        <v>3473</v>
      </c>
      <c r="S1542">
        <v>37</v>
      </c>
      <c r="T1542" s="1" t="s">
        <v>13885</v>
      </c>
      <c r="U1542" s="1" t="str">
        <f>HYPERLINK("http://ictvonline.org/taxonomy/p/taxonomy-history?taxnode_id=202112017","ICTVonline=202112017")</f>
        <v>ICTVonline=202112017</v>
      </c>
    </row>
    <row r="1543" spans="1:21" x14ac:dyDescent="0.2">
      <c r="A1543" s="3">
        <v>1542</v>
      </c>
      <c r="B1543" s="1" t="s">
        <v>4875</v>
      </c>
      <c r="D1543" s="1" t="s">
        <v>4876</v>
      </c>
      <c r="F1543" s="1" t="s">
        <v>4880</v>
      </c>
      <c r="H1543" s="1" t="s">
        <v>4881</v>
      </c>
      <c r="L1543" s="1" t="s">
        <v>10106</v>
      </c>
      <c r="M1543" s="1" t="s">
        <v>1240</v>
      </c>
      <c r="N1543" s="1" t="s">
        <v>4521</v>
      </c>
      <c r="P1543" s="1" t="s">
        <v>10221</v>
      </c>
      <c r="Q1543" s="30" t="s">
        <v>2565</v>
      </c>
      <c r="R1543" s="33" t="s">
        <v>3473</v>
      </c>
      <c r="S1543">
        <v>37</v>
      </c>
      <c r="T1543" s="1" t="s">
        <v>13885</v>
      </c>
      <c r="U1543" s="1" t="str">
        <f>HYPERLINK("http://ictvonline.org/taxonomy/p/taxonomy-history?taxnode_id=202100330","ICTVonline=202100330")</f>
        <v>ICTVonline=202100330</v>
      </c>
    </row>
    <row r="1544" spans="1:21" x14ac:dyDescent="0.2">
      <c r="A1544" s="3">
        <v>1543</v>
      </c>
      <c r="B1544" s="1" t="s">
        <v>4875</v>
      </c>
      <c r="D1544" s="1" t="s">
        <v>4876</v>
      </c>
      <c r="F1544" s="1" t="s">
        <v>4880</v>
      </c>
      <c r="H1544" s="1" t="s">
        <v>4881</v>
      </c>
      <c r="L1544" s="1" t="s">
        <v>10106</v>
      </c>
      <c r="M1544" s="1" t="s">
        <v>1240</v>
      </c>
      <c r="N1544" s="1" t="s">
        <v>4521</v>
      </c>
      <c r="P1544" s="1" t="s">
        <v>10222</v>
      </c>
      <c r="Q1544" s="30" t="s">
        <v>2565</v>
      </c>
      <c r="R1544" s="33" t="s">
        <v>3473</v>
      </c>
      <c r="S1544">
        <v>37</v>
      </c>
      <c r="T1544" s="1" t="s">
        <v>13885</v>
      </c>
      <c r="U1544" s="1" t="str">
        <f>HYPERLINK("http://ictvonline.org/taxonomy/p/taxonomy-history?taxnode_id=202100331","ICTVonline=202100331")</f>
        <v>ICTVonline=202100331</v>
      </c>
    </row>
    <row r="1545" spans="1:21" x14ac:dyDescent="0.2">
      <c r="A1545" s="3">
        <v>1544</v>
      </c>
      <c r="B1545" s="1" t="s">
        <v>4875</v>
      </c>
      <c r="D1545" s="1" t="s">
        <v>4876</v>
      </c>
      <c r="F1545" s="1" t="s">
        <v>4880</v>
      </c>
      <c r="H1545" s="1" t="s">
        <v>4881</v>
      </c>
      <c r="L1545" s="1" t="s">
        <v>10106</v>
      </c>
      <c r="M1545" s="1" t="s">
        <v>1240</v>
      </c>
      <c r="N1545" s="1" t="s">
        <v>4521</v>
      </c>
      <c r="P1545" s="1" t="s">
        <v>10223</v>
      </c>
      <c r="Q1545" s="30" t="s">
        <v>2565</v>
      </c>
      <c r="R1545" s="33" t="s">
        <v>3473</v>
      </c>
      <c r="S1545">
        <v>37</v>
      </c>
      <c r="T1545" s="1" t="s">
        <v>13885</v>
      </c>
      <c r="U1545" s="1" t="str">
        <f>HYPERLINK("http://ictvonline.org/taxonomy/p/taxonomy-history?taxnode_id=202111972","ICTVonline=202111972")</f>
        <v>ICTVonline=202111972</v>
      </c>
    </row>
    <row r="1546" spans="1:21" x14ac:dyDescent="0.2">
      <c r="A1546" s="3">
        <v>1545</v>
      </c>
      <c r="B1546" s="1" t="s">
        <v>4875</v>
      </c>
      <c r="D1546" s="1" t="s">
        <v>4876</v>
      </c>
      <c r="F1546" s="1" t="s">
        <v>4880</v>
      </c>
      <c r="H1546" s="1" t="s">
        <v>4881</v>
      </c>
      <c r="L1546" s="1" t="s">
        <v>10106</v>
      </c>
      <c r="M1546" s="1" t="s">
        <v>1240</v>
      </c>
      <c r="N1546" s="1" t="s">
        <v>4521</v>
      </c>
      <c r="P1546" s="1" t="s">
        <v>10224</v>
      </c>
      <c r="Q1546" s="30" t="s">
        <v>2565</v>
      </c>
      <c r="R1546" s="33" t="s">
        <v>3473</v>
      </c>
      <c r="S1546">
        <v>37</v>
      </c>
      <c r="T1546" s="1" t="s">
        <v>13885</v>
      </c>
      <c r="U1546" s="1" t="str">
        <f>HYPERLINK("http://ictvonline.org/taxonomy/p/taxonomy-history?taxnode_id=202111973","ICTVonline=202111973")</f>
        <v>ICTVonline=202111973</v>
      </c>
    </row>
    <row r="1547" spans="1:21" x14ac:dyDescent="0.2">
      <c r="A1547" s="3">
        <v>1546</v>
      </c>
      <c r="B1547" s="1" t="s">
        <v>4875</v>
      </c>
      <c r="D1547" s="1" t="s">
        <v>4876</v>
      </c>
      <c r="F1547" s="1" t="s">
        <v>4880</v>
      </c>
      <c r="H1547" s="1" t="s">
        <v>4881</v>
      </c>
      <c r="L1547" s="1" t="s">
        <v>10106</v>
      </c>
      <c r="M1547" s="1" t="s">
        <v>1240</v>
      </c>
      <c r="N1547" s="1" t="s">
        <v>4521</v>
      </c>
      <c r="P1547" s="1" t="s">
        <v>10225</v>
      </c>
      <c r="Q1547" s="30" t="s">
        <v>2565</v>
      </c>
      <c r="R1547" s="33" t="s">
        <v>3473</v>
      </c>
      <c r="S1547">
        <v>37</v>
      </c>
      <c r="T1547" s="1" t="s">
        <v>13885</v>
      </c>
      <c r="U1547" s="1" t="str">
        <f>HYPERLINK("http://ictvonline.org/taxonomy/p/taxonomy-history?taxnode_id=202100342","ICTVonline=202100342")</f>
        <v>ICTVonline=202100342</v>
      </c>
    </row>
    <row r="1548" spans="1:21" x14ac:dyDescent="0.2">
      <c r="A1548" s="3">
        <v>1547</v>
      </c>
      <c r="B1548" s="1" t="s">
        <v>4875</v>
      </c>
      <c r="D1548" s="1" t="s">
        <v>4876</v>
      </c>
      <c r="F1548" s="1" t="s">
        <v>4880</v>
      </c>
      <c r="H1548" s="1" t="s">
        <v>4881</v>
      </c>
      <c r="L1548" s="1" t="s">
        <v>10106</v>
      </c>
      <c r="M1548" s="1" t="s">
        <v>1240</v>
      </c>
      <c r="N1548" s="1" t="s">
        <v>4521</v>
      </c>
      <c r="P1548" s="1" t="s">
        <v>10226</v>
      </c>
      <c r="Q1548" s="30" t="s">
        <v>2565</v>
      </c>
      <c r="R1548" s="33" t="s">
        <v>3472</v>
      </c>
      <c r="S1548">
        <v>37</v>
      </c>
      <c r="T1548" s="1" t="s">
        <v>13885</v>
      </c>
      <c r="U1548" s="1" t="str">
        <f>HYPERLINK("http://ictvonline.org/taxonomy/p/taxonomy-history?taxnode_id=202113945","ICTVonline=202113945")</f>
        <v>ICTVonline=202113945</v>
      </c>
    </row>
    <row r="1549" spans="1:21" x14ac:dyDescent="0.2">
      <c r="A1549" s="3">
        <v>1548</v>
      </c>
      <c r="B1549" s="1" t="s">
        <v>4875</v>
      </c>
      <c r="D1549" s="1" t="s">
        <v>4876</v>
      </c>
      <c r="F1549" s="1" t="s">
        <v>4880</v>
      </c>
      <c r="H1549" s="1" t="s">
        <v>4881</v>
      </c>
      <c r="L1549" s="1" t="s">
        <v>10106</v>
      </c>
      <c r="M1549" s="1" t="s">
        <v>1240</v>
      </c>
      <c r="N1549" s="1" t="s">
        <v>4521</v>
      </c>
      <c r="P1549" s="1" t="s">
        <v>10227</v>
      </c>
      <c r="Q1549" s="30" t="s">
        <v>2565</v>
      </c>
      <c r="R1549" s="33" t="s">
        <v>3473</v>
      </c>
      <c r="S1549">
        <v>37</v>
      </c>
      <c r="T1549" s="1" t="s">
        <v>13885</v>
      </c>
      <c r="U1549" s="1" t="str">
        <f>HYPERLINK("http://ictvonline.org/taxonomy/p/taxonomy-history?taxnode_id=202107050","ICTVonline=202107050")</f>
        <v>ICTVonline=202107050</v>
      </c>
    </row>
    <row r="1550" spans="1:21" x14ac:dyDescent="0.2">
      <c r="A1550" s="3">
        <v>1549</v>
      </c>
      <c r="B1550" s="1" t="s">
        <v>4875</v>
      </c>
      <c r="D1550" s="1" t="s">
        <v>4876</v>
      </c>
      <c r="F1550" s="1" t="s">
        <v>4880</v>
      </c>
      <c r="H1550" s="1" t="s">
        <v>4881</v>
      </c>
      <c r="L1550" s="1" t="s">
        <v>10106</v>
      </c>
      <c r="M1550" s="1" t="s">
        <v>1240</v>
      </c>
      <c r="N1550" s="1" t="s">
        <v>4521</v>
      </c>
      <c r="P1550" s="1" t="s">
        <v>10228</v>
      </c>
      <c r="Q1550" s="30" t="s">
        <v>2565</v>
      </c>
      <c r="R1550" s="33" t="s">
        <v>3473</v>
      </c>
      <c r="S1550">
        <v>37</v>
      </c>
      <c r="T1550" s="1" t="s">
        <v>13885</v>
      </c>
      <c r="U1550" s="1" t="str">
        <f>HYPERLINK("http://ictvonline.org/taxonomy/p/taxonomy-history?taxnode_id=202107052","ICTVonline=202107052")</f>
        <v>ICTVonline=202107052</v>
      </c>
    </row>
    <row r="1551" spans="1:21" x14ac:dyDescent="0.2">
      <c r="A1551" s="3">
        <v>1550</v>
      </c>
      <c r="B1551" s="1" t="s">
        <v>4875</v>
      </c>
      <c r="D1551" s="1" t="s">
        <v>4876</v>
      </c>
      <c r="F1551" s="1" t="s">
        <v>4880</v>
      </c>
      <c r="H1551" s="1" t="s">
        <v>4881</v>
      </c>
      <c r="L1551" s="1" t="s">
        <v>10106</v>
      </c>
      <c r="M1551" s="1" t="s">
        <v>1240</v>
      </c>
      <c r="N1551" s="1" t="s">
        <v>4521</v>
      </c>
      <c r="P1551" s="1" t="s">
        <v>10229</v>
      </c>
      <c r="Q1551" s="30" t="s">
        <v>2565</v>
      </c>
      <c r="R1551" s="33" t="s">
        <v>3473</v>
      </c>
      <c r="S1551">
        <v>37</v>
      </c>
      <c r="T1551" s="1" t="s">
        <v>13885</v>
      </c>
      <c r="U1551" s="1" t="str">
        <f>HYPERLINK("http://ictvonline.org/taxonomy/p/taxonomy-history?taxnode_id=202112011","ICTVonline=202112011")</f>
        <v>ICTVonline=202112011</v>
      </c>
    </row>
    <row r="1552" spans="1:21" x14ac:dyDescent="0.2">
      <c r="A1552" s="3">
        <v>1551</v>
      </c>
      <c r="B1552" s="1" t="s">
        <v>4875</v>
      </c>
      <c r="D1552" s="1" t="s">
        <v>4876</v>
      </c>
      <c r="F1552" s="1" t="s">
        <v>4880</v>
      </c>
      <c r="H1552" s="1" t="s">
        <v>4881</v>
      </c>
      <c r="L1552" s="1" t="s">
        <v>10106</v>
      </c>
      <c r="M1552" s="1" t="s">
        <v>1240</v>
      </c>
      <c r="N1552" s="1" t="s">
        <v>4521</v>
      </c>
      <c r="P1552" s="1" t="s">
        <v>10230</v>
      </c>
      <c r="Q1552" s="30" t="s">
        <v>2565</v>
      </c>
      <c r="R1552" s="33" t="s">
        <v>3473</v>
      </c>
      <c r="S1552">
        <v>37</v>
      </c>
      <c r="T1552" s="1" t="s">
        <v>13885</v>
      </c>
      <c r="U1552" s="1" t="str">
        <f>HYPERLINK("http://ictvonline.org/taxonomy/p/taxonomy-history?taxnode_id=202107053","ICTVonline=202107053")</f>
        <v>ICTVonline=202107053</v>
      </c>
    </row>
    <row r="1553" spans="1:21" x14ac:dyDescent="0.2">
      <c r="A1553" s="3">
        <v>1552</v>
      </c>
      <c r="B1553" s="1" t="s">
        <v>4875</v>
      </c>
      <c r="D1553" s="1" t="s">
        <v>4876</v>
      </c>
      <c r="F1553" s="1" t="s">
        <v>4880</v>
      </c>
      <c r="H1553" s="1" t="s">
        <v>4881</v>
      </c>
      <c r="L1553" s="1" t="s">
        <v>10106</v>
      </c>
      <c r="M1553" s="1" t="s">
        <v>1240</v>
      </c>
      <c r="N1553" s="1" t="s">
        <v>4521</v>
      </c>
      <c r="P1553" s="1" t="s">
        <v>10231</v>
      </c>
      <c r="Q1553" s="30" t="s">
        <v>2565</v>
      </c>
      <c r="R1553" s="33" t="s">
        <v>3473</v>
      </c>
      <c r="S1553">
        <v>37</v>
      </c>
      <c r="T1553" s="1" t="s">
        <v>13885</v>
      </c>
      <c r="U1553" s="1" t="str">
        <f>HYPERLINK("http://ictvonline.org/taxonomy/p/taxonomy-history?taxnode_id=202112007","ICTVonline=202112007")</f>
        <v>ICTVonline=202112007</v>
      </c>
    </row>
    <row r="1554" spans="1:21" x14ac:dyDescent="0.2">
      <c r="A1554" s="3">
        <v>1553</v>
      </c>
      <c r="B1554" s="1" t="s">
        <v>4875</v>
      </c>
      <c r="D1554" s="1" t="s">
        <v>4876</v>
      </c>
      <c r="F1554" s="1" t="s">
        <v>4880</v>
      </c>
      <c r="H1554" s="1" t="s">
        <v>4881</v>
      </c>
      <c r="L1554" s="1" t="s">
        <v>10106</v>
      </c>
      <c r="M1554" s="1" t="s">
        <v>1240</v>
      </c>
      <c r="N1554" s="1" t="s">
        <v>4521</v>
      </c>
      <c r="P1554" s="1" t="s">
        <v>10232</v>
      </c>
      <c r="Q1554" s="30" t="s">
        <v>2565</v>
      </c>
      <c r="R1554" s="33" t="s">
        <v>3473</v>
      </c>
      <c r="S1554">
        <v>37</v>
      </c>
      <c r="T1554" s="1" t="s">
        <v>13885</v>
      </c>
      <c r="U1554" s="1" t="str">
        <f>HYPERLINK("http://ictvonline.org/taxonomy/p/taxonomy-history?taxnode_id=202112012","ICTVonline=202112012")</f>
        <v>ICTVonline=202112012</v>
      </c>
    </row>
    <row r="1555" spans="1:21" x14ac:dyDescent="0.2">
      <c r="A1555" s="3">
        <v>1554</v>
      </c>
      <c r="B1555" s="1" t="s">
        <v>4875</v>
      </c>
      <c r="D1555" s="1" t="s">
        <v>4876</v>
      </c>
      <c r="F1555" s="1" t="s">
        <v>4880</v>
      </c>
      <c r="H1555" s="1" t="s">
        <v>4881</v>
      </c>
      <c r="L1555" s="1" t="s">
        <v>10106</v>
      </c>
      <c r="M1555" s="1" t="s">
        <v>1240</v>
      </c>
      <c r="N1555" s="1" t="s">
        <v>4521</v>
      </c>
      <c r="P1555" s="1" t="s">
        <v>10233</v>
      </c>
      <c r="Q1555" s="30" t="s">
        <v>2565</v>
      </c>
      <c r="R1555" s="33" t="s">
        <v>3473</v>
      </c>
      <c r="S1555">
        <v>37</v>
      </c>
      <c r="T1555" s="1" t="s">
        <v>13885</v>
      </c>
      <c r="U1555" s="1" t="str">
        <f>HYPERLINK("http://ictvonline.org/taxonomy/p/taxonomy-history?taxnode_id=202100334","ICTVonline=202100334")</f>
        <v>ICTVonline=202100334</v>
      </c>
    </row>
    <row r="1556" spans="1:21" x14ac:dyDescent="0.2">
      <c r="A1556" s="3">
        <v>1555</v>
      </c>
      <c r="B1556" s="1" t="s">
        <v>4875</v>
      </c>
      <c r="D1556" s="1" t="s">
        <v>4876</v>
      </c>
      <c r="F1556" s="1" t="s">
        <v>4880</v>
      </c>
      <c r="H1556" s="1" t="s">
        <v>4881</v>
      </c>
      <c r="L1556" s="1" t="s">
        <v>10106</v>
      </c>
      <c r="M1556" s="1" t="s">
        <v>1240</v>
      </c>
      <c r="N1556" s="1" t="s">
        <v>4521</v>
      </c>
      <c r="P1556" s="1" t="s">
        <v>10234</v>
      </c>
      <c r="Q1556" s="30" t="s">
        <v>2565</v>
      </c>
      <c r="R1556" s="33" t="s">
        <v>3473</v>
      </c>
      <c r="S1556">
        <v>37</v>
      </c>
      <c r="T1556" s="1" t="s">
        <v>13885</v>
      </c>
      <c r="U1556" s="1" t="str">
        <f>HYPERLINK("http://ictvonline.org/taxonomy/p/taxonomy-history?taxnode_id=202112014","ICTVonline=202112014")</f>
        <v>ICTVonline=202112014</v>
      </c>
    </row>
    <row r="1557" spans="1:21" x14ac:dyDescent="0.2">
      <c r="A1557" s="3">
        <v>1556</v>
      </c>
      <c r="B1557" s="1" t="s">
        <v>4875</v>
      </c>
      <c r="D1557" s="1" t="s">
        <v>4876</v>
      </c>
      <c r="F1557" s="1" t="s">
        <v>4880</v>
      </c>
      <c r="H1557" s="1" t="s">
        <v>4881</v>
      </c>
      <c r="L1557" s="1" t="s">
        <v>10106</v>
      </c>
      <c r="M1557" s="1" t="s">
        <v>1240</v>
      </c>
      <c r="N1557" s="1" t="s">
        <v>4521</v>
      </c>
      <c r="P1557" s="1" t="s">
        <v>10235</v>
      </c>
      <c r="Q1557" s="30" t="s">
        <v>2565</v>
      </c>
      <c r="R1557" s="33" t="s">
        <v>3473</v>
      </c>
      <c r="S1557">
        <v>37</v>
      </c>
      <c r="T1557" s="1" t="s">
        <v>13885</v>
      </c>
      <c r="U1557" s="1" t="str">
        <f>HYPERLINK("http://ictvonline.org/taxonomy/p/taxonomy-history?taxnode_id=202112015","ICTVonline=202112015")</f>
        <v>ICTVonline=202112015</v>
      </c>
    </row>
    <row r="1558" spans="1:21" x14ac:dyDescent="0.2">
      <c r="A1558" s="3">
        <v>1557</v>
      </c>
      <c r="B1558" s="1" t="s">
        <v>4875</v>
      </c>
      <c r="D1558" s="1" t="s">
        <v>4876</v>
      </c>
      <c r="F1558" s="1" t="s">
        <v>4880</v>
      </c>
      <c r="H1558" s="1" t="s">
        <v>4881</v>
      </c>
      <c r="L1558" s="1" t="s">
        <v>10106</v>
      </c>
      <c r="M1558" s="1" t="s">
        <v>1240</v>
      </c>
      <c r="N1558" s="1" t="s">
        <v>4521</v>
      </c>
      <c r="P1558" s="1" t="s">
        <v>10236</v>
      </c>
      <c r="Q1558" s="30" t="s">
        <v>2565</v>
      </c>
      <c r="R1558" s="33" t="s">
        <v>3472</v>
      </c>
      <c r="S1558">
        <v>37</v>
      </c>
      <c r="T1558" s="1" t="s">
        <v>13885</v>
      </c>
      <c r="U1558" s="1" t="str">
        <f>HYPERLINK("http://ictvonline.org/taxonomy/p/taxonomy-history?taxnode_id=202113949","ICTVonline=202113949")</f>
        <v>ICTVonline=202113949</v>
      </c>
    </row>
    <row r="1559" spans="1:21" x14ac:dyDescent="0.2">
      <c r="A1559" s="3">
        <v>1558</v>
      </c>
      <c r="B1559" s="1" t="s">
        <v>4875</v>
      </c>
      <c r="D1559" s="1" t="s">
        <v>4876</v>
      </c>
      <c r="F1559" s="1" t="s">
        <v>4880</v>
      </c>
      <c r="H1559" s="1" t="s">
        <v>4881</v>
      </c>
      <c r="L1559" s="1" t="s">
        <v>10106</v>
      </c>
      <c r="M1559" s="1" t="s">
        <v>1240</v>
      </c>
      <c r="N1559" s="1" t="s">
        <v>4521</v>
      </c>
      <c r="P1559" s="1" t="s">
        <v>10237</v>
      </c>
      <c r="Q1559" s="30" t="s">
        <v>2565</v>
      </c>
      <c r="R1559" s="33" t="s">
        <v>3473</v>
      </c>
      <c r="S1559">
        <v>37</v>
      </c>
      <c r="T1559" s="1" t="s">
        <v>13885</v>
      </c>
      <c r="U1559" s="1" t="str">
        <f>HYPERLINK("http://ictvonline.org/taxonomy/p/taxonomy-history?taxnode_id=202107054","ICTVonline=202107054")</f>
        <v>ICTVonline=202107054</v>
      </c>
    </row>
    <row r="1560" spans="1:21" x14ac:dyDescent="0.2">
      <c r="A1560" s="3">
        <v>1559</v>
      </c>
      <c r="B1560" s="1" t="s">
        <v>4875</v>
      </c>
      <c r="D1560" s="1" t="s">
        <v>4876</v>
      </c>
      <c r="F1560" s="1" t="s">
        <v>4880</v>
      </c>
      <c r="H1560" s="1" t="s">
        <v>4881</v>
      </c>
      <c r="L1560" s="1" t="s">
        <v>10106</v>
      </c>
      <c r="M1560" s="1" t="s">
        <v>1240</v>
      </c>
      <c r="N1560" s="1" t="s">
        <v>4521</v>
      </c>
      <c r="P1560" s="1" t="s">
        <v>10238</v>
      </c>
      <c r="Q1560" s="30" t="s">
        <v>2565</v>
      </c>
      <c r="R1560" s="33" t="s">
        <v>3472</v>
      </c>
      <c r="S1560">
        <v>37</v>
      </c>
      <c r="T1560" s="1" t="s">
        <v>13885</v>
      </c>
      <c r="U1560" s="1" t="str">
        <f>HYPERLINK("http://ictvonline.org/taxonomy/p/taxonomy-history?taxnode_id=202113950","ICTVonline=202113950")</f>
        <v>ICTVonline=202113950</v>
      </c>
    </row>
    <row r="1561" spans="1:21" x14ac:dyDescent="0.2">
      <c r="A1561" s="3">
        <v>1560</v>
      </c>
      <c r="B1561" s="1" t="s">
        <v>4875</v>
      </c>
      <c r="D1561" s="1" t="s">
        <v>4876</v>
      </c>
      <c r="F1561" s="1" t="s">
        <v>4880</v>
      </c>
      <c r="H1561" s="1" t="s">
        <v>4881</v>
      </c>
      <c r="L1561" s="1" t="s">
        <v>10106</v>
      </c>
      <c r="M1561" s="1" t="s">
        <v>1240</v>
      </c>
      <c r="N1561" s="1" t="s">
        <v>4521</v>
      </c>
      <c r="P1561" s="1" t="s">
        <v>10239</v>
      </c>
      <c r="Q1561" s="30" t="s">
        <v>2565</v>
      </c>
      <c r="R1561" s="33" t="s">
        <v>3473</v>
      </c>
      <c r="S1561">
        <v>37</v>
      </c>
      <c r="T1561" s="1" t="s">
        <v>13885</v>
      </c>
      <c r="U1561" s="1" t="str">
        <f>HYPERLINK("http://ictvonline.org/taxonomy/p/taxonomy-history?taxnode_id=202112006","ICTVonline=202112006")</f>
        <v>ICTVonline=202112006</v>
      </c>
    </row>
    <row r="1562" spans="1:21" x14ac:dyDescent="0.2">
      <c r="A1562" s="3">
        <v>1561</v>
      </c>
      <c r="B1562" s="1" t="s">
        <v>4875</v>
      </c>
      <c r="D1562" s="1" t="s">
        <v>4876</v>
      </c>
      <c r="F1562" s="1" t="s">
        <v>4880</v>
      </c>
      <c r="H1562" s="1" t="s">
        <v>4881</v>
      </c>
      <c r="L1562" s="1" t="s">
        <v>10106</v>
      </c>
      <c r="M1562" s="1" t="s">
        <v>1240</v>
      </c>
      <c r="N1562" s="1" t="s">
        <v>4521</v>
      </c>
      <c r="P1562" s="1" t="s">
        <v>10240</v>
      </c>
      <c r="Q1562" s="30" t="s">
        <v>2565</v>
      </c>
      <c r="R1562" s="33" t="s">
        <v>3473</v>
      </c>
      <c r="S1562">
        <v>37</v>
      </c>
      <c r="T1562" s="1" t="s">
        <v>13885</v>
      </c>
      <c r="U1562" s="1" t="str">
        <f>HYPERLINK("http://ictvonline.org/taxonomy/p/taxonomy-history?taxnode_id=202111983","ICTVonline=202111983")</f>
        <v>ICTVonline=202111983</v>
      </c>
    </row>
    <row r="1563" spans="1:21" x14ac:dyDescent="0.2">
      <c r="A1563" s="3">
        <v>1562</v>
      </c>
      <c r="B1563" s="1" t="s">
        <v>4875</v>
      </c>
      <c r="D1563" s="1" t="s">
        <v>4876</v>
      </c>
      <c r="F1563" s="1" t="s">
        <v>4880</v>
      </c>
      <c r="H1563" s="1" t="s">
        <v>4881</v>
      </c>
      <c r="L1563" s="1" t="s">
        <v>10106</v>
      </c>
      <c r="M1563" s="1" t="s">
        <v>1240</v>
      </c>
      <c r="N1563" s="1" t="s">
        <v>4521</v>
      </c>
      <c r="P1563" s="1" t="s">
        <v>10241</v>
      </c>
      <c r="Q1563" s="30" t="s">
        <v>2565</v>
      </c>
      <c r="R1563" s="33" t="s">
        <v>3473</v>
      </c>
      <c r="S1563">
        <v>37</v>
      </c>
      <c r="T1563" s="1" t="s">
        <v>13885</v>
      </c>
      <c r="U1563" s="1" t="str">
        <f>HYPERLINK("http://ictvonline.org/taxonomy/p/taxonomy-history?taxnode_id=202100332","ICTVonline=202100332")</f>
        <v>ICTVonline=202100332</v>
      </c>
    </row>
    <row r="1564" spans="1:21" x14ac:dyDescent="0.2">
      <c r="A1564" s="3">
        <v>1563</v>
      </c>
      <c r="B1564" s="1" t="s">
        <v>4875</v>
      </c>
      <c r="D1564" s="1" t="s">
        <v>4876</v>
      </c>
      <c r="F1564" s="1" t="s">
        <v>4880</v>
      </c>
      <c r="H1564" s="1" t="s">
        <v>4881</v>
      </c>
      <c r="L1564" s="1" t="s">
        <v>10106</v>
      </c>
      <c r="M1564" s="1" t="s">
        <v>1240</v>
      </c>
      <c r="N1564" s="1" t="s">
        <v>4521</v>
      </c>
      <c r="P1564" s="1" t="s">
        <v>10242</v>
      </c>
      <c r="Q1564" s="30" t="s">
        <v>2565</v>
      </c>
      <c r="R1564" s="33" t="s">
        <v>3473</v>
      </c>
      <c r="S1564">
        <v>37</v>
      </c>
      <c r="T1564" s="1" t="s">
        <v>13885</v>
      </c>
      <c r="U1564" s="1" t="str">
        <f>HYPERLINK("http://ictvonline.org/taxonomy/p/taxonomy-history?taxnode_id=202111974","ICTVonline=202111974")</f>
        <v>ICTVonline=202111974</v>
      </c>
    </row>
    <row r="1565" spans="1:21" x14ac:dyDescent="0.2">
      <c r="A1565" s="3">
        <v>1564</v>
      </c>
      <c r="B1565" s="1" t="s">
        <v>4875</v>
      </c>
      <c r="D1565" s="1" t="s">
        <v>4876</v>
      </c>
      <c r="F1565" s="1" t="s">
        <v>4880</v>
      </c>
      <c r="H1565" s="1" t="s">
        <v>4881</v>
      </c>
      <c r="L1565" s="1" t="s">
        <v>10106</v>
      </c>
      <c r="M1565" s="1" t="s">
        <v>1240</v>
      </c>
      <c r="N1565" s="1" t="s">
        <v>4521</v>
      </c>
      <c r="P1565" s="1" t="s">
        <v>10243</v>
      </c>
      <c r="Q1565" s="30" t="s">
        <v>2565</v>
      </c>
      <c r="R1565" s="33" t="s">
        <v>3473</v>
      </c>
      <c r="S1565">
        <v>37</v>
      </c>
      <c r="T1565" s="1" t="s">
        <v>13885</v>
      </c>
      <c r="U1565" s="1" t="str">
        <f>HYPERLINK("http://ictvonline.org/taxonomy/p/taxonomy-history?taxnode_id=202111984","ICTVonline=202111984")</f>
        <v>ICTVonline=202111984</v>
      </c>
    </row>
    <row r="1566" spans="1:21" x14ac:dyDescent="0.2">
      <c r="A1566" s="3">
        <v>1565</v>
      </c>
      <c r="B1566" s="1" t="s">
        <v>4875</v>
      </c>
      <c r="D1566" s="1" t="s">
        <v>4876</v>
      </c>
      <c r="F1566" s="1" t="s">
        <v>4880</v>
      </c>
      <c r="H1566" s="1" t="s">
        <v>4881</v>
      </c>
      <c r="L1566" s="1" t="s">
        <v>10106</v>
      </c>
      <c r="M1566" s="1" t="s">
        <v>1240</v>
      </c>
      <c r="N1566" s="1" t="s">
        <v>4521</v>
      </c>
      <c r="P1566" s="1" t="s">
        <v>10244</v>
      </c>
      <c r="Q1566" s="30" t="s">
        <v>2565</v>
      </c>
      <c r="R1566" s="33" t="s">
        <v>3473</v>
      </c>
      <c r="S1566">
        <v>37</v>
      </c>
      <c r="T1566" s="1" t="s">
        <v>13885</v>
      </c>
      <c r="U1566" s="1" t="str">
        <f>HYPERLINK("http://ictvonline.org/taxonomy/p/taxonomy-history?taxnode_id=202111985","ICTVonline=202111985")</f>
        <v>ICTVonline=202111985</v>
      </c>
    </row>
    <row r="1567" spans="1:21" x14ac:dyDescent="0.2">
      <c r="A1567" s="3">
        <v>1566</v>
      </c>
      <c r="B1567" s="1" t="s">
        <v>4875</v>
      </c>
      <c r="D1567" s="1" t="s">
        <v>4876</v>
      </c>
      <c r="F1567" s="1" t="s">
        <v>4880</v>
      </c>
      <c r="H1567" s="1" t="s">
        <v>4881</v>
      </c>
      <c r="L1567" s="1" t="s">
        <v>10106</v>
      </c>
      <c r="M1567" s="1" t="s">
        <v>1240</v>
      </c>
      <c r="N1567" s="1" t="s">
        <v>4521</v>
      </c>
      <c r="P1567" s="1" t="s">
        <v>10245</v>
      </c>
      <c r="Q1567" s="30" t="s">
        <v>2565</v>
      </c>
      <c r="R1567" s="33" t="s">
        <v>3473</v>
      </c>
      <c r="S1567">
        <v>37</v>
      </c>
      <c r="T1567" s="1" t="s">
        <v>13885</v>
      </c>
      <c r="U1567" s="1" t="str">
        <f>HYPERLINK("http://ictvonline.org/taxonomy/p/taxonomy-history?taxnode_id=202111986","ICTVonline=202111986")</f>
        <v>ICTVonline=202111986</v>
      </c>
    </row>
    <row r="1568" spans="1:21" x14ac:dyDescent="0.2">
      <c r="A1568" s="3">
        <v>1567</v>
      </c>
      <c r="B1568" s="1" t="s">
        <v>4875</v>
      </c>
      <c r="D1568" s="1" t="s">
        <v>4876</v>
      </c>
      <c r="F1568" s="1" t="s">
        <v>4880</v>
      </c>
      <c r="H1568" s="1" t="s">
        <v>4881</v>
      </c>
      <c r="L1568" s="1" t="s">
        <v>10106</v>
      </c>
      <c r="M1568" s="1" t="s">
        <v>1240</v>
      </c>
      <c r="N1568" s="1" t="s">
        <v>4521</v>
      </c>
      <c r="P1568" s="1" t="s">
        <v>10246</v>
      </c>
      <c r="Q1568" s="30" t="s">
        <v>2565</v>
      </c>
      <c r="R1568" s="33" t="s">
        <v>3473</v>
      </c>
      <c r="S1568">
        <v>37</v>
      </c>
      <c r="T1568" s="1" t="s">
        <v>13885</v>
      </c>
      <c r="U1568" s="1" t="str">
        <f>HYPERLINK("http://ictvonline.org/taxonomy/p/taxonomy-history?taxnode_id=202111987","ICTVonline=202111987")</f>
        <v>ICTVonline=202111987</v>
      </c>
    </row>
    <row r="1569" spans="1:21" x14ac:dyDescent="0.2">
      <c r="A1569" s="3">
        <v>1568</v>
      </c>
      <c r="B1569" s="1" t="s">
        <v>4875</v>
      </c>
      <c r="D1569" s="1" t="s">
        <v>4876</v>
      </c>
      <c r="F1569" s="1" t="s">
        <v>4880</v>
      </c>
      <c r="H1569" s="1" t="s">
        <v>4881</v>
      </c>
      <c r="L1569" s="1" t="s">
        <v>10106</v>
      </c>
      <c r="M1569" s="1" t="s">
        <v>1240</v>
      </c>
      <c r="N1569" s="1" t="s">
        <v>4521</v>
      </c>
      <c r="P1569" s="1" t="s">
        <v>10247</v>
      </c>
      <c r="Q1569" s="30" t="s">
        <v>2565</v>
      </c>
      <c r="R1569" s="33" t="s">
        <v>3472</v>
      </c>
      <c r="S1569">
        <v>37</v>
      </c>
      <c r="T1569" s="1" t="s">
        <v>13885</v>
      </c>
      <c r="U1569" s="1" t="str">
        <f>HYPERLINK("http://ictvonline.org/taxonomy/p/taxonomy-history?taxnode_id=202113946","ICTVonline=202113946")</f>
        <v>ICTVonline=202113946</v>
      </c>
    </row>
    <row r="1570" spans="1:21" x14ac:dyDescent="0.2">
      <c r="A1570" s="3">
        <v>1569</v>
      </c>
      <c r="B1570" s="1" t="s">
        <v>4875</v>
      </c>
      <c r="D1570" s="1" t="s">
        <v>4876</v>
      </c>
      <c r="F1570" s="1" t="s">
        <v>4880</v>
      </c>
      <c r="H1570" s="1" t="s">
        <v>4881</v>
      </c>
      <c r="L1570" s="1" t="s">
        <v>10106</v>
      </c>
      <c r="M1570" s="1" t="s">
        <v>1240</v>
      </c>
      <c r="N1570" s="1" t="s">
        <v>4521</v>
      </c>
      <c r="P1570" s="1" t="s">
        <v>10248</v>
      </c>
      <c r="Q1570" s="30" t="s">
        <v>2565</v>
      </c>
      <c r="R1570" s="33" t="s">
        <v>3473</v>
      </c>
      <c r="S1570">
        <v>37</v>
      </c>
      <c r="T1570" s="1" t="s">
        <v>13885</v>
      </c>
      <c r="U1570" s="1" t="str">
        <f>HYPERLINK("http://ictvonline.org/taxonomy/p/taxonomy-history?taxnode_id=202112018","ICTVonline=202112018")</f>
        <v>ICTVonline=202112018</v>
      </c>
    </row>
    <row r="1571" spans="1:21" x14ac:dyDescent="0.2">
      <c r="A1571" s="3">
        <v>1570</v>
      </c>
      <c r="B1571" s="1" t="s">
        <v>4875</v>
      </c>
      <c r="D1571" s="1" t="s">
        <v>4876</v>
      </c>
      <c r="F1571" s="1" t="s">
        <v>4880</v>
      </c>
      <c r="H1571" s="1" t="s">
        <v>4881</v>
      </c>
      <c r="L1571" s="1" t="s">
        <v>10106</v>
      </c>
      <c r="M1571" s="1" t="s">
        <v>1240</v>
      </c>
      <c r="N1571" s="1" t="s">
        <v>4521</v>
      </c>
      <c r="P1571" s="1" t="s">
        <v>10249</v>
      </c>
      <c r="Q1571" s="30" t="s">
        <v>2565</v>
      </c>
      <c r="R1571" s="33" t="s">
        <v>3473</v>
      </c>
      <c r="S1571">
        <v>37</v>
      </c>
      <c r="T1571" s="1" t="s">
        <v>13885</v>
      </c>
      <c r="U1571" s="1" t="str">
        <f>HYPERLINK("http://ictvonline.org/taxonomy/p/taxonomy-history?taxnode_id=202111966","ICTVonline=202111966")</f>
        <v>ICTVonline=202111966</v>
      </c>
    </row>
    <row r="1572" spans="1:21" x14ac:dyDescent="0.2">
      <c r="A1572" s="3">
        <v>1571</v>
      </c>
      <c r="B1572" s="1" t="s">
        <v>4875</v>
      </c>
      <c r="D1572" s="1" t="s">
        <v>4876</v>
      </c>
      <c r="F1572" s="1" t="s">
        <v>4880</v>
      </c>
      <c r="H1572" s="1" t="s">
        <v>4881</v>
      </c>
      <c r="L1572" s="1" t="s">
        <v>10106</v>
      </c>
      <c r="M1572" s="1" t="s">
        <v>1240</v>
      </c>
      <c r="N1572" s="1" t="s">
        <v>4521</v>
      </c>
      <c r="P1572" s="1" t="s">
        <v>10250</v>
      </c>
      <c r="Q1572" s="30" t="s">
        <v>2565</v>
      </c>
      <c r="R1572" s="33" t="s">
        <v>3473</v>
      </c>
      <c r="S1572">
        <v>37</v>
      </c>
      <c r="T1572" s="1" t="s">
        <v>13885</v>
      </c>
      <c r="U1572" s="1" t="str">
        <f>HYPERLINK("http://ictvonline.org/taxonomy/p/taxonomy-history?taxnode_id=202111967","ICTVonline=202111967")</f>
        <v>ICTVonline=202111967</v>
      </c>
    </row>
    <row r="1573" spans="1:21" x14ac:dyDescent="0.2">
      <c r="A1573" s="3">
        <v>1572</v>
      </c>
      <c r="B1573" s="1" t="s">
        <v>4875</v>
      </c>
      <c r="D1573" s="1" t="s">
        <v>4876</v>
      </c>
      <c r="F1573" s="1" t="s">
        <v>4880</v>
      </c>
      <c r="H1573" s="1" t="s">
        <v>4881</v>
      </c>
      <c r="L1573" s="1" t="s">
        <v>10106</v>
      </c>
      <c r="M1573" s="1" t="s">
        <v>1240</v>
      </c>
      <c r="N1573" s="1" t="s">
        <v>4521</v>
      </c>
      <c r="P1573" s="1" t="s">
        <v>10251</v>
      </c>
      <c r="Q1573" s="30" t="s">
        <v>2565</v>
      </c>
      <c r="R1573" s="33" t="s">
        <v>3473</v>
      </c>
      <c r="S1573">
        <v>37</v>
      </c>
      <c r="T1573" s="1" t="s">
        <v>13885</v>
      </c>
      <c r="U1573" s="1" t="str">
        <f>HYPERLINK("http://ictvonline.org/taxonomy/p/taxonomy-history?taxnode_id=202112008","ICTVonline=202112008")</f>
        <v>ICTVonline=202112008</v>
      </c>
    </row>
    <row r="1574" spans="1:21" x14ac:dyDescent="0.2">
      <c r="A1574" s="3">
        <v>1573</v>
      </c>
      <c r="B1574" s="1" t="s">
        <v>4875</v>
      </c>
      <c r="D1574" s="1" t="s">
        <v>4876</v>
      </c>
      <c r="F1574" s="1" t="s">
        <v>4880</v>
      </c>
      <c r="H1574" s="1" t="s">
        <v>4881</v>
      </c>
      <c r="L1574" s="1" t="s">
        <v>10106</v>
      </c>
      <c r="M1574" s="1" t="s">
        <v>1240</v>
      </c>
      <c r="N1574" s="1" t="s">
        <v>4579</v>
      </c>
      <c r="P1574" s="1" t="s">
        <v>10252</v>
      </c>
      <c r="Q1574" s="30" t="s">
        <v>2565</v>
      </c>
      <c r="R1574" s="33" t="s">
        <v>3473</v>
      </c>
      <c r="S1574">
        <v>37</v>
      </c>
      <c r="T1574" s="1" t="s">
        <v>13885</v>
      </c>
      <c r="U1574" s="1" t="str">
        <f>HYPERLINK("http://ictvonline.org/taxonomy/p/taxonomy-history?taxnode_id=202106871","ICTVonline=202106871")</f>
        <v>ICTVonline=202106871</v>
      </c>
    </row>
    <row r="1575" spans="1:21" x14ac:dyDescent="0.2">
      <c r="A1575" s="3">
        <v>1574</v>
      </c>
      <c r="B1575" s="1" t="s">
        <v>4875</v>
      </c>
      <c r="D1575" s="1" t="s">
        <v>4876</v>
      </c>
      <c r="F1575" s="1" t="s">
        <v>4880</v>
      </c>
      <c r="H1575" s="1" t="s">
        <v>4881</v>
      </c>
      <c r="L1575" s="1" t="s">
        <v>10106</v>
      </c>
      <c r="M1575" s="1" t="s">
        <v>1240</v>
      </c>
      <c r="N1575" s="1" t="s">
        <v>4579</v>
      </c>
      <c r="P1575" s="1" t="s">
        <v>10253</v>
      </c>
      <c r="Q1575" s="30" t="s">
        <v>2565</v>
      </c>
      <c r="R1575" s="33" t="s">
        <v>3472</v>
      </c>
      <c r="S1575">
        <v>37</v>
      </c>
      <c r="T1575" s="1" t="s">
        <v>13885</v>
      </c>
      <c r="U1575" s="1" t="str">
        <f>HYPERLINK("http://ictvonline.org/taxonomy/p/taxonomy-history?taxnode_id=202113688","ICTVonline=202113688")</f>
        <v>ICTVonline=202113688</v>
      </c>
    </row>
    <row r="1576" spans="1:21" x14ac:dyDescent="0.2">
      <c r="A1576" s="3">
        <v>1575</v>
      </c>
      <c r="B1576" s="1" t="s">
        <v>4875</v>
      </c>
      <c r="D1576" s="1" t="s">
        <v>4876</v>
      </c>
      <c r="F1576" s="1" t="s">
        <v>4880</v>
      </c>
      <c r="H1576" s="1" t="s">
        <v>4881</v>
      </c>
      <c r="L1576" s="1" t="s">
        <v>10106</v>
      </c>
      <c r="M1576" s="1" t="s">
        <v>1240</v>
      </c>
      <c r="P1576" s="1" t="s">
        <v>2581</v>
      </c>
      <c r="Q1576" s="30" t="s">
        <v>2565</v>
      </c>
      <c r="R1576" s="33" t="s">
        <v>3474</v>
      </c>
      <c r="S1576">
        <v>37</v>
      </c>
      <c r="T1576" s="1" t="s">
        <v>13903</v>
      </c>
      <c r="U1576" s="1" t="str">
        <f>HYPERLINK("http://ictvonline.org/taxonomy/p/taxonomy-history?taxnode_id=202100338","ICTVonline=202100338")</f>
        <v>ICTVonline=202100338</v>
      </c>
    </row>
    <row r="1577" spans="1:21" x14ac:dyDescent="0.2">
      <c r="A1577" s="3">
        <v>1576</v>
      </c>
      <c r="B1577" s="1" t="s">
        <v>4875</v>
      </c>
      <c r="D1577" s="1" t="s">
        <v>4876</v>
      </c>
      <c r="F1577" s="1" t="s">
        <v>4880</v>
      </c>
      <c r="H1577" s="1" t="s">
        <v>4881</v>
      </c>
      <c r="L1577" s="1" t="s">
        <v>10106</v>
      </c>
      <c r="M1577" s="1" t="s">
        <v>6000</v>
      </c>
      <c r="N1577" s="1" t="s">
        <v>6001</v>
      </c>
      <c r="P1577" s="1" t="s">
        <v>10254</v>
      </c>
      <c r="Q1577" s="30" t="s">
        <v>2565</v>
      </c>
      <c r="R1577" s="33" t="s">
        <v>3473</v>
      </c>
      <c r="S1577">
        <v>37</v>
      </c>
      <c r="T1577" s="1" t="s">
        <v>13885</v>
      </c>
      <c r="U1577" s="1" t="str">
        <f>HYPERLINK("http://ictvonline.org/taxonomy/p/taxonomy-history?taxnode_id=202112076","ICTVonline=202112076")</f>
        <v>ICTVonline=202112076</v>
      </c>
    </row>
    <row r="1578" spans="1:21" x14ac:dyDescent="0.2">
      <c r="A1578" s="3">
        <v>1577</v>
      </c>
      <c r="B1578" s="1" t="s">
        <v>4875</v>
      </c>
      <c r="D1578" s="1" t="s">
        <v>4876</v>
      </c>
      <c r="F1578" s="1" t="s">
        <v>4880</v>
      </c>
      <c r="H1578" s="1" t="s">
        <v>4881</v>
      </c>
      <c r="L1578" s="1" t="s">
        <v>10106</v>
      </c>
      <c r="M1578" s="1" t="s">
        <v>6000</v>
      </c>
      <c r="N1578" s="1" t="s">
        <v>6002</v>
      </c>
      <c r="P1578" s="1" t="s">
        <v>10255</v>
      </c>
      <c r="Q1578" s="30" t="s">
        <v>2565</v>
      </c>
      <c r="R1578" s="33" t="s">
        <v>3473</v>
      </c>
      <c r="S1578">
        <v>37</v>
      </c>
      <c r="T1578" s="1" t="s">
        <v>13885</v>
      </c>
      <c r="U1578" s="1" t="str">
        <f>HYPERLINK("http://ictvonline.org/taxonomy/p/taxonomy-history?taxnode_id=202112064","ICTVonline=202112064")</f>
        <v>ICTVonline=202112064</v>
      </c>
    </row>
    <row r="1579" spans="1:21" x14ac:dyDescent="0.2">
      <c r="A1579" s="3">
        <v>1578</v>
      </c>
      <c r="B1579" s="1" t="s">
        <v>4875</v>
      </c>
      <c r="D1579" s="1" t="s">
        <v>4876</v>
      </c>
      <c r="F1579" s="1" t="s">
        <v>4880</v>
      </c>
      <c r="H1579" s="1" t="s">
        <v>4881</v>
      </c>
      <c r="L1579" s="1" t="s">
        <v>10106</v>
      </c>
      <c r="M1579" s="1" t="s">
        <v>6000</v>
      </c>
      <c r="N1579" s="1" t="s">
        <v>6002</v>
      </c>
      <c r="P1579" s="1" t="s">
        <v>10256</v>
      </c>
      <c r="Q1579" s="30" t="s">
        <v>2565</v>
      </c>
      <c r="R1579" s="33" t="s">
        <v>3473</v>
      </c>
      <c r="S1579">
        <v>37</v>
      </c>
      <c r="T1579" s="1" t="s">
        <v>13885</v>
      </c>
      <c r="U1579" s="1" t="str">
        <f>HYPERLINK("http://ictvonline.org/taxonomy/p/taxonomy-history?taxnode_id=202112065","ICTVonline=202112065")</f>
        <v>ICTVonline=202112065</v>
      </c>
    </row>
    <row r="1580" spans="1:21" x14ac:dyDescent="0.2">
      <c r="A1580" s="3">
        <v>1579</v>
      </c>
      <c r="B1580" s="1" t="s">
        <v>4875</v>
      </c>
      <c r="D1580" s="1" t="s">
        <v>4876</v>
      </c>
      <c r="F1580" s="1" t="s">
        <v>4880</v>
      </c>
      <c r="H1580" s="1" t="s">
        <v>4881</v>
      </c>
      <c r="L1580" s="1" t="s">
        <v>10106</v>
      </c>
      <c r="M1580" s="1" t="s">
        <v>6000</v>
      </c>
      <c r="N1580" s="1" t="s">
        <v>6003</v>
      </c>
      <c r="P1580" s="1" t="s">
        <v>6004</v>
      </c>
      <c r="Q1580" s="30" t="s">
        <v>2565</v>
      </c>
      <c r="R1580" s="33" t="s">
        <v>3474</v>
      </c>
      <c r="S1580">
        <v>37</v>
      </c>
      <c r="T1580" s="1" t="s">
        <v>13903</v>
      </c>
      <c r="U1580" s="1" t="str">
        <f>HYPERLINK("http://ictvonline.org/taxonomy/p/taxonomy-history?taxnode_id=202112062","ICTVonline=202112062")</f>
        <v>ICTVonline=202112062</v>
      </c>
    </row>
    <row r="1581" spans="1:21" x14ac:dyDescent="0.2">
      <c r="A1581" s="3">
        <v>1580</v>
      </c>
      <c r="B1581" s="1" t="s">
        <v>4875</v>
      </c>
      <c r="D1581" s="1" t="s">
        <v>4876</v>
      </c>
      <c r="F1581" s="1" t="s">
        <v>4880</v>
      </c>
      <c r="H1581" s="1" t="s">
        <v>4881</v>
      </c>
      <c r="L1581" s="1" t="s">
        <v>10106</v>
      </c>
      <c r="M1581" s="1" t="s">
        <v>6000</v>
      </c>
      <c r="N1581" s="1" t="s">
        <v>6005</v>
      </c>
      <c r="P1581" s="1" t="s">
        <v>10257</v>
      </c>
      <c r="Q1581" s="30" t="s">
        <v>2565</v>
      </c>
      <c r="R1581" s="33" t="s">
        <v>3473</v>
      </c>
      <c r="S1581">
        <v>37</v>
      </c>
      <c r="T1581" s="1" t="s">
        <v>13885</v>
      </c>
      <c r="U1581" s="1" t="str">
        <f>HYPERLINK("http://ictvonline.org/taxonomy/p/taxonomy-history?taxnode_id=202112070","ICTVonline=202112070")</f>
        <v>ICTVonline=202112070</v>
      </c>
    </row>
    <row r="1582" spans="1:21" x14ac:dyDescent="0.2">
      <c r="A1582" s="3">
        <v>1581</v>
      </c>
      <c r="B1582" s="1" t="s">
        <v>4875</v>
      </c>
      <c r="D1582" s="1" t="s">
        <v>4876</v>
      </c>
      <c r="F1582" s="1" t="s">
        <v>4880</v>
      </c>
      <c r="H1582" s="1" t="s">
        <v>4881</v>
      </c>
      <c r="L1582" s="1" t="s">
        <v>10106</v>
      </c>
      <c r="M1582" s="1" t="s">
        <v>6000</v>
      </c>
      <c r="N1582" s="1" t="s">
        <v>6005</v>
      </c>
      <c r="P1582" s="1" t="s">
        <v>10258</v>
      </c>
      <c r="Q1582" s="30" t="s">
        <v>2565</v>
      </c>
      <c r="R1582" s="33" t="s">
        <v>3473</v>
      </c>
      <c r="S1582">
        <v>37</v>
      </c>
      <c r="T1582" s="1" t="s">
        <v>13885</v>
      </c>
      <c r="U1582" s="1" t="str">
        <f>HYPERLINK("http://ictvonline.org/taxonomy/p/taxonomy-history?taxnode_id=202112069","ICTVonline=202112069")</f>
        <v>ICTVonline=202112069</v>
      </c>
    </row>
    <row r="1583" spans="1:21" x14ac:dyDescent="0.2">
      <c r="A1583" s="3">
        <v>1582</v>
      </c>
      <c r="B1583" s="1" t="s">
        <v>4875</v>
      </c>
      <c r="D1583" s="1" t="s">
        <v>4876</v>
      </c>
      <c r="F1583" s="1" t="s">
        <v>4880</v>
      </c>
      <c r="H1583" s="1" t="s">
        <v>4881</v>
      </c>
      <c r="L1583" s="1" t="s">
        <v>10106</v>
      </c>
      <c r="M1583" s="1" t="s">
        <v>6000</v>
      </c>
      <c r="N1583" s="1" t="s">
        <v>6005</v>
      </c>
      <c r="P1583" s="1" t="s">
        <v>10259</v>
      </c>
      <c r="Q1583" s="30" t="s">
        <v>2565</v>
      </c>
      <c r="R1583" s="33" t="s">
        <v>3473</v>
      </c>
      <c r="S1583">
        <v>37</v>
      </c>
      <c r="T1583" s="1" t="s">
        <v>13885</v>
      </c>
      <c r="U1583" s="1" t="str">
        <f>HYPERLINK("http://ictvonline.org/taxonomy/p/taxonomy-history?taxnode_id=202112071","ICTVonline=202112071")</f>
        <v>ICTVonline=202112071</v>
      </c>
    </row>
    <row r="1584" spans="1:21" x14ac:dyDescent="0.2">
      <c r="A1584" s="3">
        <v>1583</v>
      </c>
      <c r="B1584" s="1" t="s">
        <v>4875</v>
      </c>
      <c r="D1584" s="1" t="s">
        <v>4876</v>
      </c>
      <c r="F1584" s="1" t="s">
        <v>4880</v>
      </c>
      <c r="H1584" s="1" t="s">
        <v>4881</v>
      </c>
      <c r="L1584" s="1" t="s">
        <v>10106</v>
      </c>
      <c r="M1584" s="1" t="s">
        <v>6000</v>
      </c>
      <c r="N1584" s="1" t="s">
        <v>6005</v>
      </c>
      <c r="P1584" s="1" t="s">
        <v>10260</v>
      </c>
      <c r="Q1584" s="30" t="s">
        <v>2565</v>
      </c>
      <c r="R1584" s="33" t="s">
        <v>3473</v>
      </c>
      <c r="S1584">
        <v>37</v>
      </c>
      <c r="T1584" s="1" t="s">
        <v>13885</v>
      </c>
      <c r="U1584" s="1" t="str">
        <f>HYPERLINK("http://ictvonline.org/taxonomy/p/taxonomy-history?taxnode_id=202112068","ICTVonline=202112068")</f>
        <v>ICTVonline=202112068</v>
      </c>
    </row>
    <row r="1585" spans="1:21" x14ac:dyDescent="0.2">
      <c r="A1585" s="3">
        <v>1584</v>
      </c>
      <c r="B1585" s="1" t="s">
        <v>4875</v>
      </c>
      <c r="D1585" s="1" t="s">
        <v>4876</v>
      </c>
      <c r="F1585" s="1" t="s">
        <v>4880</v>
      </c>
      <c r="H1585" s="1" t="s">
        <v>4881</v>
      </c>
      <c r="L1585" s="1" t="s">
        <v>10106</v>
      </c>
      <c r="M1585" s="1" t="s">
        <v>6000</v>
      </c>
      <c r="N1585" s="1" t="s">
        <v>6005</v>
      </c>
      <c r="P1585" s="1" t="s">
        <v>10261</v>
      </c>
      <c r="Q1585" s="30" t="s">
        <v>2565</v>
      </c>
      <c r="R1585" s="33" t="s">
        <v>3473</v>
      </c>
      <c r="S1585">
        <v>37</v>
      </c>
      <c r="T1585" s="1" t="s">
        <v>13885</v>
      </c>
      <c r="U1585" s="1" t="str">
        <f>HYPERLINK("http://ictvonline.org/taxonomy/p/taxonomy-history?taxnode_id=202112072","ICTVonline=202112072")</f>
        <v>ICTVonline=202112072</v>
      </c>
    </row>
    <row r="1586" spans="1:21" x14ac:dyDescent="0.2">
      <c r="A1586" s="3">
        <v>1585</v>
      </c>
      <c r="B1586" s="1" t="s">
        <v>4875</v>
      </c>
      <c r="D1586" s="1" t="s">
        <v>4876</v>
      </c>
      <c r="F1586" s="1" t="s">
        <v>4880</v>
      </c>
      <c r="H1586" s="1" t="s">
        <v>4881</v>
      </c>
      <c r="L1586" s="1" t="s">
        <v>10106</v>
      </c>
      <c r="M1586" s="1" t="s">
        <v>6000</v>
      </c>
      <c r="N1586" s="1" t="s">
        <v>6005</v>
      </c>
      <c r="P1586" s="1" t="s">
        <v>10262</v>
      </c>
      <c r="Q1586" s="30" t="s">
        <v>2565</v>
      </c>
      <c r="R1586" s="33" t="s">
        <v>3473</v>
      </c>
      <c r="S1586">
        <v>37</v>
      </c>
      <c r="T1586" s="1" t="s">
        <v>13885</v>
      </c>
      <c r="U1586" s="1" t="str">
        <f>HYPERLINK("http://ictvonline.org/taxonomy/p/taxonomy-history?taxnode_id=202112074","ICTVonline=202112074")</f>
        <v>ICTVonline=202112074</v>
      </c>
    </row>
    <row r="1587" spans="1:21" x14ac:dyDescent="0.2">
      <c r="A1587" s="3">
        <v>1586</v>
      </c>
      <c r="B1587" s="1" t="s">
        <v>4875</v>
      </c>
      <c r="D1587" s="1" t="s">
        <v>4876</v>
      </c>
      <c r="F1587" s="1" t="s">
        <v>4880</v>
      </c>
      <c r="H1587" s="1" t="s">
        <v>4881</v>
      </c>
      <c r="L1587" s="1" t="s">
        <v>10106</v>
      </c>
      <c r="M1587" s="1" t="s">
        <v>6000</v>
      </c>
      <c r="N1587" s="1" t="s">
        <v>6005</v>
      </c>
      <c r="P1587" s="1" t="s">
        <v>10263</v>
      </c>
      <c r="Q1587" s="30" t="s">
        <v>2565</v>
      </c>
      <c r="R1587" s="33" t="s">
        <v>3473</v>
      </c>
      <c r="S1587">
        <v>37</v>
      </c>
      <c r="T1587" s="1" t="s">
        <v>13885</v>
      </c>
      <c r="U1587" s="1" t="str">
        <f>HYPERLINK("http://ictvonline.org/taxonomy/p/taxonomy-history?taxnode_id=202112073","ICTVonline=202112073")</f>
        <v>ICTVonline=202112073</v>
      </c>
    </row>
    <row r="1588" spans="1:21" x14ac:dyDescent="0.2">
      <c r="A1588" s="3">
        <v>1587</v>
      </c>
      <c r="B1588" s="1" t="s">
        <v>4875</v>
      </c>
      <c r="D1588" s="1" t="s">
        <v>4876</v>
      </c>
      <c r="F1588" s="1" t="s">
        <v>4880</v>
      </c>
      <c r="H1588" s="1" t="s">
        <v>4881</v>
      </c>
      <c r="L1588" s="1" t="s">
        <v>10106</v>
      </c>
      <c r="M1588" s="1" t="s">
        <v>6000</v>
      </c>
      <c r="N1588" s="1" t="s">
        <v>6005</v>
      </c>
      <c r="P1588" s="1" t="s">
        <v>10264</v>
      </c>
      <c r="Q1588" s="30" t="s">
        <v>2565</v>
      </c>
      <c r="R1588" s="33" t="s">
        <v>3473</v>
      </c>
      <c r="S1588">
        <v>37</v>
      </c>
      <c r="T1588" s="1" t="s">
        <v>13885</v>
      </c>
      <c r="U1588" s="1" t="str">
        <f>HYPERLINK("http://ictvonline.org/taxonomy/p/taxonomy-history?taxnode_id=202112067","ICTVonline=202112067")</f>
        <v>ICTVonline=202112067</v>
      </c>
    </row>
    <row r="1589" spans="1:21" x14ac:dyDescent="0.2">
      <c r="A1589" s="3">
        <v>1588</v>
      </c>
      <c r="B1589" s="1" t="s">
        <v>4875</v>
      </c>
      <c r="D1589" s="1" t="s">
        <v>4876</v>
      </c>
      <c r="F1589" s="1" t="s">
        <v>4880</v>
      </c>
      <c r="H1589" s="1" t="s">
        <v>4881</v>
      </c>
      <c r="L1589" s="1" t="s">
        <v>10106</v>
      </c>
      <c r="M1589" s="1" t="s">
        <v>6000</v>
      </c>
      <c r="N1589" s="1" t="s">
        <v>6006</v>
      </c>
      <c r="P1589" s="1" t="s">
        <v>10265</v>
      </c>
      <c r="Q1589" s="30" t="s">
        <v>2565</v>
      </c>
      <c r="R1589" s="33" t="s">
        <v>3473</v>
      </c>
      <c r="S1589">
        <v>37</v>
      </c>
      <c r="T1589" s="1" t="s">
        <v>13885</v>
      </c>
      <c r="U1589" s="1" t="str">
        <f>HYPERLINK("http://ictvonline.org/taxonomy/p/taxonomy-history?taxnode_id=202112060","ICTVonline=202112060")</f>
        <v>ICTVonline=202112060</v>
      </c>
    </row>
    <row r="1590" spans="1:21" x14ac:dyDescent="0.2">
      <c r="A1590" s="3">
        <v>1589</v>
      </c>
      <c r="B1590" s="1" t="s">
        <v>4875</v>
      </c>
      <c r="D1590" s="1" t="s">
        <v>4876</v>
      </c>
      <c r="F1590" s="1" t="s">
        <v>4880</v>
      </c>
      <c r="H1590" s="1" t="s">
        <v>4881</v>
      </c>
      <c r="L1590" s="1" t="s">
        <v>10106</v>
      </c>
      <c r="N1590" s="1" t="s">
        <v>10266</v>
      </c>
      <c r="P1590" s="1" t="s">
        <v>10267</v>
      </c>
      <c r="Q1590" s="30" t="s">
        <v>2565</v>
      </c>
      <c r="R1590" s="33" t="s">
        <v>3472</v>
      </c>
      <c r="S1590">
        <v>37</v>
      </c>
      <c r="T1590" s="1" t="s">
        <v>13885</v>
      </c>
      <c r="U1590" s="1" t="str">
        <f>HYPERLINK("http://ictvonline.org/taxonomy/p/taxonomy-history?taxnode_id=202113672","ICTVonline=202113672")</f>
        <v>ICTVonline=202113672</v>
      </c>
    </row>
    <row r="1591" spans="1:21" x14ac:dyDescent="0.2">
      <c r="A1591" s="3">
        <v>1590</v>
      </c>
      <c r="B1591" s="1" t="s">
        <v>4875</v>
      </c>
      <c r="D1591" s="1" t="s">
        <v>4876</v>
      </c>
      <c r="F1591" s="1" t="s">
        <v>4880</v>
      </c>
      <c r="H1591" s="1" t="s">
        <v>4881</v>
      </c>
      <c r="L1591" s="1" t="s">
        <v>10106</v>
      </c>
      <c r="N1591" s="1" t="s">
        <v>2586</v>
      </c>
      <c r="P1591" s="1" t="s">
        <v>10268</v>
      </c>
      <c r="Q1591" s="30" t="s">
        <v>2565</v>
      </c>
      <c r="R1591" s="33" t="s">
        <v>3473</v>
      </c>
      <c r="S1591">
        <v>37</v>
      </c>
      <c r="T1591" s="1" t="s">
        <v>13885</v>
      </c>
      <c r="U1591" s="1" t="str">
        <f>HYPERLINK("http://ictvonline.org/taxonomy/p/taxonomy-history?taxnode_id=202100411","ICTVonline=202100411")</f>
        <v>ICTVonline=202100411</v>
      </c>
    </row>
    <row r="1592" spans="1:21" x14ac:dyDescent="0.2">
      <c r="A1592" s="3">
        <v>1591</v>
      </c>
      <c r="B1592" s="1" t="s">
        <v>4875</v>
      </c>
      <c r="D1592" s="1" t="s">
        <v>4876</v>
      </c>
      <c r="F1592" s="1" t="s">
        <v>4880</v>
      </c>
      <c r="H1592" s="1" t="s">
        <v>4881</v>
      </c>
      <c r="L1592" s="1" t="s">
        <v>10106</v>
      </c>
      <c r="N1592" s="1" t="s">
        <v>10269</v>
      </c>
      <c r="P1592" s="1" t="s">
        <v>10270</v>
      </c>
      <c r="Q1592" s="30" t="s">
        <v>2565</v>
      </c>
      <c r="R1592" s="33" t="s">
        <v>3472</v>
      </c>
      <c r="S1592">
        <v>37</v>
      </c>
      <c r="T1592" s="1" t="s">
        <v>13885</v>
      </c>
      <c r="U1592" s="1" t="str">
        <f>HYPERLINK("http://ictvonline.org/taxonomy/p/taxonomy-history?taxnode_id=202113682","ICTVonline=202113682")</f>
        <v>ICTVonline=202113682</v>
      </c>
    </row>
    <row r="1593" spans="1:21" x14ac:dyDescent="0.2">
      <c r="A1593" s="3">
        <v>1592</v>
      </c>
      <c r="B1593" s="1" t="s">
        <v>4875</v>
      </c>
      <c r="D1593" s="1" t="s">
        <v>4876</v>
      </c>
      <c r="F1593" s="1" t="s">
        <v>4880</v>
      </c>
      <c r="H1593" s="1" t="s">
        <v>4881</v>
      </c>
      <c r="L1593" s="1" t="s">
        <v>10106</v>
      </c>
      <c r="N1593" s="1" t="s">
        <v>10269</v>
      </c>
      <c r="P1593" s="1" t="s">
        <v>10271</v>
      </c>
      <c r="Q1593" s="30" t="s">
        <v>2565</v>
      </c>
      <c r="R1593" s="33" t="s">
        <v>3472</v>
      </c>
      <c r="S1593">
        <v>37</v>
      </c>
      <c r="T1593" s="1" t="s">
        <v>13885</v>
      </c>
      <c r="U1593" s="1" t="str">
        <f>HYPERLINK("http://ictvonline.org/taxonomy/p/taxonomy-history?taxnode_id=202113681","ICTVonline=202113681")</f>
        <v>ICTVonline=202113681</v>
      </c>
    </row>
    <row r="1594" spans="1:21" x14ac:dyDescent="0.2">
      <c r="A1594" s="3">
        <v>1593</v>
      </c>
      <c r="B1594" s="1" t="s">
        <v>4875</v>
      </c>
      <c r="D1594" s="1" t="s">
        <v>4876</v>
      </c>
      <c r="F1594" s="1" t="s">
        <v>4880</v>
      </c>
      <c r="H1594" s="1" t="s">
        <v>4881</v>
      </c>
      <c r="L1594" s="1" t="s">
        <v>10106</v>
      </c>
      <c r="N1594" s="1" t="s">
        <v>10269</v>
      </c>
      <c r="P1594" s="1" t="s">
        <v>10272</v>
      </c>
      <c r="Q1594" s="30" t="s">
        <v>2565</v>
      </c>
      <c r="R1594" s="33" t="s">
        <v>3472</v>
      </c>
      <c r="S1594">
        <v>37</v>
      </c>
      <c r="T1594" s="1" t="s">
        <v>13885</v>
      </c>
      <c r="U1594" s="1" t="str">
        <f>HYPERLINK("http://ictvonline.org/taxonomy/p/taxonomy-history?taxnode_id=202113680","ICTVonline=202113680")</f>
        <v>ICTVonline=202113680</v>
      </c>
    </row>
    <row r="1595" spans="1:21" x14ac:dyDescent="0.2">
      <c r="A1595" s="3">
        <v>1594</v>
      </c>
      <c r="B1595" s="1" t="s">
        <v>4875</v>
      </c>
      <c r="D1595" s="1" t="s">
        <v>4876</v>
      </c>
      <c r="F1595" s="1" t="s">
        <v>4880</v>
      </c>
      <c r="H1595" s="1" t="s">
        <v>4881</v>
      </c>
      <c r="L1595" s="1" t="s">
        <v>10106</v>
      </c>
      <c r="N1595" s="1" t="s">
        <v>10273</v>
      </c>
      <c r="P1595" s="1" t="s">
        <v>10274</v>
      </c>
      <c r="Q1595" s="30" t="s">
        <v>2565</v>
      </c>
      <c r="R1595" s="33" t="s">
        <v>3472</v>
      </c>
      <c r="S1595">
        <v>37</v>
      </c>
      <c r="T1595" s="1" t="s">
        <v>13885</v>
      </c>
      <c r="U1595" s="1" t="str">
        <f>HYPERLINK("http://ictvonline.org/taxonomy/p/taxonomy-history?taxnode_id=202113958","ICTVonline=202113958")</f>
        <v>ICTVonline=202113958</v>
      </c>
    </row>
    <row r="1596" spans="1:21" x14ac:dyDescent="0.2">
      <c r="A1596" s="3">
        <v>1595</v>
      </c>
      <c r="B1596" s="1" t="s">
        <v>4875</v>
      </c>
      <c r="D1596" s="1" t="s">
        <v>4876</v>
      </c>
      <c r="F1596" s="1" t="s">
        <v>4880</v>
      </c>
      <c r="H1596" s="1" t="s">
        <v>4881</v>
      </c>
      <c r="L1596" s="1" t="s">
        <v>10106</v>
      </c>
      <c r="N1596" s="1" t="s">
        <v>10275</v>
      </c>
      <c r="P1596" s="1" t="s">
        <v>10276</v>
      </c>
      <c r="Q1596" s="30" t="s">
        <v>2565</v>
      </c>
      <c r="R1596" s="33" t="s">
        <v>3472</v>
      </c>
      <c r="S1596">
        <v>37</v>
      </c>
      <c r="T1596" s="1" t="s">
        <v>13885</v>
      </c>
      <c r="U1596" s="1" t="str">
        <f>HYPERLINK("http://ictvonline.org/taxonomy/p/taxonomy-history?taxnode_id=202113668","ICTVonline=202113668")</f>
        <v>ICTVonline=202113668</v>
      </c>
    </row>
    <row r="1597" spans="1:21" x14ac:dyDescent="0.2">
      <c r="A1597" s="3">
        <v>1596</v>
      </c>
      <c r="B1597" s="1" t="s">
        <v>4875</v>
      </c>
      <c r="D1597" s="1" t="s">
        <v>4876</v>
      </c>
      <c r="F1597" s="1" t="s">
        <v>4880</v>
      </c>
      <c r="H1597" s="1" t="s">
        <v>4881</v>
      </c>
      <c r="L1597" s="1" t="s">
        <v>10106</v>
      </c>
      <c r="N1597" s="1" t="s">
        <v>10277</v>
      </c>
      <c r="P1597" s="1" t="s">
        <v>10278</v>
      </c>
      <c r="Q1597" s="30" t="s">
        <v>2565</v>
      </c>
      <c r="R1597" s="33" t="s">
        <v>3473</v>
      </c>
      <c r="S1597">
        <v>37</v>
      </c>
      <c r="T1597" s="1" t="s">
        <v>13885</v>
      </c>
      <c r="U1597" s="1" t="str">
        <f>HYPERLINK("http://ictvonline.org/taxonomy/p/taxonomy-history?taxnode_id=202100340","ICTVonline=202100340")</f>
        <v>ICTVonline=202100340</v>
      </c>
    </row>
    <row r="1598" spans="1:21" x14ac:dyDescent="0.2">
      <c r="A1598" s="3">
        <v>1597</v>
      </c>
      <c r="B1598" s="1" t="s">
        <v>4875</v>
      </c>
      <c r="D1598" s="1" t="s">
        <v>4876</v>
      </c>
      <c r="F1598" s="1" t="s">
        <v>4880</v>
      </c>
      <c r="H1598" s="1" t="s">
        <v>4881</v>
      </c>
      <c r="L1598" s="1" t="s">
        <v>10106</v>
      </c>
      <c r="N1598" s="1" t="s">
        <v>10277</v>
      </c>
      <c r="P1598" s="1" t="s">
        <v>10279</v>
      </c>
      <c r="Q1598" s="30" t="s">
        <v>2565</v>
      </c>
      <c r="R1598" s="33" t="s">
        <v>3472</v>
      </c>
      <c r="S1598">
        <v>37</v>
      </c>
      <c r="T1598" s="1" t="s">
        <v>13885</v>
      </c>
      <c r="U1598" s="1" t="str">
        <f>HYPERLINK("http://ictvonline.org/taxonomy/p/taxonomy-history?taxnode_id=202113670","ICTVonline=202113670")</f>
        <v>ICTVonline=202113670</v>
      </c>
    </row>
    <row r="1599" spans="1:21" x14ac:dyDescent="0.2">
      <c r="A1599" s="3">
        <v>1598</v>
      </c>
      <c r="B1599" s="1" t="s">
        <v>4875</v>
      </c>
      <c r="D1599" s="1" t="s">
        <v>4876</v>
      </c>
      <c r="F1599" s="1" t="s">
        <v>4880</v>
      </c>
      <c r="H1599" s="1" t="s">
        <v>4881</v>
      </c>
      <c r="L1599" s="1" t="s">
        <v>10106</v>
      </c>
      <c r="N1599" s="1" t="s">
        <v>10280</v>
      </c>
      <c r="P1599" s="1" t="s">
        <v>10281</v>
      </c>
      <c r="Q1599" s="30" t="s">
        <v>2565</v>
      </c>
      <c r="R1599" s="33" t="s">
        <v>3472</v>
      </c>
      <c r="S1599">
        <v>37</v>
      </c>
      <c r="T1599" s="1" t="s">
        <v>13885</v>
      </c>
      <c r="U1599" s="1" t="str">
        <f>HYPERLINK("http://ictvonline.org/taxonomy/p/taxonomy-history?taxnode_id=202113678","ICTVonline=202113678")</f>
        <v>ICTVonline=202113678</v>
      </c>
    </row>
    <row r="1600" spans="1:21" x14ac:dyDescent="0.2">
      <c r="A1600" s="3">
        <v>1599</v>
      </c>
      <c r="B1600" s="1" t="s">
        <v>4875</v>
      </c>
      <c r="D1600" s="1" t="s">
        <v>4876</v>
      </c>
      <c r="F1600" s="1" t="s">
        <v>4880</v>
      </c>
      <c r="H1600" s="1" t="s">
        <v>4881</v>
      </c>
      <c r="L1600" s="1" t="s">
        <v>10106</v>
      </c>
      <c r="N1600" s="1" t="s">
        <v>10282</v>
      </c>
      <c r="P1600" s="1" t="s">
        <v>10283</v>
      </c>
      <c r="Q1600" s="30" t="s">
        <v>2565</v>
      </c>
      <c r="R1600" s="33" t="s">
        <v>3472</v>
      </c>
      <c r="S1600">
        <v>37</v>
      </c>
      <c r="T1600" s="1" t="s">
        <v>13885</v>
      </c>
      <c r="U1600" s="1" t="str">
        <f>HYPERLINK("http://ictvonline.org/taxonomy/p/taxonomy-history?taxnode_id=202113684","ICTVonline=202113684")</f>
        <v>ICTVonline=202113684</v>
      </c>
    </row>
    <row r="1601" spans="1:21" x14ac:dyDescent="0.2">
      <c r="A1601" s="3">
        <v>1600</v>
      </c>
      <c r="B1601" s="1" t="s">
        <v>4875</v>
      </c>
      <c r="D1601" s="1" t="s">
        <v>4876</v>
      </c>
      <c r="F1601" s="1" t="s">
        <v>4880</v>
      </c>
      <c r="H1601" s="1" t="s">
        <v>4881</v>
      </c>
      <c r="L1601" s="1" t="s">
        <v>10106</v>
      </c>
      <c r="N1601" s="1" t="s">
        <v>4517</v>
      </c>
      <c r="P1601" s="1" t="s">
        <v>10284</v>
      </c>
      <c r="Q1601" s="30" t="s">
        <v>2565</v>
      </c>
      <c r="R1601" s="33" t="s">
        <v>3473</v>
      </c>
      <c r="S1601">
        <v>37</v>
      </c>
      <c r="T1601" s="1" t="s">
        <v>13885</v>
      </c>
      <c r="U1601" s="1" t="str">
        <f>HYPERLINK("http://ictvonline.org/taxonomy/p/taxonomy-history?taxnode_id=202107038","ICTVonline=202107038")</f>
        <v>ICTVonline=202107038</v>
      </c>
    </row>
    <row r="1602" spans="1:21" x14ac:dyDescent="0.2">
      <c r="A1602" s="3">
        <v>1601</v>
      </c>
      <c r="B1602" s="1" t="s">
        <v>4875</v>
      </c>
      <c r="D1602" s="1" t="s">
        <v>4876</v>
      </c>
      <c r="F1602" s="1" t="s">
        <v>4880</v>
      </c>
      <c r="H1602" s="1" t="s">
        <v>4881</v>
      </c>
      <c r="L1602" s="1" t="s">
        <v>10106</v>
      </c>
      <c r="N1602" s="1" t="s">
        <v>4517</v>
      </c>
      <c r="P1602" s="1" t="s">
        <v>10285</v>
      </c>
      <c r="Q1602" s="30" t="s">
        <v>2565</v>
      </c>
      <c r="R1602" s="33" t="s">
        <v>3473</v>
      </c>
      <c r="S1602">
        <v>37</v>
      </c>
      <c r="T1602" s="1" t="s">
        <v>13885</v>
      </c>
      <c r="U1602" s="1" t="str">
        <f>HYPERLINK("http://ictvonline.org/taxonomy/p/taxonomy-history?taxnode_id=202107039","ICTVonline=202107039")</f>
        <v>ICTVonline=202107039</v>
      </c>
    </row>
    <row r="1603" spans="1:21" x14ac:dyDescent="0.2">
      <c r="A1603" s="3">
        <v>1602</v>
      </c>
      <c r="B1603" s="1" t="s">
        <v>4875</v>
      </c>
      <c r="D1603" s="1" t="s">
        <v>4876</v>
      </c>
      <c r="F1603" s="1" t="s">
        <v>4880</v>
      </c>
      <c r="H1603" s="1" t="s">
        <v>4881</v>
      </c>
      <c r="L1603" s="1" t="s">
        <v>10106</v>
      </c>
      <c r="N1603" s="1" t="s">
        <v>4517</v>
      </c>
      <c r="P1603" s="1" t="s">
        <v>10286</v>
      </c>
      <c r="Q1603" s="30" t="s">
        <v>2565</v>
      </c>
      <c r="R1603" s="33" t="s">
        <v>3473</v>
      </c>
      <c r="S1603">
        <v>37</v>
      </c>
      <c r="T1603" s="1" t="s">
        <v>13885</v>
      </c>
      <c r="U1603" s="1" t="str">
        <f>HYPERLINK("http://ictvonline.org/taxonomy/p/taxonomy-history?taxnode_id=202100303","ICTVonline=202100303")</f>
        <v>ICTVonline=202100303</v>
      </c>
    </row>
    <row r="1604" spans="1:21" x14ac:dyDescent="0.2">
      <c r="A1604" s="3">
        <v>1603</v>
      </c>
      <c r="B1604" s="1" t="s">
        <v>4875</v>
      </c>
      <c r="D1604" s="1" t="s">
        <v>4876</v>
      </c>
      <c r="F1604" s="1" t="s">
        <v>4880</v>
      </c>
      <c r="H1604" s="1" t="s">
        <v>4881</v>
      </c>
      <c r="L1604" s="1" t="s">
        <v>10106</v>
      </c>
      <c r="N1604" s="1" t="s">
        <v>4517</v>
      </c>
      <c r="P1604" s="1" t="s">
        <v>10287</v>
      </c>
      <c r="Q1604" s="30" t="s">
        <v>2565</v>
      </c>
      <c r="R1604" s="33" t="s">
        <v>3473</v>
      </c>
      <c r="S1604">
        <v>37</v>
      </c>
      <c r="T1604" s="1" t="s">
        <v>13885</v>
      </c>
      <c r="U1604" s="1" t="str">
        <f>HYPERLINK("http://ictvonline.org/taxonomy/p/taxonomy-history?taxnode_id=202100302","ICTVonline=202100302")</f>
        <v>ICTVonline=202100302</v>
      </c>
    </row>
    <row r="1605" spans="1:21" x14ac:dyDescent="0.2">
      <c r="A1605" s="3">
        <v>1604</v>
      </c>
      <c r="B1605" s="1" t="s">
        <v>4875</v>
      </c>
      <c r="D1605" s="1" t="s">
        <v>4876</v>
      </c>
      <c r="F1605" s="1" t="s">
        <v>4880</v>
      </c>
      <c r="H1605" s="1" t="s">
        <v>4881</v>
      </c>
      <c r="L1605" s="1" t="s">
        <v>10106</v>
      </c>
      <c r="N1605" s="1" t="s">
        <v>4517</v>
      </c>
      <c r="P1605" s="1" t="s">
        <v>10288</v>
      </c>
      <c r="Q1605" s="30" t="s">
        <v>2565</v>
      </c>
      <c r="R1605" s="33" t="s">
        <v>3472</v>
      </c>
      <c r="S1605">
        <v>37</v>
      </c>
      <c r="T1605" s="1" t="s">
        <v>13885</v>
      </c>
      <c r="U1605" s="1" t="str">
        <f>HYPERLINK("http://ictvonline.org/taxonomy/p/taxonomy-history?taxnode_id=202113676","ICTVonline=202113676")</f>
        <v>ICTVonline=202113676</v>
      </c>
    </row>
    <row r="1606" spans="1:21" x14ac:dyDescent="0.2">
      <c r="A1606" s="3">
        <v>1605</v>
      </c>
      <c r="B1606" s="1" t="s">
        <v>4875</v>
      </c>
      <c r="D1606" s="1" t="s">
        <v>4876</v>
      </c>
      <c r="F1606" s="1" t="s">
        <v>4880</v>
      </c>
      <c r="H1606" s="1" t="s">
        <v>4881</v>
      </c>
      <c r="L1606" s="1" t="s">
        <v>10106</v>
      </c>
      <c r="N1606" s="1" t="s">
        <v>4517</v>
      </c>
      <c r="P1606" s="1" t="s">
        <v>10289</v>
      </c>
      <c r="Q1606" s="30" t="s">
        <v>2565</v>
      </c>
      <c r="R1606" s="33" t="s">
        <v>3473</v>
      </c>
      <c r="S1606">
        <v>37</v>
      </c>
      <c r="T1606" s="1" t="s">
        <v>13885</v>
      </c>
      <c r="U1606" s="1" t="str">
        <f>HYPERLINK("http://ictvonline.org/taxonomy/p/taxonomy-history?taxnode_id=202100304","ICTVonline=202100304")</f>
        <v>ICTVonline=202100304</v>
      </c>
    </row>
    <row r="1607" spans="1:21" x14ac:dyDescent="0.2">
      <c r="A1607" s="3">
        <v>1606</v>
      </c>
      <c r="B1607" s="1" t="s">
        <v>4875</v>
      </c>
      <c r="D1607" s="1" t="s">
        <v>4876</v>
      </c>
      <c r="F1607" s="1" t="s">
        <v>4880</v>
      </c>
      <c r="H1607" s="1" t="s">
        <v>4881</v>
      </c>
      <c r="L1607" s="1" t="s">
        <v>10106</v>
      </c>
      <c r="N1607" s="1" t="s">
        <v>10290</v>
      </c>
      <c r="P1607" s="1" t="s">
        <v>10291</v>
      </c>
      <c r="Q1607" s="30" t="s">
        <v>2565</v>
      </c>
      <c r="R1607" s="33" t="s">
        <v>3473</v>
      </c>
      <c r="S1607">
        <v>37</v>
      </c>
      <c r="T1607" s="1" t="s">
        <v>13885</v>
      </c>
      <c r="U1607" s="1" t="str">
        <f>HYPERLINK("http://ictvonline.org/taxonomy/p/taxonomy-history?taxnode_id=202100315","ICTVonline=202100315")</f>
        <v>ICTVonline=202100315</v>
      </c>
    </row>
    <row r="1608" spans="1:21" x14ac:dyDescent="0.2">
      <c r="A1608" s="3">
        <v>1607</v>
      </c>
      <c r="B1608" s="1" t="s">
        <v>4875</v>
      </c>
      <c r="D1608" s="1" t="s">
        <v>4876</v>
      </c>
      <c r="F1608" s="1" t="s">
        <v>4880</v>
      </c>
      <c r="H1608" s="1" t="s">
        <v>4881</v>
      </c>
      <c r="L1608" s="1" t="s">
        <v>10106</v>
      </c>
      <c r="N1608" s="1" t="s">
        <v>5998</v>
      </c>
      <c r="P1608" s="1" t="s">
        <v>10292</v>
      </c>
      <c r="Q1608" s="30" t="s">
        <v>2565</v>
      </c>
      <c r="R1608" s="33" t="s">
        <v>3473</v>
      </c>
      <c r="S1608">
        <v>37</v>
      </c>
      <c r="T1608" s="1" t="s">
        <v>13885</v>
      </c>
      <c r="U1608" s="1" t="str">
        <f>HYPERLINK("http://ictvonline.org/taxonomy/p/taxonomy-history?taxnode_id=202111630","ICTVonline=202111630")</f>
        <v>ICTVonline=202111630</v>
      </c>
    </row>
    <row r="1609" spans="1:21" x14ac:dyDescent="0.2">
      <c r="A1609" s="3">
        <v>1608</v>
      </c>
      <c r="B1609" s="1" t="s">
        <v>4875</v>
      </c>
      <c r="D1609" s="1" t="s">
        <v>4876</v>
      </c>
      <c r="F1609" s="1" t="s">
        <v>4880</v>
      </c>
      <c r="H1609" s="1" t="s">
        <v>4881</v>
      </c>
      <c r="L1609" s="1" t="s">
        <v>10106</v>
      </c>
      <c r="N1609" s="1" t="s">
        <v>5998</v>
      </c>
      <c r="P1609" s="1" t="s">
        <v>10293</v>
      </c>
      <c r="Q1609" s="30" t="s">
        <v>2565</v>
      </c>
      <c r="R1609" s="33" t="s">
        <v>3473</v>
      </c>
      <c r="S1609">
        <v>37</v>
      </c>
      <c r="T1609" s="1" t="s">
        <v>13885</v>
      </c>
      <c r="U1609" s="1" t="str">
        <f>HYPERLINK("http://ictvonline.org/taxonomy/p/taxonomy-history?taxnode_id=202111632","ICTVonline=202111632")</f>
        <v>ICTVonline=202111632</v>
      </c>
    </row>
    <row r="1610" spans="1:21" x14ac:dyDescent="0.2">
      <c r="A1610" s="3">
        <v>1609</v>
      </c>
      <c r="B1610" s="1" t="s">
        <v>4875</v>
      </c>
      <c r="D1610" s="1" t="s">
        <v>4876</v>
      </c>
      <c r="F1610" s="1" t="s">
        <v>4880</v>
      </c>
      <c r="H1610" s="1" t="s">
        <v>4881</v>
      </c>
      <c r="L1610" s="1" t="s">
        <v>10106</v>
      </c>
      <c r="N1610" s="1" t="s">
        <v>5998</v>
      </c>
      <c r="P1610" s="1" t="s">
        <v>10294</v>
      </c>
      <c r="Q1610" s="30" t="s">
        <v>2565</v>
      </c>
      <c r="R1610" s="33" t="s">
        <v>3473</v>
      </c>
      <c r="S1610">
        <v>37</v>
      </c>
      <c r="T1610" s="1" t="s">
        <v>13885</v>
      </c>
      <c r="U1610" s="1" t="str">
        <f>HYPERLINK("http://ictvonline.org/taxonomy/p/taxonomy-history?taxnode_id=202111629","ICTVonline=202111629")</f>
        <v>ICTVonline=202111629</v>
      </c>
    </row>
    <row r="1611" spans="1:21" x14ac:dyDescent="0.2">
      <c r="A1611" s="3">
        <v>1610</v>
      </c>
      <c r="B1611" s="1" t="s">
        <v>4875</v>
      </c>
      <c r="D1611" s="1" t="s">
        <v>4876</v>
      </c>
      <c r="F1611" s="1" t="s">
        <v>4880</v>
      </c>
      <c r="H1611" s="1" t="s">
        <v>4881</v>
      </c>
      <c r="L1611" s="1" t="s">
        <v>10106</v>
      </c>
      <c r="N1611" s="1" t="s">
        <v>5998</v>
      </c>
      <c r="P1611" s="1" t="s">
        <v>10295</v>
      </c>
      <c r="Q1611" s="30" t="s">
        <v>2565</v>
      </c>
      <c r="R1611" s="33" t="s">
        <v>3473</v>
      </c>
      <c r="S1611">
        <v>37</v>
      </c>
      <c r="T1611" s="1" t="s">
        <v>13885</v>
      </c>
      <c r="U1611" s="1" t="str">
        <f>HYPERLINK("http://ictvonline.org/taxonomy/p/taxonomy-history?taxnode_id=202111631","ICTVonline=202111631")</f>
        <v>ICTVonline=202111631</v>
      </c>
    </row>
    <row r="1612" spans="1:21" x14ac:dyDescent="0.2">
      <c r="A1612" s="3">
        <v>1611</v>
      </c>
      <c r="B1612" s="1" t="s">
        <v>4875</v>
      </c>
      <c r="D1612" s="1" t="s">
        <v>4876</v>
      </c>
      <c r="F1612" s="1" t="s">
        <v>4880</v>
      </c>
      <c r="H1612" s="1" t="s">
        <v>4881</v>
      </c>
      <c r="L1612" s="1" t="s">
        <v>10106</v>
      </c>
      <c r="N1612" s="1" t="s">
        <v>5998</v>
      </c>
      <c r="P1612" s="1" t="s">
        <v>10296</v>
      </c>
      <c r="Q1612" s="30" t="s">
        <v>2565</v>
      </c>
      <c r="R1612" s="33" t="s">
        <v>3473</v>
      </c>
      <c r="S1612">
        <v>37</v>
      </c>
      <c r="T1612" s="1" t="s">
        <v>13885</v>
      </c>
      <c r="U1612" s="1" t="str">
        <f>HYPERLINK("http://ictvonline.org/taxonomy/p/taxonomy-history?taxnode_id=202111634","ICTVonline=202111634")</f>
        <v>ICTVonline=202111634</v>
      </c>
    </row>
    <row r="1613" spans="1:21" x14ac:dyDescent="0.2">
      <c r="A1613" s="3">
        <v>1612</v>
      </c>
      <c r="B1613" s="1" t="s">
        <v>4875</v>
      </c>
      <c r="D1613" s="1" t="s">
        <v>4876</v>
      </c>
      <c r="F1613" s="1" t="s">
        <v>4880</v>
      </c>
      <c r="H1613" s="1" t="s">
        <v>4881</v>
      </c>
      <c r="L1613" s="1" t="s">
        <v>10106</v>
      </c>
      <c r="N1613" s="1" t="s">
        <v>5998</v>
      </c>
      <c r="P1613" s="1" t="s">
        <v>10297</v>
      </c>
      <c r="Q1613" s="30" t="s">
        <v>2565</v>
      </c>
      <c r="R1613" s="33" t="s">
        <v>3473</v>
      </c>
      <c r="S1613">
        <v>37</v>
      </c>
      <c r="T1613" s="1" t="s">
        <v>13885</v>
      </c>
      <c r="U1613" s="1" t="str">
        <f>HYPERLINK("http://ictvonline.org/taxonomy/p/taxonomy-history?taxnode_id=202111628","ICTVonline=202111628")</f>
        <v>ICTVonline=202111628</v>
      </c>
    </row>
    <row r="1614" spans="1:21" x14ac:dyDescent="0.2">
      <c r="A1614" s="3">
        <v>1613</v>
      </c>
      <c r="B1614" s="1" t="s">
        <v>4875</v>
      </c>
      <c r="D1614" s="1" t="s">
        <v>4876</v>
      </c>
      <c r="F1614" s="1" t="s">
        <v>4880</v>
      </c>
      <c r="H1614" s="1" t="s">
        <v>4881</v>
      </c>
      <c r="L1614" s="1" t="s">
        <v>10106</v>
      </c>
      <c r="N1614" s="1" t="s">
        <v>5998</v>
      </c>
      <c r="P1614" s="1" t="s">
        <v>10298</v>
      </c>
      <c r="Q1614" s="30" t="s">
        <v>2565</v>
      </c>
      <c r="R1614" s="33" t="s">
        <v>3473</v>
      </c>
      <c r="S1614">
        <v>37</v>
      </c>
      <c r="T1614" s="1" t="s">
        <v>13885</v>
      </c>
      <c r="U1614" s="1" t="str">
        <f>HYPERLINK("http://ictvonline.org/taxonomy/p/taxonomy-history?taxnode_id=202111633","ICTVonline=202111633")</f>
        <v>ICTVonline=202111633</v>
      </c>
    </row>
    <row r="1615" spans="1:21" x14ac:dyDescent="0.2">
      <c r="A1615" s="3">
        <v>1614</v>
      </c>
      <c r="B1615" s="1" t="s">
        <v>4875</v>
      </c>
      <c r="D1615" s="1" t="s">
        <v>4876</v>
      </c>
      <c r="F1615" s="1" t="s">
        <v>4880</v>
      </c>
      <c r="H1615" s="1" t="s">
        <v>4881</v>
      </c>
      <c r="L1615" s="1" t="s">
        <v>10106</v>
      </c>
      <c r="N1615" s="1" t="s">
        <v>5998</v>
      </c>
      <c r="P1615" s="1" t="s">
        <v>10299</v>
      </c>
      <c r="Q1615" s="30" t="s">
        <v>2565</v>
      </c>
      <c r="R1615" s="33" t="s">
        <v>3473</v>
      </c>
      <c r="S1615">
        <v>37</v>
      </c>
      <c r="T1615" s="1" t="s">
        <v>13885</v>
      </c>
      <c r="U1615" s="1" t="str">
        <f>HYPERLINK("http://ictvonline.org/taxonomy/p/taxonomy-history?taxnode_id=202100341","ICTVonline=202100341")</f>
        <v>ICTVonline=202100341</v>
      </c>
    </row>
    <row r="1616" spans="1:21" x14ac:dyDescent="0.2">
      <c r="A1616" s="3">
        <v>1615</v>
      </c>
      <c r="B1616" s="1" t="s">
        <v>4875</v>
      </c>
      <c r="D1616" s="1" t="s">
        <v>4876</v>
      </c>
      <c r="F1616" s="1" t="s">
        <v>4880</v>
      </c>
      <c r="H1616" s="1" t="s">
        <v>4881</v>
      </c>
      <c r="L1616" s="1" t="s">
        <v>10106</v>
      </c>
      <c r="N1616" s="1" t="s">
        <v>5998</v>
      </c>
      <c r="P1616" s="1" t="s">
        <v>10300</v>
      </c>
      <c r="Q1616" s="30" t="s">
        <v>2565</v>
      </c>
      <c r="R1616" s="33" t="s">
        <v>3473</v>
      </c>
      <c r="S1616">
        <v>37</v>
      </c>
      <c r="T1616" s="1" t="s">
        <v>13885</v>
      </c>
      <c r="U1616" s="1" t="str">
        <f>HYPERLINK("http://ictvonline.org/taxonomy/p/taxonomy-history?taxnode_id=202100343","ICTVonline=202100343")</f>
        <v>ICTVonline=202100343</v>
      </c>
    </row>
    <row r="1617" spans="1:21" x14ac:dyDescent="0.2">
      <c r="A1617" s="3">
        <v>1616</v>
      </c>
      <c r="B1617" s="1" t="s">
        <v>4875</v>
      </c>
      <c r="D1617" s="1" t="s">
        <v>4876</v>
      </c>
      <c r="F1617" s="1" t="s">
        <v>4880</v>
      </c>
      <c r="H1617" s="1" t="s">
        <v>4881</v>
      </c>
      <c r="L1617" s="1" t="s">
        <v>10106</v>
      </c>
      <c r="N1617" s="1" t="s">
        <v>4519</v>
      </c>
      <c r="P1617" s="1" t="s">
        <v>10301</v>
      </c>
      <c r="Q1617" s="30" t="s">
        <v>2565</v>
      </c>
      <c r="R1617" s="33" t="s">
        <v>3473</v>
      </c>
      <c r="S1617">
        <v>37</v>
      </c>
      <c r="T1617" s="1" t="s">
        <v>13885</v>
      </c>
      <c r="U1617" s="1" t="str">
        <f>HYPERLINK("http://ictvonline.org/taxonomy/p/taxonomy-history?taxnode_id=202100314","ICTVonline=202100314")</f>
        <v>ICTVonline=202100314</v>
      </c>
    </row>
    <row r="1618" spans="1:21" x14ac:dyDescent="0.2">
      <c r="A1618" s="3">
        <v>1617</v>
      </c>
      <c r="B1618" s="1" t="s">
        <v>4875</v>
      </c>
      <c r="D1618" s="1" t="s">
        <v>4876</v>
      </c>
      <c r="F1618" s="1" t="s">
        <v>4880</v>
      </c>
      <c r="H1618" s="1" t="s">
        <v>4881</v>
      </c>
      <c r="L1618" s="1" t="s">
        <v>10106</v>
      </c>
      <c r="N1618" s="1" t="s">
        <v>4519</v>
      </c>
      <c r="P1618" s="1" t="s">
        <v>10302</v>
      </c>
      <c r="Q1618" s="30" t="s">
        <v>2565</v>
      </c>
      <c r="R1618" s="33" t="s">
        <v>3473</v>
      </c>
      <c r="S1618">
        <v>37</v>
      </c>
      <c r="T1618" s="1" t="s">
        <v>13885</v>
      </c>
      <c r="U1618" s="1" t="str">
        <f>HYPERLINK("http://ictvonline.org/taxonomy/p/taxonomy-history?taxnode_id=202100316","ICTVonline=202100316")</f>
        <v>ICTVonline=202100316</v>
      </c>
    </row>
    <row r="1619" spans="1:21" x14ac:dyDescent="0.2">
      <c r="A1619" s="3">
        <v>1618</v>
      </c>
      <c r="B1619" s="1" t="s">
        <v>4875</v>
      </c>
      <c r="D1619" s="1" t="s">
        <v>4876</v>
      </c>
      <c r="F1619" s="1" t="s">
        <v>4880</v>
      </c>
      <c r="H1619" s="1" t="s">
        <v>4881</v>
      </c>
      <c r="L1619" s="1" t="s">
        <v>10106</v>
      </c>
      <c r="N1619" s="1" t="s">
        <v>4519</v>
      </c>
      <c r="P1619" s="1" t="s">
        <v>10303</v>
      </c>
      <c r="Q1619" s="30" t="s">
        <v>2565</v>
      </c>
      <c r="R1619" s="33" t="s">
        <v>3472</v>
      </c>
      <c r="S1619">
        <v>37</v>
      </c>
      <c r="T1619" s="1" t="s">
        <v>13885</v>
      </c>
      <c r="U1619" s="1" t="str">
        <f>HYPERLINK("http://ictvonline.org/taxonomy/p/taxonomy-history?taxnode_id=202113673","ICTVonline=202113673")</f>
        <v>ICTVonline=202113673</v>
      </c>
    </row>
    <row r="1620" spans="1:21" x14ac:dyDescent="0.2">
      <c r="A1620" s="3">
        <v>1619</v>
      </c>
      <c r="B1620" s="1" t="s">
        <v>4875</v>
      </c>
      <c r="D1620" s="1" t="s">
        <v>4876</v>
      </c>
      <c r="F1620" s="1" t="s">
        <v>4880</v>
      </c>
      <c r="H1620" s="1" t="s">
        <v>4881</v>
      </c>
      <c r="L1620" s="1" t="s">
        <v>10106</v>
      </c>
      <c r="N1620" s="1" t="s">
        <v>4520</v>
      </c>
      <c r="P1620" s="1" t="s">
        <v>10304</v>
      </c>
      <c r="Q1620" s="30" t="s">
        <v>2565</v>
      </c>
      <c r="R1620" s="33" t="s">
        <v>3473</v>
      </c>
      <c r="S1620">
        <v>37</v>
      </c>
      <c r="T1620" s="1" t="s">
        <v>13885</v>
      </c>
      <c r="U1620" s="1" t="str">
        <f>HYPERLINK("http://ictvonline.org/taxonomy/p/taxonomy-history?taxnode_id=202100293","ICTVonline=202100293")</f>
        <v>ICTVonline=202100293</v>
      </c>
    </row>
    <row r="1621" spans="1:21" x14ac:dyDescent="0.2">
      <c r="A1621" s="3">
        <v>1620</v>
      </c>
      <c r="B1621" s="1" t="s">
        <v>4875</v>
      </c>
      <c r="D1621" s="1" t="s">
        <v>4876</v>
      </c>
      <c r="F1621" s="1" t="s">
        <v>4880</v>
      </c>
      <c r="H1621" s="1" t="s">
        <v>4881</v>
      </c>
      <c r="L1621" s="1" t="s">
        <v>10106</v>
      </c>
      <c r="N1621" s="1" t="s">
        <v>4520</v>
      </c>
      <c r="P1621" s="1" t="s">
        <v>10305</v>
      </c>
      <c r="Q1621" s="30" t="s">
        <v>2565</v>
      </c>
      <c r="R1621" s="33" t="s">
        <v>3473</v>
      </c>
      <c r="S1621">
        <v>37</v>
      </c>
      <c r="T1621" s="1" t="s">
        <v>13885</v>
      </c>
      <c r="U1621" s="1" t="str">
        <f>HYPERLINK("http://ictvonline.org/taxonomy/p/taxonomy-history?taxnode_id=202100294","ICTVonline=202100294")</f>
        <v>ICTVonline=202100294</v>
      </c>
    </row>
    <row r="1622" spans="1:21" x14ac:dyDescent="0.2">
      <c r="A1622" s="3">
        <v>1621</v>
      </c>
      <c r="B1622" s="1" t="s">
        <v>4875</v>
      </c>
      <c r="D1622" s="1" t="s">
        <v>4876</v>
      </c>
      <c r="F1622" s="1" t="s">
        <v>4880</v>
      </c>
      <c r="H1622" s="1" t="s">
        <v>4881</v>
      </c>
      <c r="L1622" s="1" t="s">
        <v>10106</v>
      </c>
      <c r="N1622" s="1" t="s">
        <v>4520</v>
      </c>
      <c r="P1622" s="1" t="s">
        <v>10306</v>
      </c>
      <c r="Q1622" s="30" t="s">
        <v>2565</v>
      </c>
      <c r="R1622" s="33" t="s">
        <v>3473</v>
      </c>
      <c r="S1622">
        <v>37</v>
      </c>
      <c r="T1622" s="1" t="s">
        <v>13885</v>
      </c>
      <c r="U1622" s="1" t="str">
        <f>HYPERLINK("http://ictvonline.org/taxonomy/p/taxonomy-history?taxnode_id=202100295","ICTVonline=202100295")</f>
        <v>ICTVonline=202100295</v>
      </c>
    </row>
    <row r="1623" spans="1:21" x14ac:dyDescent="0.2">
      <c r="A1623" s="3">
        <v>1622</v>
      </c>
      <c r="B1623" s="1" t="s">
        <v>4875</v>
      </c>
      <c r="D1623" s="1" t="s">
        <v>4876</v>
      </c>
      <c r="F1623" s="1" t="s">
        <v>4880</v>
      </c>
      <c r="H1623" s="1" t="s">
        <v>4881</v>
      </c>
      <c r="L1623" s="1" t="s">
        <v>10106</v>
      </c>
      <c r="N1623" s="1" t="s">
        <v>4520</v>
      </c>
      <c r="P1623" s="1" t="s">
        <v>10307</v>
      </c>
      <c r="Q1623" s="30" t="s">
        <v>2565</v>
      </c>
      <c r="R1623" s="33" t="s">
        <v>3473</v>
      </c>
      <c r="S1623">
        <v>37</v>
      </c>
      <c r="T1623" s="1" t="s">
        <v>13885</v>
      </c>
      <c r="U1623" s="1" t="str">
        <f>HYPERLINK("http://ictvonline.org/taxonomy/p/taxonomy-history?taxnode_id=202100296","ICTVonline=202100296")</f>
        <v>ICTVonline=202100296</v>
      </c>
    </row>
    <row r="1624" spans="1:21" x14ac:dyDescent="0.2">
      <c r="A1624" s="3">
        <v>1623</v>
      </c>
      <c r="B1624" s="1" t="s">
        <v>4875</v>
      </c>
      <c r="D1624" s="1" t="s">
        <v>4876</v>
      </c>
      <c r="F1624" s="1" t="s">
        <v>4880</v>
      </c>
      <c r="H1624" s="1" t="s">
        <v>4881</v>
      </c>
      <c r="L1624" s="1" t="s">
        <v>10106</v>
      </c>
      <c r="N1624" s="1" t="s">
        <v>4520</v>
      </c>
      <c r="P1624" s="1" t="s">
        <v>10308</v>
      </c>
      <c r="Q1624" s="30" t="s">
        <v>2565</v>
      </c>
      <c r="R1624" s="33" t="s">
        <v>3472</v>
      </c>
      <c r="S1624">
        <v>37</v>
      </c>
      <c r="T1624" s="1" t="s">
        <v>13885</v>
      </c>
      <c r="U1624" s="1" t="str">
        <f>HYPERLINK("http://ictvonline.org/taxonomy/p/taxonomy-history?taxnode_id=202113675","ICTVonline=202113675")</f>
        <v>ICTVonline=202113675</v>
      </c>
    </row>
    <row r="1625" spans="1:21" x14ac:dyDescent="0.2">
      <c r="A1625" s="3">
        <v>1624</v>
      </c>
      <c r="B1625" s="1" t="s">
        <v>4875</v>
      </c>
      <c r="D1625" s="1" t="s">
        <v>4876</v>
      </c>
      <c r="F1625" s="1" t="s">
        <v>4880</v>
      </c>
      <c r="H1625" s="1" t="s">
        <v>4881</v>
      </c>
      <c r="L1625" s="1" t="s">
        <v>10106</v>
      </c>
      <c r="N1625" s="1" t="s">
        <v>4578</v>
      </c>
      <c r="P1625" s="1" t="s">
        <v>10309</v>
      </c>
      <c r="Q1625" s="30" t="s">
        <v>2565</v>
      </c>
      <c r="R1625" s="33" t="s">
        <v>3473</v>
      </c>
      <c r="S1625">
        <v>37</v>
      </c>
      <c r="T1625" s="1" t="s">
        <v>13885</v>
      </c>
      <c r="U1625" s="1" t="str">
        <f>HYPERLINK("http://ictvonline.org/taxonomy/p/taxonomy-history?taxnode_id=202100503","ICTVonline=202100503")</f>
        <v>ICTVonline=202100503</v>
      </c>
    </row>
    <row r="1626" spans="1:21" x14ac:dyDescent="0.2">
      <c r="A1626" s="3">
        <v>1625</v>
      </c>
      <c r="B1626" s="1" t="s">
        <v>4875</v>
      </c>
      <c r="D1626" s="1" t="s">
        <v>4876</v>
      </c>
      <c r="F1626" s="1" t="s">
        <v>4880</v>
      </c>
      <c r="H1626" s="1" t="s">
        <v>4881</v>
      </c>
      <c r="L1626" s="1" t="s">
        <v>10106</v>
      </c>
      <c r="N1626" s="1" t="s">
        <v>4578</v>
      </c>
      <c r="P1626" s="1" t="s">
        <v>10310</v>
      </c>
      <c r="Q1626" s="30" t="s">
        <v>2565</v>
      </c>
      <c r="R1626" s="33" t="s">
        <v>3472</v>
      </c>
      <c r="S1626">
        <v>37</v>
      </c>
      <c r="T1626" s="1" t="s">
        <v>13885</v>
      </c>
      <c r="U1626" s="1" t="str">
        <f>HYPERLINK("http://ictvonline.org/taxonomy/p/taxonomy-history?taxnode_id=202113955","ICTVonline=202113955")</f>
        <v>ICTVonline=202113955</v>
      </c>
    </row>
    <row r="1627" spans="1:21" x14ac:dyDescent="0.2">
      <c r="A1627" s="3">
        <v>1626</v>
      </c>
      <c r="B1627" s="1" t="s">
        <v>4875</v>
      </c>
      <c r="D1627" s="1" t="s">
        <v>4876</v>
      </c>
      <c r="F1627" s="1" t="s">
        <v>4880</v>
      </c>
      <c r="H1627" s="1" t="s">
        <v>4881</v>
      </c>
      <c r="L1627" s="1" t="s">
        <v>10106</v>
      </c>
      <c r="N1627" s="1" t="s">
        <v>4578</v>
      </c>
      <c r="P1627" s="1" t="s">
        <v>10311</v>
      </c>
      <c r="Q1627" s="30" t="s">
        <v>2565</v>
      </c>
      <c r="R1627" s="33" t="s">
        <v>3472</v>
      </c>
      <c r="S1627">
        <v>37</v>
      </c>
      <c r="T1627" s="1" t="s">
        <v>13885</v>
      </c>
      <c r="U1627" s="1" t="str">
        <f>HYPERLINK("http://ictvonline.org/taxonomy/p/taxonomy-history?taxnode_id=202113956","ICTVonline=202113956")</f>
        <v>ICTVonline=202113956</v>
      </c>
    </row>
    <row r="1628" spans="1:21" x14ac:dyDescent="0.2">
      <c r="A1628" s="3">
        <v>1627</v>
      </c>
      <c r="B1628" s="1" t="s">
        <v>4875</v>
      </c>
      <c r="D1628" s="1" t="s">
        <v>4876</v>
      </c>
      <c r="F1628" s="1" t="s">
        <v>4880</v>
      </c>
      <c r="H1628" s="1" t="s">
        <v>4881</v>
      </c>
      <c r="L1628" s="1" t="s">
        <v>10106</v>
      </c>
      <c r="N1628" s="1" t="s">
        <v>4578</v>
      </c>
      <c r="P1628" s="1" t="s">
        <v>10312</v>
      </c>
      <c r="Q1628" s="30" t="s">
        <v>2565</v>
      </c>
      <c r="R1628" s="33" t="s">
        <v>3473</v>
      </c>
      <c r="S1628">
        <v>37</v>
      </c>
      <c r="T1628" s="1" t="s">
        <v>13885</v>
      </c>
      <c r="U1628" s="1" t="str">
        <f>HYPERLINK("http://ictvonline.org/taxonomy/p/taxonomy-history?taxnode_id=202100500","ICTVonline=202100500")</f>
        <v>ICTVonline=202100500</v>
      </c>
    </row>
    <row r="1629" spans="1:21" x14ac:dyDescent="0.2">
      <c r="A1629" s="3">
        <v>1628</v>
      </c>
      <c r="B1629" s="1" t="s">
        <v>4875</v>
      </c>
      <c r="D1629" s="1" t="s">
        <v>4876</v>
      </c>
      <c r="F1629" s="1" t="s">
        <v>4880</v>
      </c>
      <c r="H1629" s="1" t="s">
        <v>4881</v>
      </c>
      <c r="L1629" s="1" t="s">
        <v>10106</v>
      </c>
      <c r="N1629" s="1" t="s">
        <v>4578</v>
      </c>
      <c r="P1629" s="1" t="s">
        <v>10313</v>
      </c>
      <c r="Q1629" s="30" t="s">
        <v>2565</v>
      </c>
      <c r="R1629" s="33" t="s">
        <v>3473</v>
      </c>
      <c r="S1629">
        <v>37</v>
      </c>
      <c r="T1629" s="1" t="s">
        <v>13885</v>
      </c>
      <c r="U1629" s="1" t="str">
        <f>HYPERLINK("http://ictvonline.org/taxonomy/p/taxonomy-history?taxnode_id=202100501","ICTVonline=202100501")</f>
        <v>ICTVonline=202100501</v>
      </c>
    </row>
    <row r="1630" spans="1:21" x14ac:dyDescent="0.2">
      <c r="A1630" s="3">
        <v>1629</v>
      </c>
      <c r="B1630" s="1" t="s">
        <v>4875</v>
      </c>
      <c r="D1630" s="1" t="s">
        <v>4876</v>
      </c>
      <c r="F1630" s="1" t="s">
        <v>4880</v>
      </c>
      <c r="H1630" s="1" t="s">
        <v>4881</v>
      </c>
      <c r="L1630" s="1" t="s">
        <v>10106</v>
      </c>
      <c r="N1630" s="1" t="s">
        <v>4578</v>
      </c>
      <c r="P1630" s="1" t="s">
        <v>10314</v>
      </c>
      <c r="Q1630" s="30" t="s">
        <v>2565</v>
      </c>
      <c r="R1630" s="33" t="s">
        <v>3473</v>
      </c>
      <c r="S1630">
        <v>37</v>
      </c>
      <c r="T1630" s="1" t="s">
        <v>13885</v>
      </c>
      <c r="U1630" s="1" t="str">
        <f>HYPERLINK("http://ictvonline.org/taxonomy/p/taxonomy-history?taxnode_id=202100502","ICTVonline=202100502")</f>
        <v>ICTVonline=202100502</v>
      </c>
    </row>
    <row r="1631" spans="1:21" x14ac:dyDescent="0.2">
      <c r="A1631" s="3">
        <v>1630</v>
      </c>
      <c r="B1631" s="1" t="s">
        <v>4875</v>
      </c>
      <c r="D1631" s="1" t="s">
        <v>4876</v>
      </c>
      <c r="F1631" s="1" t="s">
        <v>4880</v>
      </c>
      <c r="H1631" s="1" t="s">
        <v>4881</v>
      </c>
      <c r="L1631" s="1" t="s">
        <v>10106</v>
      </c>
      <c r="N1631" s="1" t="s">
        <v>4578</v>
      </c>
      <c r="P1631" s="1" t="s">
        <v>10315</v>
      </c>
      <c r="Q1631" s="30" t="s">
        <v>2565</v>
      </c>
      <c r="R1631" s="33" t="s">
        <v>3473</v>
      </c>
      <c r="S1631">
        <v>37</v>
      </c>
      <c r="T1631" s="1" t="s">
        <v>13885</v>
      </c>
      <c r="U1631" s="1" t="str">
        <f>HYPERLINK("http://ictvonline.org/taxonomy/p/taxonomy-history?taxnode_id=202107033","ICTVonline=202107033")</f>
        <v>ICTVonline=202107033</v>
      </c>
    </row>
    <row r="1632" spans="1:21" x14ac:dyDescent="0.2">
      <c r="A1632" s="3">
        <v>1631</v>
      </c>
      <c r="B1632" s="1" t="s">
        <v>4875</v>
      </c>
      <c r="D1632" s="1" t="s">
        <v>4876</v>
      </c>
      <c r="F1632" s="1" t="s">
        <v>4880</v>
      </c>
      <c r="H1632" s="1" t="s">
        <v>4881</v>
      </c>
      <c r="L1632" s="1" t="s">
        <v>10106</v>
      </c>
      <c r="N1632" s="1" t="s">
        <v>4578</v>
      </c>
      <c r="P1632" s="1" t="s">
        <v>10316</v>
      </c>
      <c r="Q1632" s="30" t="s">
        <v>2565</v>
      </c>
      <c r="R1632" s="33" t="s">
        <v>3473</v>
      </c>
      <c r="S1632">
        <v>37</v>
      </c>
      <c r="T1632" s="1" t="s">
        <v>13885</v>
      </c>
      <c r="U1632" s="1" t="str">
        <f>HYPERLINK("http://ictvonline.org/taxonomy/p/taxonomy-history?taxnode_id=202100498","ICTVonline=202100498")</f>
        <v>ICTVonline=202100498</v>
      </c>
    </row>
    <row r="1633" spans="1:21" x14ac:dyDescent="0.2">
      <c r="A1633" s="3">
        <v>1632</v>
      </c>
      <c r="B1633" s="1" t="s">
        <v>4875</v>
      </c>
      <c r="D1633" s="1" t="s">
        <v>4876</v>
      </c>
      <c r="F1633" s="1" t="s">
        <v>4880</v>
      </c>
      <c r="H1633" s="1" t="s">
        <v>4881</v>
      </c>
      <c r="L1633" s="1" t="s">
        <v>10317</v>
      </c>
      <c r="N1633" s="1" t="s">
        <v>10318</v>
      </c>
      <c r="P1633" s="1" t="s">
        <v>10319</v>
      </c>
      <c r="Q1633" s="30" t="s">
        <v>2565</v>
      </c>
      <c r="R1633" s="33" t="s">
        <v>3472</v>
      </c>
      <c r="S1633">
        <v>37</v>
      </c>
      <c r="T1633" s="1" t="s">
        <v>13876</v>
      </c>
      <c r="U1633" s="1" t="str">
        <f>HYPERLINK("http://ictvonline.org/taxonomy/p/taxonomy-history?taxnode_id=202112173","ICTVonline=202112173")</f>
        <v>ICTVonline=202112173</v>
      </c>
    </row>
    <row r="1634" spans="1:21" x14ac:dyDescent="0.2">
      <c r="A1634" s="3">
        <v>1633</v>
      </c>
      <c r="B1634" s="1" t="s">
        <v>4875</v>
      </c>
      <c r="D1634" s="1" t="s">
        <v>4876</v>
      </c>
      <c r="F1634" s="1" t="s">
        <v>4880</v>
      </c>
      <c r="H1634" s="1" t="s">
        <v>4881</v>
      </c>
      <c r="L1634" s="1" t="s">
        <v>10320</v>
      </c>
      <c r="N1634" s="1" t="s">
        <v>10321</v>
      </c>
      <c r="P1634" s="1" t="s">
        <v>10322</v>
      </c>
      <c r="Q1634" s="30" t="s">
        <v>2565</v>
      </c>
      <c r="R1634" s="33" t="s">
        <v>3473</v>
      </c>
      <c r="S1634">
        <v>37</v>
      </c>
      <c r="T1634" s="1" t="s">
        <v>13876</v>
      </c>
      <c r="U1634" s="1" t="str">
        <f>HYPERLINK("http://ictvonline.org/taxonomy/p/taxonomy-history?taxnode_id=202108718","ICTVonline=202108718")</f>
        <v>ICTVonline=202108718</v>
      </c>
    </row>
    <row r="1635" spans="1:21" x14ac:dyDescent="0.2">
      <c r="A1635" s="3">
        <v>1634</v>
      </c>
      <c r="B1635" s="1" t="s">
        <v>4875</v>
      </c>
      <c r="D1635" s="1" t="s">
        <v>4876</v>
      </c>
      <c r="F1635" s="1" t="s">
        <v>4880</v>
      </c>
      <c r="H1635" s="1" t="s">
        <v>4881</v>
      </c>
      <c r="L1635" s="1" t="s">
        <v>10320</v>
      </c>
      <c r="N1635" s="1" t="s">
        <v>2589</v>
      </c>
      <c r="P1635" s="1" t="s">
        <v>10323</v>
      </c>
      <c r="Q1635" s="30" t="s">
        <v>2565</v>
      </c>
      <c r="R1635" s="33" t="s">
        <v>3473</v>
      </c>
      <c r="S1635">
        <v>37</v>
      </c>
      <c r="T1635" s="1" t="s">
        <v>13876</v>
      </c>
      <c r="U1635" s="1" t="str">
        <f>HYPERLINK("http://ictvonline.org/taxonomy/p/taxonomy-history?taxnode_id=202108719","ICTVonline=202108719")</f>
        <v>ICTVonline=202108719</v>
      </c>
    </row>
    <row r="1636" spans="1:21" x14ac:dyDescent="0.2">
      <c r="A1636" s="3">
        <v>1635</v>
      </c>
      <c r="B1636" s="1" t="s">
        <v>4875</v>
      </c>
      <c r="D1636" s="1" t="s">
        <v>4876</v>
      </c>
      <c r="F1636" s="1" t="s">
        <v>4880</v>
      </c>
      <c r="H1636" s="1" t="s">
        <v>4881</v>
      </c>
      <c r="L1636" s="1" t="s">
        <v>10320</v>
      </c>
      <c r="N1636" s="1" t="s">
        <v>2589</v>
      </c>
      <c r="P1636" s="1" t="s">
        <v>10324</v>
      </c>
      <c r="Q1636" s="30" t="s">
        <v>2565</v>
      </c>
      <c r="R1636" s="33" t="s">
        <v>3473</v>
      </c>
      <c r="S1636">
        <v>37</v>
      </c>
      <c r="T1636" s="1" t="s">
        <v>13876</v>
      </c>
      <c r="U1636" s="1" t="str">
        <f>HYPERLINK("http://ictvonline.org/taxonomy/p/taxonomy-history?taxnode_id=202100459","ICTVonline=202100459")</f>
        <v>ICTVonline=202100459</v>
      </c>
    </row>
    <row r="1637" spans="1:21" x14ac:dyDescent="0.2">
      <c r="A1637" s="3">
        <v>1636</v>
      </c>
      <c r="B1637" s="1" t="s">
        <v>4875</v>
      </c>
      <c r="D1637" s="1" t="s">
        <v>4876</v>
      </c>
      <c r="F1637" s="1" t="s">
        <v>4880</v>
      </c>
      <c r="H1637" s="1" t="s">
        <v>4881</v>
      </c>
      <c r="L1637" s="1" t="s">
        <v>10325</v>
      </c>
      <c r="M1637" s="1" t="s">
        <v>10326</v>
      </c>
      <c r="N1637" s="1" t="s">
        <v>10327</v>
      </c>
      <c r="P1637" s="1" t="s">
        <v>10328</v>
      </c>
      <c r="Q1637" s="30" t="s">
        <v>2565</v>
      </c>
      <c r="R1637" s="33" t="s">
        <v>3472</v>
      </c>
      <c r="S1637">
        <v>37</v>
      </c>
      <c r="T1637" s="1" t="s">
        <v>13904</v>
      </c>
      <c r="U1637" s="1" t="str">
        <f>HYPERLINK("http://ictvonline.org/taxonomy/p/taxonomy-history?taxnode_id=202112672","ICTVonline=202112672")</f>
        <v>ICTVonline=202112672</v>
      </c>
    </row>
    <row r="1638" spans="1:21" x14ac:dyDescent="0.2">
      <c r="A1638" s="3">
        <v>1637</v>
      </c>
      <c r="B1638" s="1" t="s">
        <v>4875</v>
      </c>
      <c r="D1638" s="1" t="s">
        <v>4876</v>
      </c>
      <c r="F1638" s="1" t="s">
        <v>4880</v>
      </c>
      <c r="H1638" s="1" t="s">
        <v>4881</v>
      </c>
      <c r="L1638" s="1" t="s">
        <v>10325</v>
      </c>
      <c r="M1638" s="1" t="s">
        <v>10326</v>
      </c>
      <c r="N1638" s="1" t="s">
        <v>10327</v>
      </c>
      <c r="P1638" s="1" t="s">
        <v>10329</v>
      </c>
      <c r="Q1638" s="30" t="s">
        <v>2565</v>
      </c>
      <c r="R1638" s="33" t="s">
        <v>3472</v>
      </c>
      <c r="S1638">
        <v>37</v>
      </c>
      <c r="T1638" s="1" t="s">
        <v>13904</v>
      </c>
      <c r="U1638" s="1" t="str">
        <f>HYPERLINK("http://ictvonline.org/taxonomy/p/taxonomy-history?taxnode_id=202112673","ICTVonline=202112673")</f>
        <v>ICTVonline=202112673</v>
      </c>
    </row>
    <row r="1639" spans="1:21" x14ac:dyDescent="0.2">
      <c r="A1639" s="3">
        <v>1638</v>
      </c>
      <c r="B1639" s="1" t="s">
        <v>4875</v>
      </c>
      <c r="D1639" s="1" t="s">
        <v>4876</v>
      </c>
      <c r="F1639" s="1" t="s">
        <v>4880</v>
      </c>
      <c r="H1639" s="1" t="s">
        <v>4881</v>
      </c>
      <c r="L1639" s="1" t="s">
        <v>10325</v>
      </c>
      <c r="M1639" s="1" t="s">
        <v>10326</v>
      </c>
      <c r="N1639" s="1" t="s">
        <v>2610</v>
      </c>
      <c r="P1639" s="1" t="s">
        <v>10330</v>
      </c>
      <c r="Q1639" s="30" t="s">
        <v>2565</v>
      </c>
      <c r="R1639" s="33" t="s">
        <v>3472</v>
      </c>
      <c r="S1639">
        <v>37</v>
      </c>
      <c r="T1639" s="1" t="s">
        <v>13904</v>
      </c>
      <c r="U1639" s="1" t="str">
        <f>HYPERLINK("http://ictvonline.org/taxonomy/p/taxonomy-history?taxnode_id=202112683","ICTVonline=202112683")</f>
        <v>ICTVonline=202112683</v>
      </c>
    </row>
    <row r="1640" spans="1:21" x14ac:dyDescent="0.2">
      <c r="A1640" s="3">
        <v>1639</v>
      </c>
      <c r="B1640" s="1" t="s">
        <v>4875</v>
      </c>
      <c r="D1640" s="1" t="s">
        <v>4876</v>
      </c>
      <c r="F1640" s="1" t="s">
        <v>4880</v>
      </c>
      <c r="H1640" s="1" t="s">
        <v>4881</v>
      </c>
      <c r="L1640" s="1" t="s">
        <v>10325</v>
      </c>
      <c r="M1640" s="1" t="s">
        <v>10326</v>
      </c>
      <c r="N1640" s="1" t="s">
        <v>2610</v>
      </c>
      <c r="P1640" s="1" t="s">
        <v>10331</v>
      </c>
      <c r="Q1640" s="30" t="s">
        <v>2565</v>
      </c>
      <c r="R1640" s="33" t="s">
        <v>3472</v>
      </c>
      <c r="S1640">
        <v>37</v>
      </c>
      <c r="T1640" s="1" t="s">
        <v>13904</v>
      </c>
      <c r="U1640" s="1" t="str">
        <f>HYPERLINK("http://ictvonline.org/taxonomy/p/taxonomy-history?taxnode_id=202112681","ICTVonline=202112681")</f>
        <v>ICTVonline=202112681</v>
      </c>
    </row>
    <row r="1641" spans="1:21" x14ac:dyDescent="0.2">
      <c r="A1641" s="3">
        <v>1640</v>
      </c>
      <c r="B1641" s="1" t="s">
        <v>4875</v>
      </c>
      <c r="D1641" s="1" t="s">
        <v>4876</v>
      </c>
      <c r="F1641" s="1" t="s">
        <v>4880</v>
      </c>
      <c r="H1641" s="1" t="s">
        <v>4881</v>
      </c>
      <c r="L1641" s="1" t="s">
        <v>10325</v>
      </c>
      <c r="M1641" s="1" t="s">
        <v>10326</v>
      </c>
      <c r="N1641" s="1" t="s">
        <v>2610</v>
      </c>
      <c r="P1641" s="1" t="s">
        <v>10332</v>
      </c>
      <c r="Q1641" s="30" t="s">
        <v>2565</v>
      </c>
      <c r="R1641" s="33" t="s">
        <v>3472</v>
      </c>
      <c r="S1641">
        <v>37</v>
      </c>
      <c r="T1641" s="1" t="s">
        <v>13904</v>
      </c>
      <c r="U1641" s="1" t="str">
        <f>HYPERLINK("http://ictvonline.org/taxonomy/p/taxonomy-history?taxnode_id=202112682","ICTVonline=202112682")</f>
        <v>ICTVonline=202112682</v>
      </c>
    </row>
    <row r="1642" spans="1:21" x14ac:dyDescent="0.2">
      <c r="A1642" s="3">
        <v>1641</v>
      </c>
      <c r="B1642" s="1" t="s">
        <v>4875</v>
      </c>
      <c r="D1642" s="1" t="s">
        <v>4876</v>
      </c>
      <c r="F1642" s="1" t="s">
        <v>4880</v>
      </c>
      <c r="H1642" s="1" t="s">
        <v>4881</v>
      </c>
      <c r="L1642" s="1" t="s">
        <v>10325</v>
      </c>
      <c r="M1642" s="1" t="s">
        <v>10326</v>
      </c>
      <c r="N1642" s="1" t="s">
        <v>2610</v>
      </c>
      <c r="P1642" s="1" t="s">
        <v>10333</v>
      </c>
      <c r="Q1642" s="30" t="s">
        <v>2565</v>
      </c>
      <c r="R1642" s="33" t="s">
        <v>3472</v>
      </c>
      <c r="S1642">
        <v>37</v>
      </c>
      <c r="T1642" s="1" t="s">
        <v>13904</v>
      </c>
      <c r="U1642" s="1" t="str">
        <f>HYPERLINK("http://ictvonline.org/taxonomy/p/taxonomy-history?taxnode_id=202112680","ICTVonline=202112680")</f>
        <v>ICTVonline=202112680</v>
      </c>
    </row>
    <row r="1643" spans="1:21" x14ac:dyDescent="0.2">
      <c r="A1643" s="3">
        <v>1642</v>
      </c>
      <c r="B1643" s="1" t="s">
        <v>4875</v>
      </c>
      <c r="D1643" s="1" t="s">
        <v>4876</v>
      </c>
      <c r="F1643" s="1" t="s">
        <v>4880</v>
      </c>
      <c r="H1643" s="1" t="s">
        <v>4881</v>
      </c>
      <c r="L1643" s="1" t="s">
        <v>10325</v>
      </c>
      <c r="M1643" s="1" t="s">
        <v>10326</v>
      </c>
      <c r="N1643" s="1" t="s">
        <v>2610</v>
      </c>
      <c r="P1643" s="1" t="s">
        <v>2611</v>
      </c>
      <c r="Q1643" s="30" t="s">
        <v>2565</v>
      </c>
      <c r="R1643" s="33" t="s">
        <v>3474</v>
      </c>
      <c r="S1643">
        <v>37</v>
      </c>
      <c r="T1643" s="1" t="s">
        <v>13905</v>
      </c>
      <c r="U1643" s="1" t="str">
        <f>HYPERLINK("http://ictvonline.org/taxonomy/p/taxonomy-history?taxnode_id=202100864","ICTVonline=202100864")</f>
        <v>ICTVonline=202100864</v>
      </c>
    </row>
    <row r="1644" spans="1:21" x14ac:dyDescent="0.2">
      <c r="A1644" s="3">
        <v>1643</v>
      </c>
      <c r="B1644" s="1" t="s">
        <v>4875</v>
      </c>
      <c r="D1644" s="1" t="s">
        <v>4876</v>
      </c>
      <c r="F1644" s="1" t="s">
        <v>4880</v>
      </c>
      <c r="H1644" s="1" t="s">
        <v>4881</v>
      </c>
      <c r="L1644" s="1" t="s">
        <v>10325</v>
      </c>
      <c r="M1644" s="1" t="s">
        <v>10326</v>
      </c>
      <c r="N1644" s="1" t="s">
        <v>2610</v>
      </c>
      <c r="P1644" s="1" t="s">
        <v>5186</v>
      </c>
      <c r="Q1644" s="30" t="s">
        <v>2565</v>
      </c>
      <c r="R1644" s="33" t="s">
        <v>3474</v>
      </c>
      <c r="S1644">
        <v>37</v>
      </c>
      <c r="T1644" s="1" t="s">
        <v>13905</v>
      </c>
      <c r="U1644" s="1" t="str">
        <f>HYPERLINK("http://ictvonline.org/taxonomy/p/taxonomy-history?taxnode_id=202100866","ICTVonline=202100866")</f>
        <v>ICTVonline=202100866</v>
      </c>
    </row>
    <row r="1645" spans="1:21" x14ac:dyDescent="0.2">
      <c r="A1645" s="3">
        <v>1644</v>
      </c>
      <c r="B1645" s="1" t="s">
        <v>4875</v>
      </c>
      <c r="D1645" s="1" t="s">
        <v>4876</v>
      </c>
      <c r="F1645" s="1" t="s">
        <v>4880</v>
      </c>
      <c r="H1645" s="1" t="s">
        <v>4881</v>
      </c>
      <c r="L1645" s="1" t="s">
        <v>10325</v>
      </c>
      <c r="M1645" s="1" t="s">
        <v>10326</v>
      </c>
      <c r="N1645" s="1" t="s">
        <v>10334</v>
      </c>
      <c r="P1645" s="1" t="s">
        <v>10335</v>
      </c>
      <c r="Q1645" s="30" t="s">
        <v>2565</v>
      </c>
      <c r="R1645" s="33" t="s">
        <v>3472</v>
      </c>
      <c r="S1645">
        <v>37</v>
      </c>
      <c r="T1645" s="1" t="s">
        <v>13904</v>
      </c>
      <c r="U1645" s="1" t="str">
        <f>HYPERLINK("http://ictvonline.org/taxonomy/p/taxonomy-history?taxnode_id=202112666","ICTVonline=202112666")</f>
        <v>ICTVonline=202112666</v>
      </c>
    </row>
    <row r="1646" spans="1:21" x14ac:dyDescent="0.2">
      <c r="A1646" s="3">
        <v>1645</v>
      </c>
      <c r="B1646" s="1" t="s">
        <v>4875</v>
      </c>
      <c r="D1646" s="1" t="s">
        <v>4876</v>
      </c>
      <c r="F1646" s="1" t="s">
        <v>4880</v>
      </c>
      <c r="H1646" s="1" t="s">
        <v>4881</v>
      </c>
      <c r="L1646" s="1" t="s">
        <v>10325</v>
      </c>
      <c r="M1646" s="1" t="s">
        <v>10326</v>
      </c>
      <c r="N1646" s="1" t="s">
        <v>10334</v>
      </c>
      <c r="P1646" s="1" t="s">
        <v>10336</v>
      </c>
      <c r="Q1646" s="30" t="s">
        <v>2565</v>
      </c>
      <c r="R1646" s="33" t="s">
        <v>3472</v>
      </c>
      <c r="S1646">
        <v>37</v>
      </c>
      <c r="T1646" s="1" t="s">
        <v>13904</v>
      </c>
      <c r="U1646" s="1" t="str">
        <f>HYPERLINK("http://ictvonline.org/taxonomy/p/taxonomy-history?taxnode_id=202112667","ICTVonline=202112667")</f>
        <v>ICTVonline=202112667</v>
      </c>
    </row>
    <row r="1647" spans="1:21" x14ac:dyDescent="0.2">
      <c r="A1647" s="3">
        <v>1646</v>
      </c>
      <c r="B1647" s="1" t="s">
        <v>4875</v>
      </c>
      <c r="D1647" s="1" t="s">
        <v>4876</v>
      </c>
      <c r="F1647" s="1" t="s">
        <v>4880</v>
      </c>
      <c r="H1647" s="1" t="s">
        <v>4881</v>
      </c>
      <c r="L1647" s="1" t="s">
        <v>10325</v>
      </c>
      <c r="M1647" s="1" t="s">
        <v>10326</v>
      </c>
      <c r="N1647" s="1" t="s">
        <v>10334</v>
      </c>
      <c r="P1647" s="1" t="s">
        <v>10337</v>
      </c>
      <c r="Q1647" s="30" t="s">
        <v>2565</v>
      </c>
      <c r="R1647" s="33" t="s">
        <v>3473</v>
      </c>
      <c r="S1647">
        <v>37</v>
      </c>
      <c r="T1647" s="1" t="s">
        <v>13904</v>
      </c>
      <c r="U1647" s="1" t="str">
        <f>HYPERLINK("http://ictvonline.org/taxonomy/p/taxonomy-history?taxnode_id=202100865","ICTVonline=202100865")</f>
        <v>ICTVonline=202100865</v>
      </c>
    </row>
    <row r="1648" spans="1:21" x14ac:dyDescent="0.2">
      <c r="A1648" s="3">
        <v>1647</v>
      </c>
      <c r="B1648" s="1" t="s">
        <v>4875</v>
      </c>
      <c r="D1648" s="1" t="s">
        <v>4876</v>
      </c>
      <c r="F1648" s="1" t="s">
        <v>4880</v>
      </c>
      <c r="H1648" s="1" t="s">
        <v>4881</v>
      </c>
      <c r="L1648" s="1" t="s">
        <v>10325</v>
      </c>
      <c r="M1648" s="1" t="s">
        <v>10326</v>
      </c>
      <c r="N1648" s="1" t="s">
        <v>10334</v>
      </c>
      <c r="P1648" s="1" t="s">
        <v>10338</v>
      </c>
      <c r="Q1648" s="30" t="s">
        <v>2565</v>
      </c>
      <c r="R1648" s="33" t="s">
        <v>3472</v>
      </c>
      <c r="S1648">
        <v>37</v>
      </c>
      <c r="T1648" s="1" t="s">
        <v>13904</v>
      </c>
      <c r="U1648" s="1" t="str">
        <f>HYPERLINK("http://ictvonline.org/taxonomy/p/taxonomy-history?taxnode_id=202112668","ICTVonline=202112668")</f>
        <v>ICTVonline=202112668</v>
      </c>
    </row>
    <row r="1649" spans="1:21" x14ac:dyDescent="0.2">
      <c r="A1649" s="3">
        <v>1648</v>
      </c>
      <c r="B1649" s="1" t="s">
        <v>4875</v>
      </c>
      <c r="D1649" s="1" t="s">
        <v>4876</v>
      </c>
      <c r="F1649" s="1" t="s">
        <v>4880</v>
      </c>
      <c r="H1649" s="1" t="s">
        <v>4881</v>
      </c>
      <c r="L1649" s="1" t="s">
        <v>10325</v>
      </c>
      <c r="M1649" s="1" t="s">
        <v>10326</v>
      </c>
      <c r="N1649" s="1" t="s">
        <v>10334</v>
      </c>
      <c r="P1649" s="1" t="s">
        <v>10339</v>
      </c>
      <c r="Q1649" s="30" t="s">
        <v>2565</v>
      </c>
      <c r="R1649" s="33" t="s">
        <v>3472</v>
      </c>
      <c r="S1649">
        <v>37</v>
      </c>
      <c r="T1649" s="1" t="s">
        <v>13904</v>
      </c>
      <c r="U1649" s="1" t="str">
        <f>HYPERLINK("http://ictvonline.org/taxonomy/p/taxonomy-history?taxnode_id=202112669","ICTVonline=202112669")</f>
        <v>ICTVonline=202112669</v>
      </c>
    </row>
    <row r="1650" spans="1:21" x14ac:dyDescent="0.2">
      <c r="A1650" s="3">
        <v>1649</v>
      </c>
      <c r="B1650" s="1" t="s">
        <v>4875</v>
      </c>
      <c r="D1650" s="1" t="s">
        <v>4876</v>
      </c>
      <c r="F1650" s="1" t="s">
        <v>4880</v>
      </c>
      <c r="H1650" s="1" t="s">
        <v>4881</v>
      </c>
      <c r="L1650" s="1" t="s">
        <v>10325</v>
      </c>
      <c r="M1650" s="1" t="s">
        <v>10326</v>
      </c>
      <c r="N1650" s="1" t="s">
        <v>10334</v>
      </c>
      <c r="P1650" s="1" t="s">
        <v>10340</v>
      </c>
      <c r="Q1650" s="30" t="s">
        <v>2565</v>
      </c>
      <c r="R1650" s="33" t="s">
        <v>3473</v>
      </c>
      <c r="S1650">
        <v>37</v>
      </c>
      <c r="T1650" s="1" t="s">
        <v>13904</v>
      </c>
      <c r="U1650" s="1" t="str">
        <f>HYPERLINK("http://ictvonline.org/taxonomy/p/taxonomy-history?taxnode_id=202100867","ICTVonline=202100867")</f>
        <v>ICTVonline=202100867</v>
      </c>
    </row>
    <row r="1651" spans="1:21" x14ac:dyDescent="0.2">
      <c r="A1651" s="3">
        <v>1650</v>
      </c>
      <c r="B1651" s="1" t="s">
        <v>4875</v>
      </c>
      <c r="D1651" s="1" t="s">
        <v>4876</v>
      </c>
      <c r="F1651" s="1" t="s">
        <v>4880</v>
      </c>
      <c r="H1651" s="1" t="s">
        <v>4881</v>
      </c>
      <c r="L1651" s="1" t="s">
        <v>10325</v>
      </c>
      <c r="M1651" s="1" t="s">
        <v>10326</v>
      </c>
      <c r="N1651" s="1" t="s">
        <v>10334</v>
      </c>
      <c r="P1651" s="1" t="s">
        <v>10341</v>
      </c>
      <c r="Q1651" s="30" t="s">
        <v>2565</v>
      </c>
      <c r="R1651" s="33" t="s">
        <v>3472</v>
      </c>
      <c r="S1651">
        <v>37</v>
      </c>
      <c r="T1651" s="1" t="s">
        <v>13904</v>
      </c>
      <c r="U1651" s="1" t="str">
        <f>HYPERLINK("http://ictvonline.org/taxonomy/p/taxonomy-history?taxnode_id=202112670","ICTVonline=202112670")</f>
        <v>ICTVonline=202112670</v>
      </c>
    </row>
    <row r="1652" spans="1:21" x14ac:dyDescent="0.2">
      <c r="A1652" s="3">
        <v>1651</v>
      </c>
      <c r="B1652" s="1" t="s">
        <v>4875</v>
      </c>
      <c r="D1652" s="1" t="s">
        <v>4876</v>
      </c>
      <c r="F1652" s="1" t="s">
        <v>4880</v>
      </c>
      <c r="H1652" s="1" t="s">
        <v>4881</v>
      </c>
      <c r="L1652" s="1" t="s">
        <v>10325</v>
      </c>
      <c r="M1652" s="1" t="s">
        <v>10326</v>
      </c>
      <c r="N1652" s="1" t="s">
        <v>10342</v>
      </c>
      <c r="P1652" s="1" t="s">
        <v>10343</v>
      </c>
      <c r="Q1652" s="30" t="s">
        <v>2565</v>
      </c>
      <c r="R1652" s="33" t="s">
        <v>3472</v>
      </c>
      <c r="S1652">
        <v>37</v>
      </c>
      <c r="T1652" s="1" t="s">
        <v>13904</v>
      </c>
      <c r="U1652" s="1" t="str">
        <f>HYPERLINK("http://ictvonline.org/taxonomy/p/taxonomy-history?taxnode_id=202112664","ICTVonline=202112664")</f>
        <v>ICTVonline=202112664</v>
      </c>
    </row>
    <row r="1653" spans="1:21" x14ac:dyDescent="0.2">
      <c r="A1653" s="3">
        <v>1652</v>
      </c>
      <c r="B1653" s="1" t="s">
        <v>4875</v>
      </c>
      <c r="D1653" s="1" t="s">
        <v>4876</v>
      </c>
      <c r="F1653" s="1" t="s">
        <v>4880</v>
      </c>
      <c r="H1653" s="1" t="s">
        <v>4881</v>
      </c>
      <c r="L1653" s="1" t="s">
        <v>10325</v>
      </c>
      <c r="M1653" s="1" t="s">
        <v>10326</v>
      </c>
      <c r="N1653" s="1" t="s">
        <v>10342</v>
      </c>
      <c r="P1653" s="1" t="s">
        <v>10344</v>
      </c>
      <c r="Q1653" s="30" t="s">
        <v>2565</v>
      </c>
      <c r="R1653" s="33" t="s">
        <v>3472</v>
      </c>
      <c r="S1653">
        <v>37</v>
      </c>
      <c r="T1653" s="1" t="s">
        <v>13904</v>
      </c>
      <c r="U1653" s="1" t="str">
        <f>HYPERLINK("http://ictvonline.org/taxonomy/p/taxonomy-history?taxnode_id=202112662","ICTVonline=202112662")</f>
        <v>ICTVonline=202112662</v>
      </c>
    </row>
    <row r="1654" spans="1:21" x14ac:dyDescent="0.2">
      <c r="A1654" s="3">
        <v>1653</v>
      </c>
      <c r="B1654" s="1" t="s">
        <v>4875</v>
      </c>
      <c r="D1654" s="1" t="s">
        <v>4876</v>
      </c>
      <c r="F1654" s="1" t="s">
        <v>4880</v>
      </c>
      <c r="H1654" s="1" t="s">
        <v>4881</v>
      </c>
      <c r="L1654" s="1" t="s">
        <v>10325</v>
      </c>
      <c r="M1654" s="1" t="s">
        <v>10326</v>
      </c>
      <c r="N1654" s="1" t="s">
        <v>10342</v>
      </c>
      <c r="P1654" s="1" t="s">
        <v>10345</v>
      </c>
      <c r="Q1654" s="30" t="s">
        <v>2565</v>
      </c>
      <c r="R1654" s="33" t="s">
        <v>3472</v>
      </c>
      <c r="S1654">
        <v>37</v>
      </c>
      <c r="T1654" s="1" t="s">
        <v>13904</v>
      </c>
      <c r="U1654" s="1" t="str">
        <f>HYPERLINK("http://ictvonline.org/taxonomy/p/taxonomy-history?taxnode_id=202112661","ICTVonline=202112661")</f>
        <v>ICTVonline=202112661</v>
      </c>
    </row>
    <row r="1655" spans="1:21" x14ac:dyDescent="0.2">
      <c r="A1655" s="3">
        <v>1654</v>
      </c>
      <c r="B1655" s="1" t="s">
        <v>4875</v>
      </c>
      <c r="D1655" s="1" t="s">
        <v>4876</v>
      </c>
      <c r="F1655" s="1" t="s">
        <v>4880</v>
      </c>
      <c r="H1655" s="1" t="s">
        <v>4881</v>
      </c>
      <c r="L1655" s="1" t="s">
        <v>10325</v>
      </c>
      <c r="M1655" s="1" t="s">
        <v>10326</v>
      </c>
      <c r="N1655" s="1" t="s">
        <v>10342</v>
      </c>
      <c r="P1655" s="1" t="s">
        <v>10346</v>
      </c>
      <c r="Q1655" s="30" t="s">
        <v>2565</v>
      </c>
      <c r="R1655" s="33" t="s">
        <v>3472</v>
      </c>
      <c r="S1655">
        <v>37</v>
      </c>
      <c r="T1655" s="1" t="s">
        <v>13904</v>
      </c>
      <c r="U1655" s="1" t="str">
        <f>HYPERLINK("http://ictvonline.org/taxonomy/p/taxonomy-history?taxnode_id=202112663","ICTVonline=202112663")</f>
        <v>ICTVonline=202112663</v>
      </c>
    </row>
    <row r="1656" spans="1:21" x14ac:dyDescent="0.2">
      <c r="A1656" s="3">
        <v>1655</v>
      </c>
      <c r="B1656" s="1" t="s">
        <v>4875</v>
      </c>
      <c r="D1656" s="1" t="s">
        <v>4876</v>
      </c>
      <c r="F1656" s="1" t="s">
        <v>4880</v>
      </c>
      <c r="H1656" s="1" t="s">
        <v>4881</v>
      </c>
      <c r="L1656" s="1" t="s">
        <v>10325</v>
      </c>
      <c r="M1656" s="1" t="s">
        <v>3124</v>
      </c>
      <c r="N1656" s="1" t="s">
        <v>3125</v>
      </c>
      <c r="P1656" s="1" t="s">
        <v>10347</v>
      </c>
      <c r="Q1656" s="30" t="s">
        <v>2565</v>
      </c>
      <c r="R1656" s="33" t="s">
        <v>3473</v>
      </c>
      <c r="S1656">
        <v>37</v>
      </c>
      <c r="T1656" s="1" t="s">
        <v>13878</v>
      </c>
      <c r="U1656" s="1" t="str">
        <f>HYPERLINK("http://ictvonline.org/taxonomy/p/taxonomy-history?taxnode_id=202100789","ICTVonline=202100789")</f>
        <v>ICTVonline=202100789</v>
      </c>
    </row>
    <row r="1657" spans="1:21" x14ac:dyDescent="0.2">
      <c r="A1657" s="3">
        <v>1656</v>
      </c>
      <c r="B1657" s="1" t="s">
        <v>4875</v>
      </c>
      <c r="D1657" s="1" t="s">
        <v>4876</v>
      </c>
      <c r="F1657" s="1" t="s">
        <v>4880</v>
      </c>
      <c r="H1657" s="1" t="s">
        <v>4881</v>
      </c>
      <c r="L1657" s="1" t="s">
        <v>10325</v>
      </c>
      <c r="M1657" s="1" t="s">
        <v>3124</v>
      </c>
      <c r="N1657" s="1" t="s">
        <v>3125</v>
      </c>
      <c r="P1657" s="1" t="s">
        <v>10348</v>
      </c>
      <c r="Q1657" s="30" t="s">
        <v>2565</v>
      </c>
      <c r="R1657" s="33" t="s">
        <v>3472</v>
      </c>
      <c r="S1657">
        <v>37</v>
      </c>
      <c r="T1657" s="1" t="s">
        <v>13904</v>
      </c>
      <c r="U1657" s="1" t="str">
        <f>HYPERLINK("http://ictvonline.org/taxonomy/p/taxonomy-history?taxnode_id=202112679","ICTVonline=202112679")</f>
        <v>ICTVonline=202112679</v>
      </c>
    </row>
    <row r="1658" spans="1:21" x14ac:dyDescent="0.2">
      <c r="A1658" s="3">
        <v>1657</v>
      </c>
      <c r="B1658" s="1" t="s">
        <v>4875</v>
      </c>
      <c r="D1658" s="1" t="s">
        <v>4876</v>
      </c>
      <c r="F1658" s="1" t="s">
        <v>4880</v>
      </c>
      <c r="H1658" s="1" t="s">
        <v>4881</v>
      </c>
      <c r="L1658" s="1" t="s">
        <v>10325</v>
      </c>
      <c r="M1658" s="1" t="s">
        <v>3124</v>
      </c>
      <c r="N1658" s="1" t="s">
        <v>2648</v>
      </c>
      <c r="P1658" s="1" t="s">
        <v>10349</v>
      </c>
      <c r="Q1658" s="30" t="s">
        <v>2565</v>
      </c>
      <c r="R1658" s="33" t="s">
        <v>3472</v>
      </c>
      <c r="S1658">
        <v>37</v>
      </c>
      <c r="T1658" s="1" t="s">
        <v>13904</v>
      </c>
      <c r="U1658" s="1" t="str">
        <f>HYPERLINK("http://ictvonline.org/taxonomy/p/taxonomy-history?taxnode_id=202112676","ICTVonline=202112676")</f>
        <v>ICTVonline=202112676</v>
      </c>
    </row>
    <row r="1659" spans="1:21" x14ac:dyDescent="0.2">
      <c r="A1659" s="3">
        <v>1658</v>
      </c>
      <c r="B1659" s="1" t="s">
        <v>4875</v>
      </c>
      <c r="D1659" s="1" t="s">
        <v>4876</v>
      </c>
      <c r="F1659" s="1" t="s">
        <v>4880</v>
      </c>
      <c r="H1659" s="1" t="s">
        <v>4881</v>
      </c>
      <c r="L1659" s="1" t="s">
        <v>10325</v>
      </c>
      <c r="M1659" s="1" t="s">
        <v>3124</v>
      </c>
      <c r="N1659" s="1" t="s">
        <v>2648</v>
      </c>
      <c r="P1659" s="1" t="s">
        <v>10350</v>
      </c>
      <c r="Q1659" s="30" t="s">
        <v>2565</v>
      </c>
      <c r="R1659" s="33" t="s">
        <v>3472</v>
      </c>
      <c r="S1659">
        <v>37</v>
      </c>
      <c r="T1659" s="1" t="s">
        <v>13904</v>
      </c>
      <c r="U1659" s="1" t="str">
        <f>HYPERLINK("http://ictvonline.org/taxonomy/p/taxonomy-history?taxnode_id=202112677","ICTVonline=202112677")</f>
        <v>ICTVonline=202112677</v>
      </c>
    </row>
    <row r="1660" spans="1:21" x14ac:dyDescent="0.2">
      <c r="A1660" s="3">
        <v>1659</v>
      </c>
      <c r="B1660" s="1" t="s">
        <v>4875</v>
      </c>
      <c r="D1660" s="1" t="s">
        <v>4876</v>
      </c>
      <c r="F1660" s="1" t="s">
        <v>4880</v>
      </c>
      <c r="H1660" s="1" t="s">
        <v>4881</v>
      </c>
      <c r="L1660" s="1" t="s">
        <v>10325</v>
      </c>
      <c r="M1660" s="1" t="s">
        <v>3124</v>
      </c>
      <c r="N1660" s="1" t="s">
        <v>2648</v>
      </c>
      <c r="P1660" s="1" t="s">
        <v>10351</v>
      </c>
      <c r="Q1660" s="30" t="s">
        <v>2565</v>
      </c>
      <c r="R1660" s="33" t="s">
        <v>3472</v>
      </c>
      <c r="S1660">
        <v>37</v>
      </c>
      <c r="T1660" s="1" t="s">
        <v>13904</v>
      </c>
      <c r="U1660" s="1" t="str">
        <f>HYPERLINK("http://ictvonline.org/taxonomy/p/taxonomy-history?taxnode_id=202112678","ICTVonline=202112678")</f>
        <v>ICTVonline=202112678</v>
      </c>
    </row>
    <row r="1661" spans="1:21" x14ac:dyDescent="0.2">
      <c r="A1661" s="3">
        <v>1660</v>
      </c>
      <c r="B1661" s="1" t="s">
        <v>4875</v>
      </c>
      <c r="D1661" s="1" t="s">
        <v>4876</v>
      </c>
      <c r="F1661" s="1" t="s">
        <v>4880</v>
      </c>
      <c r="H1661" s="1" t="s">
        <v>4881</v>
      </c>
      <c r="L1661" s="1" t="s">
        <v>10325</v>
      </c>
      <c r="M1661" s="1" t="s">
        <v>3124</v>
      </c>
      <c r="N1661" s="1" t="s">
        <v>2648</v>
      </c>
      <c r="P1661" s="1" t="s">
        <v>10352</v>
      </c>
      <c r="Q1661" s="30" t="s">
        <v>2565</v>
      </c>
      <c r="R1661" s="33" t="s">
        <v>3473</v>
      </c>
      <c r="S1661">
        <v>37</v>
      </c>
      <c r="T1661" s="1" t="s">
        <v>13878</v>
      </c>
      <c r="U1661" s="1" t="str">
        <f>HYPERLINK("http://ictvonline.org/taxonomy/p/taxonomy-history?taxnode_id=202100791","ICTVonline=202100791")</f>
        <v>ICTVonline=202100791</v>
      </c>
    </row>
    <row r="1662" spans="1:21" x14ac:dyDescent="0.2">
      <c r="A1662" s="3">
        <v>1661</v>
      </c>
      <c r="B1662" s="1" t="s">
        <v>4875</v>
      </c>
      <c r="D1662" s="1" t="s">
        <v>4876</v>
      </c>
      <c r="F1662" s="1" t="s">
        <v>4880</v>
      </c>
      <c r="H1662" s="1" t="s">
        <v>4881</v>
      </c>
      <c r="L1662" s="1" t="s">
        <v>10325</v>
      </c>
      <c r="N1662" s="1" t="s">
        <v>10353</v>
      </c>
      <c r="P1662" s="1" t="s">
        <v>10354</v>
      </c>
      <c r="Q1662" s="30" t="s">
        <v>2565</v>
      </c>
      <c r="R1662" s="33" t="s">
        <v>3472</v>
      </c>
      <c r="S1662">
        <v>37</v>
      </c>
      <c r="T1662" s="1" t="s">
        <v>13904</v>
      </c>
      <c r="U1662" s="1" t="str">
        <f>HYPERLINK("http://ictvonline.org/taxonomy/p/taxonomy-history?taxnode_id=202112675","ICTVonline=202112675")</f>
        <v>ICTVonline=202112675</v>
      </c>
    </row>
    <row r="1663" spans="1:21" x14ac:dyDescent="0.2">
      <c r="A1663" s="3">
        <v>1662</v>
      </c>
      <c r="B1663" s="1" t="s">
        <v>4875</v>
      </c>
      <c r="D1663" s="1" t="s">
        <v>4876</v>
      </c>
      <c r="F1663" s="1" t="s">
        <v>4880</v>
      </c>
      <c r="H1663" s="1" t="s">
        <v>4881</v>
      </c>
      <c r="L1663" s="1" t="s">
        <v>10325</v>
      </c>
      <c r="N1663" s="1" t="s">
        <v>3218</v>
      </c>
      <c r="P1663" s="1" t="s">
        <v>3219</v>
      </c>
      <c r="Q1663" s="30" t="s">
        <v>2565</v>
      </c>
      <c r="R1663" s="33" t="s">
        <v>3474</v>
      </c>
      <c r="S1663">
        <v>37</v>
      </c>
      <c r="T1663" s="1" t="s">
        <v>13905</v>
      </c>
      <c r="U1663" s="1" t="str">
        <f>HYPERLINK("http://ictvonline.org/taxonomy/p/taxonomy-history?taxnode_id=202101371","ICTVonline=202101371")</f>
        <v>ICTVonline=202101371</v>
      </c>
    </row>
    <row r="1664" spans="1:21" x14ac:dyDescent="0.2">
      <c r="A1664" s="3">
        <v>1663</v>
      </c>
      <c r="B1664" s="1" t="s">
        <v>4875</v>
      </c>
      <c r="D1664" s="1" t="s">
        <v>4876</v>
      </c>
      <c r="F1664" s="1" t="s">
        <v>4880</v>
      </c>
      <c r="H1664" s="1" t="s">
        <v>4881</v>
      </c>
      <c r="L1664" s="1" t="s">
        <v>10355</v>
      </c>
      <c r="N1664" s="1" t="s">
        <v>10356</v>
      </c>
      <c r="P1664" s="1" t="s">
        <v>10357</v>
      </c>
      <c r="Q1664" s="30" t="s">
        <v>2565</v>
      </c>
      <c r="R1664" s="33" t="s">
        <v>3472</v>
      </c>
      <c r="S1664">
        <v>37</v>
      </c>
      <c r="T1664" s="1" t="s">
        <v>13879</v>
      </c>
      <c r="U1664" s="1" t="str">
        <f>HYPERLINK("http://ictvonline.org/taxonomy/p/taxonomy-history?taxnode_id=202113568","ICTVonline=202113568")</f>
        <v>ICTVonline=202113568</v>
      </c>
    </row>
    <row r="1665" spans="1:21" x14ac:dyDescent="0.2">
      <c r="A1665" s="3">
        <v>1664</v>
      </c>
      <c r="B1665" s="1" t="s">
        <v>4875</v>
      </c>
      <c r="D1665" s="1" t="s">
        <v>4876</v>
      </c>
      <c r="F1665" s="1" t="s">
        <v>4880</v>
      </c>
      <c r="H1665" s="1" t="s">
        <v>4881</v>
      </c>
      <c r="L1665" s="1" t="s">
        <v>10355</v>
      </c>
      <c r="N1665" s="1" t="s">
        <v>6035</v>
      </c>
      <c r="P1665" s="1" t="s">
        <v>10358</v>
      </c>
      <c r="Q1665" s="30" t="s">
        <v>2565</v>
      </c>
      <c r="R1665" s="33" t="s">
        <v>3473</v>
      </c>
      <c r="S1665">
        <v>37</v>
      </c>
      <c r="T1665" s="1" t="s">
        <v>13879</v>
      </c>
      <c r="U1665" s="1" t="str">
        <f>HYPERLINK("http://ictvonline.org/taxonomy/p/taxonomy-history?taxnode_id=202110015","ICTVonline=202110015")</f>
        <v>ICTVonline=202110015</v>
      </c>
    </row>
    <row r="1666" spans="1:21" x14ac:dyDescent="0.2">
      <c r="A1666" s="3">
        <v>1665</v>
      </c>
      <c r="B1666" s="1" t="s">
        <v>4875</v>
      </c>
      <c r="D1666" s="1" t="s">
        <v>4876</v>
      </c>
      <c r="F1666" s="1" t="s">
        <v>4880</v>
      </c>
      <c r="H1666" s="1" t="s">
        <v>4881</v>
      </c>
      <c r="L1666" s="1" t="s">
        <v>10355</v>
      </c>
      <c r="N1666" s="1" t="s">
        <v>6035</v>
      </c>
      <c r="P1666" s="1" t="s">
        <v>10359</v>
      </c>
      <c r="Q1666" s="30" t="s">
        <v>2565</v>
      </c>
      <c r="R1666" s="33" t="s">
        <v>3473</v>
      </c>
      <c r="S1666">
        <v>37</v>
      </c>
      <c r="T1666" s="1" t="s">
        <v>13879</v>
      </c>
      <c r="U1666" s="1" t="str">
        <f>HYPERLINK("http://ictvonline.org/taxonomy/p/taxonomy-history?taxnode_id=202110014","ICTVonline=202110014")</f>
        <v>ICTVonline=202110014</v>
      </c>
    </row>
    <row r="1667" spans="1:21" x14ac:dyDescent="0.2">
      <c r="A1667" s="3">
        <v>1666</v>
      </c>
      <c r="B1667" s="1" t="s">
        <v>4875</v>
      </c>
      <c r="D1667" s="1" t="s">
        <v>4876</v>
      </c>
      <c r="F1667" s="1" t="s">
        <v>4880</v>
      </c>
      <c r="H1667" s="1" t="s">
        <v>4881</v>
      </c>
      <c r="L1667" s="1" t="s">
        <v>10360</v>
      </c>
      <c r="M1667" s="1" t="s">
        <v>10361</v>
      </c>
      <c r="N1667" s="1" t="s">
        <v>10362</v>
      </c>
      <c r="P1667" s="1" t="s">
        <v>10363</v>
      </c>
      <c r="Q1667" s="30" t="s">
        <v>2565</v>
      </c>
      <c r="R1667" s="33" t="s">
        <v>3472</v>
      </c>
      <c r="S1667">
        <v>37</v>
      </c>
      <c r="T1667" s="1" t="s">
        <v>13906</v>
      </c>
      <c r="U1667" s="1" t="str">
        <f>HYPERLINK("http://ictvonline.org/taxonomy/p/taxonomy-history?taxnode_id=202113403","ICTVonline=202113403")</f>
        <v>ICTVonline=202113403</v>
      </c>
    </row>
    <row r="1668" spans="1:21" x14ac:dyDescent="0.2">
      <c r="A1668" s="3">
        <v>1667</v>
      </c>
      <c r="B1668" s="1" t="s">
        <v>4875</v>
      </c>
      <c r="D1668" s="1" t="s">
        <v>4876</v>
      </c>
      <c r="F1668" s="1" t="s">
        <v>4880</v>
      </c>
      <c r="H1668" s="1" t="s">
        <v>4881</v>
      </c>
      <c r="L1668" s="1" t="s">
        <v>10360</v>
      </c>
      <c r="M1668" s="1" t="s">
        <v>10361</v>
      </c>
      <c r="N1668" s="1" t="s">
        <v>10362</v>
      </c>
      <c r="P1668" s="1" t="s">
        <v>10364</v>
      </c>
      <c r="Q1668" s="30" t="s">
        <v>2565</v>
      </c>
      <c r="R1668" s="33" t="s">
        <v>3472</v>
      </c>
      <c r="S1668">
        <v>37</v>
      </c>
      <c r="T1668" s="1" t="s">
        <v>13906</v>
      </c>
      <c r="U1668" s="1" t="str">
        <f>HYPERLINK("http://ictvonline.org/taxonomy/p/taxonomy-history?taxnode_id=202113400","ICTVonline=202113400")</f>
        <v>ICTVonline=202113400</v>
      </c>
    </row>
    <row r="1669" spans="1:21" x14ac:dyDescent="0.2">
      <c r="A1669" s="3">
        <v>1668</v>
      </c>
      <c r="B1669" s="1" t="s">
        <v>4875</v>
      </c>
      <c r="D1669" s="1" t="s">
        <v>4876</v>
      </c>
      <c r="F1669" s="1" t="s">
        <v>4880</v>
      </c>
      <c r="H1669" s="1" t="s">
        <v>4881</v>
      </c>
      <c r="L1669" s="1" t="s">
        <v>10360</v>
      </c>
      <c r="M1669" s="1" t="s">
        <v>10361</v>
      </c>
      <c r="N1669" s="1" t="s">
        <v>10362</v>
      </c>
      <c r="P1669" s="1" t="s">
        <v>10365</v>
      </c>
      <c r="Q1669" s="30" t="s">
        <v>2565</v>
      </c>
      <c r="R1669" s="33" t="s">
        <v>3472</v>
      </c>
      <c r="S1669">
        <v>37</v>
      </c>
      <c r="T1669" s="1" t="s">
        <v>13906</v>
      </c>
      <c r="U1669" s="1" t="str">
        <f>HYPERLINK("http://ictvonline.org/taxonomy/p/taxonomy-history?taxnode_id=202113401","ICTVonline=202113401")</f>
        <v>ICTVonline=202113401</v>
      </c>
    </row>
    <row r="1670" spans="1:21" x14ac:dyDescent="0.2">
      <c r="A1670" s="3">
        <v>1669</v>
      </c>
      <c r="B1670" s="1" t="s">
        <v>4875</v>
      </c>
      <c r="D1670" s="1" t="s">
        <v>4876</v>
      </c>
      <c r="F1670" s="1" t="s">
        <v>4880</v>
      </c>
      <c r="H1670" s="1" t="s">
        <v>4881</v>
      </c>
      <c r="L1670" s="1" t="s">
        <v>10360</v>
      </c>
      <c r="M1670" s="1" t="s">
        <v>10361</v>
      </c>
      <c r="N1670" s="1" t="s">
        <v>10362</v>
      </c>
      <c r="P1670" s="1" t="s">
        <v>10366</v>
      </c>
      <c r="Q1670" s="30" t="s">
        <v>2565</v>
      </c>
      <c r="R1670" s="33" t="s">
        <v>3472</v>
      </c>
      <c r="S1670">
        <v>37</v>
      </c>
      <c r="T1670" s="1" t="s">
        <v>13906</v>
      </c>
      <c r="U1670" s="1" t="str">
        <f>HYPERLINK("http://ictvonline.org/taxonomy/p/taxonomy-history?taxnode_id=202113402","ICTVonline=202113402")</f>
        <v>ICTVonline=202113402</v>
      </c>
    </row>
    <row r="1671" spans="1:21" x14ac:dyDescent="0.2">
      <c r="A1671" s="3">
        <v>1670</v>
      </c>
      <c r="B1671" s="1" t="s">
        <v>4875</v>
      </c>
      <c r="D1671" s="1" t="s">
        <v>4876</v>
      </c>
      <c r="F1671" s="1" t="s">
        <v>4880</v>
      </c>
      <c r="H1671" s="1" t="s">
        <v>4881</v>
      </c>
      <c r="L1671" s="1" t="s">
        <v>10360</v>
      </c>
      <c r="M1671" s="1" t="s">
        <v>10361</v>
      </c>
      <c r="N1671" s="1" t="s">
        <v>10362</v>
      </c>
      <c r="P1671" s="1" t="s">
        <v>10367</v>
      </c>
      <c r="Q1671" s="30" t="s">
        <v>2565</v>
      </c>
      <c r="R1671" s="33" t="s">
        <v>3472</v>
      </c>
      <c r="S1671">
        <v>37</v>
      </c>
      <c r="T1671" s="1" t="s">
        <v>13906</v>
      </c>
      <c r="U1671" s="1" t="str">
        <f>HYPERLINK("http://ictvonline.org/taxonomy/p/taxonomy-history?taxnode_id=202113404","ICTVonline=202113404")</f>
        <v>ICTVonline=202113404</v>
      </c>
    </row>
    <row r="1672" spans="1:21" x14ac:dyDescent="0.2">
      <c r="A1672" s="3">
        <v>1671</v>
      </c>
      <c r="B1672" s="1" t="s">
        <v>4875</v>
      </c>
      <c r="D1672" s="1" t="s">
        <v>4876</v>
      </c>
      <c r="F1672" s="1" t="s">
        <v>4880</v>
      </c>
      <c r="H1672" s="1" t="s">
        <v>4881</v>
      </c>
      <c r="L1672" s="1" t="s">
        <v>10360</v>
      </c>
      <c r="M1672" s="1" t="s">
        <v>10361</v>
      </c>
      <c r="N1672" s="1" t="s">
        <v>10368</v>
      </c>
      <c r="P1672" s="1" t="s">
        <v>10369</v>
      </c>
      <c r="Q1672" s="30" t="s">
        <v>2565</v>
      </c>
      <c r="R1672" s="33" t="s">
        <v>3472</v>
      </c>
      <c r="S1672">
        <v>37</v>
      </c>
      <c r="T1672" s="1" t="s">
        <v>13906</v>
      </c>
      <c r="U1672" s="1" t="str">
        <f>HYPERLINK("http://ictvonline.org/taxonomy/p/taxonomy-history?taxnode_id=202113415","ICTVonline=202113415")</f>
        <v>ICTVonline=202113415</v>
      </c>
    </row>
    <row r="1673" spans="1:21" x14ac:dyDescent="0.2">
      <c r="A1673" s="3">
        <v>1672</v>
      </c>
      <c r="B1673" s="1" t="s">
        <v>4875</v>
      </c>
      <c r="D1673" s="1" t="s">
        <v>4876</v>
      </c>
      <c r="F1673" s="1" t="s">
        <v>4880</v>
      </c>
      <c r="H1673" s="1" t="s">
        <v>4881</v>
      </c>
      <c r="L1673" s="1" t="s">
        <v>10360</v>
      </c>
      <c r="M1673" s="1" t="s">
        <v>10361</v>
      </c>
      <c r="N1673" s="1" t="s">
        <v>10368</v>
      </c>
      <c r="P1673" s="1" t="s">
        <v>10370</v>
      </c>
      <c r="Q1673" s="30" t="s">
        <v>2565</v>
      </c>
      <c r="R1673" s="33" t="s">
        <v>3472</v>
      </c>
      <c r="S1673">
        <v>37</v>
      </c>
      <c r="T1673" s="1" t="s">
        <v>13906</v>
      </c>
      <c r="U1673" s="1" t="str">
        <f>HYPERLINK("http://ictvonline.org/taxonomy/p/taxonomy-history?taxnode_id=202113412","ICTVonline=202113412")</f>
        <v>ICTVonline=202113412</v>
      </c>
    </row>
    <row r="1674" spans="1:21" x14ac:dyDescent="0.2">
      <c r="A1674" s="3">
        <v>1673</v>
      </c>
      <c r="B1674" s="1" t="s">
        <v>4875</v>
      </c>
      <c r="D1674" s="1" t="s">
        <v>4876</v>
      </c>
      <c r="F1674" s="1" t="s">
        <v>4880</v>
      </c>
      <c r="H1674" s="1" t="s">
        <v>4881</v>
      </c>
      <c r="L1674" s="1" t="s">
        <v>10360</v>
      </c>
      <c r="M1674" s="1" t="s">
        <v>10361</v>
      </c>
      <c r="N1674" s="1" t="s">
        <v>10368</v>
      </c>
      <c r="P1674" s="1" t="s">
        <v>10371</v>
      </c>
      <c r="Q1674" s="30" t="s">
        <v>2565</v>
      </c>
      <c r="R1674" s="33" t="s">
        <v>3472</v>
      </c>
      <c r="S1674">
        <v>37</v>
      </c>
      <c r="T1674" s="1" t="s">
        <v>13906</v>
      </c>
      <c r="U1674" s="1" t="str">
        <f>HYPERLINK("http://ictvonline.org/taxonomy/p/taxonomy-history?taxnode_id=202113414","ICTVonline=202113414")</f>
        <v>ICTVonline=202113414</v>
      </c>
    </row>
    <row r="1675" spans="1:21" x14ac:dyDescent="0.2">
      <c r="A1675" s="3">
        <v>1674</v>
      </c>
      <c r="B1675" s="1" t="s">
        <v>4875</v>
      </c>
      <c r="D1675" s="1" t="s">
        <v>4876</v>
      </c>
      <c r="F1675" s="1" t="s">
        <v>4880</v>
      </c>
      <c r="H1675" s="1" t="s">
        <v>4881</v>
      </c>
      <c r="L1675" s="1" t="s">
        <v>10360</v>
      </c>
      <c r="M1675" s="1" t="s">
        <v>10361</v>
      </c>
      <c r="N1675" s="1" t="s">
        <v>10368</v>
      </c>
      <c r="P1675" s="1" t="s">
        <v>10372</v>
      </c>
      <c r="Q1675" s="30" t="s">
        <v>2565</v>
      </c>
      <c r="R1675" s="33" t="s">
        <v>3472</v>
      </c>
      <c r="S1675">
        <v>37</v>
      </c>
      <c r="T1675" s="1" t="s">
        <v>13906</v>
      </c>
      <c r="U1675" s="1" t="str">
        <f>HYPERLINK("http://ictvonline.org/taxonomy/p/taxonomy-history?taxnode_id=202113413","ICTVonline=202113413")</f>
        <v>ICTVonline=202113413</v>
      </c>
    </row>
    <row r="1676" spans="1:21" x14ac:dyDescent="0.2">
      <c r="A1676" s="3">
        <v>1675</v>
      </c>
      <c r="B1676" s="1" t="s">
        <v>4875</v>
      </c>
      <c r="D1676" s="1" t="s">
        <v>4876</v>
      </c>
      <c r="F1676" s="1" t="s">
        <v>4880</v>
      </c>
      <c r="H1676" s="1" t="s">
        <v>4881</v>
      </c>
      <c r="L1676" s="1" t="s">
        <v>10360</v>
      </c>
      <c r="M1676" s="1" t="s">
        <v>10361</v>
      </c>
      <c r="N1676" s="1" t="s">
        <v>10373</v>
      </c>
      <c r="P1676" s="1" t="s">
        <v>10374</v>
      </c>
      <c r="Q1676" s="30" t="s">
        <v>2565</v>
      </c>
      <c r="R1676" s="33" t="s">
        <v>3472</v>
      </c>
      <c r="S1676">
        <v>37</v>
      </c>
      <c r="T1676" s="1" t="s">
        <v>13906</v>
      </c>
      <c r="U1676" s="1" t="str">
        <f>HYPERLINK("http://ictvonline.org/taxonomy/p/taxonomy-history?taxnode_id=202113397","ICTVonline=202113397")</f>
        <v>ICTVonline=202113397</v>
      </c>
    </row>
    <row r="1677" spans="1:21" x14ac:dyDescent="0.2">
      <c r="A1677" s="3">
        <v>1676</v>
      </c>
      <c r="B1677" s="1" t="s">
        <v>4875</v>
      </c>
      <c r="D1677" s="1" t="s">
        <v>4876</v>
      </c>
      <c r="F1677" s="1" t="s">
        <v>4880</v>
      </c>
      <c r="H1677" s="1" t="s">
        <v>4881</v>
      </c>
      <c r="L1677" s="1" t="s">
        <v>10360</v>
      </c>
      <c r="M1677" s="1" t="s">
        <v>10361</v>
      </c>
      <c r="N1677" s="1" t="s">
        <v>10373</v>
      </c>
      <c r="P1677" s="1" t="s">
        <v>10375</v>
      </c>
      <c r="Q1677" s="30" t="s">
        <v>2565</v>
      </c>
      <c r="R1677" s="33" t="s">
        <v>3472</v>
      </c>
      <c r="S1677">
        <v>37</v>
      </c>
      <c r="T1677" s="1" t="s">
        <v>13906</v>
      </c>
      <c r="U1677" s="1" t="str">
        <f>HYPERLINK("http://ictvonline.org/taxonomy/p/taxonomy-history?taxnode_id=202113396","ICTVonline=202113396")</f>
        <v>ICTVonline=202113396</v>
      </c>
    </row>
    <row r="1678" spans="1:21" x14ac:dyDescent="0.2">
      <c r="A1678" s="3">
        <v>1677</v>
      </c>
      <c r="B1678" s="1" t="s">
        <v>4875</v>
      </c>
      <c r="D1678" s="1" t="s">
        <v>4876</v>
      </c>
      <c r="F1678" s="1" t="s">
        <v>4880</v>
      </c>
      <c r="H1678" s="1" t="s">
        <v>4881</v>
      </c>
      <c r="L1678" s="1" t="s">
        <v>10360</v>
      </c>
      <c r="M1678" s="1" t="s">
        <v>10361</v>
      </c>
      <c r="N1678" s="1" t="s">
        <v>10373</v>
      </c>
      <c r="P1678" s="1" t="s">
        <v>10376</v>
      </c>
      <c r="Q1678" s="30" t="s">
        <v>2565</v>
      </c>
      <c r="R1678" s="33" t="s">
        <v>3472</v>
      </c>
      <c r="S1678">
        <v>37</v>
      </c>
      <c r="T1678" s="1" t="s">
        <v>13906</v>
      </c>
      <c r="U1678" s="1" t="str">
        <f>HYPERLINK("http://ictvonline.org/taxonomy/p/taxonomy-history?taxnode_id=202113398","ICTVonline=202113398")</f>
        <v>ICTVonline=202113398</v>
      </c>
    </row>
    <row r="1679" spans="1:21" x14ac:dyDescent="0.2">
      <c r="A1679" s="3">
        <v>1678</v>
      </c>
      <c r="B1679" s="1" t="s">
        <v>4875</v>
      </c>
      <c r="D1679" s="1" t="s">
        <v>4876</v>
      </c>
      <c r="F1679" s="1" t="s">
        <v>4880</v>
      </c>
      <c r="H1679" s="1" t="s">
        <v>4881</v>
      </c>
      <c r="L1679" s="1" t="s">
        <v>10360</v>
      </c>
      <c r="M1679" s="1" t="s">
        <v>10361</v>
      </c>
      <c r="N1679" s="1" t="s">
        <v>10377</v>
      </c>
      <c r="P1679" s="1" t="s">
        <v>10378</v>
      </c>
      <c r="Q1679" s="30" t="s">
        <v>2565</v>
      </c>
      <c r="R1679" s="33" t="s">
        <v>3472</v>
      </c>
      <c r="S1679">
        <v>37</v>
      </c>
      <c r="T1679" s="1" t="s">
        <v>13906</v>
      </c>
      <c r="U1679" s="1" t="str">
        <f>HYPERLINK("http://ictvonline.org/taxonomy/p/taxonomy-history?taxnode_id=202113406","ICTVonline=202113406")</f>
        <v>ICTVonline=202113406</v>
      </c>
    </row>
    <row r="1680" spans="1:21" x14ac:dyDescent="0.2">
      <c r="A1680" s="3">
        <v>1679</v>
      </c>
      <c r="B1680" s="1" t="s">
        <v>4875</v>
      </c>
      <c r="D1680" s="1" t="s">
        <v>4876</v>
      </c>
      <c r="F1680" s="1" t="s">
        <v>4880</v>
      </c>
      <c r="H1680" s="1" t="s">
        <v>4881</v>
      </c>
      <c r="L1680" s="1" t="s">
        <v>10360</v>
      </c>
      <c r="M1680" s="1" t="s">
        <v>10361</v>
      </c>
      <c r="N1680" s="1" t="s">
        <v>10379</v>
      </c>
      <c r="P1680" s="1" t="s">
        <v>10380</v>
      </c>
      <c r="Q1680" s="30" t="s">
        <v>2565</v>
      </c>
      <c r="R1680" s="33" t="s">
        <v>3472</v>
      </c>
      <c r="S1680">
        <v>37</v>
      </c>
      <c r="T1680" s="1" t="s">
        <v>13906</v>
      </c>
      <c r="U1680" s="1" t="str">
        <f>HYPERLINK("http://ictvonline.org/taxonomy/p/taxonomy-history?taxnode_id=202113410","ICTVonline=202113410")</f>
        <v>ICTVonline=202113410</v>
      </c>
    </row>
    <row r="1681" spans="1:21" x14ac:dyDescent="0.2">
      <c r="A1681" s="3">
        <v>1680</v>
      </c>
      <c r="B1681" s="1" t="s">
        <v>4875</v>
      </c>
      <c r="D1681" s="1" t="s">
        <v>4876</v>
      </c>
      <c r="F1681" s="1" t="s">
        <v>4880</v>
      </c>
      <c r="H1681" s="1" t="s">
        <v>4881</v>
      </c>
      <c r="L1681" s="1" t="s">
        <v>10360</v>
      </c>
      <c r="M1681" s="1" t="s">
        <v>10361</v>
      </c>
      <c r="N1681" s="1" t="s">
        <v>10379</v>
      </c>
      <c r="P1681" s="1" t="s">
        <v>10381</v>
      </c>
      <c r="Q1681" s="30" t="s">
        <v>2565</v>
      </c>
      <c r="R1681" s="33" t="s">
        <v>3472</v>
      </c>
      <c r="S1681">
        <v>37</v>
      </c>
      <c r="T1681" s="1" t="s">
        <v>13906</v>
      </c>
      <c r="U1681" s="1" t="str">
        <f>HYPERLINK("http://ictvonline.org/taxonomy/p/taxonomy-history?taxnode_id=202113409","ICTVonline=202113409")</f>
        <v>ICTVonline=202113409</v>
      </c>
    </row>
    <row r="1682" spans="1:21" x14ac:dyDescent="0.2">
      <c r="A1682" s="3">
        <v>1681</v>
      </c>
      <c r="B1682" s="1" t="s">
        <v>4875</v>
      </c>
      <c r="D1682" s="1" t="s">
        <v>4876</v>
      </c>
      <c r="F1682" s="1" t="s">
        <v>4880</v>
      </c>
      <c r="H1682" s="1" t="s">
        <v>4881</v>
      </c>
      <c r="L1682" s="1" t="s">
        <v>10360</v>
      </c>
      <c r="M1682" s="1" t="s">
        <v>10361</v>
      </c>
      <c r="N1682" s="1" t="s">
        <v>10379</v>
      </c>
      <c r="P1682" s="1" t="s">
        <v>10382</v>
      </c>
      <c r="Q1682" s="30" t="s">
        <v>2565</v>
      </c>
      <c r="R1682" s="33" t="s">
        <v>3472</v>
      </c>
      <c r="S1682">
        <v>37</v>
      </c>
      <c r="T1682" s="1" t="s">
        <v>13906</v>
      </c>
      <c r="U1682" s="1" t="str">
        <f>HYPERLINK("http://ictvonline.org/taxonomy/p/taxonomy-history?taxnode_id=202113408","ICTVonline=202113408")</f>
        <v>ICTVonline=202113408</v>
      </c>
    </row>
    <row r="1683" spans="1:21" x14ac:dyDescent="0.2">
      <c r="A1683" s="3">
        <v>1682</v>
      </c>
      <c r="B1683" s="1" t="s">
        <v>4875</v>
      </c>
      <c r="D1683" s="1" t="s">
        <v>4876</v>
      </c>
      <c r="F1683" s="1" t="s">
        <v>4880</v>
      </c>
      <c r="H1683" s="1" t="s">
        <v>4881</v>
      </c>
      <c r="L1683" s="1" t="s">
        <v>10360</v>
      </c>
      <c r="M1683" s="1" t="s">
        <v>10361</v>
      </c>
      <c r="N1683" s="1" t="s">
        <v>10383</v>
      </c>
      <c r="P1683" s="1" t="s">
        <v>10384</v>
      </c>
      <c r="Q1683" s="30" t="s">
        <v>2565</v>
      </c>
      <c r="R1683" s="33" t="s">
        <v>3472</v>
      </c>
      <c r="S1683">
        <v>37</v>
      </c>
      <c r="T1683" s="1" t="s">
        <v>13906</v>
      </c>
      <c r="U1683" s="1" t="str">
        <f>HYPERLINK("http://ictvonline.org/taxonomy/p/taxonomy-history?taxnode_id=202113392","ICTVonline=202113392")</f>
        <v>ICTVonline=202113392</v>
      </c>
    </row>
    <row r="1684" spans="1:21" x14ac:dyDescent="0.2">
      <c r="A1684" s="3">
        <v>1683</v>
      </c>
      <c r="B1684" s="1" t="s">
        <v>4875</v>
      </c>
      <c r="D1684" s="1" t="s">
        <v>4876</v>
      </c>
      <c r="F1684" s="1" t="s">
        <v>4880</v>
      </c>
      <c r="H1684" s="1" t="s">
        <v>4881</v>
      </c>
      <c r="L1684" s="1" t="s">
        <v>10360</v>
      </c>
      <c r="M1684" s="1" t="s">
        <v>10361</v>
      </c>
      <c r="N1684" s="1" t="s">
        <v>10383</v>
      </c>
      <c r="P1684" s="1" t="s">
        <v>10385</v>
      </c>
      <c r="Q1684" s="30" t="s">
        <v>2565</v>
      </c>
      <c r="R1684" s="33" t="s">
        <v>3472</v>
      </c>
      <c r="S1684">
        <v>37</v>
      </c>
      <c r="T1684" s="1" t="s">
        <v>13906</v>
      </c>
      <c r="U1684" s="1" t="str">
        <f>HYPERLINK("http://ictvonline.org/taxonomy/p/taxonomy-history?taxnode_id=202113394","ICTVonline=202113394")</f>
        <v>ICTVonline=202113394</v>
      </c>
    </row>
    <row r="1685" spans="1:21" x14ac:dyDescent="0.2">
      <c r="A1685" s="3">
        <v>1684</v>
      </c>
      <c r="B1685" s="1" t="s">
        <v>4875</v>
      </c>
      <c r="D1685" s="1" t="s">
        <v>4876</v>
      </c>
      <c r="F1685" s="1" t="s">
        <v>4880</v>
      </c>
      <c r="H1685" s="1" t="s">
        <v>4881</v>
      </c>
      <c r="L1685" s="1" t="s">
        <v>10360</v>
      </c>
      <c r="M1685" s="1" t="s">
        <v>10361</v>
      </c>
      <c r="N1685" s="1" t="s">
        <v>10383</v>
      </c>
      <c r="P1685" s="1" t="s">
        <v>10386</v>
      </c>
      <c r="Q1685" s="30" t="s">
        <v>2565</v>
      </c>
      <c r="R1685" s="33" t="s">
        <v>3472</v>
      </c>
      <c r="S1685">
        <v>37</v>
      </c>
      <c r="T1685" s="1" t="s">
        <v>13906</v>
      </c>
      <c r="U1685" s="1" t="str">
        <f>HYPERLINK("http://ictvonline.org/taxonomy/p/taxonomy-history?taxnode_id=202113393","ICTVonline=202113393")</f>
        <v>ICTVonline=202113393</v>
      </c>
    </row>
    <row r="1686" spans="1:21" x14ac:dyDescent="0.2">
      <c r="A1686" s="3">
        <v>1685</v>
      </c>
      <c r="B1686" s="1" t="s">
        <v>4875</v>
      </c>
      <c r="D1686" s="1" t="s">
        <v>4876</v>
      </c>
      <c r="F1686" s="1" t="s">
        <v>4880</v>
      </c>
      <c r="H1686" s="1" t="s">
        <v>4881</v>
      </c>
      <c r="L1686" s="1" t="s">
        <v>10360</v>
      </c>
      <c r="M1686" s="1" t="s">
        <v>10361</v>
      </c>
      <c r="N1686" s="1" t="s">
        <v>10383</v>
      </c>
      <c r="P1686" s="1" t="s">
        <v>10387</v>
      </c>
      <c r="Q1686" s="30" t="s">
        <v>2565</v>
      </c>
      <c r="R1686" s="33" t="s">
        <v>3472</v>
      </c>
      <c r="S1686">
        <v>37</v>
      </c>
      <c r="T1686" s="1" t="s">
        <v>13906</v>
      </c>
      <c r="U1686" s="1" t="str">
        <f>HYPERLINK("http://ictvonline.org/taxonomy/p/taxonomy-history?taxnode_id=202113391","ICTVonline=202113391")</f>
        <v>ICTVonline=202113391</v>
      </c>
    </row>
    <row r="1687" spans="1:21" x14ac:dyDescent="0.2">
      <c r="A1687" s="3">
        <v>1686</v>
      </c>
      <c r="B1687" s="1" t="s">
        <v>4875</v>
      </c>
      <c r="D1687" s="1" t="s">
        <v>4876</v>
      </c>
      <c r="F1687" s="1" t="s">
        <v>4880</v>
      </c>
      <c r="H1687" s="1" t="s">
        <v>4881</v>
      </c>
      <c r="L1687" s="1" t="s">
        <v>10360</v>
      </c>
      <c r="M1687" s="1" t="s">
        <v>10388</v>
      </c>
      <c r="N1687" s="1" t="s">
        <v>4651</v>
      </c>
      <c r="P1687" s="1" t="s">
        <v>10389</v>
      </c>
      <c r="Q1687" s="30" t="s">
        <v>2565</v>
      </c>
      <c r="R1687" s="33" t="s">
        <v>3472</v>
      </c>
      <c r="S1687">
        <v>37</v>
      </c>
      <c r="T1687" s="1" t="s">
        <v>13906</v>
      </c>
      <c r="U1687" s="1" t="str">
        <f>HYPERLINK("http://ictvonline.org/taxonomy/p/taxonomy-history?taxnode_id=202113417","ICTVonline=202113417")</f>
        <v>ICTVonline=202113417</v>
      </c>
    </row>
    <row r="1688" spans="1:21" x14ac:dyDescent="0.2">
      <c r="A1688" s="3">
        <v>1687</v>
      </c>
      <c r="B1688" s="1" t="s">
        <v>4875</v>
      </c>
      <c r="D1688" s="1" t="s">
        <v>4876</v>
      </c>
      <c r="F1688" s="1" t="s">
        <v>4880</v>
      </c>
      <c r="H1688" s="1" t="s">
        <v>4881</v>
      </c>
      <c r="L1688" s="1" t="s">
        <v>10360</v>
      </c>
      <c r="M1688" s="1" t="s">
        <v>10388</v>
      </c>
      <c r="N1688" s="1" t="s">
        <v>4651</v>
      </c>
      <c r="P1688" s="1" t="s">
        <v>10390</v>
      </c>
      <c r="Q1688" s="30" t="s">
        <v>2565</v>
      </c>
      <c r="R1688" s="33" t="s">
        <v>3472</v>
      </c>
      <c r="S1688">
        <v>37</v>
      </c>
      <c r="T1688" s="1" t="s">
        <v>13906</v>
      </c>
      <c r="U1688" s="1" t="str">
        <f>HYPERLINK("http://ictvonline.org/taxonomy/p/taxonomy-history?taxnode_id=202113418","ICTVonline=202113418")</f>
        <v>ICTVonline=202113418</v>
      </c>
    </row>
    <row r="1689" spans="1:21" x14ac:dyDescent="0.2">
      <c r="A1689" s="3">
        <v>1688</v>
      </c>
      <c r="B1689" s="1" t="s">
        <v>4875</v>
      </c>
      <c r="D1689" s="1" t="s">
        <v>4876</v>
      </c>
      <c r="F1689" s="1" t="s">
        <v>4880</v>
      </c>
      <c r="H1689" s="1" t="s">
        <v>4881</v>
      </c>
      <c r="L1689" s="1" t="s">
        <v>10360</v>
      </c>
      <c r="M1689" s="1" t="s">
        <v>10388</v>
      </c>
      <c r="N1689" s="1" t="s">
        <v>4651</v>
      </c>
      <c r="P1689" s="1" t="s">
        <v>4652</v>
      </c>
      <c r="Q1689" s="30" t="s">
        <v>2565</v>
      </c>
      <c r="R1689" s="33" t="s">
        <v>3474</v>
      </c>
      <c r="S1689">
        <v>37</v>
      </c>
      <c r="T1689" s="1" t="s">
        <v>13907</v>
      </c>
      <c r="U1689" s="1" t="str">
        <f>HYPERLINK("http://ictvonline.org/taxonomy/p/taxonomy-history?taxnode_id=202106763","ICTVonline=202106763")</f>
        <v>ICTVonline=202106763</v>
      </c>
    </row>
    <row r="1690" spans="1:21" x14ac:dyDescent="0.2">
      <c r="A1690" s="3">
        <v>1689</v>
      </c>
      <c r="B1690" s="1" t="s">
        <v>4875</v>
      </c>
      <c r="D1690" s="1" t="s">
        <v>4876</v>
      </c>
      <c r="F1690" s="1" t="s">
        <v>4880</v>
      </c>
      <c r="H1690" s="1" t="s">
        <v>4881</v>
      </c>
      <c r="L1690" s="1" t="s">
        <v>10360</v>
      </c>
      <c r="M1690" s="1" t="s">
        <v>10388</v>
      </c>
      <c r="N1690" s="1" t="s">
        <v>4651</v>
      </c>
      <c r="P1690" s="1" t="s">
        <v>4653</v>
      </c>
      <c r="Q1690" s="30" t="s">
        <v>2565</v>
      </c>
      <c r="R1690" s="33" t="s">
        <v>3474</v>
      </c>
      <c r="S1690">
        <v>37</v>
      </c>
      <c r="T1690" s="1" t="s">
        <v>13907</v>
      </c>
      <c r="U1690" s="1" t="str">
        <f>HYPERLINK("http://ictvonline.org/taxonomy/p/taxonomy-history?taxnode_id=202106765","ICTVonline=202106765")</f>
        <v>ICTVonline=202106765</v>
      </c>
    </row>
    <row r="1691" spans="1:21" x14ac:dyDescent="0.2">
      <c r="A1691" s="3">
        <v>1690</v>
      </c>
      <c r="B1691" s="1" t="s">
        <v>4875</v>
      </c>
      <c r="D1691" s="1" t="s">
        <v>4876</v>
      </c>
      <c r="F1691" s="1" t="s">
        <v>4880</v>
      </c>
      <c r="H1691" s="1" t="s">
        <v>4881</v>
      </c>
      <c r="L1691" s="1" t="s">
        <v>10360</v>
      </c>
      <c r="M1691" s="1" t="s">
        <v>10388</v>
      </c>
      <c r="N1691" s="1" t="s">
        <v>4651</v>
      </c>
      <c r="P1691" s="1" t="s">
        <v>4654</v>
      </c>
      <c r="Q1691" s="30" t="s">
        <v>2565</v>
      </c>
      <c r="R1691" s="33" t="s">
        <v>3474</v>
      </c>
      <c r="S1691">
        <v>37</v>
      </c>
      <c r="T1691" s="1" t="s">
        <v>13907</v>
      </c>
      <c r="U1691" s="1" t="str">
        <f>HYPERLINK("http://ictvonline.org/taxonomy/p/taxonomy-history?taxnode_id=202106764","ICTVonline=202106764")</f>
        <v>ICTVonline=202106764</v>
      </c>
    </row>
    <row r="1692" spans="1:21" x14ac:dyDescent="0.2">
      <c r="A1692" s="3">
        <v>1691</v>
      </c>
      <c r="B1692" s="1" t="s">
        <v>4875</v>
      </c>
      <c r="D1692" s="1" t="s">
        <v>4876</v>
      </c>
      <c r="F1692" s="1" t="s">
        <v>4880</v>
      </c>
      <c r="H1692" s="1" t="s">
        <v>4881</v>
      </c>
      <c r="L1692" s="1" t="s">
        <v>10360</v>
      </c>
      <c r="M1692" s="1" t="s">
        <v>10388</v>
      </c>
      <c r="N1692" s="1" t="s">
        <v>4659</v>
      </c>
      <c r="P1692" s="1" t="s">
        <v>4660</v>
      </c>
      <c r="Q1692" s="30" t="s">
        <v>2565</v>
      </c>
      <c r="R1692" s="33" t="s">
        <v>3474</v>
      </c>
      <c r="S1692">
        <v>37</v>
      </c>
      <c r="T1692" s="1" t="s">
        <v>13907</v>
      </c>
      <c r="U1692" s="1" t="str">
        <f>HYPERLINK("http://ictvonline.org/taxonomy/p/taxonomy-history?taxnode_id=202106767","ICTVonline=202106767")</f>
        <v>ICTVonline=202106767</v>
      </c>
    </row>
    <row r="1693" spans="1:21" x14ac:dyDescent="0.2">
      <c r="A1693" s="3">
        <v>1692</v>
      </c>
      <c r="B1693" s="1" t="s">
        <v>4875</v>
      </c>
      <c r="D1693" s="1" t="s">
        <v>4876</v>
      </c>
      <c r="F1693" s="1" t="s">
        <v>4880</v>
      </c>
      <c r="H1693" s="1" t="s">
        <v>4881</v>
      </c>
      <c r="L1693" s="1" t="s">
        <v>6255</v>
      </c>
      <c r="M1693" s="1" t="s">
        <v>6256</v>
      </c>
      <c r="N1693" s="1" t="s">
        <v>6257</v>
      </c>
      <c r="P1693" s="1" t="s">
        <v>10391</v>
      </c>
      <c r="Q1693" s="30" t="s">
        <v>2565</v>
      </c>
      <c r="R1693" s="33" t="s">
        <v>3473</v>
      </c>
      <c r="S1693">
        <v>37</v>
      </c>
      <c r="T1693" s="1" t="s">
        <v>13878</v>
      </c>
      <c r="U1693" s="1" t="str">
        <f>HYPERLINK("http://ictvonline.org/taxonomy/p/taxonomy-history?taxnode_id=202100707","ICTVonline=202100707")</f>
        <v>ICTVonline=202100707</v>
      </c>
    </row>
    <row r="1694" spans="1:21" x14ac:dyDescent="0.2">
      <c r="A1694" s="3">
        <v>1693</v>
      </c>
      <c r="B1694" s="1" t="s">
        <v>4875</v>
      </c>
      <c r="D1694" s="1" t="s">
        <v>4876</v>
      </c>
      <c r="F1694" s="1" t="s">
        <v>4880</v>
      </c>
      <c r="H1694" s="1" t="s">
        <v>4881</v>
      </c>
      <c r="L1694" s="1" t="s">
        <v>6255</v>
      </c>
      <c r="M1694" s="1" t="s">
        <v>6256</v>
      </c>
      <c r="N1694" s="1" t="s">
        <v>6257</v>
      </c>
      <c r="P1694" s="1" t="s">
        <v>10392</v>
      </c>
      <c r="Q1694" s="30" t="s">
        <v>2565</v>
      </c>
      <c r="R1694" s="33" t="s">
        <v>3473</v>
      </c>
      <c r="S1694">
        <v>37</v>
      </c>
      <c r="T1694" s="1" t="s">
        <v>13878</v>
      </c>
      <c r="U1694" s="1" t="str">
        <f>HYPERLINK("http://ictvonline.org/taxonomy/p/taxonomy-history?taxnode_id=202112138","ICTVonline=202112138")</f>
        <v>ICTVonline=202112138</v>
      </c>
    </row>
    <row r="1695" spans="1:21" x14ac:dyDescent="0.2">
      <c r="A1695" s="3">
        <v>1694</v>
      </c>
      <c r="B1695" s="1" t="s">
        <v>4875</v>
      </c>
      <c r="D1695" s="1" t="s">
        <v>4876</v>
      </c>
      <c r="F1695" s="1" t="s">
        <v>4880</v>
      </c>
      <c r="H1695" s="1" t="s">
        <v>4881</v>
      </c>
      <c r="L1695" s="1" t="s">
        <v>6255</v>
      </c>
      <c r="M1695" s="1" t="s">
        <v>6256</v>
      </c>
      <c r="N1695" s="1" t="s">
        <v>6257</v>
      </c>
      <c r="P1695" s="1" t="s">
        <v>10393</v>
      </c>
      <c r="Q1695" s="30" t="s">
        <v>2565</v>
      </c>
      <c r="R1695" s="33" t="s">
        <v>3473</v>
      </c>
      <c r="S1695">
        <v>37</v>
      </c>
      <c r="T1695" s="1" t="s">
        <v>13878</v>
      </c>
      <c r="U1695" s="1" t="str">
        <f>HYPERLINK("http://ictvonline.org/taxonomy/p/taxonomy-history?taxnode_id=202112137","ICTVonline=202112137")</f>
        <v>ICTVonline=202112137</v>
      </c>
    </row>
    <row r="1696" spans="1:21" x14ac:dyDescent="0.2">
      <c r="A1696" s="3">
        <v>1695</v>
      </c>
      <c r="B1696" s="1" t="s">
        <v>4875</v>
      </c>
      <c r="D1696" s="1" t="s">
        <v>4876</v>
      </c>
      <c r="F1696" s="1" t="s">
        <v>4880</v>
      </c>
      <c r="H1696" s="1" t="s">
        <v>4881</v>
      </c>
      <c r="L1696" s="1" t="s">
        <v>6255</v>
      </c>
      <c r="M1696" s="1" t="s">
        <v>6256</v>
      </c>
      <c r="N1696" s="1" t="s">
        <v>6258</v>
      </c>
      <c r="P1696" s="1" t="s">
        <v>10394</v>
      </c>
      <c r="Q1696" s="30" t="s">
        <v>2565</v>
      </c>
      <c r="R1696" s="33" t="s">
        <v>3473</v>
      </c>
      <c r="S1696">
        <v>37</v>
      </c>
      <c r="T1696" s="1" t="s">
        <v>13878</v>
      </c>
      <c r="U1696" s="1" t="str">
        <f>HYPERLINK("http://ictvonline.org/taxonomy/p/taxonomy-history?taxnode_id=202112140","ICTVonline=202112140")</f>
        <v>ICTVonline=202112140</v>
      </c>
    </row>
    <row r="1697" spans="1:21" x14ac:dyDescent="0.2">
      <c r="A1697" s="3">
        <v>1696</v>
      </c>
      <c r="B1697" s="1" t="s">
        <v>4875</v>
      </c>
      <c r="D1697" s="1" t="s">
        <v>4876</v>
      </c>
      <c r="F1697" s="1" t="s">
        <v>4880</v>
      </c>
      <c r="H1697" s="1" t="s">
        <v>4881</v>
      </c>
      <c r="L1697" s="1" t="s">
        <v>6255</v>
      </c>
      <c r="N1697" s="1" t="s">
        <v>6259</v>
      </c>
      <c r="P1697" s="1" t="s">
        <v>10395</v>
      </c>
      <c r="Q1697" s="30" t="s">
        <v>2565</v>
      </c>
      <c r="R1697" s="33" t="s">
        <v>3473</v>
      </c>
      <c r="S1697">
        <v>37</v>
      </c>
      <c r="T1697" s="1" t="s">
        <v>13878</v>
      </c>
      <c r="U1697" s="1" t="str">
        <f>HYPERLINK("http://ictvonline.org/taxonomy/p/taxonomy-history?taxnode_id=202112147","ICTVonline=202112147")</f>
        <v>ICTVonline=202112147</v>
      </c>
    </row>
    <row r="1698" spans="1:21" x14ac:dyDescent="0.2">
      <c r="A1698" s="3">
        <v>1697</v>
      </c>
      <c r="B1698" s="1" t="s">
        <v>4875</v>
      </c>
      <c r="D1698" s="1" t="s">
        <v>4876</v>
      </c>
      <c r="F1698" s="1" t="s">
        <v>4880</v>
      </c>
      <c r="H1698" s="1" t="s">
        <v>4881</v>
      </c>
      <c r="L1698" s="1" t="s">
        <v>6255</v>
      </c>
      <c r="N1698" s="1" t="s">
        <v>6260</v>
      </c>
      <c r="P1698" s="1" t="s">
        <v>10396</v>
      </c>
      <c r="Q1698" s="30" t="s">
        <v>2565</v>
      </c>
      <c r="R1698" s="33" t="s">
        <v>3473</v>
      </c>
      <c r="S1698">
        <v>37</v>
      </c>
      <c r="T1698" s="1" t="s">
        <v>13878</v>
      </c>
      <c r="U1698" s="1" t="str">
        <f>HYPERLINK("http://ictvonline.org/taxonomy/p/taxonomy-history?taxnode_id=202112142","ICTVonline=202112142")</f>
        <v>ICTVonline=202112142</v>
      </c>
    </row>
    <row r="1699" spans="1:21" x14ac:dyDescent="0.2">
      <c r="A1699" s="3">
        <v>1698</v>
      </c>
      <c r="B1699" s="1" t="s">
        <v>4875</v>
      </c>
      <c r="D1699" s="1" t="s">
        <v>4876</v>
      </c>
      <c r="F1699" s="1" t="s">
        <v>4880</v>
      </c>
      <c r="H1699" s="1" t="s">
        <v>4881</v>
      </c>
      <c r="L1699" s="1" t="s">
        <v>6255</v>
      </c>
      <c r="N1699" s="1" t="s">
        <v>6261</v>
      </c>
      <c r="P1699" s="1" t="s">
        <v>10397</v>
      </c>
      <c r="Q1699" s="30" t="s">
        <v>2565</v>
      </c>
      <c r="R1699" s="33" t="s">
        <v>3473</v>
      </c>
      <c r="S1699">
        <v>37</v>
      </c>
      <c r="T1699" s="1" t="s">
        <v>13878</v>
      </c>
      <c r="U1699" s="1" t="str">
        <f>HYPERLINK("http://ictvonline.org/taxonomy/p/taxonomy-history?taxnode_id=202112152","ICTVonline=202112152")</f>
        <v>ICTVonline=202112152</v>
      </c>
    </row>
    <row r="1700" spans="1:21" x14ac:dyDescent="0.2">
      <c r="A1700" s="3">
        <v>1699</v>
      </c>
      <c r="B1700" s="1" t="s">
        <v>4875</v>
      </c>
      <c r="D1700" s="1" t="s">
        <v>4876</v>
      </c>
      <c r="F1700" s="1" t="s">
        <v>4880</v>
      </c>
      <c r="H1700" s="1" t="s">
        <v>4881</v>
      </c>
      <c r="L1700" s="1" t="s">
        <v>6255</v>
      </c>
      <c r="N1700" s="1" t="s">
        <v>6261</v>
      </c>
      <c r="P1700" s="1" t="s">
        <v>10398</v>
      </c>
      <c r="Q1700" s="30" t="s">
        <v>2565</v>
      </c>
      <c r="R1700" s="33" t="s">
        <v>3473</v>
      </c>
      <c r="S1700">
        <v>37</v>
      </c>
      <c r="T1700" s="1" t="s">
        <v>13878</v>
      </c>
      <c r="U1700" s="1" t="str">
        <f>HYPERLINK("http://ictvonline.org/taxonomy/p/taxonomy-history?taxnode_id=202112151","ICTVonline=202112151")</f>
        <v>ICTVonline=202112151</v>
      </c>
    </row>
    <row r="1701" spans="1:21" x14ac:dyDescent="0.2">
      <c r="A1701" s="3">
        <v>1700</v>
      </c>
      <c r="B1701" s="1" t="s">
        <v>4875</v>
      </c>
      <c r="D1701" s="1" t="s">
        <v>4876</v>
      </c>
      <c r="F1701" s="1" t="s">
        <v>4880</v>
      </c>
      <c r="H1701" s="1" t="s">
        <v>4881</v>
      </c>
      <c r="L1701" s="1" t="s">
        <v>6255</v>
      </c>
      <c r="N1701" s="1" t="s">
        <v>6262</v>
      </c>
      <c r="P1701" s="1" t="s">
        <v>10399</v>
      </c>
      <c r="Q1701" s="30" t="s">
        <v>2565</v>
      </c>
      <c r="R1701" s="33" t="s">
        <v>3473</v>
      </c>
      <c r="S1701">
        <v>37</v>
      </c>
      <c r="T1701" s="1" t="s">
        <v>13878</v>
      </c>
      <c r="U1701" s="1" t="str">
        <f>HYPERLINK("http://ictvonline.org/taxonomy/p/taxonomy-history?taxnode_id=202112149","ICTVonline=202112149")</f>
        <v>ICTVonline=202112149</v>
      </c>
    </row>
    <row r="1702" spans="1:21" x14ac:dyDescent="0.2">
      <c r="A1702" s="3">
        <v>1701</v>
      </c>
      <c r="B1702" s="1" t="s">
        <v>4875</v>
      </c>
      <c r="D1702" s="1" t="s">
        <v>4876</v>
      </c>
      <c r="F1702" s="1" t="s">
        <v>4880</v>
      </c>
      <c r="H1702" s="1" t="s">
        <v>4881</v>
      </c>
      <c r="L1702" s="1" t="s">
        <v>6255</v>
      </c>
      <c r="N1702" s="1" t="s">
        <v>6263</v>
      </c>
      <c r="P1702" s="1" t="s">
        <v>10400</v>
      </c>
      <c r="Q1702" s="30" t="s">
        <v>2565</v>
      </c>
      <c r="R1702" s="33" t="s">
        <v>3473</v>
      </c>
      <c r="S1702">
        <v>37</v>
      </c>
      <c r="T1702" s="1" t="s">
        <v>13878</v>
      </c>
      <c r="U1702" s="1" t="str">
        <f>HYPERLINK("http://ictvonline.org/taxonomy/p/taxonomy-history?taxnode_id=202112145","ICTVonline=202112145")</f>
        <v>ICTVonline=202112145</v>
      </c>
    </row>
    <row r="1703" spans="1:21" x14ac:dyDescent="0.2">
      <c r="A1703" s="3">
        <v>1702</v>
      </c>
      <c r="B1703" s="1" t="s">
        <v>4875</v>
      </c>
      <c r="D1703" s="1" t="s">
        <v>4876</v>
      </c>
      <c r="F1703" s="1" t="s">
        <v>4880</v>
      </c>
      <c r="H1703" s="1" t="s">
        <v>4881</v>
      </c>
      <c r="L1703" s="1" t="s">
        <v>6255</v>
      </c>
      <c r="N1703" s="1" t="s">
        <v>6264</v>
      </c>
      <c r="P1703" s="1" t="s">
        <v>10401</v>
      </c>
      <c r="Q1703" s="30" t="s">
        <v>2565</v>
      </c>
      <c r="R1703" s="33" t="s">
        <v>3473</v>
      </c>
      <c r="S1703">
        <v>37</v>
      </c>
      <c r="T1703" s="1" t="s">
        <v>13878</v>
      </c>
      <c r="U1703" s="1" t="str">
        <f>HYPERLINK("http://ictvonline.org/taxonomy/p/taxonomy-history?taxnode_id=202100708","ICTVonline=202100708")</f>
        <v>ICTVonline=202100708</v>
      </c>
    </row>
    <row r="1704" spans="1:21" x14ac:dyDescent="0.2">
      <c r="A1704" s="3">
        <v>1703</v>
      </c>
      <c r="B1704" s="1" t="s">
        <v>4875</v>
      </c>
      <c r="D1704" s="1" t="s">
        <v>4876</v>
      </c>
      <c r="F1704" s="1" t="s">
        <v>4880</v>
      </c>
      <c r="H1704" s="1" t="s">
        <v>4881</v>
      </c>
      <c r="M1704" s="1" t="s">
        <v>10402</v>
      </c>
      <c r="N1704" s="1" t="s">
        <v>10403</v>
      </c>
      <c r="P1704" s="1" t="s">
        <v>10404</v>
      </c>
      <c r="Q1704" s="30" t="s">
        <v>2565</v>
      </c>
      <c r="R1704" s="33" t="s">
        <v>3472</v>
      </c>
      <c r="S1704">
        <v>37</v>
      </c>
      <c r="T1704" s="1" t="s">
        <v>13908</v>
      </c>
      <c r="U1704" s="1" t="str">
        <f>HYPERLINK("http://ictvonline.org/taxonomy/p/taxonomy-history?taxnode_id=202113119","ICTVonline=202113119")</f>
        <v>ICTVonline=202113119</v>
      </c>
    </row>
    <row r="1705" spans="1:21" x14ac:dyDescent="0.2">
      <c r="A1705" s="3">
        <v>1704</v>
      </c>
      <c r="B1705" s="1" t="s">
        <v>4875</v>
      </c>
      <c r="D1705" s="1" t="s">
        <v>4876</v>
      </c>
      <c r="F1705" s="1" t="s">
        <v>4880</v>
      </c>
      <c r="H1705" s="1" t="s">
        <v>4881</v>
      </c>
      <c r="M1705" s="1" t="s">
        <v>10402</v>
      </c>
      <c r="N1705" s="1" t="s">
        <v>10405</v>
      </c>
      <c r="P1705" s="1" t="s">
        <v>10406</v>
      </c>
      <c r="Q1705" s="30" t="s">
        <v>2565</v>
      </c>
      <c r="R1705" s="33" t="s">
        <v>3472</v>
      </c>
      <c r="S1705">
        <v>37</v>
      </c>
      <c r="T1705" s="1" t="s">
        <v>13908</v>
      </c>
      <c r="U1705" s="1" t="str">
        <f>HYPERLINK("http://ictvonline.org/taxonomy/p/taxonomy-history?taxnode_id=202113123","ICTVonline=202113123")</f>
        <v>ICTVonline=202113123</v>
      </c>
    </row>
    <row r="1706" spans="1:21" x14ac:dyDescent="0.2">
      <c r="A1706" s="3">
        <v>1705</v>
      </c>
      <c r="B1706" s="1" t="s">
        <v>4875</v>
      </c>
      <c r="D1706" s="1" t="s">
        <v>4876</v>
      </c>
      <c r="F1706" s="1" t="s">
        <v>4880</v>
      </c>
      <c r="H1706" s="1" t="s">
        <v>4881</v>
      </c>
      <c r="M1706" s="1" t="s">
        <v>10402</v>
      </c>
      <c r="N1706" s="1" t="s">
        <v>10405</v>
      </c>
      <c r="P1706" s="4" t="s">
        <v>10407</v>
      </c>
      <c r="Q1706" s="30" t="s">
        <v>2565</v>
      </c>
      <c r="R1706" s="33" t="s">
        <v>3472</v>
      </c>
      <c r="S1706">
        <v>37</v>
      </c>
      <c r="T1706" s="1" t="s">
        <v>13908</v>
      </c>
      <c r="U1706" s="1" t="str">
        <f>HYPERLINK("http://ictvonline.org/taxonomy/p/taxonomy-history?taxnode_id=202113121","ICTVonline=202113121")</f>
        <v>ICTVonline=202113121</v>
      </c>
    </row>
    <row r="1707" spans="1:21" x14ac:dyDescent="0.2">
      <c r="A1707" s="3">
        <v>1706</v>
      </c>
      <c r="B1707" s="1" t="s">
        <v>4875</v>
      </c>
      <c r="D1707" s="1" t="s">
        <v>4876</v>
      </c>
      <c r="F1707" s="1" t="s">
        <v>4880</v>
      </c>
      <c r="H1707" s="1" t="s">
        <v>4881</v>
      </c>
      <c r="M1707" s="1" t="s">
        <v>10402</v>
      </c>
      <c r="N1707" s="1" t="s">
        <v>10405</v>
      </c>
      <c r="P1707" s="1" t="s">
        <v>10408</v>
      </c>
      <c r="Q1707" s="30" t="s">
        <v>2565</v>
      </c>
      <c r="R1707" s="33" t="s">
        <v>3472</v>
      </c>
      <c r="S1707">
        <v>37</v>
      </c>
      <c r="T1707" s="1" t="s">
        <v>13908</v>
      </c>
      <c r="U1707" s="1" t="str">
        <f>HYPERLINK("http://ictvonline.org/taxonomy/p/taxonomy-history?taxnode_id=202113122","ICTVonline=202113122")</f>
        <v>ICTVonline=202113122</v>
      </c>
    </row>
    <row r="1708" spans="1:21" x14ac:dyDescent="0.2">
      <c r="A1708" s="3">
        <v>1707</v>
      </c>
      <c r="B1708" s="1" t="s">
        <v>4875</v>
      </c>
      <c r="D1708" s="1" t="s">
        <v>4876</v>
      </c>
      <c r="F1708" s="1" t="s">
        <v>4880</v>
      </c>
      <c r="H1708" s="1" t="s">
        <v>4881</v>
      </c>
      <c r="M1708" s="1" t="s">
        <v>3189</v>
      </c>
      <c r="N1708" s="1" t="s">
        <v>4625</v>
      </c>
      <c r="P1708" s="1" t="s">
        <v>10409</v>
      </c>
      <c r="Q1708" s="30" t="s">
        <v>2565</v>
      </c>
      <c r="R1708" s="33" t="s">
        <v>3473</v>
      </c>
      <c r="S1708">
        <v>37</v>
      </c>
      <c r="T1708" s="1" t="s">
        <v>13878</v>
      </c>
      <c r="U1708" s="1" t="str">
        <f>HYPERLINK("http://ictvonline.org/taxonomy/p/taxonomy-history?taxnode_id=202100729","ICTVonline=202100729")</f>
        <v>ICTVonline=202100729</v>
      </c>
    </row>
    <row r="1709" spans="1:21" x14ac:dyDescent="0.2">
      <c r="A1709" s="3">
        <v>1708</v>
      </c>
      <c r="B1709" s="1" t="s">
        <v>4875</v>
      </c>
      <c r="D1709" s="1" t="s">
        <v>4876</v>
      </c>
      <c r="F1709" s="1" t="s">
        <v>4880</v>
      </c>
      <c r="H1709" s="1" t="s">
        <v>4881</v>
      </c>
      <c r="M1709" s="1" t="s">
        <v>3189</v>
      </c>
      <c r="N1709" s="1" t="s">
        <v>4625</v>
      </c>
      <c r="P1709" s="1" t="s">
        <v>10410</v>
      </c>
      <c r="Q1709" s="30" t="s">
        <v>2565</v>
      </c>
      <c r="R1709" s="33" t="s">
        <v>3472</v>
      </c>
      <c r="S1709">
        <v>37</v>
      </c>
      <c r="T1709" s="1" t="s">
        <v>13909</v>
      </c>
      <c r="U1709" s="1" t="str">
        <f>HYPERLINK("http://ictvonline.org/taxonomy/p/taxonomy-history?taxnode_id=202113152","ICTVonline=202113152")</f>
        <v>ICTVonline=202113152</v>
      </c>
    </row>
    <row r="1710" spans="1:21" x14ac:dyDescent="0.2">
      <c r="A1710" s="3">
        <v>1709</v>
      </c>
      <c r="B1710" s="1" t="s">
        <v>4875</v>
      </c>
      <c r="D1710" s="1" t="s">
        <v>4876</v>
      </c>
      <c r="F1710" s="1" t="s">
        <v>4880</v>
      </c>
      <c r="H1710" s="1" t="s">
        <v>4881</v>
      </c>
      <c r="M1710" s="1" t="s">
        <v>3189</v>
      </c>
      <c r="N1710" s="1" t="s">
        <v>4625</v>
      </c>
      <c r="P1710" s="1" t="s">
        <v>10411</v>
      </c>
      <c r="Q1710" s="30" t="s">
        <v>2565</v>
      </c>
      <c r="R1710" s="33" t="s">
        <v>3473</v>
      </c>
      <c r="S1710">
        <v>37</v>
      </c>
      <c r="T1710" s="1" t="s">
        <v>13878</v>
      </c>
      <c r="U1710" s="1" t="str">
        <f>HYPERLINK("http://ictvonline.org/taxonomy/p/taxonomy-history?taxnode_id=202100730","ICTVonline=202100730")</f>
        <v>ICTVonline=202100730</v>
      </c>
    </row>
    <row r="1711" spans="1:21" x14ac:dyDescent="0.2">
      <c r="A1711" s="3">
        <v>1710</v>
      </c>
      <c r="B1711" s="1" t="s">
        <v>4875</v>
      </c>
      <c r="D1711" s="1" t="s">
        <v>4876</v>
      </c>
      <c r="F1711" s="1" t="s">
        <v>4880</v>
      </c>
      <c r="H1711" s="1" t="s">
        <v>4881</v>
      </c>
      <c r="M1711" s="1" t="s">
        <v>3189</v>
      </c>
      <c r="N1711" s="1" t="s">
        <v>10412</v>
      </c>
      <c r="P1711" s="1" t="s">
        <v>10413</v>
      </c>
      <c r="Q1711" s="30" t="s">
        <v>2565</v>
      </c>
      <c r="R1711" s="33" t="s">
        <v>3472</v>
      </c>
      <c r="S1711">
        <v>37</v>
      </c>
      <c r="T1711" s="1" t="s">
        <v>13909</v>
      </c>
      <c r="U1711" s="1" t="str">
        <f>HYPERLINK("http://ictvonline.org/taxonomy/p/taxonomy-history?taxnode_id=202113150","ICTVonline=202113150")</f>
        <v>ICTVonline=202113150</v>
      </c>
    </row>
    <row r="1712" spans="1:21" x14ac:dyDescent="0.2">
      <c r="A1712" s="3">
        <v>1711</v>
      </c>
      <c r="B1712" s="1" t="s">
        <v>4875</v>
      </c>
      <c r="D1712" s="1" t="s">
        <v>4876</v>
      </c>
      <c r="F1712" s="1" t="s">
        <v>4880</v>
      </c>
      <c r="H1712" s="1" t="s">
        <v>4881</v>
      </c>
      <c r="M1712" s="1" t="s">
        <v>3189</v>
      </c>
      <c r="N1712" s="1" t="s">
        <v>10412</v>
      </c>
      <c r="P1712" s="1" t="s">
        <v>10414</v>
      </c>
      <c r="Q1712" s="30" t="s">
        <v>2565</v>
      </c>
      <c r="R1712" s="33" t="s">
        <v>3472</v>
      </c>
      <c r="S1712">
        <v>37</v>
      </c>
      <c r="T1712" s="1" t="s">
        <v>13909</v>
      </c>
      <c r="U1712" s="1" t="str">
        <f>HYPERLINK("http://ictvonline.org/taxonomy/p/taxonomy-history?taxnode_id=202113147","ICTVonline=202113147")</f>
        <v>ICTVonline=202113147</v>
      </c>
    </row>
    <row r="1713" spans="1:21" x14ac:dyDescent="0.2">
      <c r="A1713" s="3">
        <v>1712</v>
      </c>
      <c r="B1713" s="1" t="s">
        <v>4875</v>
      </c>
      <c r="D1713" s="1" t="s">
        <v>4876</v>
      </c>
      <c r="F1713" s="1" t="s">
        <v>4880</v>
      </c>
      <c r="H1713" s="1" t="s">
        <v>4881</v>
      </c>
      <c r="M1713" s="1" t="s">
        <v>3189</v>
      </c>
      <c r="N1713" s="1" t="s">
        <v>10412</v>
      </c>
      <c r="P1713" s="1" t="s">
        <v>10415</v>
      </c>
      <c r="Q1713" s="30" t="s">
        <v>2565</v>
      </c>
      <c r="R1713" s="33" t="s">
        <v>3472</v>
      </c>
      <c r="S1713">
        <v>37</v>
      </c>
      <c r="T1713" s="1" t="s">
        <v>13909</v>
      </c>
      <c r="U1713" s="1" t="str">
        <f>HYPERLINK("http://ictvonline.org/taxonomy/p/taxonomy-history?taxnode_id=202113149","ICTVonline=202113149")</f>
        <v>ICTVonline=202113149</v>
      </c>
    </row>
    <row r="1714" spans="1:21" x14ac:dyDescent="0.2">
      <c r="A1714" s="3">
        <v>1713</v>
      </c>
      <c r="B1714" s="1" t="s">
        <v>4875</v>
      </c>
      <c r="D1714" s="1" t="s">
        <v>4876</v>
      </c>
      <c r="F1714" s="1" t="s">
        <v>4880</v>
      </c>
      <c r="H1714" s="1" t="s">
        <v>4881</v>
      </c>
      <c r="M1714" s="1" t="s">
        <v>3189</v>
      </c>
      <c r="N1714" s="1" t="s">
        <v>10412</v>
      </c>
      <c r="P1714" s="1" t="s">
        <v>10416</v>
      </c>
      <c r="Q1714" s="30" t="s">
        <v>2565</v>
      </c>
      <c r="R1714" s="33" t="s">
        <v>3472</v>
      </c>
      <c r="S1714">
        <v>37</v>
      </c>
      <c r="T1714" s="1" t="s">
        <v>13909</v>
      </c>
      <c r="U1714" s="1" t="str">
        <f>HYPERLINK("http://ictvonline.org/taxonomy/p/taxonomy-history?taxnode_id=202113148","ICTVonline=202113148")</f>
        <v>ICTVonline=202113148</v>
      </c>
    </row>
    <row r="1715" spans="1:21" x14ac:dyDescent="0.2">
      <c r="A1715" s="3">
        <v>1714</v>
      </c>
      <c r="B1715" s="1" t="s">
        <v>4875</v>
      </c>
      <c r="D1715" s="1" t="s">
        <v>4876</v>
      </c>
      <c r="F1715" s="1" t="s">
        <v>4880</v>
      </c>
      <c r="H1715" s="1" t="s">
        <v>4881</v>
      </c>
      <c r="M1715" s="1" t="s">
        <v>3189</v>
      </c>
      <c r="N1715" s="1" t="s">
        <v>10412</v>
      </c>
      <c r="P1715" s="1" t="s">
        <v>10417</v>
      </c>
      <c r="Q1715" s="30" t="s">
        <v>2565</v>
      </c>
      <c r="R1715" s="33" t="s">
        <v>3472</v>
      </c>
      <c r="S1715">
        <v>37</v>
      </c>
      <c r="T1715" s="1" t="s">
        <v>13909</v>
      </c>
      <c r="U1715" s="1" t="str">
        <f>HYPERLINK("http://ictvonline.org/taxonomy/p/taxonomy-history?taxnode_id=202113151","ICTVonline=202113151")</f>
        <v>ICTVonline=202113151</v>
      </c>
    </row>
    <row r="1716" spans="1:21" x14ac:dyDescent="0.2">
      <c r="A1716" s="3">
        <v>1715</v>
      </c>
      <c r="B1716" s="1" t="s">
        <v>4875</v>
      </c>
      <c r="D1716" s="1" t="s">
        <v>4876</v>
      </c>
      <c r="F1716" s="1" t="s">
        <v>4880</v>
      </c>
      <c r="H1716" s="1" t="s">
        <v>4881</v>
      </c>
      <c r="M1716" s="1" t="s">
        <v>3189</v>
      </c>
      <c r="N1716" s="1" t="s">
        <v>3190</v>
      </c>
      <c r="P1716" s="1" t="s">
        <v>10418</v>
      </c>
      <c r="Q1716" s="30" t="s">
        <v>2565</v>
      </c>
      <c r="R1716" s="33" t="s">
        <v>3472</v>
      </c>
      <c r="S1716">
        <v>37</v>
      </c>
      <c r="T1716" s="1" t="s">
        <v>13909</v>
      </c>
      <c r="U1716" s="1" t="str">
        <f>HYPERLINK("http://ictvonline.org/taxonomy/p/taxonomy-history?taxnode_id=202113158","ICTVonline=202113158")</f>
        <v>ICTVonline=202113158</v>
      </c>
    </row>
    <row r="1717" spans="1:21" x14ac:dyDescent="0.2">
      <c r="A1717" s="3">
        <v>1716</v>
      </c>
      <c r="B1717" s="1" t="s">
        <v>4875</v>
      </c>
      <c r="D1717" s="1" t="s">
        <v>4876</v>
      </c>
      <c r="F1717" s="1" t="s">
        <v>4880</v>
      </c>
      <c r="H1717" s="1" t="s">
        <v>4881</v>
      </c>
      <c r="M1717" s="1" t="s">
        <v>3189</v>
      </c>
      <c r="N1717" s="1" t="s">
        <v>3190</v>
      </c>
      <c r="P1717" s="1" t="s">
        <v>10419</v>
      </c>
      <c r="Q1717" s="31" t="s">
        <v>2565</v>
      </c>
      <c r="R1717" s="33" t="s">
        <v>3473</v>
      </c>
      <c r="S1717">
        <v>37</v>
      </c>
      <c r="T1717" s="1" t="s">
        <v>13878</v>
      </c>
      <c r="U1717" s="1" t="str">
        <f>HYPERLINK("http://ictvonline.org/taxonomy/p/taxonomy-history?taxnode_id=202100716","ICTVonline=202100716")</f>
        <v>ICTVonline=202100716</v>
      </c>
    </row>
    <row r="1718" spans="1:21" x14ac:dyDescent="0.2">
      <c r="A1718" s="3">
        <v>1717</v>
      </c>
      <c r="B1718" s="1" t="s">
        <v>4875</v>
      </c>
      <c r="D1718" s="1" t="s">
        <v>4876</v>
      </c>
      <c r="F1718" s="1" t="s">
        <v>4880</v>
      </c>
      <c r="H1718" s="1" t="s">
        <v>4881</v>
      </c>
      <c r="M1718" s="1" t="s">
        <v>3189</v>
      </c>
      <c r="N1718" s="1" t="s">
        <v>3190</v>
      </c>
      <c r="P1718" s="1" t="s">
        <v>10420</v>
      </c>
      <c r="Q1718" s="30" t="s">
        <v>2565</v>
      </c>
      <c r="R1718" s="33" t="s">
        <v>3473</v>
      </c>
      <c r="S1718">
        <v>37</v>
      </c>
      <c r="T1718" s="1" t="s">
        <v>13878</v>
      </c>
      <c r="U1718" s="1" t="str">
        <f>HYPERLINK("http://ictvonline.org/taxonomy/p/taxonomy-history?taxnode_id=202100717","ICTVonline=202100717")</f>
        <v>ICTVonline=202100717</v>
      </c>
    </row>
    <row r="1719" spans="1:21" x14ac:dyDescent="0.2">
      <c r="A1719" s="3">
        <v>1718</v>
      </c>
      <c r="B1719" s="1" t="s">
        <v>4875</v>
      </c>
      <c r="D1719" s="1" t="s">
        <v>4876</v>
      </c>
      <c r="F1719" s="1" t="s">
        <v>4880</v>
      </c>
      <c r="H1719" s="1" t="s">
        <v>4881</v>
      </c>
      <c r="M1719" s="1" t="s">
        <v>3189</v>
      </c>
      <c r="N1719" s="1" t="s">
        <v>3190</v>
      </c>
      <c r="P1719" s="1" t="s">
        <v>10421</v>
      </c>
      <c r="Q1719" s="30" t="s">
        <v>2565</v>
      </c>
      <c r="R1719" s="33" t="s">
        <v>3472</v>
      </c>
      <c r="S1719">
        <v>37</v>
      </c>
      <c r="T1719" s="1" t="s">
        <v>13909</v>
      </c>
      <c r="U1719" s="1" t="str">
        <f>HYPERLINK("http://ictvonline.org/taxonomy/p/taxonomy-history?taxnode_id=202113153","ICTVonline=202113153")</f>
        <v>ICTVonline=202113153</v>
      </c>
    </row>
    <row r="1720" spans="1:21" x14ac:dyDescent="0.2">
      <c r="A1720" s="3">
        <v>1719</v>
      </c>
      <c r="B1720" s="1" t="s">
        <v>4875</v>
      </c>
      <c r="D1720" s="1" t="s">
        <v>4876</v>
      </c>
      <c r="F1720" s="1" t="s">
        <v>4880</v>
      </c>
      <c r="H1720" s="1" t="s">
        <v>4881</v>
      </c>
      <c r="M1720" s="1" t="s">
        <v>3189</v>
      </c>
      <c r="N1720" s="1" t="s">
        <v>3190</v>
      </c>
      <c r="P1720" s="1" t="s">
        <v>10422</v>
      </c>
      <c r="Q1720" s="30" t="s">
        <v>2565</v>
      </c>
      <c r="R1720" s="33" t="s">
        <v>3472</v>
      </c>
      <c r="S1720">
        <v>37</v>
      </c>
      <c r="T1720" s="1" t="s">
        <v>13909</v>
      </c>
      <c r="U1720" s="1" t="str">
        <f>HYPERLINK("http://ictvonline.org/taxonomy/p/taxonomy-history?taxnode_id=202113154","ICTVonline=202113154")</f>
        <v>ICTVonline=202113154</v>
      </c>
    </row>
    <row r="1721" spans="1:21" x14ac:dyDescent="0.2">
      <c r="A1721" s="3">
        <v>1720</v>
      </c>
      <c r="B1721" s="1" t="s">
        <v>4875</v>
      </c>
      <c r="D1721" s="1" t="s">
        <v>4876</v>
      </c>
      <c r="F1721" s="1" t="s">
        <v>4880</v>
      </c>
      <c r="H1721" s="1" t="s">
        <v>4881</v>
      </c>
      <c r="M1721" s="1" t="s">
        <v>3189</v>
      </c>
      <c r="N1721" s="1" t="s">
        <v>3190</v>
      </c>
      <c r="P1721" s="1" t="s">
        <v>10423</v>
      </c>
      <c r="Q1721" s="30" t="s">
        <v>2565</v>
      </c>
      <c r="R1721" s="33" t="s">
        <v>3472</v>
      </c>
      <c r="S1721">
        <v>37</v>
      </c>
      <c r="T1721" s="1" t="s">
        <v>13909</v>
      </c>
      <c r="U1721" s="1" t="str">
        <f>HYPERLINK("http://ictvonline.org/taxonomy/p/taxonomy-history?taxnode_id=202113155","ICTVonline=202113155")</f>
        <v>ICTVonline=202113155</v>
      </c>
    </row>
    <row r="1722" spans="1:21" x14ac:dyDescent="0.2">
      <c r="A1722" s="3">
        <v>1721</v>
      </c>
      <c r="B1722" s="1" t="s">
        <v>4875</v>
      </c>
      <c r="D1722" s="1" t="s">
        <v>4876</v>
      </c>
      <c r="F1722" s="1" t="s">
        <v>4880</v>
      </c>
      <c r="H1722" s="1" t="s">
        <v>4881</v>
      </c>
      <c r="M1722" s="1" t="s">
        <v>3189</v>
      </c>
      <c r="N1722" s="1" t="s">
        <v>3190</v>
      </c>
      <c r="P1722" s="1" t="s">
        <v>10424</v>
      </c>
      <c r="Q1722" s="30" t="s">
        <v>2565</v>
      </c>
      <c r="R1722" s="33" t="s">
        <v>3472</v>
      </c>
      <c r="S1722">
        <v>37</v>
      </c>
      <c r="T1722" s="1" t="s">
        <v>13909</v>
      </c>
      <c r="U1722" s="1" t="str">
        <f>HYPERLINK("http://ictvonline.org/taxonomy/p/taxonomy-history?taxnode_id=202113156","ICTVonline=202113156")</f>
        <v>ICTVonline=202113156</v>
      </c>
    </row>
    <row r="1723" spans="1:21" x14ac:dyDescent="0.2">
      <c r="A1723" s="3">
        <v>1722</v>
      </c>
      <c r="B1723" s="1" t="s">
        <v>4875</v>
      </c>
      <c r="D1723" s="1" t="s">
        <v>4876</v>
      </c>
      <c r="F1723" s="1" t="s">
        <v>4880</v>
      </c>
      <c r="H1723" s="1" t="s">
        <v>4881</v>
      </c>
      <c r="M1723" s="1" t="s">
        <v>3189</v>
      </c>
      <c r="N1723" s="1" t="s">
        <v>3190</v>
      </c>
      <c r="P1723" s="1" t="s">
        <v>10425</v>
      </c>
      <c r="Q1723" s="30" t="s">
        <v>2565</v>
      </c>
      <c r="R1723" s="33" t="s">
        <v>3472</v>
      </c>
      <c r="S1723">
        <v>37</v>
      </c>
      <c r="T1723" s="1" t="s">
        <v>13909</v>
      </c>
      <c r="U1723" s="1" t="str">
        <f>HYPERLINK("http://ictvonline.org/taxonomy/p/taxonomy-history?taxnode_id=202113157","ICTVonline=202113157")</f>
        <v>ICTVonline=202113157</v>
      </c>
    </row>
    <row r="1724" spans="1:21" x14ac:dyDescent="0.2">
      <c r="A1724" s="3">
        <v>1723</v>
      </c>
      <c r="B1724" s="1" t="s">
        <v>4875</v>
      </c>
      <c r="D1724" s="1" t="s">
        <v>4876</v>
      </c>
      <c r="F1724" s="1" t="s">
        <v>4880</v>
      </c>
      <c r="H1724" s="1" t="s">
        <v>4881</v>
      </c>
      <c r="M1724" s="1" t="s">
        <v>3189</v>
      </c>
      <c r="N1724" s="1" t="s">
        <v>10426</v>
      </c>
      <c r="P1724" s="1" t="s">
        <v>10427</v>
      </c>
      <c r="Q1724" s="30" t="s">
        <v>2565</v>
      </c>
      <c r="R1724" s="33" t="s">
        <v>3472</v>
      </c>
      <c r="S1724">
        <v>37</v>
      </c>
      <c r="T1724" s="1" t="s">
        <v>13909</v>
      </c>
      <c r="U1724" s="1" t="str">
        <f>HYPERLINK("http://ictvonline.org/taxonomy/p/taxonomy-history?taxnode_id=202113129","ICTVonline=202113129")</f>
        <v>ICTVonline=202113129</v>
      </c>
    </row>
    <row r="1725" spans="1:21" x14ac:dyDescent="0.2">
      <c r="A1725" s="3">
        <v>1724</v>
      </c>
      <c r="B1725" s="1" t="s">
        <v>4875</v>
      </c>
      <c r="D1725" s="1" t="s">
        <v>4876</v>
      </c>
      <c r="F1725" s="1" t="s">
        <v>4880</v>
      </c>
      <c r="H1725" s="1" t="s">
        <v>4881</v>
      </c>
      <c r="M1725" s="1" t="s">
        <v>3189</v>
      </c>
      <c r="N1725" s="1" t="s">
        <v>10428</v>
      </c>
      <c r="P1725" s="1" t="s">
        <v>10429</v>
      </c>
      <c r="Q1725" s="30" t="s">
        <v>2565</v>
      </c>
      <c r="R1725" s="33" t="s">
        <v>3473</v>
      </c>
      <c r="S1725">
        <v>37</v>
      </c>
      <c r="T1725" s="1" t="s">
        <v>13909</v>
      </c>
      <c r="U1725" s="1" t="str">
        <f>HYPERLINK("http://ictvonline.org/taxonomy/p/taxonomy-history?taxnode_id=202100732","ICTVonline=202100732")</f>
        <v>ICTVonline=202100732</v>
      </c>
    </row>
    <row r="1726" spans="1:21" x14ac:dyDescent="0.2">
      <c r="A1726" s="3">
        <v>1725</v>
      </c>
      <c r="B1726" s="1" t="s">
        <v>4875</v>
      </c>
      <c r="D1726" s="1" t="s">
        <v>4876</v>
      </c>
      <c r="F1726" s="1" t="s">
        <v>4880</v>
      </c>
      <c r="H1726" s="1" t="s">
        <v>4881</v>
      </c>
      <c r="M1726" s="1" t="s">
        <v>3189</v>
      </c>
      <c r="N1726" s="1" t="s">
        <v>10430</v>
      </c>
      <c r="P1726" s="1" t="s">
        <v>10431</v>
      </c>
      <c r="Q1726" s="30" t="s">
        <v>2565</v>
      </c>
      <c r="R1726" s="33" t="s">
        <v>3472</v>
      </c>
      <c r="S1726">
        <v>37</v>
      </c>
      <c r="T1726" s="1" t="s">
        <v>13909</v>
      </c>
      <c r="U1726" s="1" t="str">
        <f>HYPERLINK("http://ictvonline.org/taxonomy/p/taxonomy-history?taxnode_id=202113140","ICTVonline=202113140")</f>
        <v>ICTVonline=202113140</v>
      </c>
    </row>
    <row r="1727" spans="1:21" x14ac:dyDescent="0.2">
      <c r="A1727" s="3">
        <v>1726</v>
      </c>
      <c r="B1727" s="1" t="s">
        <v>4875</v>
      </c>
      <c r="D1727" s="1" t="s">
        <v>4876</v>
      </c>
      <c r="F1727" s="1" t="s">
        <v>4880</v>
      </c>
      <c r="H1727" s="1" t="s">
        <v>4881</v>
      </c>
      <c r="M1727" s="1" t="s">
        <v>3189</v>
      </c>
      <c r="N1727" s="1" t="s">
        <v>10430</v>
      </c>
      <c r="P1727" s="1" t="s">
        <v>10432</v>
      </c>
      <c r="Q1727" s="30" t="s">
        <v>2565</v>
      </c>
      <c r="R1727" s="33" t="s">
        <v>3472</v>
      </c>
      <c r="S1727">
        <v>37</v>
      </c>
      <c r="T1727" s="1" t="s">
        <v>13909</v>
      </c>
      <c r="U1727" s="1" t="str">
        <f>HYPERLINK("http://ictvonline.org/taxonomy/p/taxonomy-history?taxnode_id=202113139","ICTVonline=202113139")</f>
        <v>ICTVonline=202113139</v>
      </c>
    </row>
    <row r="1728" spans="1:21" x14ac:dyDescent="0.2">
      <c r="A1728" s="3">
        <v>1727</v>
      </c>
      <c r="B1728" s="1" t="s">
        <v>4875</v>
      </c>
      <c r="D1728" s="1" t="s">
        <v>4876</v>
      </c>
      <c r="F1728" s="1" t="s">
        <v>4880</v>
      </c>
      <c r="H1728" s="1" t="s">
        <v>4881</v>
      </c>
      <c r="M1728" s="1" t="s">
        <v>3189</v>
      </c>
      <c r="N1728" s="1" t="s">
        <v>3191</v>
      </c>
      <c r="P1728" s="1" t="s">
        <v>10433</v>
      </c>
      <c r="Q1728" s="30" t="s">
        <v>2565</v>
      </c>
      <c r="R1728" s="33" t="s">
        <v>3473</v>
      </c>
      <c r="S1728">
        <v>37</v>
      </c>
      <c r="T1728" s="1" t="s">
        <v>13878</v>
      </c>
      <c r="U1728" s="1" t="str">
        <f>HYPERLINK("http://ictvonline.org/taxonomy/p/taxonomy-history?taxnode_id=202100719","ICTVonline=202100719")</f>
        <v>ICTVonline=202100719</v>
      </c>
    </row>
    <row r="1729" spans="1:21" x14ac:dyDescent="0.2">
      <c r="A1729" s="3">
        <v>1728</v>
      </c>
      <c r="B1729" s="1" t="s">
        <v>4875</v>
      </c>
      <c r="D1729" s="1" t="s">
        <v>4876</v>
      </c>
      <c r="F1729" s="1" t="s">
        <v>4880</v>
      </c>
      <c r="H1729" s="1" t="s">
        <v>4881</v>
      </c>
      <c r="M1729" s="1" t="s">
        <v>3189</v>
      </c>
      <c r="N1729" s="1" t="s">
        <v>3191</v>
      </c>
      <c r="P1729" s="1" t="s">
        <v>10434</v>
      </c>
      <c r="Q1729" s="30" t="s">
        <v>2565</v>
      </c>
      <c r="R1729" s="33" t="s">
        <v>3473</v>
      </c>
      <c r="S1729">
        <v>37</v>
      </c>
      <c r="T1729" s="1" t="s">
        <v>13878</v>
      </c>
      <c r="U1729" s="1" t="str">
        <f>HYPERLINK("http://ictvonline.org/taxonomy/p/taxonomy-history?taxnode_id=202100720","ICTVonline=202100720")</f>
        <v>ICTVonline=202100720</v>
      </c>
    </row>
    <row r="1730" spans="1:21" x14ac:dyDescent="0.2">
      <c r="A1730" s="3">
        <v>1729</v>
      </c>
      <c r="B1730" s="1" t="s">
        <v>4875</v>
      </c>
      <c r="D1730" s="1" t="s">
        <v>4876</v>
      </c>
      <c r="F1730" s="1" t="s">
        <v>4880</v>
      </c>
      <c r="H1730" s="1" t="s">
        <v>4881</v>
      </c>
      <c r="M1730" s="1" t="s">
        <v>3189</v>
      </c>
      <c r="N1730" s="1" t="s">
        <v>3191</v>
      </c>
      <c r="P1730" s="1" t="s">
        <v>10435</v>
      </c>
      <c r="Q1730" s="30" t="s">
        <v>2565</v>
      </c>
      <c r="R1730" s="33" t="s">
        <v>3473</v>
      </c>
      <c r="S1730">
        <v>37</v>
      </c>
      <c r="T1730" s="1" t="s">
        <v>13878</v>
      </c>
      <c r="U1730" s="1" t="str">
        <f>HYPERLINK("http://ictvonline.org/taxonomy/p/taxonomy-history?taxnode_id=202100721","ICTVonline=202100721")</f>
        <v>ICTVonline=202100721</v>
      </c>
    </row>
    <row r="1731" spans="1:21" x14ac:dyDescent="0.2">
      <c r="A1731" s="3">
        <v>1730</v>
      </c>
      <c r="B1731" s="1" t="s">
        <v>4875</v>
      </c>
      <c r="D1731" s="1" t="s">
        <v>4876</v>
      </c>
      <c r="F1731" s="1" t="s">
        <v>4880</v>
      </c>
      <c r="H1731" s="1" t="s">
        <v>4881</v>
      </c>
      <c r="M1731" s="1" t="s">
        <v>3189</v>
      </c>
      <c r="N1731" s="1" t="s">
        <v>3191</v>
      </c>
      <c r="P1731" s="1" t="s">
        <v>10436</v>
      </c>
      <c r="Q1731" s="30" t="s">
        <v>2565</v>
      </c>
      <c r="R1731" s="33" t="s">
        <v>3472</v>
      </c>
      <c r="S1731">
        <v>37</v>
      </c>
      <c r="T1731" s="1" t="s">
        <v>13909</v>
      </c>
      <c r="U1731" s="1" t="str">
        <f>HYPERLINK("http://ictvonline.org/taxonomy/p/taxonomy-history?taxnode_id=202113161","ICTVonline=202113161")</f>
        <v>ICTVonline=202113161</v>
      </c>
    </row>
    <row r="1732" spans="1:21" x14ac:dyDescent="0.2">
      <c r="A1732" s="3">
        <v>1731</v>
      </c>
      <c r="B1732" s="1" t="s">
        <v>4875</v>
      </c>
      <c r="D1732" s="1" t="s">
        <v>4876</v>
      </c>
      <c r="F1732" s="1" t="s">
        <v>4880</v>
      </c>
      <c r="H1732" s="1" t="s">
        <v>4881</v>
      </c>
      <c r="M1732" s="1" t="s">
        <v>3189</v>
      </c>
      <c r="N1732" s="1" t="s">
        <v>3191</v>
      </c>
      <c r="P1732" s="1" t="s">
        <v>10437</v>
      </c>
      <c r="Q1732" s="30" t="s">
        <v>2565</v>
      </c>
      <c r="R1732" s="33" t="s">
        <v>3473</v>
      </c>
      <c r="S1732">
        <v>37</v>
      </c>
      <c r="T1732" s="1" t="s">
        <v>13878</v>
      </c>
      <c r="U1732" s="1" t="str">
        <f>HYPERLINK("http://ictvonline.org/taxonomy/p/taxonomy-history?taxnode_id=202100722","ICTVonline=202100722")</f>
        <v>ICTVonline=202100722</v>
      </c>
    </row>
    <row r="1733" spans="1:21" x14ac:dyDescent="0.2">
      <c r="A1733" s="3">
        <v>1732</v>
      </c>
      <c r="B1733" s="1" t="s">
        <v>4875</v>
      </c>
      <c r="D1733" s="1" t="s">
        <v>4876</v>
      </c>
      <c r="F1733" s="1" t="s">
        <v>4880</v>
      </c>
      <c r="H1733" s="1" t="s">
        <v>4881</v>
      </c>
      <c r="M1733" s="1" t="s">
        <v>3189</v>
      </c>
      <c r="N1733" s="1" t="s">
        <v>3191</v>
      </c>
      <c r="P1733" s="1" t="s">
        <v>10438</v>
      </c>
      <c r="Q1733" s="30" t="s">
        <v>2565</v>
      </c>
      <c r="R1733" s="33" t="s">
        <v>3473</v>
      </c>
      <c r="S1733">
        <v>37</v>
      </c>
      <c r="T1733" s="1" t="s">
        <v>13878</v>
      </c>
      <c r="U1733" s="1" t="str">
        <f>HYPERLINK("http://ictvonline.org/taxonomy/p/taxonomy-history?taxnode_id=202100723","ICTVonline=202100723")</f>
        <v>ICTVonline=202100723</v>
      </c>
    </row>
    <row r="1734" spans="1:21" x14ac:dyDescent="0.2">
      <c r="A1734" s="3">
        <v>1733</v>
      </c>
      <c r="B1734" s="1" t="s">
        <v>4875</v>
      </c>
      <c r="D1734" s="1" t="s">
        <v>4876</v>
      </c>
      <c r="F1734" s="1" t="s">
        <v>4880</v>
      </c>
      <c r="H1734" s="1" t="s">
        <v>4881</v>
      </c>
      <c r="M1734" s="1" t="s">
        <v>3189</v>
      </c>
      <c r="N1734" s="1" t="s">
        <v>3191</v>
      </c>
      <c r="P1734" s="1" t="s">
        <v>10439</v>
      </c>
      <c r="Q1734" s="30" t="s">
        <v>2565</v>
      </c>
      <c r="R1734" s="33" t="s">
        <v>3473</v>
      </c>
      <c r="S1734">
        <v>37</v>
      </c>
      <c r="T1734" s="1" t="s">
        <v>13878</v>
      </c>
      <c r="U1734" s="1" t="str">
        <f>HYPERLINK("http://ictvonline.org/taxonomy/p/taxonomy-history?taxnode_id=202100724","ICTVonline=202100724")</f>
        <v>ICTVonline=202100724</v>
      </c>
    </row>
    <row r="1735" spans="1:21" x14ac:dyDescent="0.2">
      <c r="A1735" s="3">
        <v>1734</v>
      </c>
      <c r="B1735" s="1" t="s">
        <v>4875</v>
      </c>
      <c r="D1735" s="1" t="s">
        <v>4876</v>
      </c>
      <c r="F1735" s="1" t="s">
        <v>4880</v>
      </c>
      <c r="H1735" s="1" t="s">
        <v>4881</v>
      </c>
      <c r="M1735" s="1" t="s">
        <v>3189</v>
      </c>
      <c r="N1735" s="1" t="s">
        <v>3191</v>
      </c>
      <c r="P1735" s="1" t="s">
        <v>10440</v>
      </c>
      <c r="Q1735" s="30" t="s">
        <v>2565</v>
      </c>
      <c r="R1735" s="33" t="s">
        <v>3473</v>
      </c>
      <c r="S1735">
        <v>37</v>
      </c>
      <c r="T1735" s="1" t="s">
        <v>13878</v>
      </c>
      <c r="U1735" s="1" t="str">
        <f>HYPERLINK("http://ictvonline.org/taxonomy/p/taxonomy-history?taxnode_id=202100725","ICTVonline=202100725")</f>
        <v>ICTVonline=202100725</v>
      </c>
    </row>
    <row r="1736" spans="1:21" x14ac:dyDescent="0.2">
      <c r="A1736" s="3">
        <v>1735</v>
      </c>
      <c r="B1736" s="1" t="s">
        <v>4875</v>
      </c>
      <c r="D1736" s="1" t="s">
        <v>4876</v>
      </c>
      <c r="F1736" s="1" t="s">
        <v>4880</v>
      </c>
      <c r="H1736" s="1" t="s">
        <v>4881</v>
      </c>
      <c r="M1736" s="1" t="s">
        <v>3189</v>
      </c>
      <c r="N1736" s="1" t="s">
        <v>3191</v>
      </c>
      <c r="P1736" s="1" t="s">
        <v>10441</v>
      </c>
      <c r="Q1736" s="30" t="s">
        <v>2565</v>
      </c>
      <c r="R1736" s="33" t="s">
        <v>3472</v>
      </c>
      <c r="S1736">
        <v>37</v>
      </c>
      <c r="T1736" s="1" t="s">
        <v>13909</v>
      </c>
      <c r="U1736" s="1" t="str">
        <f>HYPERLINK("http://ictvonline.org/taxonomy/p/taxonomy-history?taxnode_id=202113162","ICTVonline=202113162")</f>
        <v>ICTVonline=202113162</v>
      </c>
    </row>
    <row r="1737" spans="1:21" x14ac:dyDescent="0.2">
      <c r="A1737" s="3">
        <v>1736</v>
      </c>
      <c r="B1737" s="1" t="s">
        <v>4875</v>
      </c>
      <c r="D1737" s="1" t="s">
        <v>4876</v>
      </c>
      <c r="F1737" s="1" t="s">
        <v>4880</v>
      </c>
      <c r="H1737" s="1" t="s">
        <v>4881</v>
      </c>
      <c r="M1737" s="1" t="s">
        <v>3189</v>
      </c>
      <c r="N1737" s="1" t="s">
        <v>3191</v>
      </c>
      <c r="P1737" s="1" t="s">
        <v>10442</v>
      </c>
      <c r="Q1737" s="30" t="s">
        <v>2565</v>
      </c>
      <c r="R1737" s="33" t="s">
        <v>3472</v>
      </c>
      <c r="S1737">
        <v>37</v>
      </c>
      <c r="T1737" s="1" t="s">
        <v>13909</v>
      </c>
      <c r="U1737" s="1" t="str">
        <f>HYPERLINK("http://ictvonline.org/taxonomy/p/taxonomy-history?taxnode_id=202113163","ICTVonline=202113163")</f>
        <v>ICTVonline=202113163</v>
      </c>
    </row>
    <row r="1738" spans="1:21" x14ac:dyDescent="0.2">
      <c r="A1738" s="3">
        <v>1737</v>
      </c>
      <c r="B1738" s="1" t="s">
        <v>4875</v>
      </c>
      <c r="D1738" s="1" t="s">
        <v>4876</v>
      </c>
      <c r="F1738" s="1" t="s">
        <v>4880</v>
      </c>
      <c r="H1738" s="1" t="s">
        <v>4881</v>
      </c>
      <c r="M1738" s="1" t="s">
        <v>3189</v>
      </c>
      <c r="N1738" s="1" t="s">
        <v>3191</v>
      </c>
      <c r="P1738" s="1" t="s">
        <v>10443</v>
      </c>
      <c r="Q1738" s="30" t="s">
        <v>2565</v>
      </c>
      <c r="R1738" s="33" t="s">
        <v>3473</v>
      </c>
      <c r="S1738">
        <v>37</v>
      </c>
      <c r="T1738" s="1" t="s">
        <v>13878</v>
      </c>
      <c r="U1738" s="1" t="str">
        <f>HYPERLINK("http://ictvonline.org/taxonomy/p/taxonomy-history?taxnode_id=202100726","ICTVonline=202100726")</f>
        <v>ICTVonline=202100726</v>
      </c>
    </row>
    <row r="1739" spans="1:21" x14ac:dyDescent="0.2">
      <c r="A1739" s="3">
        <v>1738</v>
      </c>
      <c r="B1739" s="1" t="s">
        <v>4875</v>
      </c>
      <c r="D1739" s="1" t="s">
        <v>4876</v>
      </c>
      <c r="F1739" s="1" t="s">
        <v>4880</v>
      </c>
      <c r="H1739" s="1" t="s">
        <v>4881</v>
      </c>
      <c r="M1739" s="1" t="s">
        <v>3189</v>
      </c>
      <c r="N1739" s="1" t="s">
        <v>3191</v>
      </c>
      <c r="P1739" s="1" t="s">
        <v>10444</v>
      </c>
      <c r="Q1739" s="30" t="s">
        <v>2565</v>
      </c>
      <c r="R1739" s="33" t="s">
        <v>3472</v>
      </c>
      <c r="S1739">
        <v>37</v>
      </c>
      <c r="T1739" s="1" t="s">
        <v>13909</v>
      </c>
      <c r="U1739" s="1" t="str">
        <f>HYPERLINK("http://ictvonline.org/taxonomy/p/taxonomy-history?taxnode_id=202113160","ICTVonline=202113160")</f>
        <v>ICTVonline=202113160</v>
      </c>
    </row>
    <row r="1740" spans="1:21" x14ac:dyDescent="0.2">
      <c r="A1740" s="3">
        <v>1739</v>
      </c>
      <c r="B1740" s="1" t="s">
        <v>4875</v>
      </c>
      <c r="D1740" s="1" t="s">
        <v>4876</v>
      </c>
      <c r="F1740" s="1" t="s">
        <v>4880</v>
      </c>
      <c r="H1740" s="1" t="s">
        <v>4881</v>
      </c>
      <c r="M1740" s="1" t="s">
        <v>3189</v>
      </c>
      <c r="N1740" s="1" t="s">
        <v>3191</v>
      </c>
      <c r="P1740" s="1" t="s">
        <v>10445</v>
      </c>
      <c r="Q1740" s="30" t="s">
        <v>2565</v>
      </c>
      <c r="R1740" s="33" t="s">
        <v>3472</v>
      </c>
      <c r="S1740">
        <v>37</v>
      </c>
      <c r="T1740" s="1" t="s">
        <v>13909</v>
      </c>
      <c r="U1740" s="1" t="str">
        <f>HYPERLINK("http://ictvonline.org/taxonomy/p/taxonomy-history?taxnode_id=202113159","ICTVonline=202113159")</f>
        <v>ICTVonline=202113159</v>
      </c>
    </row>
    <row r="1741" spans="1:21" x14ac:dyDescent="0.2">
      <c r="A1741" s="3">
        <v>1740</v>
      </c>
      <c r="B1741" s="1" t="s">
        <v>4875</v>
      </c>
      <c r="D1741" s="1" t="s">
        <v>4876</v>
      </c>
      <c r="F1741" s="1" t="s">
        <v>4880</v>
      </c>
      <c r="H1741" s="1" t="s">
        <v>4881</v>
      </c>
      <c r="M1741" s="1" t="s">
        <v>3189</v>
      </c>
      <c r="N1741" s="1" t="s">
        <v>3191</v>
      </c>
      <c r="P1741" s="1" t="s">
        <v>10446</v>
      </c>
      <c r="Q1741" s="30" t="s">
        <v>2565</v>
      </c>
      <c r="R1741" s="33" t="s">
        <v>3473</v>
      </c>
      <c r="S1741">
        <v>37</v>
      </c>
      <c r="T1741" s="1" t="s">
        <v>13878</v>
      </c>
      <c r="U1741" s="1" t="str">
        <f>HYPERLINK("http://ictvonline.org/taxonomy/p/taxonomy-history?taxnode_id=202100727","ICTVonline=202100727")</f>
        <v>ICTVonline=202100727</v>
      </c>
    </row>
    <row r="1742" spans="1:21" x14ac:dyDescent="0.2">
      <c r="A1742" s="3">
        <v>1741</v>
      </c>
      <c r="B1742" s="1" t="s">
        <v>4875</v>
      </c>
      <c r="D1742" s="1" t="s">
        <v>4876</v>
      </c>
      <c r="F1742" s="1" t="s">
        <v>4880</v>
      </c>
      <c r="H1742" s="1" t="s">
        <v>4881</v>
      </c>
      <c r="M1742" s="1" t="s">
        <v>3189</v>
      </c>
      <c r="N1742" s="1" t="s">
        <v>10447</v>
      </c>
      <c r="P1742" s="1" t="s">
        <v>10448</v>
      </c>
      <c r="Q1742" s="30" t="s">
        <v>2565</v>
      </c>
      <c r="R1742" s="33" t="s">
        <v>3472</v>
      </c>
      <c r="S1742">
        <v>37</v>
      </c>
      <c r="T1742" s="1" t="s">
        <v>13909</v>
      </c>
      <c r="U1742" s="1" t="str">
        <f>HYPERLINK("http://ictvonline.org/taxonomy/p/taxonomy-history?taxnode_id=202113144","ICTVonline=202113144")</f>
        <v>ICTVonline=202113144</v>
      </c>
    </row>
    <row r="1743" spans="1:21" x14ac:dyDescent="0.2">
      <c r="A1743" s="3">
        <v>1742</v>
      </c>
      <c r="B1743" s="1" t="s">
        <v>4875</v>
      </c>
      <c r="D1743" s="1" t="s">
        <v>4876</v>
      </c>
      <c r="F1743" s="1" t="s">
        <v>4880</v>
      </c>
      <c r="H1743" s="1" t="s">
        <v>4881</v>
      </c>
      <c r="M1743" s="1" t="s">
        <v>3189</v>
      </c>
      <c r="N1743" s="1" t="s">
        <v>10447</v>
      </c>
      <c r="P1743" s="1" t="s">
        <v>10449</v>
      </c>
      <c r="Q1743" s="30" t="s">
        <v>2565</v>
      </c>
      <c r="R1743" s="33" t="s">
        <v>3472</v>
      </c>
      <c r="S1743">
        <v>37</v>
      </c>
      <c r="T1743" s="1" t="s">
        <v>13909</v>
      </c>
      <c r="U1743" s="1" t="str">
        <f>HYPERLINK("http://ictvonline.org/taxonomy/p/taxonomy-history?taxnode_id=202113143","ICTVonline=202113143")</f>
        <v>ICTVonline=202113143</v>
      </c>
    </row>
    <row r="1744" spans="1:21" x14ac:dyDescent="0.2">
      <c r="A1744" s="3">
        <v>1743</v>
      </c>
      <c r="B1744" s="1" t="s">
        <v>4875</v>
      </c>
      <c r="D1744" s="1" t="s">
        <v>4876</v>
      </c>
      <c r="F1744" s="1" t="s">
        <v>4880</v>
      </c>
      <c r="H1744" s="1" t="s">
        <v>4881</v>
      </c>
      <c r="M1744" s="1" t="s">
        <v>3189</v>
      </c>
      <c r="N1744" s="1" t="s">
        <v>10447</v>
      </c>
      <c r="P1744" s="1" t="s">
        <v>10450</v>
      </c>
      <c r="Q1744" s="30" t="s">
        <v>2565</v>
      </c>
      <c r="R1744" s="33" t="s">
        <v>3472</v>
      </c>
      <c r="S1744">
        <v>37</v>
      </c>
      <c r="T1744" s="1" t="s">
        <v>13909</v>
      </c>
      <c r="U1744" s="1" t="str">
        <f>HYPERLINK("http://ictvonline.org/taxonomy/p/taxonomy-history?taxnode_id=202113142","ICTVonline=202113142")</f>
        <v>ICTVonline=202113142</v>
      </c>
    </row>
    <row r="1745" spans="1:21" x14ac:dyDescent="0.2">
      <c r="A1745" s="3">
        <v>1744</v>
      </c>
      <c r="B1745" s="1" t="s">
        <v>4875</v>
      </c>
      <c r="D1745" s="1" t="s">
        <v>4876</v>
      </c>
      <c r="F1745" s="1" t="s">
        <v>4880</v>
      </c>
      <c r="H1745" s="1" t="s">
        <v>4881</v>
      </c>
      <c r="M1745" s="1" t="s">
        <v>3189</v>
      </c>
      <c r="N1745" s="1" t="s">
        <v>10447</v>
      </c>
      <c r="P1745" s="1" t="s">
        <v>10451</v>
      </c>
      <c r="Q1745" s="30" t="s">
        <v>2565</v>
      </c>
      <c r="R1745" s="33" t="s">
        <v>3472</v>
      </c>
      <c r="S1745">
        <v>37</v>
      </c>
      <c r="T1745" s="1" t="s">
        <v>13909</v>
      </c>
      <c r="U1745" s="1" t="str">
        <f>HYPERLINK("http://ictvonline.org/taxonomy/p/taxonomy-history?taxnode_id=202113145","ICTVonline=202113145")</f>
        <v>ICTVonline=202113145</v>
      </c>
    </row>
    <row r="1746" spans="1:21" x14ac:dyDescent="0.2">
      <c r="A1746" s="3">
        <v>1745</v>
      </c>
      <c r="B1746" s="1" t="s">
        <v>4875</v>
      </c>
      <c r="D1746" s="1" t="s">
        <v>4876</v>
      </c>
      <c r="F1746" s="1" t="s">
        <v>4880</v>
      </c>
      <c r="H1746" s="1" t="s">
        <v>4881</v>
      </c>
      <c r="M1746" s="1" t="s">
        <v>3189</v>
      </c>
      <c r="N1746" s="1" t="s">
        <v>10452</v>
      </c>
      <c r="P1746" s="1" t="s">
        <v>10453</v>
      </c>
      <c r="Q1746" s="30" t="s">
        <v>2565</v>
      </c>
      <c r="R1746" s="33" t="s">
        <v>3472</v>
      </c>
      <c r="S1746">
        <v>37</v>
      </c>
      <c r="T1746" s="1" t="s">
        <v>13909</v>
      </c>
      <c r="U1746" s="1" t="str">
        <f>HYPERLINK("http://ictvonline.org/taxonomy/p/taxonomy-history?taxnode_id=202113134","ICTVonline=202113134")</f>
        <v>ICTVonline=202113134</v>
      </c>
    </row>
    <row r="1747" spans="1:21" x14ac:dyDescent="0.2">
      <c r="A1747" s="3">
        <v>1746</v>
      </c>
      <c r="B1747" s="1" t="s">
        <v>4875</v>
      </c>
      <c r="D1747" s="1" t="s">
        <v>4876</v>
      </c>
      <c r="F1747" s="1" t="s">
        <v>4880</v>
      </c>
      <c r="H1747" s="1" t="s">
        <v>4881</v>
      </c>
      <c r="M1747" s="1" t="s">
        <v>3189</v>
      </c>
      <c r="N1747" s="1" t="s">
        <v>10454</v>
      </c>
      <c r="P1747" s="1" t="s">
        <v>10455</v>
      </c>
      <c r="Q1747" s="30" t="s">
        <v>2565</v>
      </c>
      <c r="R1747" s="33" t="s">
        <v>3472</v>
      </c>
      <c r="S1747">
        <v>37</v>
      </c>
      <c r="T1747" s="1" t="s">
        <v>13909</v>
      </c>
      <c r="U1747" s="1" t="str">
        <f>HYPERLINK("http://ictvonline.org/taxonomy/p/taxonomy-history?taxnode_id=202113136","ICTVonline=202113136")</f>
        <v>ICTVonline=202113136</v>
      </c>
    </row>
    <row r="1748" spans="1:21" x14ac:dyDescent="0.2">
      <c r="A1748" s="3">
        <v>1747</v>
      </c>
      <c r="B1748" s="1" t="s">
        <v>4875</v>
      </c>
      <c r="D1748" s="1" t="s">
        <v>4876</v>
      </c>
      <c r="F1748" s="1" t="s">
        <v>4880</v>
      </c>
      <c r="H1748" s="1" t="s">
        <v>4881</v>
      </c>
      <c r="M1748" s="1" t="s">
        <v>3189</v>
      </c>
      <c r="N1748" s="1" t="s">
        <v>10454</v>
      </c>
      <c r="P1748" s="1" t="s">
        <v>10456</v>
      </c>
      <c r="Q1748" s="30" t="s">
        <v>2565</v>
      </c>
      <c r="R1748" s="33" t="s">
        <v>3472</v>
      </c>
      <c r="S1748">
        <v>37</v>
      </c>
      <c r="T1748" s="1" t="s">
        <v>13909</v>
      </c>
      <c r="U1748" s="1" t="str">
        <f>HYPERLINK("http://ictvonline.org/taxonomy/p/taxonomy-history?taxnode_id=202113137","ICTVonline=202113137")</f>
        <v>ICTVonline=202113137</v>
      </c>
    </row>
    <row r="1749" spans="1:21" x14ac:dyDescent="0.2">
      <c r="A1749" s="3">
        <v>1748</v>
      </c>
      <c r="B1749" s="1" t="s">
        <v>4875</v>
      </c>
      <c r="D1749" s="1" t="s">
        <v>4876</v>
      </c>
      <c r="F1749" s="1" t="s">
        <v>4880</v>
      </c>
      <c r="H1749" s="1" t="s">
        <v>4881</v>
      </c>
      <c r="M1749" s="1" t="s">
        <v>3189</v>
      </c>
      <c r="N1749" s="1" t="s">
        <v>10457</v>
      </c>
      <c r="P1749" s="1" t="s">
        <v>10458</v>
      </c>
      <c r="Q1749" s="30" t="s">
        <v>2565</v>
      </c>
      <c r="R1749" s="33" t="s">
        <v>3472</v>
      </c>
      <c r="S1749">
        <v>37</v>
      </c>
      <c r="T1749" s="1" t="s">
        <v>13909</v>
      </c>
      <c r="U1749" s="1" t="str">
        <f>HYPERLINK("http://ictvonline.org/taxonomy/p/taxonomy-history?taxnode_id=202113132","ICTVonline=202113132")</f>
        <v>ICTVonline=202113132</v>
      </c>
    </row>
    <row r="1750" spans="1:21" x14ac:dyDescent="0.2">
      <c r="A1750" s="3">
        <v>1749</v>
      </c>
      <c r="B1750" s="1" t="s">
        <v>4875</v>
      </c>
      <c r="D1750" s="1" t="s">
        <v>4876</v>
      </c>
      <c r="F1750" s="1" t="s">
        <v>4880</v>
      </c>
      <c r="H1750" s="1" t="s">
        <v>4881</v>
      </c>
      <c r="M1750" s="1" t="s">
        <v>6127</v>
      </c>
      <c r="N1750" s="1" t="s">
        <v>6128</v>
      </c>
      <c r="P1750" s="1" t="s">
        <v>10459</v>
      </c>
      <c r="Q1750" s="30" t="s">
        <v>2565</v>
      </c>
      <c r="R1750" s="33" t="s">
        <v>3473</v>
      </c>
      <c r="S1750">
        <v>37</v>
      </c>
      <c r="T1750" s="1" t="s">
        <v>13878</v>
      </c>
      <c r="U1750" s="1" t="str">
        <f>HYPERLINK("http://ictvonline.org/taxonomy/p/taxonomy-history?taxnode_id=202109559","ICTVonline=202109559")</f>
        <v>ICTVonline=202109559</v>
      </c>
    </row>
    <row r="1751" spans="1:21" x14ac:dyDescent="0.2">
      <c r="A1751" s="3">
        <v>1750</v>
      </c>
      <c r="B1751" s="1" t="s">
        <v>4875</v>
      </c>
      <c r="D1751" s="1" t="s">
        <v>4876</v>
      </c>
      <c r="F1751" s="1" t="s">
        <v>4880</v>
      </c>
      <c r="H1751" s="1" t="s">
        <v>4881</v>
      </c>
      <c r="M1751" s="1" t="s">
        <v>6127</v>
      </c>
      <c r="N1751" s="1" t="s">
        <v>6128</v>
      </c>
      <c r="P1751" s="1" t="s">
        <v>10460</v>
      </c>
      <c r="Q1751" s="30" t="s">
        <v>2565</v>
      </c>
      <c r="R1751" s="33" t="s">
        <v>3473</v>
      </c>
      <c r="S1751">
        <v>37</v>
      </c>
      <c r="T1751" s="1" t="s">
        <v>13878</v>
      </c>
      <c r="U1751" s="1" t="str">
        <f>HYPERLINK("http://ictvonline.org/taxonomy/p/taxonomy-history?taxnode_id=202101195","ICTVonline=202101195")</f>
        <v>ICTVonline=202101195</v>
      </c>
    </row>
    <row r="1752" spans="1:21" x14ac:dyDescent="0.2">
      <c r="A1752" s="3">
        <v>1751</v>
      </c>
      <c r="B1752" s="1" t="s">
        <v>4875</v>
      </c>
      <c r="D1752" s="1" t="s">
        <v>4876</v>
      </c>
      <c r="F1752" s="1" t="s">
        <v>4880</v>
      </c>
      <c r="H1752" s="1" t="s">
        <v>4881</v>
      </c>
      <c r="M1752" s="1" t="s">
        <v>6127</v>
      </c>
      <c r="N1752" s="1" t="s">
        <v>6128</v>
      </c>
      <c r="P1752" s="1" t="s">
        <v>10461</v>
      </c>
      <c r="Q1752" s="30" t="s">
        <v>2565</v>
      </c>
      <c r="R1752" s="33" t="s">
        <v>3473</v>
      </c>
      <c r="S1752">
        <v>37</v>
      </c>
      <c r="T1752" s="1" t="s">
        <v>13878</v>
      </c>
      <c r="U1752" s="1" t="str">
        <f>HYPERLINK("http://ictvonline.org/taxonomy/p/taxonomy-history?taxnode_id=202101198","ICTVonline=202101198")</f>
        <v>ICTVonline=202101198</v>
      </c>
    </row>
    <row r="1753" spans="1:21" x14ac:dyDescent="0.2">
      <c r="A1753" s="3">
        <v>1752</v>
      </c>
      <c r="B1753" s="1" t="s">
        <v>4875</v>
      </c>
      <c r="D1753" s="1" t="s">
        <v>4876</v>
      </c>
      <c r="F1753" s="1" t="s">
        <v>4880</v>
      </c>
      <c r="H1753" s="1" t="s">
        <v>4881</v>
      </c>
      <c r="M1753" s="1" t="s">
        <v>6127</v>
      </c>
      <c r="N1753" s="1" t="s">
        <v>6128</v>
      </c>
      <c r="P1753" s="1" t="s">
        <v>10462</v>
      </c>
      <c r="Q1753" s="30" t="s">
        <v>2565</v>
      </c>
      <c r="R1753" s="33" t="s">
        <v>3473</v>
      </c>
      <c r="S1753">
        <v>37</v>
      </c>
      <c r="T1753" s="1" t="s">
        <v>13878</v>
      </c>
      <c r="U1753" s="1" t="str">
        <f>HYPERLINK("http://ictvonline.org/taxonomy/p/taxonomy-history?taxnode_id=202101200","ICTVonline=202101200")</f>
        <v>ICTVonline=202101200</v>
      </c>
    </row>
    <row r="1754" spans="1:21" x14ac:dyDescent="0.2">
      <c r="A1754" s="3">
        <v>1753</v>
      </c>
      <c r="B1754" s="1" t="s">
        <v>4875</v>
      </c>
      <c r="D1754" s="1" t="s">
        <v>4876</v>
      </c>
      <c r="F1754" s="1" t="s">
        <v>4880</v>
      </c>
      <c r="H1754" s="1" t="s">
        <v>4881</v>
      </c>
      <c r="M1754" s="1" t="s">
        <v>6127</v>
      </c>
      <c r="N1754" s="1" t="s">
        <v>6128</v>
      </c>
      <c r="P1754" s="1" t="s">
        <v>10463</v>
      </c>
      <c r="Q1754" s="30" t="s">
        <v>2565</v>
      </c>
      <c r="R1754" s="33" t="s">
        <v>3473</v>
      </c>
      <c r="S1754">
        <v>37</v>
      </c>
      <c r="T1754" s="1" t="s">
        <v>13878</v>
      </c>
      <c r="U1754" s="1" t="str">
        <f>HYPERLINK("http://ictvonline.org/taxonomy/p/taxonomy-history?taxnode_id=202101203","ICTVonline=202101203")</f>
        <v>ICTVonline=202101203</v>
      </c>
    </row>
    <row r="1755" spans="1:21" x14ac:dyDescent="0.2">
      <c r="A1755" s="3">
        <v>1754</v>
      </c>
      <c r="B1755" s="1" t="s">
        <v>4875</v>
      </c>
      <c r="D1755" s="1" t="s">
        <v>4876</v>
      </c>
      <c r="F1755" s="1" t="s">
        <v>4880</v>
      </c>
      <c r="H1755" s="1" t="s">
        <v>4881</v>
      </c>
      <c r="M1755" s="1" t="s">
        <v>6127</v>
      </c>
      <c r="N1755" s="1" t="s">
        <v>6128</v>
      </c>
      <c r="P1755" s="1" t="s">
        <v>10464</v>
      </c>
      <c r="Q1755" s="30" t="s">
        <v>2565</v>
      </c>
      <c r="R1755" s="33" t="s">
        <v>3473</v>
      </c>
      <c r="S1755">
        <v>37</v>
      </c>
      <c r="T1755" s="1" t="s">
        <v>13878</v>
      </c>
      <c r="U1755" s="1" t="str">
        <f>HYPERLINK("http://ictvonline.org/taxonomy/p/taxonomy-history?taxnode_id=202101209","ICTVonline=202101209")</f>
        <v>ICTVonline=202101209</v>
      </c>
    </row>
    <row r="1756" spans="1:21" x14ac:dyDescent="0.2">
      <c r="A1756" s="3">
        <v>1755</v>
      </c>
      <c r="B1756" s="1" t="s">
        <v>4875</v>
      </c>
      <c r="D1756" s="1" t="s">
        <v>4876</v>
      </c>
      <c r="F1756" s="1" t="s">
        <v>4880</v>
      </c>
      <c r="H1756" s="1" t="s">
        <v>4881</v>
      </c>
      <c r="M1756" s="1" t="s">
        <v>6127</v>
      </c>
      <c r="N1756" s="1" t="s">
        <v>6128</v>
      </c>
      <c r="P1756" s="1" t="s">
        <v>10465</v>
      </c>
      <c r="Q1756" s="30" t="s">
        <v>2565</v>
      </c>
      <c r="R1756" s="33" t="s">
        <v>3473</v>
      </c>
      <c r="S1756">
        <v>37</v>
      </c>
      <c r="T1756" s="1" t="s">
        <v>13878</v>
      </c>
      <c r="U1756" s="1" t="str">
        <f>HYPERLINK("http://ictvonline.org/taxonomy/p/taxonomy-history?taxnode_id=202101217","ICTVonline=202101217")</f>
        <v>ICTVonline=202101217</v>
      </c>
    </row>
    <row r="1757" spans="1:21" x14ac:dyDescent="0.2">
      <c r="A1757" s="3">
        <v>1756</v>
      </c>
      <c r="B1757" s="1" t="s">
        <v>4875</v>
      </c>
      <c r="D1757" s="1" t="s">
        <v>4876</v>
      </c>
      <c r="F1757" s="1" t="s">
        <v>4880</v>
      </c>
      <c r="H1757" s="1" t="s">
        <v>4881</v>
      </c>
      <c r="M1757" s="1" t="s">
        <v>6127</v>
      </c>
      <c r="N1757" s="1" t="s">
        <v>6128</v>
      </c>
      <c r="P1757" s="1" t="s">
        <v>10466</v>
      </c>
      <c r="Q1757" s="30" t="s">
        <v>2565</v>
      </c>
      <c r="R1757" s="33" t="s">
        <v>3473</v>
      </c>
      <c r="S1757">
        <v>37</v>
      </c>
      <c r="T1757" s="1" t="s">
        <v>13878</v>
      </c>
      <c r="U1757" s="1" t="str">
        <f>HYPERLINK("http://ictvonline.org/taxonomy/p/taxonomy-history?taxnode_id=202109557","ICTVonline=202109557")</f>
        <v>ICTVonline=202109557</v>
      </c>
    </row>
    <row r="1758" spans="1:21" x14ac:dyDescent="0.2">
      <c r="A1758" s="3">
        <v>1757</v>
      </c>
      <c r="B1758" s="1" t="s">
        <v>4875</v>
      </c>
      <c r="D1758" s="1" t="s">
        <v>4876</v>
      </c>
      <c r="F1758" s="1" t="s">
        <v>4880</v>
      </c>
      <c r="H1758" s="1" t="s">
        <v>4881</v>
      </c>
      <c r="M1758" s="1" t="s">
        <v>6127</v>
      </c>
      <c r="N1758" s="1" t="s">
        <v>6128</v>
      </c>
      <c r="P1758" s="1" t="s">
        <v>10467</v>
      </c>
      <c r="Q1758" s="30" t="s">
        <v>2565</v>
      </c>
      <c r="R1758" s="33" t="s">
        <v>3473</v>
      </c>
      <c r="S1758">
        <v>37</v>
      </c>
      <c r="T1758" s="1" t="s">
        <v>13878</v>
      </c>
      <c r="U1758" s="1" t="str">
        <f>HYPERLINK("http://ictvonline.org/taxonomy/p/taxonomy-history?taxnode_id=202101214","ICTVonline=202101214")</f>
        <v>ICTVonline=202101214</v>
      </c>
    </row>
    <row r="1759" spans="1:21" x14ac:dyDescent="0.2">
      <c r="A1759" s="3">
        <v>1758</v>
      </c>
      <c r="B1759" s="1" t="s">
        <v>4875</v>
      </c>
      <c r="D1759" s="1" t="s">
        <v>4876</v>
      </c>
      <c r="F1759" s="1" t="s">
        <v>4880</v>
      </c>
      <c r="H1759" s="1" t="s">
        <v>4881</v>
      </c>
      <c r="M1759" s="1" t="s">
        <v>6127</v>
      </c>
      <c r="N1759" s="1" t="s">
        <v>6128</v>
      </c>
      <c r="P1759" s="1" t="s">
        <v>10468</v>
      </c>
      <c r="Q1759" s="30" t="s">
        <v>2565</v>
      </c>
      <c r="R1759" s="33" t="s">
        <v>3473</v>
      </c>
      <c r="S1759">
        <v>37</v>
      </c>
      <c r="T1759" s="1" t="s">
        <v>13878</v>
      </c>
      <c r="U1759" s="1" t="str">
        <f>HYPERLINK("http://ictvonline.org/taxonomy/p/taxonomy-history?taxnode_id=202101220","ICTVonline=202101220")</f>
        <v>ICTVonline=202101220</v>
      </c>
    </row>
    <row r="1760" spans="1:21" x14ac:dyDescent="0.2">
      <c r="A1760" s="3">
        <v>1759</v>
      </c>
      <c r="B1760" s="1" t="s">
        <v>4875</v>
      </c>
      <c r="D1760" s="1" t="s">
        <v>4876</v>
      </c>
      <c r="F1760" s="1" t="s">
        <v>4880</v>
      </c>
      <c r="H1760" s="1" t="s">
        <v>4881</v>
      </c>
      <c r="M1760" s="1" t="s">
        <v>6127</v>
      </c>
      <c r="N1760" s="1" t="s">
        <v>6128</v>
      </c>
      <c r="P1760" s="1" t="s">
        <v>10469</v>
      </c>
      <c r="Q1760" s="30" t="s">
        <v>2565</v>
      </c>
      <c r="R1760" s="33" t="s">
        <v>3473</v>
      </c>
      <c r="S1760">
        <v>37</v>
      </c>
      <c r="T1760" s="1" t="s">
        <v>13878</v>
      </c>
      <c r="U1760" s="1" t="str">
        <f>HYPERLINK("http://ictvonline.org/taxonomy/p/taxonomy-history?taxnode_id=202101221","ICTVonline=202101221")</f>
        <v>ICTVonline=202101221</v>
      </c>
    </row>
    <row r="1761" spans="1:21" x14ac:dyDescent="0.2">
      <c r="A1761" s="3">
        <v>1760</v>
      </c>
      <c r="B1761" s="1" t="s">
        <v>4875</v>
      </c>
      <c r="D1761" s="1" t="s">
        <v>4876</v>
      </c>
      <c r="F1761" s="1" t="s">
        <v>4880</v>
      </c>
      <c r="H1761" s="1" t="s">
        <v>4881</v>
      </c>
      <c r="M1761" s="1" t="s">
        <v>6127</v>
      </c>
      <c r="N1761" s="1" t="s">
        <v>6128</v>
      </c>
      <c r="P1761" s="1" t="s">
        <v>10470</v>
      </c>
      <c r="Q1761" s="30" t="s">
        <v>2565</v>
      </c>
      <c r="R1761" s="33" t="s">
        <v>3473</v>
      </c>
      <c r="S1761">
        <v>37</v>
      </c>
      <c r="T1761" s="1" t="s">
        <v>13878</v>
      </c>
      <c r="U1761" s="1" t="str">
        <f>HYPERLINK("http://ictvonline.org/taxonomy/p/taxonomy-history?taxnode_id=202101222","ICTVonline=202101222")</f>
        <v>ICTVonline=202101222</v>
      </c>
    </row>
    <row r="1762" spans="1:21" x14ac:dyDescent="0.2">
      <c r="A1762" s="3">
        <v>1761</v>
      </c>
      <c r="B1762" s="1" t="s">
        <v>4875</v>
      </c>
      <c r="D1762" s="1" t="s">
        <v>4876</v>
      </c>
      <c r="F1762" s="1" t="s">
        <v>4880</v>
      </c>
      <c r="H1762" s="1" t="s">
        <v>4881</v>
      </c>
      <c r="M1762" s="1" t="s">
        <v>6127</v>
      </c>
      <c r="N1762" s="1" t="s">
        <v>6128</v>
      </c>
      <c r="P1762" s="1" t="s">
        <v>10471</v>
      </c>
      <c r="Q1762" s="30" t="s">
        <v>2565</v>
      </c>
      <c r="R1762" s="33" t="s">
        <v>3473</v>
      </c>
      <c r="S1762">
        <v>37</v>
      </c>
      <c r="T1762" s="1" t="s">
        <v>13878</v>
      </c>
      <c r="U1762" s="1" t="str">
        <f>HYPERLINK("http://ictvonline.org/taxonomy/p/taxonomy-history?taxnode_id=202109560","ICTVonline=202109560")</f>
        <v>ICTVonline=202109560</v>
      </c>
    </row>
    <row r="1763" spans="1:21" x14ac:dyDescent="0.2">
      <c r="A1763" s="3">
        <v>1762</v>
      </c>
      <c r="B1763" s="1" t="s">
        <v>4875</v>
      </c>
      <c r="D1763" s="1" t="s">
        <v>4876</v>
      </c>
      <c r="F1763" s="1" t="s">
        <v>4880</v>
      </c>
      <c r="H1763" s="1" t="s">
        <v>4881</v>
      </c>
      <c r="M1763" s="1" t="s">
        <v>6127</v>
      </c>
      <c r="N1763" s="1" t="s">
        <v>6128</v>
      </c>
      <c r="P1763" s="1" t="s">
        <v>10472</v>
      </c>
      <c r="Q1763" s="30" t="s">
        <v>2565</v>
      </c>
      <c r="R1763" s="33" t="s">
        <v>3473</v>
      </c>
      <c r="S1763">
        <v>37</v>
      </c>
      <c r="T1763" s="1" t="s">
        <v>13878</v>
      </c>
      <c r="U1763" s="1" t="str">
        <f>HYPERLINK("http://ictvonline.org/taxonomy/p/taxonomy-history?taxnode_id=202109558","ICTVonline=202109558")</f>
        <v>ICTVonline=202109558</v>
      </c>
    </row>
    <row r="1764" spans="1:21" x14ac:dyDescent="0.2">
      <c r="A1764" s="3">
        <v>1763</v>
      </c>
      <c r="B1764" s="1" t="s">
        <v>4875</v>
      </c>
      <c r="D1764" s="1" t="s">
        <v>4876</v>
      </c>
      <c r="F1764" s="1" t="s">
        <v>4880</v>
      </c>
      <c r="H1764" s="1" t="s">
        <v>4881</v>
      </c>
      <c r="M1764" s="1" t="s">
        <v>6127</v>
      </c>
      <c r="N1764" s="1" t="s">
        <v>6128</v>
      </c>
      <c r="P1764" s="1" t="s">
        <v>10473</v>
      </c>
      <c r="Q1764" s="30" t="s">
        <v>2565</v>
      </c>
      <c r="R1764" s="33" t="s">
        <v>3473</v>
      </c>
      <c r="S1764">
        <v>37</v>
      </c>
      <c r="T1764" s="1" t="s">
        <v>13878</v>
      </c>
      <c r="U1764" s="1" t="str">
        <f>HYPERLINK("http://ictvonline.org/taxonomy/p/taxonomy-history?taxnode_id=202101224","ICTVonline=202101224")</f>
        <v>ICTVonline=202101224</v>
      </c>
    </row>
    <row r="1765" spans="1:21" x14ac:dyDescent="0.2">
      <c r="A1765" s="3">
        <v>1764</v>
      </c>
      <c r="B1765" s="1" t="s">
        <v>4875</v>
      </c>
      <c r="D1765" s="1" t="s">
        <v>4876</v>
      </c>
      <c r="F1765" s="1" t="s">
        <v>4880</v>
      </c>
      <c r="H1765" s="1" t="s">
        <v>4881</v>
      </c>
      <c r="M1765" s="1" t="s">
        <v>6127</v>
      </c>
      <c r="N1765" s="1" t="s">
        <v>6128</v>
      </c>
      <c r="P1765" s="1" t="s">
        <v>10474</v>
      </c>
      <c r="Q1765" s="30" t="s">
        <v>2565</v>
      </c>
      <c r="R1765" s="33" t="s">
        <v>3473</v>
      </c>
      <c r="S1765">
        <v>37</v>
      </c>
      <c r="T1765" s="1" t="s">
        <v>13878</v>
      </c>
      <c r="U1765" s="1" t="str">
        <f>HYPERLINK("http://ictvonline.org/taxonomy/p/taxonomy-history?taxnode_id=202109555","ICTVonline=202109555")</f>
        <v>ICTVonline=202109555</v>
      </c>
    </row>
    <row r="1766" spans="1:21" x14ac:dyDescent="0.2">
      <c r="A1766" s="3">
        <v>1765</v>
      </c>
      <c r="B1766" s="1" t="s">
        <v>4875</v>
      </c>
      <c r="D1766" s="1" t="s">
        <v>4876</v>
      </c>
      <c r="F1766" s="1" t="s">
        <v>4880</v>
      </c>
      <c r="H1766" s="1" t="s">
        <v>4881</v>
      </c>
      <c r="M1766" s="1" t="s">
        <v>6127</v>
      </c>
      <c r="N1766" s="1" t="s">
        <v>6128</v>
      </c>
      <c r="P1766" s="1" t="s">
        <v>10475</v>
      </c>
      <c r="Q1766" s="30" t="s">
        <v>2565</v>
      </c>
      <c r="R1766" s="33" t="s">
        <v>3473</v>
      </c>
      <c r="S1766">
        <v>37</v>
      </c>
      <c r="T1766" s="1" t="s">
        <v>13878</v>
      </c>
      <c r="U1766" s="1" t="str">
        <f>HYPERLINK("http://ictvonline.org/taxonomy/p/taxonomy-history?taxnode_id=202109556","ICTVonline=202109556")</f>
        <v>ICTVonline=202109556</v>
      </c>
    </row>
    <row r="1767" spans="1:21" x14ac:dyDescent="0.2">
      <c r="A1767" s="3">
        <v>1766</v>
      </c>
      <c r="B1767" s="1" t="s">
        <v>4875</v>
      </c>
      <c r="D1767" s="1" t="s">
        <v>4876</v>
      </c>
      <c r="F1767" s="1" t="s">
        <v>4880</v>
      </c>
      <c r="H1767" s="1" t="s">
        <v>4881</v>
      </c>
      <c r="M1767" s="1" t="s">
        <v>6127</v>
      </c>
      <c r="N1767" s="1" t="s">
        <v>6128</v>
      </c>
      <c r="P1767" s="1" t="s">
        <v>10476</v>
      </c>
      <c r="Q1767" s="30" t="s">
        <v>2565</v>
      </c>
      <c r="R1767" s="33" t="s">
        <v>3473</v>
      </c>
      <c r="S1767">
        <v>37</v>
      </c>
      <c r="T1767" s="1" t="s">
        <v>13878</v>
      </c>
      <c r="U1767" s="1" t="str">
        <f>HYPERLINK("http://ictvonline.org/taxonomy/p/taxonomy-history?taxnode_id=202109554","ICTVonline=202109554")</f>
        <v>ICTVonline=202109554</v>
      </c>
    </row>
    <row r="1768" spans="1:21" x14ac:dyDescent="0.2">
      <c r="A1768" s="3">
        <v>1767</v>
      </c>
      <c r="B1768" s="1" t="s">
        <v>4875</v>
      </c>
      <c r="D1768" s="1" t="s">
        <v>4876</v>
      </c>
      <c r="F1768" s="1" t="s">
        <v>4880</v>
      </c>
      <c r="H1768" s="1" t="s">
        <v>4881</v>
      </c>
      <c r="M1768" s="1" t="s">
        <v>6127</v>
      </c>
      <c r="N1768" s="1" t="s">
        <v>2644</v>
      </c>
      <c r="P1768" s="1" t="s">
        <v>10477</v>
      </c>
      <c r="Q1768" s="30" t="s">
        <v>2565</v>
      </c>
      <c r="R1768" s="33" t="s">
        <v>3473</v>
      </c>
      <c r="S1768">
        <v>37</v>
      </c>
      <c r="T1768" s="1" t="s">
        <v>13878</v>
      </c>
      <c r="U1768" s="1" t="str">
        <f>HYPERLINK("http://ictvonline.org/taxonomy/p/taxonomy-history?taxnode_id=202109565","ICTVonline=202109565")</f>
        <v>ICTVonline=202109565</v>
      </c>
    </row>
    <row r="1769" spans="1:21" x14ac:dyDescent="0.2">
      <c r="A1769" s="3">
        <v>1768</v>
      </c>
      <c r="B1769" s="1" t="s">
        <v>4875</v>
      </c>
      <c r="D1769" s="1" t="s">
        <v>4876</v>
      </c>
      <c r="F1769" s="1" t="s">
        <v>4880</v>
      </c>
      <c r="H1769" s="1" t="s">
        <v>4881</v>
      </c>
      <c r="M1769" s="1" t="s">
        <v>6127</v>
      </c>
      <c r="N1769" s="1" t="s">
        <v>2644</v>
      </c>
      <c r="P1769" s="1" t="s">
        <v>10478</v>
      </c>
      <c r="Q1769" s="30" t="s">
        <v>2565</v>
      </c>
      <c r="R1769" s="33" t="s">
        <v>3473</v>
      </c>
      <c r="S1769">
        <v>37</v>
      </c>
      <c r="T1769" s="1" t="s">
        <v>13878</v>
      </c>
      <c r="U1769" s="1" t="str">
        <f>HYPERLINK("http://ictvonline.org/taxonomy/p/taxonomy-history?taxnode_id=202109564","ICTVonline=202109564")</f>
        <v>ICTVonline=202109564</v>
      </c>
    </row>
    <row r="1770" spans="1:21" x14ac:dyDescent="0.2">
      <c r="A1770" s="3">
        <v>1769</v>
      </c>
      <c r="B1770" s="1" t="s">
        <v>4875</v>
      </c>
      <c r="D1770" s="1" t="s">
        <v>4876</v>
      </c>
      <c r="F1770" s="1" t="s">
        <v>4880</v>
      </c>
      <c r="H1770" s="1" t="s">
        <v>4881</v>
      </c>
      <c r="M1770" s="1" t="s">
        <v>6127</v>
      </c>
      <c r="N1770" s="1" t="s">
        <v>2644</v>
      </c>
      <c r="P1770" s="1" t="s">
        <v>10479</v>
      </c>
      <c r="Q1770" s="30" t="s">
        <v>2565</v>
      </c>
      <c r="R1770" s="33" t="s">
        <v>3473</v>
      </c>
      <c r="S1770">
        <v>37</v>
      </c>
      <c r="T1770" s="1" t="s">
        <v>13878</v>
      </c>
      <c r="U1770" s="1" t="str">
        <f>HYPERLINK("http://ictvonline.org/taxonomy/p/taxonomy-history?taxnode_id=202109571","ICTVonline=202109571")</f>
        <v>ICTVonline=202109571</v>
      </c>
    </row>
    <row r="1771" spans="1:21" x14ac:dyDescent="0.2">
      <c r="A1771" s="3">
        <v>1770</v>
      </c>
      <c r="B1771" s="1" t="s">
        <v>4875</v>
      </c>
      <c r="D1771" s="1" t="s">
        <v>4876</v>
      </c>
      <c r="F1771" s="1" t="s">
        <v>4880</v>
      </c>
      <c r="H1771" s="1" t="s">
        <v>4881</v>
      </c>
      <c r="M1771" s="1" t="s">
        <v>6127</v>
      </c>
      <c r="N1771" s="1" t="s">
        <v>2644</v>
      </c>
      <c r="P1771" s="1" t="s">
        <v>10480</v>
      </c>
      <c r="Q1771" s="30" t="s">
        <v>2565</v>
      </c>
      <c r="R1771" s="33" t="s">
        <v>3473</v>
      </c>
      <c r="S1771">
        <v>37</v>
      </c>
      <c r="T1771" s="1" t="s">
        <v>13878</v>
      </c>
      <c r="U1771" s="1" t="str">
        <f>HYPERLINK("http://ictvonline.org/taxonomy/p/taxonomy-history?taxnode_id=202101216","ICTVonline=202101216")</f>
        <v>ICTVonline=202101216</v>
      </c>
    </row>
    <row r="1772" spans="1:21" x14ac:dyDescent="0.2">
      <c r="A1772" s="3">
        <v>1771</v>
      </c>
      <c r="B1772" s="1" t="s">
        <v>4875</v>
      </c>
      <c r="D1772" s="1" t="s">
        <v>4876</v>
      </c>
      <c r="F1772" s="1" t="s">
        <v>4880</v>
      </c>
      <c r="H1772" s="1" t="s">
        <v>4881</v>
      </c>
      <c r="M1772" s="1" t="s">
        <v>6127</v>
      </c>
      <c r="N1772" s="1" t="s">
        <v>2644</v>
      </c>
      <c r="P1772" s="1" t="s">
        <v>10481</v>
      </c>
      <c r="Q1772" s="30" t="s">
        <v>2565</v>
      </c>
      <c r="R1772" s="33" t="s">
        <v>3473</v>
      </c>
      <c r="S1772">
        <v>37</v>
      </c>
      <c r="T1772" s="1" t="s">
        <v>13878</v>
      </c>
      <c r="U1772" s="1" t="str">
        <f>HYPERLINK("http://ictvonline.org/taxonomy/p/taxonomy-history?taxnode_id=202101218","ICTVonline=202101218")</f>
        <v>ICTVonline=202101218</v>
      </c>
    </row>
    <row r="1773" spans="1:21" x14ac:dyDescent="0.2">
      <c r="A1773" s="3">
        <v>1772</v>
      </c>
      <c r="B1773" s="1" t="s">
        <v>4875</v>
      </c>
      <c r="D1773" s="1" t="s">
        <v>4876</v>
      </c>
      <c r="F1773" s="1" t="s">
        <v>4880</v>
      </c>
      <c r="H1773" s="1" t="s">
        <v>4881</v>
      </c>
      <c r="M1773" s="1" t="s">
        <v>6127</v>
      </c>
      <c r="N1773" s="1" t="s">
        <v>2644</v>
      </c>
      <c r="P1773" s="1" t="s">
        <v>10482</v>
      </c>
      <c r="Q1773" s="30" t="s">
        <v>2565</v>
      </c>
      <c r="R1773" s="33" t="s">
        <v>3473</v>
      </c>
      <c r="S1773">
        <v>37</v>
      </c>
      <c r="T1773" s="1" t="s">
        <v>13878</v>
      </c>
      <c r="U1773" s="1" t="str">
        <f>HYPERLINK("http://ictvonline.org/taxonomy/p/taxonomy-history?taxnode_id=202101211","ICTVonline=202101211")</f>
        <v>ICTVonline=202101211</v>
      </c>
    </row>
    <row r="1774" spans="1:21" x14ac:dyDescent="0.2">
      <c r="A1774" s="3">
        <v>1773</v>
      </c>
      <c r="B1774" s="1" t="s">
        <v>4875</v>
      </c>
      <c r="D1774" s="1" t="s">
        <v>4876</v>
      </c>
      <c r="F1774" s="1" t="s">
        <v>4880</v>
      </c>
      <c r="H1774" s="1" t="s">
        <v>4881</v>
      </c>
      <c r="M1774" s="1" t="s">
        <v>6127</v>
      </c>
      <c r="N1774" s="1" t="s">
        <v>2644</v>
      </c>
      <c r="P1774" s="1" t="s">
        <v>10483</v>
      </c>
      <c r="Q1774" s="30" t="s">
        <v>2565</v>
      </c>
      <c r="R1774" s="33" t="s">
        <v>3473</v>
      </c>
      <c r="S1774">
        <v>37</v>
      </c>
      <c r="T1774" s="1" t="s">
        <v>13878</v>
      </c>
      <c r="U1774" s="1" t="str">
        <f>HYPERLINK("http://ictvonline.org/taxonomy/p/taxonomy-history?taxnode_id=202109568","ICTVonline=202109568")</f>
        <v>ICTVonline=202109568</v>
      </c>
    </row>
    <row r="1775" spans="1:21" x14ac:dyDescent="0.2">
      <c r="A1775" s="3">
        <v>1774</v>
      </c>
      <c r="B1775" s="1" t="s">
        <v>4875</v>
      </c>
      <c r="D1775" s="1" t="s">
        <v>4876</v>
      </c>
      <c r="F1775" s="1" t="s">
        <v>4880</v>
      </c>
      <c r="H1775" s="1" t="s">
        <v>4881</v>
      </c>
      <c r="M1775" s="1" t="s">
        <v>6127</v>
      </c>
      <c r="N1775" s="1" t="s">
        <v>2644</v>
      </c>
      <c r="P1775" s="1" t="s">
        <v>10484</v>
      </c>
      <c r="Q1775" s="30" t="s">
        <v>2565</v>
      </c>
      <c r="R1775" s="33" t="s">
        <v>3473</v>
      </c>
      <c r="S1775">
        <v>37</v>
      </c>
      <c r="T1775" s="1" t="s">
        <v>13878</v>
      </c>
      <c r="U1775" s="1" t="str">
        <f>HYPERLINK("http://ictvonline.org/taxonomy/p/taxonomy-history?taxnode_id=202109567","ICTVonline=202109567")</f>
        <v>ICTVonline=202109567</v>
      </c>
    </row>
    <row r="1776" spans="1:21" x14ac:dyDescent="0.2">
      <c r="A1776" s="3">
        <v>1775</v>
      </c>
      <c r="B1776" s="1" t="s">
        <v>4875</v>
      </c>
      <c r="D1776" s="1" t="s">
        <v>4876</v>
      </c>
      <c r="F1776" s="1" t="s">
        <v>4880</v>
      </c>
      <c r="H1776" s="1" t="s">
        <v>4881</v>
      </c>
      <c r="M1776" s="1" t="s">
        <v>6127</v>
      </c>
      <c r="N1776" s="1" t="s">
        <v>2644</v>
      </c>
      <c r="P1776" s="1" t="s">
        <v>10485</v>
      </c>
      <c r="Q1776" s="30" t="s">
        <v>2565</v>
      </c>
      <c r="R1776" s="33" t="s">
        <v>3473</v>
      </c>
      <c r="S1776">
        <v>37</v>
      </c>
      <c r="T1776" s="1" t="s">
        <v>13878</v>
      </c>
      <c r="U1776" s="1" t="str">
        <f>HYPERLINK("http://ictvonline.org/taxonomy/p/taxonomy-history?taxnode_id=202101219","ICTVonline=202101219")</f>
        <v>ICTVonline=202101219</v>
      </c>
    </row>
    <row r="1777" spans="1:21" x14ac:dyDescent="0.2">
      <c r="A1777" s="3">
        <v>1776</v>
      </c>
      <c r="B1777" s="1" t="s">
        <v>4875</v>
      </c>
      <c r="D1777" s="1" t="s">
        <v>4876</v>
      </c>
      <c r="F1777" s="1" t="s">
        <v>4880</v>
      </c>
      <c r="H1777" s="1" t="s">
        <v>4881</v>
      </c>
      <c r="M1777" s="1" t="s">
        <v>6127</v>
      </c>
      <c r="N1777" s="1" t="s">
        <v>2644</v>
      </c>
      <c r="P1777" s="1" t="s">
        <v>10486</v>
      </c>
      <c r="Q1777" s="30" t="s">
        <v>2565</v>
      </c>
      <c r="R1777" s="33" t="s">
        <v>3473</v>
      </c>
      <c r="S1777">
        <v>37</v>
      </c>
      <c r="T1777" s="1" t="s">
        <v>13878</v>
      </c>
      <c r="U1777" s="1" t="str">
        <f>HYPERLINK("http://ictvonline.org/taxonomy/p/taxonomy-history?taxnode_id=202101223","ICTVonline=202101223")</f>
        <v>ICTVonline=202101223</v>
      </c>
    </row>
    <row r="1778" spans="1:21" x14ac:dyDescent="0.2">
      <c r="A1778" s="3">
        <v>1777</v>
      </c>
      <c r="B1778" s="1" t="s">
        <v>4875</v>
      </c>
      <c r="D1778" s="1" t="s">
        <v>4876</v>
      </c>
      <c r="F1778" s="1" t="s">
        <v>4880</v>
      </c>
      <c r="H1778" s="1" t="s">
        <v>4881</v>
      </c>
      <c r="M1778" s="1" t="s">
        <v>6127</v>
      </c>
      <c r="N1778" s="1" t="s">
        <v>2644</v>
      </c>
      <c r="P1778" s="1" t="s">
        <v>10487</v>
      </c>
      <c r="Q1778" s="30" t="s">
        <v>2565</v>
      </c>
      <c r="R1778" s="33" t="s">
        <v>3473</v>
      </c>
      <c r="S1778">
        <v>37</v>
      </c>
      <c r="T1778" s="1" t="s">
        <v>13878</v>
      </c>
      <c r="U1778" s="1" t="str">
        <f>HYPERLINK("http://ictvonline.org/taxonomy/p/taxonomy-history?taxnode_id=202101196","ICTVonline=202101196")</f>
        <v>ICTVonline=202101196</v>
      </c>
    </row>
    <row r="1779" spans="1:21" x14ac:dyDescent="0.2">
      <c r="A1779" s="3">
        <v>1778</v>
      </c>
      <c r="B1779" s="1" t="s">
        <v>4875</v>
      </c>
      <c r="D1779" s="1" t="s">
        <v>4876</v>
      </c>
      <c r="F1779" s="1" t="s">
        <v>4880</v>
      </c>
      <c r="H1779" s="1" t="s">
        <v>4881</v>
      </c>
      <c r="M1779" s="1" t="s">
        <v>6127</v>
      </c>
      <c r="N1779" s="1" t="s">
        <v>2644</v>
      </c>
      <c r="P1779" s="1" t="s">
        <v>10488</v>
      </c>
      <c r="Q1779" s="30" t="s">
        <v>2565</v>
      </c>
      <c r="R1779" s="33" t="s">
        <v>3473</v>
      </c>
      <c r="S1779">
        <v>37</v>
      </c>
      <c r="T1779" s="1" t="s">
        <v>13878</v>
      </c>
      <c r="U1779" s="1" t="str">
        <f>HYPERLINK("http://ictvonline.org/taxonomy/p/taxonomy-history?taxnode_id=202101197","ICTVonline=202101197")</f>
        <v>ICTVonline=202101197</v>
      </c>
    </row>
    <row r="1780" spans="1:21" x14ac:dyDescent="0.2">
      <c r="A1780" s="3">
        <v>1779</v>
      </c>
      <c r="B1780" s="1" t="s">
        <v>4875</v>
      </c>
      <c r="D1780" s="1" t="s">
        <v>4876</v>
      </c>
      <c r="F1780" s="1" t="s">
        <v>4880</v>
      </c>
      <c r="H1780" s="1" t="s">
        <v>4881</v>
      </c>
      <c r="M1780" s="1" t="s">
        <v>6127</v>
      </c>
      <c r="N1780" s="1" t="s">
        <v>2644</v>
      </c>
      <c r="P1780" s="1" t="s">
        <v>10489</v>
      </c>
      <c r="Q1780" s="30" t="s">
        <v>2565</v>
      </c>
      <c r="R1780" s="33" t="s">
        <v>3473</v>
      </c>
      <c r="S1780">
        <v>37</v>
      </c>
      <c r="T1780" s="1" t="s">
        <v>13878</v>
      </c>
      <c r="U1780" s="1" t="str">
        <f>HYPERLINK("http://ictvonline.org/taxonomy/p/taxonomy-history?taxnode_id=202101199","ICTVonline=202101199")</f>
        <v>ICTVonline=202101199</v>
      </c>
    </row>
    <row r="1781" spans="1:21" x14ac:dyDescent="0.2">
      <c r="A1781" s="3">
        <v>1780</v>
      </c>
      <c r="B1781" s="1" t="s">
        <v>4875</v>
      </c>
      <c r="D1781" s="1" t="s">
        <v>4876</v>
      </c>
      <c r="F1781" s="1" t="s">
        <v>4880</v>
      </c>
      <c r="H1781" s="1" t="s">
        <v>4881</v>
      </c>
      <c r="M1781" s="1" t="s">
        <v>6127</v>
      </c>
      <c r="N1781" s="1" t="s">
        <v>2644</v>
      </c>
      <c r="P1781" s="1" t="s">
        <v>10490</v>
      </c>
      <c r="Q1781" s="30" t="s">
        <v>2565</v>
      </c>
      <c r="R1781" s="33" t="s">
        <v>3473</v>
      </c>
      <c r="S1781">
        <v>37</v>
      </c>
      <c r="T1781" s="1" t="s">
        <v>13878</v>
      </c>
      <c r="U1781" s="1" t="str">
        <f>HYPERLINK("http://ictvonline.org/taxonomy/p/taxonomy-history?taxnode_id=202101201","ICTVonline=202101201")</f>
        <v>ICTVonline=202101201</v>
      </c>
    </row>
    <row r="1782" spans="1:21" x14ac:dyDescent="0.2">
      <c r="A1782" s="3">
        <v>1781</v>
      </c>
      <c r="B1782" s="1" t="s">
        <v>4875</v>
      </c>
      <c r="D1782" s="1" t="s">
        <v>4876</v>
      </c>
      <c r="F1782" s="1" t="s">
        <v>4880</v>
      </c>
      <c r="H1782" s="1" t="s">
        <v>4881</v>
      </c>
      <c r="M1782" s="1" t="s">
        <v>6127</v>
      </c>
      <c r="N1782" s="1" t="s">
        <v>2644</v>
      </c>
      <c r="P1782" s="1" t="s">
        <v>10491</v>
      </c>
      <c r="Q1782" s="30" t="s">
        <v>2565</v>
      </c>
      <c r="R1782" s="33" t="s">
        <v>3473</v>
      </c>
      <c r="S1782">
        <v>37</v>
      </c>
      <c r="T1782" s="1" t="s">
        <v>13878</v>
      </c>
      <c r="U1782" s="1" t="str">
        <f>HYPERLINK("http://ictvonline.org/taxonomy/p/taxonomy-history?taxnode_id=202101202","ICTVonline=202101202")</f>
        <v>ICTVonline=202101202</v>
      </c>
    </row>
    <row r="1783" spans="1:21" x14ac:dyDescent="0.2">
      <c r="A1783" s="3">
        <v>1782</v>
      </c>
      <c r="B1783" s="1" t="s">
        <v>4875</v>
      </c>
      <c r="D1783" s="1" t="s">
        <v>4876</v>
      </c>
      <c r="F1783" s="1" t="s">
        <v>4880</v>
      </c>
      <c r="H1783" s="1" t="s">
        <v>4881</v>
      </c>
      <c r="M1783" s="1" t="s">
        <v>6127</v>
      </c>
      <c r="N1783" s="1" t="s">
        <v>2644</v>
      </c>
      <c r="P1783" s="1" t="s">
        <v>10492</v>
      </c>
      <c r="Q1783" s="30" t="s">
        <v>2565</v>
      </c>
      <c r="R1783" s="33" t="s">
        <v>3473</v>
      </c>
      <c r="S1783">
        <v>37</v>
      </c>
      <c r="T1783" s="1" t="s">
        <v>13878</v>
      </c>
      <c r="U1783" s="1" t="str">
        <f>HYPERLINK("http://ictvonline.org/taxonomy/p/taxonomy-history?taxnode_id=202101204","ICTVonline=202101204")</f>
        <v>ICTVonline=202101204</v>
      </c>
    </row>
    <row r="1784" spans="1:21" x14ac:dyDescent="0.2">
      <c r="A1784" s="3">
        <v>1783</v>
      </c>
      <c r="B1784" s="1" t="s">
        <v>4875</v>
      </c>
      <c r="D1784" s="1" t="s">
        <v>4876</v>
      </c>
      <c r="F1784" s="1" t="s">
        <v>4880</v>
      </c>
      <c r="H1784" s="1" t="s">
        <v>4881</v>
      </c>
      <c r="M1784" s="1" t="s">
        <v>6127</v>
      </c>
      <c r="N1784" s="1" t="s">
        <v>2644</v>
      </c>
      <c r="P1784" s="1" t="s">
        <v>10493</v>
      </c>
      <c r="Q1784" s="30" t="s">
        <v>2565</v>
      </c>
      <c r="R1784" s="33" t="s">
        <v>3473</v>
      </c>
      <c r="S1784">
        <v>37</v>
      </c>
      <c r="T1784" s="1" t="s">
        <v>13878</v>
      </c>
      <c r="U1784" s="1" t="str">
        <f>HYPERLINK("http://ictvonline.org/taxonomy/p/taxonomy-history?taxnode_id=202101205","ICTVonline=202101205")</f>
        <v>ICTVonline=202101205</v>
      </c>
    </row>
    <row r="1785" spans="1:21" x14ac:dyDescent="0.2">
      <c r="A1785" s="3">
        <v>1784</v>
      </c>
      <c r="B1785" s="1" t="s">
        <v>4875</v>
      </c>
      <c r="D1785" s="1" t="s">
        <v>4876</v>
      </c>
      <c r="F1785" s="1" t="s">
        <v>4880</v>
      </c>
      <c r="H1785" s="1" t="s">
        <v>4881</v>
      </c>
      <c r="M1785" s="1" t="s">
        <v>6127</v>
      </c>
      <c r="N1785" s="1" t="s">
        <v>2644</v>
      </c>
      <c r="P1785" s="1" t="s">
        <v>10494</v>
      </c>
      <c r="Q1785" s="30" t="s">
        <v>2565</v>
      </c>
      <c r="R1785" s="33" t="s">
        <v>3473</v>
      </c>
      <c r="S1785">
        <v>37</v>
      </c>
      <c r="T1785" s="1" t="s">
        <v>13878</v>
      </c>
      <c r="U1785" s="1" t="str">
        <f>HYPERLINK("http://ictvonline.org/taxonomy/p/taxonomy-history?taxnode_id=202101206","ICTVonline=202101206")</f>
        <v>ICTVonline=202101206</v>
      </c>
    </row>
    <row r="1786" spans="1:21" x14ac:dyDescent="0.2">
      <c r="A1786" s="3">
        <v>1785</v>
      </c>
      <c r="B1786" s="1" t="s">
        <v>4875</v>
      </c>
      <c r="D1786" s="1" t="s">
        <v>4876</v>
      </c>
      <c r="F1786" s="1" t="s">
        <v>4880</v>
      </c>
      <c r="H1786" s="1" t="s">
        <v>4881</v>
      </c>
      <c r="M1786" s="1" t="s">
        <v>6127</v>
      </c>
      <c r="N1786" s="1" t="s">
        <v>2644</v>
      </c>
      <c r="P1786" s="1" t="s">
        <v>10495</v>
      </c>
      <c r="Q1786" s="30" t="s">
        <v>2565</v>
      </c>
      <c r="R1786" s="33" t="s">
        <v>3473</v>
      </c>
      <c r="S1786">
        <v>37</v>
      </c>
      <c r="T1786" s="1" t="s">
        <v>13878</v>
      </c>
      <c r="U1786" s="1" t="str">
        <f>HYPERLINK("http://ictvonline.org/taxonomy/p/taxonomy-history?taxnode_id=202101207","ICTVonline=202101207")</f>
        <v>ICTVonline=202101207</v>
      </c>
    </row>
    <row r="1787" spans="1:21" x14ac:dyDescent="0.2">
      <c r="A1787" s="3">
        <v>1786</v>
      </c>
      <c r="B1787" s="1" t="s">
        <v>4875</v>
      </c>
      <c r="D1787" s="1" t="s">
        <v>4876</v>
      </c>
      <c r="F1787" s="1" t="s">
        <v>4880</v>
      </c>
      <c r="H1787" s="1" t="s">
        <v>4881</v>
      </c>
      <c r="M1787" s="1" t="s">
        <v>6127</v>
      </c>
      <c r="N1787" s="1" t="s">
        <v>2644</v>
      </c>
      <c r="P1787" s="1" t="s">
        <v>10496</v>
      </c>
      <c r="Q1787" s="30" t="s">
        <v>2565</v>
      </c>
      <c r="R1787" s="33" t="s">
        <v>3473</v>
      </c>
      <c r="S1787">
        <v>37</v>
      </c>
      <c r="T1787" s="1" t="s">
        <v>13878</v>
      </c>
      <c r="U1787" s="1" t="str">
        <f>HYPERLINK("http://ictvonline.org/taxonomy/p/taxonomy-history?taxnode_id=202109563","ICTVonline=202109563")</f>
        <v>ICTVonline=202109563</v>
      </c>
    </row>
    <row r="1788" spans="1:21" x14ac:dyDescent="0.2">
      <c r="A1788" s="3">
        <v>1787</v>
      </c>
      <c r="B1788" s="1" t="s">
        <v>4875</v>
      </c>
      <c r="D1788" s="1" t="s">
        <v>4876</v>
      </c>
      <c r="F1788" s="1" t="s">
        <v>4880</v>
      </c>
      <c r="H1788" s="1" t="s">
        <v>4881</v>
      </c>
      <c r="M1788" s="1" t="s">
        <v>6127</v>
      </c>
      <c r="N1788" s="1" t="s">
        <v>2644</v>
      </c>
      <c r="P1788" s="1" t="s">
        <v>10497</v>
      </c>
      <c r="Q1788" s="30" t="s">
        <v>2565</v>
      </c>
      <c r="R1788" s="33" t="s">
        <v>3473</v>
      </c>
      <c r="S1788">
        <v>37</v>
      </c>
      <c r="T1788" s="1" t="s">
        <v>13878</v>
      </c>
      <c r="U1788" s="1" t="str">
        <f>HYPERLINK("http://ictvonline.org/taxonomy/p/taxonomy-history?taxnode_id=202101208","ICTVonline=202101208")</f>
        <v>ICTVonline=202101208</v>
      </c>
    </row>
    <row r="1789" spans="1:21" x14ac:dyDescent="0.2">
      <c r="A1789" s="3">
        <v>1788</v>
      </c>
      <c r="B1789" s="1" t="s">
        <v>4875</v>
      </c>
      <c r="D1789" s="1" t="s">
        <v>4876</v>
      </c>
      <c r="F1789" s="1" t="s">
        <v>4880</v>
      </c>
      <c r="H1789" s="1" t="s">
        <v>4881</v>
      </c>
      <c r="M1789" s="1" t="s">
        <v>6127</v>
      </c>
      <c r="N1789" s="1" t="s">
        <v>2644</v>
      </c>
      <c r="P1789" s="1" t="s">
        <v>10498</v>
      </c>
      <c r="Q1789" s="30" t="s">
        <v>2565</v>
      </c>
      <c r="R1789" s="33" t="s">
        <v>3473</v>
      </c>
      <c r="S1789">
        <v>37</v>
      </c>
      <c r="T1789" s="1" t="s">
        <v>13878</v>
      </c>
      <c r="U1789" s="1" t="str">
        <f>HYPERLINK("http://ictvonline.org/taxonomy/p/taxonomy-history?taxnode_id=202109566","ICTVonline=202109566")</f>
        <v>ICTVonline=202109566</v>
      </c>
    </row>
    <row r="1790" spans="1:21" x14ac:dyDescent="0.2">
      <c r="A1790" s="3">
        <v>1789</v>
      </c>
      <c r="B1790" s="1" t="s">
        <v>4875</v>
      </c>
      <c r="D1790" s="1" t="s">
        <v>4876</v>
      </c>
      <c r="F1790" s="1" t="s">
        <v>4880</v>
      </c>
      <c r="H1790" s="1" t="s">
        <v>4881</v>
      </c>
      <c r="M1790" s="1" t="s">
        <v>6127</v>
      </c>
      <c r="N1790" s="1" t="s">
        <v>2644</v>
      </c>
      <c r="P1790" s="1" t="s">
        <v>10499</v>
      </c>
      <c r="Q1790" s="30" t="s">
        <v>2565</v>
      </c>
      <c r="R1790" s="33" t="s">
        <v>3473</v>
      </c>
      <c r="S1790">
        <v>37</v>
      </c>
      <c r="T1790" s="1" t="s">
        <v>13878</v>
      </c>
      <c r="U1790" s="1" t="str">
        <f>HYPERLINK("http://ictvonline.org/taxonomy/p/taxonomy-history?taxnode_id=202109572","ICTVonline=202109572")</f>
        <v>ICTVonline=202109572</v>
      </c>
    </row>
    <row r="1791" spans="1:21" x14ac:dyDescent="0.2">
      <c r="A1791" s="3">
        <v>1790</v>
      </c>
      <c r="B1791" s="1" t="s">
        <v>4875</v>
      </c>
      <c r="D1791" s="1" t="s">
        <v>4876</v>
      </c>
      <c r="F1791" s="1" t="s">
        <v>4880</v>
      </c>
      <c r="H1791" s="1" t="s">
        <v>4881</v>
      </c>
      <c r="M1791" s="1" t="s">
        <v>6127</v>
      </c>
      <c r="N1791" s="1" t="s">
        <v>2644</v>
      </c>
      <c r="P1791" s="1" t="s">
        <v>10500</v>
      </c>
      <c r="Q1791" s="30" t="s">
        <v>2565</v>
      </c>
      <c r="R1791" s="33" t="s">
        <v>3473</v>
      </c>
      <c r="S1791">
        <v>37</v>
      </c>
      <c r="T1791" s="1" t="s">
        <v>13878</v>
      </c>
      <c r="U1791" s="1" t="str">
        <f>HYPERLINK("http://ictvonline.org/taxonomy/p/taxonomy-history?taxnode_id=202109574","ICTVonline=202109574")</f>
        <v>ICTVonline=202109574</v>
      </c>
    </row>
    <row r="1792" spans="1:21" x14ac:dyDescent="0.2">
      <c r="A1792" s="3">
        <v>1791</v>
      </c>
      <c r="B1792" s="1" t="s">
        <v>4875</v>
      </c>
      <c r="D1792" s="1" t="s">
        <v>4876</v>
      </c>
      <c r="F1792" s="1" t="s">
        <v>4880</v>
      </c>
      <c r="H1792" s="1" t="s">
        <v>4881</v>
      </c>
      <c r="M1792" s="1" t="s">
        <v>6127</v>
      </c>
      <c r="N1792" s="1" t="s">
        <v>2644</v>
      </c>
      <c r="P1792" s="1" t="s">
        <v>10501</v>
      </c>
      <c r="Q1792" s="30" t="s">
        <v>2565</v>
      </c>
      <c r="R1792" s="33" t="s">
        <v>3473</v>
      </c>
      <c r="S1792">
        <v>37</v>
      </c>
      <c r="T1792" s="1" t="s">
        <v>13878</v>
      </c>
      <c r="U1792" s="1" t="str">
        <f>HYPERLINK("http://ictvonline.org/taxonomy/p/taxonomy-history?taxnode_id=202109562","ICTVonline=202109562")</f>
        <v>ICTVonline=202109562</v>
      </c>
    </row>
    <row r="1793" spans="1:21" x14ac:dyDescent="0.2">
      <c r="A1793" s="3">
        <v>1792</v>
      </c>
      <c r="B1793" s="1" t="s">
        <v>4875</v>
      </c>
      <c r="D1793" s="1" t="s">
        <v>4876</v>
      </c>
      <c r="F1793" s="1" t="s">
        <v>4880</v>
      </c>
      <c r="H1793" s="1" t="s">
        <v>4881</v>
      </c>
      <c r="M1793" s="1" t="s">
        <v>6127</v>
      </c>
      <c r="N1793" s="1" t="s">
        <v>2644</v>
      </c>
      <c r="P1793" s="1" t="s">
        <v>10502</v>
      </c>
      <c r="Q1793" s="30" t="s">
        <v>2565</v>
      </c>
      <c r="R1793" s="33" t="s">
        <v>3473</v>
      </c>
      <c r="S1793">
        <v>37</v>
      </c>
      <c r="T1793" s="1" t="s">
        <v>13878</v>
      </c>
      <c r="U1793" s="1" t="str">
        <f>HYPERLINK("http://ictvonline.org/taxonomy/p/taxonomy-history?taxnode_id=202109569","ICTVonline=202109569")</f>
        <v>ICTVonline=202109569</v>
      </c>
    </row>
    <row r="1794" spans="1:21" x14ac:dyDescent="0.2">
      <c r="A1794" s="3">
        <v>1793</v>
      </c>
      <c r="B1794" s="1" t="s">
        <v>4875</v>
      </c>
      <c r="D1794" s="1" t="s">
        <v>4876</v>
      </c>
      <c r="F1794" s="1" t="s">
        <v>4880</v>
      </c>
      <c r="H1794" s="1" t="s">
        <v>4881</v>
      </c>
      <c r="M1794" s="1" t="s">
        <v>6127</v>
      </c>
      <c r="N1794" s="1" t="s">
        <v>2644</v>
      </c>
      <c r="P1794" s="1" t="s">
        <v>10503</v>
      </c>
      <c r="Q1794" s="30" t="s">
        <v>2565</v>
      </c>
      <c r="R1794" s="33" t="s">
        <v>3473</v>
      </c>
      <c r="S1794">
        <v>37</v>
      </c>
      <c r="T1794" s="1" t="s">
        <v>13878</v>
      </c>
      <c r="U1794" s="1" t="str">
        <f>HYPERLINK("http://ictvonline.org/taxonomy/p/taxonomy-history?taxnode_id=202109561","ICTVonline=202109561")</f>
        <v>ICTVonline=202109561</v>
      </c>
    </row>
    <row r="1795" spans="1:21" x14ac:dyDescent="0.2">
      <c r="A1795" s="3">
        <v>1794</v>
      </c>
      <c r="B1795" s="1" t="s">
        <v>4875</v>
      </c>
      <c r="D1795" s="1" t="s">
        <v>4876</v>
      </c>
      <c r="F1795" s="1" t="s">
        <v>4880</v>
      </c>
      <c r="H1795" s="1" t="s">
        <v>4881</v>
      </c>
      <c r="M1795" s="1" t="s">
        <v>6127</v>
      </c>
      <c r="N1795" s="1" t="s">
        <v>2644</v>
      </c>
      <c r="P1795" s="1" t="s">
        <v>10504</v>
      </c>
      <c r="Q1795" s="30" t="s">
        <v>2565</v>
      </c>
      <c r="R1795" s="33" t="s">
        <v>3473</v>
      </c>
      <c r="S1795">
        <v>37</v>
      </c>
      <c r="T1795" s="1" t="s">
        <v>13878</v>
      </c>
      <c r="U1795" s="1" t="str">
        <f>HYPERLINK("http://ictvonline.org/taxonomy/p/taxonomy-history?taxnode_id=202109570","ICTVonline=202109570")</f>
        <v>ICTVonline=202109570</v>
      </c>
    </row>
    <row r="1796" spans="1:21" x14ac:dyDescent="0.2">
      <c r="A1796" s="3">
        <v>1795</v>
      </c>
      <c r="B1796" s="1" t="s">
        <v>4875</v>
      </c>
      <c r="D1796" s="1" t="s">
        <v>4876</v>
      </c>
      <c r="F1796" s="1" t="s">
        <v>4880</v>
      </c>
      <c r="H1796" s="1" t="s">
        <v>4881</v>
      </c>
      <c r="M1796" s="1" t="s">
        <v>6127</v>
      </c>
      <c r="N1796" s="1" t="s">
        <v>2644</v>
      </c>
      <c r="P1796" s="1" t="s">
        <v>10505</v>
      </c>
      <c r="Q1796" s="30" t="s">
        <v>2565</v>
      </c>
      <c r="R1796" s="33" t="s">
        <v>3473</v>
      </c>
      <c r="S1796">
        <v>37</v>
      </c>
      <c r="T1796" s="1" t="s">
        <v>13878</v>
      </c>
      <c r="U1796" s="1" t="str">
        <f>HYPERLINK("http://ictvonline.org/taxonomy/p/taxonomy-history?taxnode_id=202109573","ICTVonline=202109573")</f>
        <v>ICTVonline=202109573</v>
      </c>
    </row>
    <row r="1797" spans="1:21" x14ac:dyDescent="0.2">
      <c r="A1797" s="3">
        <v>1796</v>
      </c>
      <c r="B1797" s="1" t="s">
        <v>4875</v>
      </c>
      <c r="D1797" s="1" t="s">
        <v>4876</v>
      </c>
      <c r="F1797" s="1" t="s">
        <v>4880</v>
      </c>
      <c r="H1797" s="1" t="s">
        <v>4881</v>
      </c>
      <c r="M1797" s="1" t="s">
        <v>6127</v>
      </c>
      <c r="N1797" s="1" t="s">
        <v>2644</v>
      </c>
      <c r="P1797" s="1" t="s">
        <v>10506</v>
      </c>
      <c r="Q1797" s="30" t="s">
        <v>2565</v>
      </c>
      <c r="R1797" s="33" t="s">
        <v>3473</v>
      </c>
      <c r="S1797">
        <v>37</v>
      </c>
      <c r="T1797" s="1" t="s">
        <v>13878</v>
      </c>
      <c r="U1797" s="1" t="str">
        <f>HYPERLINK("http://ictvonline.org/taxonomy/p/taxonomy-history?taxnode_id=202101225","ICTVonline=202101225")</f>
        <v>ICTVonline=202101225</v>
      </c>
    </row>
    <row r="1798" spans="1:21" x14ac:dyDescent="0.2">
      <c r="A1798" s="3">
        <v>1797</v>
      </c>
      <c r="B1798" s="1" t="s">
        <v>4875</v>
      </c>
      <c r="D1798" s="1" t="s">
        <v>4876</v>
      </c>
      <c r="F1798" s="1" t="s">
        <v>4880</v>
      </c>
      <c r="H1798" s="1" t="s">
        <v>4881</v>
      </c>
      <c r="M1798" s="1" t="s">
        <v>3119</v>
      </c>
      <c r="N1798" s="1" t="s">
        <v>3120</v>
      </c>
      <c r="P1798" s="1" t="s">
        <v>10507</v>
      </c>
      <c r="Q1798" s="30" t="s">
        <v>2565</v>
      </c>
      <c r="R1798" s="33" t="s">
        <v>3473</v>
      </c>
      <c r="S1798">
        <v>37</v>
      </c>
      <c r="T1798" s="1" t="s">
        <v>13878</v>
      </c>
      <c r="U1798" s="1" t="str">
        <f>HYPERLINK("http://ictvonline.org/taxonomy/p/taxonomy-history?taxnode_id=202100735","ICTVonline=202100735")</f>
        <v>ICTVonline=202100735</v>
      </c>
    </row>
    <row r="1799" spans="1:21" x14ac:dyDescent="0.2">
      <c r="A1799" s="3">
        <v>1798</v>
      </c>
      <c r="B1799" s="1" t="s">
        <v>4875</v>
      </c>
      <c r="D1799" s="1" t="s">
        <v>4876</v>
      </c>
      <c r="F1799" s="1" t="s">
        <v>4880</v>
      </c>
      <c r="H1799" s="1" t="s">
        <v>4881</v>
      </c>
      <c r="M1799" s="1" t="s">
        <v>3119</v>
      </c>
      <c r="N1799" s="1" t="s">
        <v>3120</v>
      </c>
      <c r="P1799" s="1" t="s">
        <v>10508</v>
      </c>
      <c r="Q1799" s="30" t="s">
        <v>2565</v>
      </c>
      <c r="R1799" s="33" t="s">
        <v>3473</v>
      </c>
      <c r="S1799">
        <v>37</v>
      </c>
      <c r="T1799" s="1" t="s">
        <v>13878</v>
      </c>
      <c r="U1799" s="1" t="str">
        <f>HYPERLINK("http://ictvonline.org/taxonomy/p/taxonomy-history?taxnode_id=202100736","ICTVonline=202100736")</f>
        <v>ICTVonline=202100736</v>
      </c>
    </row>
    <row r="1800" spans="1:21" x14ac:dyDescent="0.2">
      <c r="A1800" s="3">
        <v>1799</v>
      </c>
      <c r="B1800" s="1" t="s">
        <v>4875</v>
      </c>
      <c r="D1800" s="1" t="s">
        <v>4876</v>
      </c>
      <c r="F1800" s="1" t="s">
        <v>4880</v>
      </c>
      <c r="H1800" s="1" t="s">
        <v>4881</v>
      </c>
      <c r="M1800" s="1" t="s">
        <v>3119</v>
      </c>
      <c r="N1800" s="1" t="s">
        <v>3120</v>
      </c>
      <c r="P1800" s="1" t="s">
        <v>10509</v>
      </c>
      <c r="Q1800" s="30" t="s">
        <v>2565</v>
      </c>
      <c r="R1800" s="33" t="s">
        <v>3473</v>
      </c>
      <c r="S1800">
        <v>37</v>
      </c>
      <c r="T1800" s="1" t="s">
        <v>13878</v>
      </c>
      <c r="U1800" s="1" t="str">
        <f>HYPERLINK("http://ictvonline.org/taxonomy/p/taxonomy-history?taxnode_id=202100737","ICTVonline=202100737")</f>
        <v>ICTVonline=202100737</v>
      </c>
    </row>
    <row r="1801" spans="1:21" x14ac:dyDescent="0.2">
      <c r="A1801" s="3">
        <v>1800</v>
      </c>
      <c r="B1801" s="1" t="s">
        <v>4875</v>
      </c>
      <c r="D1801" s="1" t="s">
        <v>4876</v>
      </c>
      <c r="F1801" s="1" t="s">
        <v>4880</v>
      </c>
      <c r="H1801" s="1" t="s">
        <v>4881</v>
      </c>
      <c r="M1801" s="1" t="s">
        <v>3119</v>
      </c>
      <c r="N1801" s="1" t="s">
        <v>3120</v>
      </c>
      <c r="P1801" s="1" t="s">
        <v>10510</v>
      </c>
      <c r="Q1801" s="30" t="s">
        <v>2565</v>
      </c>
      <c r="R1801" s="33" t="s">
        <v>3472</v>
      </c>
      <c r="S1801">
        <v>37</v>
      </c>
      <c r="T1801" s="1" t="s">
        <v>13910</v>
      </c>
      <c r="U1801" s="1" t="str">
        <f>HYPERLINK("http://ictvonline.org/taxonomy/p/taxonomy-history?taxnode_id=202113192","ICTVonline=202113192")</f>
        <v>ICTVonline=202113192</v>
      </c>
    </row>
    <row r="1802" spans="1:21" x14ac:dyDescent="0.2">
      <c r="A1802" s="3">
        <v>1801</v>
      </c>
      <c r="B1802" s="1" t="s">
        <v>4875</v>
      </c>
      <c r="D1802" s="1" t="s">
        <v>4876</v>
      </c>
      <c r="F1802" s="1" t="s">
        <v>4880</v>
      </c>
      <c r="H1802" s="1" t="s">
        <v>4881</v>
      </c>
      <c r="M1802" s="1" t="s">
        <v>3119</v>
      </c>
      <c r="N1802" s="1" t="s">
        <v>10511</v>
      </c>
      <c r="P1802" s="1" t="s">
        <v>10512</v>
      </c>
      <c r="Q1802" s="30" t="s">
        <v>2565</v>
      </c>
      <c r="R1802" s="33" t="s">
        <v>3472</v>
      </c>
      <c r="S1802">
        <v>37</v>
      </c>
      <c r="T1802" s="1" t="s">
        <v>13910</v>
      </c>
      <c r="U1802" s="1" t="str">
        <f>HYPERLINK("http://ictvonline.org/taxonomy/p/taxonomy-history?taxnode_id=202113180","ICTVonline=202113180")</f>
        <v>ICTVonline=202113180</v>
      </c>
    </row>
    <row r="1803" spans="1:21" x14ac:dyDescent="0.2">
      <c r="A1803" s="3">
        <v>1802</v>
      </c>
      <c r="B1803" s="1" t="s">
        <v>4875</v>
      </c>
      <c r="D1803" s="1" t="s">
        <v>4876</v>
      </c>
      <c r="F1803" s="1" t="s">
        <v>4880</v>
      </c>
      <c r="H1803" s="1" t="s">
        <v>4881</v>
      </c>
      <c r="M1803" s="1" t="s">
        <v>3119</v>
      </c>
      <c r="N1803" s="1" t="s">
        <v>3121</v>
      </c>
      <c r="P1803" s="1" t="s">
        <v>10513</v>
      </c>
      <c r="Q1803" s="30" t="s">
        <v>2565</v>
      </c>
      <c r="R1803" s="33" t="s">
        <v>3473</v>
      </c>
      <c r="S1803">
        <v>37</v>
      </c>
      <c r="T1803" s="1" t="s">
        <v>13878</v>
      </c>
      <c r="U1803" s="1" t="str">
        <f>HYPERLINK("http://ictvonline.org/taxonomy/p/taxonomy-history?taxnode_id=202100739","ICTVonline=202100739")</f>
        <v>ICTVonline=202100739</v>
      </c>
    </row>
    <row r="1804" spans="1:21" x14ac:dyDescent="0.2">
      <c r="A1804" s="3">
        <v>1803</v>
      </c>
      <c r="B1804" s="1" t="s">
        <v>4875</v>
      </c>
      <c r="D1804" s="1" t="s">
        <v>4876</v>
      </c>
      <c r="F1804" s="1" t="s">
        <v>4880</v>
      </c>
      <c r="H1804" s="1" t="s">
        <v>4881</v>
      </c>
      <c r="M1804" s="1" t="s">
        <v>3119</v>
      </c>
      <c r="N1804" s="1" t="s">
        <v>3121</v>
      </c>
      <c r="P1804" s="1" t="s">
        <v>10514</v>
      </c>
      <c r="Q1804" s="30" t="s">
        <v>2565</v>
      </c>
      <c r="R1804" s="33" t="s">
        <v>3473</v>
      </c>
      <c r="S1804">
        <v>37</v>
      </c>
      <c r="T1804" s="1" t="s">
        <v>13878</v>
      </c>
      <c r="U1804" s="1" t="str">
        <f>HYPERLINK("http://ictvonline.org/taxonomy/p/taxonomy-history?taxnode_id=202100740","ICTVonline=202100740")</f>
        <v>ICTVonline=202100740</v>
      </c>
    </row>
    <row r="1805" spans="1:21" x14ac:dyDescent="0.2">
      <c r="A1805" s="3">
        <v>1804</v>
      </c>
      <c r="B1805" s="1" t="s">
        <v>4875</v>
      </c>
      <c r="D1805" s="1" t="s">
        <v>4876</v>
      </c>
      <c r="F1805" s="1" t="s">
        <v>4880</v>
      </c>
      <c r="H1805" s="1" t="s">
        <v>4881</v>
      </c>
      <c r="M1805" s="1" t="s">
        <v>3119</v>
      </c>
      <c r="N1805" s="1" t="s">
        <v>3121</v>
      </c>
      <c r="P1805" s="1" t="s">
        <v>10515</v>
      </c>
      <c r="Q1805" s="30" t="s">
        <v>2565</v>
      </c>
      <c r="R1805" s="33" t="s">
        <v>3473</v>
      </c>
      <c r="S1805">
        <v>37</v>
      </c>
      <c r="T1805" s="1" t="s">
        <v>13878</v>
      </c>
      <c r="U1805" s="1" t="str">
        <f>HYPERLINK("http://ictvonline.org/taxonomy/p/taxonomy-history?taxnode_id=202100741","ICTVonline=202100741")</f>
        <v>ICTVonline=202100741</v>
      </c>
    </row>
    <row r="1806" spans="1:21" x14ac:dyDescent="0.2">
      <c r="A1806" s="3">
        <v>1805</v>
      </c>
      <c r="B1806" s="1" t="s">
        <v>4875</v>
      </c>
      <c r="D1806" s="1" t="s">
        <v>4876</v>
      </c>
      <c r="F1806" s="1" t="s">
        <v>4880</v>
      </c>
      <c r="H1806" s="1" t="s">
        <v>4881</v>
      </c>
      <c r="M1806" s="1" t="s">
        <v>3119</v>
      </c>
      <c r="N1806" s="1" t="s">
        <v>3121</v>
      </c>
      <c r="P1806" s="1" t="s">
        <v>10516</v>
      </c>
      <c r="Q1806" s="30" t="s">
        <v>2565</v>
      </c>
      <c r="R1806" s="33" t="s">
        <v>3473</v>
      </c>
      <c r="S1806">
        <v>37</v>
      </c>
      <c r="T1806" s="1" t="s">
        <v>13878</v>
      </c>
      <c r="U1806" s="1" t="str">
        <f>HYPERLINK("http://ictvonline.org/taxonomy/p/taxonomy-history?taxnode_id=202100742","ICTVonline=202100742")</f>
        <v>ICTVonline=202100742</v>
      </c>
    </row>
    <row r="1807" spans="1:21" x14ac:dyDescent="0.2">
      <c r="A1807" s="3">
        <v>1806</v>
      </c>
      <c r="B1807" s="1" t="s">
        <v>4875</v>
      </c>
      <c r="D1807" s="1" t="s">
        <v>4876</v>
      </c>
      <c r="F1807" s="1" t="s">
        <v>4880</v>
      </c>
      <c r="H1807" s="1" t="s">
        <v>4881</v>
      </c>
      <c r="M1807" s="1" t="s">
        <v>3119</v>
      </c>
      <c r="N1807" s="1" t="s">
        <v>3121</v>
      </c>
      <c r="P1807" s="1" t="s">
        <v>10517</v>
      </c>
      <c r="Q1807" s="30" t="s">
        <v>2565</v>
      </c>
      <c r="R1807" s="33" t="s">
        <v>3473</v>
      </c>
      <c r="S1807">
        <v>37</v>
      </c>
      <c r="T1807" s="1" t="s">
        <v>13878</v>
      </c>
      <c r="U1807" s="1" t="str">
        <f>HYPERLINK("http://ictvonline.org/taxonomy/p/taxonomy-history?taxnode_id=202100743","ICTVonline=202100743")</f>
        <v>ICTVonline=202100743</v>
      </c>
    </row>
    <row r="1808" spans="1:21" x14ac:dyDescent="0.2">
      <c r="A1808" s="3">
        <v>1807</v>
      </c>
      <c r="B1808" s="1" t="s">
        <v>4875</v>
      </c>
      <c r="D1808" s="1" t="s">
        <v>4876</v>
      </c>
      <c r="F1808" s="1" t="s">
        <v>4880</v>
      </c>
      <c r="H1808" s="1" t="s">
        <v>4881</v>
      </c>
      <c r="M1808" s="1" t="s">
        <v>3119</v>
      </c>
      <c r="N1808" s="1" t="s">
        <v>3121</v>
      </c>
      <c r="P1808" s="1" t="s">
        <v>10518</v>
      </c>
      <c r="Q1808" s="30" t="s">
        <v>2565</v>
      </c>
      <c r="R1808" s="33" t="s">
        <v>3472</v>
      </c>
      <c r="S1808">
        <v>37</v>
      </c>
      <c r="T1808" s="1" t="s">
        <v>13910</v>
      </c>
      <c r="U1808" s="1" t="str">
        <f>HYPERLINK("http://ictvonline.org/taxonomy/p/taxonomy-history?taxnode_id=202113197","ICTVonline=202113197")</f>
        <v>ICTVonline=202113197</v>
      </c>
    </row>
    <row r="1809" spans="1:21" x14ac:dyDescent="0.2">
      <c r="A1809" s="3">
        <v>1808</v>
      </c>
      <c r="B1809" s="1" t="s">
        <v>4875</v>
      </c>
      <c r="D1809" s="1" t="s">
        <v>4876</v>
      </c>
      <c r="F1809" s="1" t="s">
        <v>4880</v>
      </c>
      <c r="H1809" s="1" t="s">
        <v>4881</v>
      </c>
      <c r="M1809" s="1" t="s">
        <v>3119</v>
      </c>
      <c r="N1809" s="1" t="s">
        <v>3121</v>
      </c>
      <c r="P1809" s="1" t="s">
        <v>10519</v>
      </c>
      <c r="Q1809" s="30" t="s">
        <v>2565</v>
      </c>
      <c r="R1809" s="33" t="s">
        <v>3472</v>
      </c>
      <c r="S1809">
        <v>37</v>
      </c>
      <c r="T1809" s="1" t="s">
        <v>13910</v>
      </c>
      <c r="U1809" s="1" t="str">
        <f>HYPERLINK("http://ictvonline.org/taxonomy/p/taxonomy-history?taxnode_id=202113196","ICTVonline=202113196")</f>
        <v>ICTVonline=202113196</v>
      </c>
    </row>
    <row r="1810" spans="1:21" x14ac:dyDescent="0.2">
      <c r="A1810" s="3">
        <v>1809</v>
      </c>
      <c r="B1810" s="1" t="s">
        <v>4875</v>
      </c>
      <c r="D1810" s="1" t="s">
        <v>4876</v>
      </c>
      <c r="F1810" s="1" t="s">
        <v>4880</v>
      </c>
      <c r="H1810" s="1" t="s">
        <v>4881</v>
      </c>
      <c r="M1810" s="1" t="s">
        <v>3119</v>
      </c>
      <c r="N1810" s="1" t="s">
        <v>3121</v>
      </c>
      <c r="P1810" s="1" t="s">
        <v>10520</v>
      </c>
      <c r="Q1810" s="30" t="s">
        <v>2565</v>
      </c>
      <c r="R1810" s="33" t="s">
        <v>3473</v>
      </c>
      <c r="S1810">
        <v>37</v>
      </c>
      <c r="T1810" s="1" t="s">
        <v>13878</v>
      </c>
      <c r="U1810" s="1" t="str">
        <f>HYPERLINK("http://ictvonline.org/taxonomy/p/taxonomy-history?taxnode_id=202100744","ICTVonline=202100744")</f>
        <v>ICTVonline=202100744</v>
      </c>
    </row>
    <row r="1811" spans="1:21" x14ac:dyDescent="0.2">
      <c r="A1811" s="3">
        <v>1810</v>
      </c>
      <c r="B1811" s="1" t="s">
        <v>4875</v>
      </c>
      <c r="D1811" s="1" t="s">
        <v>4876</v>
      </c>
      <c r="F1811" s="1" t="s">
        <v>4880</v>
      </c>
      <c r="H1811" s="1" t="s">
        <v>4881</v>
      </c>
      <c r="M1811" s="1" t="s">
        <v>3119</v>
      </c>
      <c r="N1811" s="1" t="s">
        <v>3121</v>
      </c>
      <c r="P1811" s="1" t="s">
        <v>10521</v>
      </c>
      <c r="Q1811" s="30" t="s">
        <v>2565</v>
      </c>
      <c r="R1811" s="33" t="s">
        <v>3473</v>
      </c>
      <c r="S1811">
        <v>37</v>
      </c>
      <c r="T1811" s="1" t="s">
        <v>13878</v>
      </c>
      <c r="U1811" s="1" t="str">
        <f>HYPERLINK("http://ictvonline.org/taxonomy/p/taxonomy-history?taxnode_id=202100745","ICTVonline=202100745")</f>
        <v>ICTVonline=202100745</v>
      </c>
    </row>
    <row r="1812" spans="1:21" x14ac:dyDescent="0.2">
      <c r="A1812" s="3">
        <v>1811</v>
      </c>
      <c r="B1812" s="1" t="s">
        <v>4875</v>
      </c>
      <c r="D1812" s="1" t="s">
        <v>4876</v>
      </c>
      <c r="F1812" s="1" t="s">
        <v>4880</v>
      </c>
      <c r="H1812" s="1" t="s">
        <v>4881</v>
      </c>
      <c r="M1812" s="1" t="s">
        <v>3119</v>
      </c>
      <c r="N1812" s="1" t="s">
        <v>3121</v>
      </c>
      <c r="P1812" s="1" t="s">
        <v>10522</v>
      </c>
      <c r="Q1812" s="30" t="s">
        <v>2565</v>
      </c>
      <c r="R1812" s="33" t="s">
        <v>3473</v>
      </c>
      <c r="S1812">
        <v>37</v>
      </c>
      <c r="T1812" s="1" t="s">
        <v>13878</v>
      </c>
      <c r="U1812" s="1" t="str">
        <f>HYPERLINK("http://ictvonline.org/taxonomy/p/taxonomy-history?taxnode_id=202100746","ICTVonline=202100746")</f>
        <v>ICTVonline=202100746</v>
      </c>
    </row>
    <row r="1813" spans="1:21" x14ac:dyDescent="0.2">
      <c r="A1813" s="3">
        <v>1812</v>
      </c>
      <c r="B1813" s="1" t="s">
        <v>4875</v>
      </c>
      <c r="D1813" s="1" t="s">
        <v>4876</v>
      </c>
      <c r="F1813" s="1" t="s">
        <v>4880</v>
      </c>
      <c r="H1813" s="1" t="s">
        <v>4881</v>
      </c>
      <c r="M1813" s="1" t="s">
        <v>3119</v>
      </c>
      <c r="N1813" s="1" t="s">
        <v>3121</v>
      </c>
      <c r="P1813" s="1" t="s">
        <v>10523</v>
      </c>
      <c r="Q1813" s="30" t="s">
        <v>2565</v>
      </c>
      <c r="R1813" s="33" t="s">
        <v>3473</v>
      </c>
      <c r="S1813">
        <v>37</v>
      </c>
      <c r="T1813" s="1" t="s">
        <v>13878</v>
      </c>
      <c r="U1813" s="1" t="str">
        <f>HYPERLINK("http://ictvonline.org/taxonomy/p/taxonomy-history?taxnode_id=202100747","ICTVonline=202100747")</f>
        <v>ICTVonline=202100747</v>
      </c>
    </row>
    <row r="1814" spans="1:21" x14ac:dyDescent="0.2">
      <c r="A1814" s="3">
        <v>1813</v>
      </c>
      <c r="B1814" s="1" t="s">
        <v>4875</v>
      </c>
      <c r="D1814" s="1" t="s">
        <v>4876</v>
      </c>
      <c r="F1814" s="1" t="s">
        <v>4880</v>
      </c>
      <c r="H1814" s="1" t="s">
        <v>4881</v>
      </c>
      <c r="M1814" s="1" t="s">
        <v>3119</v>
      </c>
      <c r="N1814" s="1" t="s">
        <v>3121</v>
      </c>
      <c r="P1814" s="1" t="s">
        <v>10524</v>
      </c>
      <c r="Q1814" s="30" t="s">
        <v>2565</v>
      </c>
      <c r="R1814" s="33" t="s">
        <v>3473</v>
      </c>
      <c r="S1814">
        <v>37</v>
      </c>
      <c r="T1814" s="1" t="s">
        <v>13878</v>
      </c>
      <c r="U1814" s="1" t="str">
        <f>HYPERLINK("http://ictvonline.org/taxonomy/p/taxonomy-history?taxnode_id=202100748","ICTVonline=202100748")</f>
        <v>ICTVonline=202100748</v>
      </c>
    </row>
    <row r="1815" spans="1:21" x14ac:dyDescent="0.2">
      <c r="A1815" s="3">
        <v>1814</v>
      </c>
      <c r="B1815" s="1" t="s">
        <v>4875</v>
      </c>
      <c r="D1815" s="1" t="s">
        <v>4876</v>
      </c>
      <c r="F1815" s="1" t="s">
        <v>4880</v>
      </c>
      <c r="H1815" s="1" t="s">
        <v>4881</v>
      </c>
      <c r="M1815" s="1" t="s">
        <v>3119</v>
      </c>
      <c r="N1815" s="1" t="s">
        <v>10525</v>
      </c>
      <c r="P1815" s="1" t="s">
        <v>10526</v>
      </c>
      <c r="Q1815" s="30" t="s">
        <v>2565</v>
      </c>
      <c r="R1815" s="33" t="s">
        <v>3472</v>
      </c>
      <c r="S1815">
        <v>37</v>
      </c>
      <c r="T1815" s="1" t="s">
        <v>13910</v>
      </c>
      <c r="U1815" s="1" t="str">
        <f>HYPERLINK("http://ictvonline.org/taxonomy/p/taxonomy-history?taxnode_id=202113189","ICTVonline=202113189")</f>
        <v>ICTVonline=202113189</v>
      </c>
    </row>
    <row r="1816" spans="1:21" x14ac:dyDescent="0.2">
      <c r="A1816" s="3">
        <v>1815</v>
      </c>
      <c r="B1816" s="1" t="s">
        <v>4875</v>
      </c>
      <c r="D1816" s="1" t="s">
        <v>4876</v>
      </c>
      <c r="F1816" s="1" t="s">
        <v>4880</v>
      </c>
      <c r="H1816" s="1" t="s">
        <v>4881</v>
      </c>
      <c r="M1816" s="1" t="s">
        <v>3119</v>
      </c>
      <c r="N1816" s="1" t="s">
        <v>10527</v>
      </c>
      <c r="P1816" s="1" t="s">
        <v>10528</v>
      </c>
      <c r="Q1816" s="30" t="s">
        <v>2565</v>
      </c>
      <c r="R1816" s="33" t="s">
        <v>3472</v>
      </c>
      <c r="S1816">
        <v>37</v>
      </c>
      <c r="T1816" s="1" t="s">
        <v>13910</v>
      </c>
      <c r="U1816" s="1" t="str">
        <f>HYPERLINK("http://ictvonline.org/taxonomy/p/taxonomy-history?taxnode_id=202113191","ICTVonline=202113191")</f>
        <v>ICTVonline=202113191</v>
      </c>
    </row>
    <row r="1817" spans="1:21" x14ac:dyDescent="0.2">
      <c r="A1817" s="3">
        <v>1816</v>
      </c>
      <c r="B1817" s="1" t="s">
        <v>4875</v>
      </c>
      <c r="D1817" s="1" t="s">
        <v>4876</v>
      </c>
      <c r="F1817" s="1" t="s">
        <v>4880</v>
      </c>
      <c r="H1817" s="1" t="s">
        <v>4881</v>
      </c>
      <c r="M1817" s="1" t="s">
        <v>3119</v>
      </c>
      <c r="N1817" s="1" t="s">
        <v>10529</v>
      </c>
      <c r="P1817" s="1" t="s">
        <v>10530</v>
      </c>
      <c r="Q1817" s="30" t="s">
        <v>2565</v>
      </c>
      <c r="R1817" s="33" t="s">
        <v>3472</v>
      </c>
      <c r="S1817">
        <v>37</v>
      </c>
      <c r="T1817" s="1" t="s">
        <v>13910</v>
      </c>
      <c r="U1817" s="1" t="str">
        <f>HYPERLINK("http://ictvonline.org/taxonomy/p/taxonomy-history?taxnode_id=202113182","ICTVonline=202113182")</f>
        <v>ICTVonline=202113182</v>
      </c>
    </row>
    <row r="1818" spans="1:21" x14ac:dyDescent="0.2">
      <c r="A1818" s="3">
        <v>1817</v>
      </c>
      <c r="B1818" s="1" t="s">
        <v>4875</v>
      </c>
      <c r="D1818" s="1" t="s">
        <v>4876</v>
      </c>
      <c r="F1818" s="1" t="s">
        <v>4880</v>
      </c>
      <c r="H1818" s="1" t="s">
        <v>4881</v>
      </c>
      <c r="M1818" s="1" t="s">
        <v>3119</v>
      </c>
      <c r="N1818" s="1" t="s">
        <v>4626</v>
      </c>
      <c r="P1818" s="1" t="s">
        <v>10531</v>
      </c>
      <c r="Q1818" s="30" t="s">
        <v>2565</v>
      </c>
      <c r="R1818" s="33" t="s">
        <v>3473</v>
      </c>
      <c r="S1818">
        <v>37</v>
      </c>
      <c r="T1818" s="1" t="s">
        <v>13878</v>
      </c>
      <c r="U1818" s="1" t="str">
        <f>HYPERLINK("http://ictvonline.org/taxonomy/p/taxonomy-history?taxnode_id=202100750","ICTVonline=202100750")</f>
        <v>ICTVonline=202100750</v>
      </c>
    </row>
    <row r="1819" spans="1:21" x14ac:dyDescent="0.2">
      <c r="A1819" s="3">
        <v>1818</v>
      </c>
      <c r="B1819" s="1" t="s">
        <v>4875</v>
      </c>
      <c r="D1819" s="1" t="s">
        <v>4876</v>
      </c>
      <c r="F1819" s="1" t="s">
        <v>4880</v>
      </c>
      <c r="H1819" s="1" t="s">
        <v>4881</v>
      </c>
      <c r="M1819" s="1" t="s">
        <v>3119</v>
      </c>
      <c r="N1819" s="1" t="s">
        <v>4626</v>
      </c>
      <c r="P1819" s="1" t="s">
        <v>10532</v>
      </c>
      <c r="Q1819" s="30" t="s">
        <v>2565</v>
      </c>
      <c r="R1819" s="33" t="s">
        <v>3472</v>
      </c>
      <c r="S1819">
        <v>37</v>
      </c>
      <c r="T1819" s="1" t="s">
        <v>13910</v>
      </c>
      <c r="U1819" s="1" t="str">
        <f>HYPERLINK("http://ictvonline.org/taxonomy/p/taxonomy-history?taxnode_id=202113195","ICTVonline=202113195")</f>
        <v>ICTVonline=202113195</v>
      </c>
    </row>
    <row r="1820" spans="1:21" x14ac:dyDescent="0.2">
      <c r="A1820" s="3">
        <v>1819</v>
      </c>
      <c r="B1820" s="1" t="s">
        <v>4875</v>
      </c>
      <c r="D1820" s="1" t="s">
        <v>4876</v>
      </c>
      <c r="F1820" s="1" t="s">
        <v>4880</v>
      </c>
      <c r="H1820" s="1" t="s">
        <v>4881</v>
      </c>
      <c r="M1820" s="1" t="s">
        <v>3119</v>
      </c>
      <c r="N1820" s="1" t="s">
        <v>4626</v>
      </c>
      <c r="P1820" s="1" t="s">
        <v>10533</v>
      </c>
      <c r="Q1820" s="30" t="s">
        <v>2565</v>
      </c>
      <c r="R1820" s="33" t="s">
        <v>3473</v>
      </c>
      <c r="S1820">
        <v>37</v>
      </c>
      <c r="T1820" s="1" t="s">
        <v>13878</v>
      </c>
      <c r="U1820" s="1" t="str">
        <f>HYPERLINK("http://ictvonline.org/taxonomy/p/taxonomy-history?taxnode_id=202100751","ICTVonline=202100751")</f>
        <v>ICTVonline=202100751</v>
      </c>
    </row>
    <row r="1821" spans="1:21" x14ac:dyDescent="0.2">
      <c r="A1821" s="3">
        <v>1820</v>
      </c>
      <c r="B1821" s="1" t="s">
        <v>4875</v>
      </c>
      <c r="D1821" s="1" t="s">
        <v>4876</v>
      </c>
      <c r="F1821" s="1" t="s">
        <v>4880</v>
      </c>
      <c r="H1821" s="1" t="s">
        <v>4881</v>
      </c>
      <c r="M1821" s="1" t="s">
        <v>3119</v>
      </c>
      <c r="N1821" s="1" t="s">
        <v>4626</v>
      </c>
      <c r="P1821" s="1" t="s">
        <v>10534</v>
      </c>
      <c r="Q1821" s="30" t="s">
        <v>2565</v>
      </c>
      <c r="R1821" s="33" t="s">
        <v>3473</v>
      </c>
      <c r="S1821">
        <v>37</v>
      </c>
      <c r="T1821" s="1" t="s">
        <v>13878</v>
      </c>
      <c r="U1821" s="1" t="str">
        <f>HYPERLINK("http://ictvonline.org/taxonomy/p/taxonomy-history?taxnode_id=202100752","ICTVonline=202100752")</f>
        <v>ICTVonline=202100752</v>
      </c>
    </row>
    <row r="1822" spans="1:21" x14ac:dyDescent="0.2">
      <c r="A1822" s="3">
        <v>1821</v>
      </c>
      <c r="B1822" s="1" t="s">
        <v>4875</v>
      </c>
      <c r="D1822" s="1" t="s">
        <v>4876</v>
      </c>
      <c r="F1822" s="1" t="s">
        <v>4880</v>
      </c>
      <c r="H1822" s="1" t="s">
        <v>4881</v>
      </c>
      <c r="M1822" s="1" t="s">
        <v>3119</v>
      </c>
      <c r="N1822" s="1" t="s">
        <v>4626</v>
      </c>
      <c r="P1822" s="1" t="s">
        <v>10535</v>
      </c>
      <c r="Q1822" s="30" t="s">
        <v>2565</v>
      </c>
      <c r="R1822" s="33" t="s">
        <v>3473</v>
      </c>
      <c r="S1822">
        <v>37</v>
      </c>
      <c r="T1822" s="1" t="s">
        <v>13878</v>
      </c>
      <c r="U1822" s="1" t="str">
        <f>HYPERLINK("http://ictvonline.org/taxonomy/p/taxonomy-history?taxnode_id=202100753","ICTVonline=202100753")</f>
        <v>ICTVonline=202100753</v>
      </c>
    </row>
    <row r="1823" spans="1:21" x14ac:dyDescent="0.2">
      <c r="A1823" s="3">
        <v>1822</v>
      </c>
      <c r="B1823" s="1" t="s">
        <v>4875</v>
      </c>
      <c r="D1823" s="1" t="s">
        <v>4876</v>
      </c>
      <c r="F1823" s="1" t="s">
        <v>4880</v>
      </c>
      <c r="H1823" s="1" t="s">
        <v>4881</v>
      </c>
      <c r="M1823" s="1" t="s">
        <v>3119</v>
      </c>
      <c r="N1823" s="1" t="s">
        <v>4626</v>
      </c>
      <c r="P1823" s="1" t="s">
        <v>10536</v>
      </c>
      <c r="Q1823" s="30" t="s">
        <v>2565</v>
      </c>
      <c r="R1823" s="33" t="s">
        <v>3473</v>
      </c>
      <c r="S1823">
        <v>37</v>
      </c>
      <c r="T1823" s="1" t="s">
        <v>13878</v>
      </c>
      <c r="U1823" s="1" t="str">
        <f>HYPERLINK("http://ictvonline.org/taxonomy/p/taxonomy-history?taxnode_id=202100754","ICTVonline=202100754")</f>
        <v>ICTVonline=202100754</v>
      </c>
    </row>
    <row r="1824" spans="1:21" x14ac:dyDescent="0.2">
      <c r="A1824" s="3">
        <v>1823</v>
      </c>
      <c r="B1824" s="1" t="s">
        <v>4875</v>
      </c>
      <c r="D1824" s="1" t="s">
        <v>4876</v>
      </c>
      <c r="F1824" s="1" t="s">
        <v>4880</v>
      </c>
      <c r="H1824" s="1" t="s">
        <v>4881</v>
      </c>
      <c r="M1824" s="1" t="s">
        <v>3119</v>
      </c>
      <c r="N1824" s="1" t="s">
        <v>4626</v>
      </c>
      <c r="P1824" s="1" t="s">
        <v>10537</v>
      </c>
      <c r="Q1824" s="30" t="s">
        <v>2565</v>
      </c>
      <c r="R1824" s="33" t="s">
        <v>3473</v>
      </c>
      <c r="S1824">
        <v>37</v>
      </c>
      <c r="T1824" s="1" t="s">
        <v>13878</v>
      </c>
      <c r="U1824" s="1" t="str">
        <f>HYPERLINK("http://ictvonline.org/taxonomy/p/taxonomy-history?taxnode_id=202100755","ICTVonline=202100755")</f>
        <v>ICTVonline=202100755</v>
      </c>
    </row>
    <row r="1825" spans="1:21" x14ac:dyDescent="0.2">
      <c r="A1825" s="3">
        <v>1824</v>
      </c>
      <c r="B1825" s="1" t="s">
        <v>4875</v>
      </c>
      <c r="D1825" s="1" t="s">
        <v>4876</v>
      </c>
      <c r="F1825" s="1" t="s">
        <v>4880</v>
      </c>
      <c r="H1825" s="1" t="s">
        <v>4881</v>
      </c>
      <c r="M1825" s="1" t="s">
        <v>3119</v>
      </c>
      <c r="N1825" s="1" t="s">
        <v>4626</v>
      </c>
      <c r="P1825" s="1" t="s">
        <v>10538</v>
      </c>
      <c r="Q1825" s="30" t="s">
        <v>2565</v>
      </c>
      <c r="R1825" s="33" t="s">
        <v>3473</v>
      </c>
      <c r="S1825">
        <v>37</v>
      </c>
      <c r="T1825" s="1" t="s">
        <v>13878</v>
      </c>
      <c r="U1825" s="1" t="str">
        <f>HYPERLINK("http://ictvonline.org/taxonomy/p/taxonomy-history?taxnode_id=202100756","ICTVonline=202100756")</f>
        <v>ICTVonline=202100756</v>
      </c>
    </row>
    <row r="1826" spans="1:21" x14ac:dyDescent="0.2">
      <c r="A1826" s="3">
        <v>1825</v>
      </c>
      <c r="B1826" s="1" t="s">
        <v>4875</v>
      </c>
      <c r="D1826" s="1" t="s">
        <v>4876</v>
      </c>
      <c r="F1826" s="1" t="s">
        <v>4880</v>
      </c>
      <c r="H1826" s="1" t="s">
        <v>4881</v>
      </c>
      <c r="M1826" s="1" t="s">
        <v>3119</v>
      </c>
      <c r="N1826" s="1" t="s">
        <v>3122</v>
      </c>
      <c r="P1826" s="1" t="s">
        <v>10539</v>
      </c>
      <c r="Q1826" s="30" t="s">
        <v>2565</v>
      </c>
      <c r="R1826" s="33" t="s">
        <v>3473</v>
      </c>
      <c r="S1826">
        <v>37</v>
      </c>
      <c r="T1826" s="1" t="s">
        <v>13878</v>
      </c>
      <c r="U1826" s="1" t="str">
        <f>HYPERLINK("http://ictvonline.org/taxonomy/p/taxonomy-history?taxnode_id=202100758","ICTVonline=202100758")</f>
        <v>ICTVonline=202100758</v>
      </c>
    </row>
    <row r="1827" spans="1:21" x14ac:dyDescent="0.2">
      <c r="A1827" s="3">
        <v>1826</v>
      </c>
      <c r="B1827" s="1" t="s">
        <v>4875</v>
      </c>
      <c r="D1827" s="1" t="s">
        <v>4876</v>
      </c>
      <c r="F1827" s="1" t="s">
        <v>4880</v>
      </c>
      <c r="H1827" s="1" t="s">
        <v>4881</v>
      </c>
      <c r="M1827" s="1" t="s">
        <v>3119</v>
      </c>
      <c r="N1827" s="1" t="s">
        <v>3122</v>
      </c>
      <c r="P1827" s="1" t="s">
        <v>10540</v>
      </c>
      <c r="Q1827" s="30" t="s">
        <v>2565</v>
      </c>
      <c r="R1827" s="33" t="s">
        <v>3473</v>
      </c>
      <c r="S1827">
        <v>37</v>
      </c>
      <c r="T1827" s="1" t="s">
        <v>13878</v>
      </c>
      <c r="U1827" s="1" t="str">
        <f>HYPERLINK("http://ictvonline.org/taxonomy/p/taxonomy-history?taxnode_id=202100759","ICTVonline=202100759")</f>
        <v>ICTVonline=202100759</v>
      </c>
    </row>
    <row r="1828" spans="1:21" x14ac:dyDescent="0.2">
      <c r="A1828" s="3">
        <v>1827</v>
      </c>
      <c r="B1828" s="1" t="s">
        <v>4875</v>
      </c>
      <c r="D1828" s="1" t="s">
        <v>4876</v>
      </c>
      <c r="F1828" s="1" t="s">
        <v>4880</v>
      </c>
      <c r="H1828" s="1" t="s">
        <v>4881</v>
      </c>
      <c r="M1828" s="1" t="s">
        <v>3119</v>
      </c>
      <c r="N1828" s="1" t="s">
        <v>3122</v>
      </c>
      <c r="P1828" s="1" t="s">
        <v>10541</v>
      </c>
      <c r="Q1828" s="30" t="s">
        <v>2565</v>
      </c>
      <c r="R1828" s="33" t="s">
        <v>3473</v>
      </c>
      <c r="S1828">
        <v>37</v>
      </c>
      <c r="T1828" s="1" t="s">
        <v>13878</v>
      </c>
      <c r="U1828" s="1" t="str">
        <f>HYPERLINK("http://ictvonline.org/taxonomy/p/taxonomy-history?taxnode_id=202100760","ICTVonline=202100760")</f>
        <v>ICTVonline=202100760</v>
      </c>
    </row>
    <row r="1829" spans="1:21" x14ac:dyDescent="0.2">
      <c r="A1829" s="3">
        <v>1828</v>
      </c>
      <c r="B1829" s="1" t="s">
        <v>4875</v>
      </c>
      <c r="D1829" s="1" t="s">
        <v>4876</v>
      </c>
      <c r="F1829" s="1" t="s">
        <v>4880</v>
      </c>
      <c r="H1829" s="1" t="s">
        <v>4881</v>
      </c>
      <c r="M1829" s="1" t="s">
        <v>3119</v>
      </c>
      <c r="N1829" s="1" t="s">
        <v>3122</v>
      </c>
      <c r="P1829" s="1" t="s">
        <v>10542</v>
      </c>
      <c r="Q1829" s="30" t="s">
        <v>2565</v>
      </c>
      <c r="R1829" s="33" t="s">
        <v>3472</v>
      </c>
      <c r="S1829">
        <v>37</v>
      </c>
      <c r="T1829" s="1" t="s">
        <v>13910</v>
      </c>
      <c r="U1829" s="1" t="str">
        <f>HYPERLINK("http://ictvonline.org/taxonomy/p/taxonomy-history?taxnode_id=202113193","ICTVonline=202113193")</f>
        <v>ICTVonline=202113193</v>
      </c>
    </row>
    <row r="1830" spans="1:21" x14ac:dyDescent="0.2">
      <c r="A1830" s="3">
        <v>1829</v>
      </c>
      <c r="B1830" s="1" t="s">
        <v>4875</v>
      </c>
      <c r="D1830" s="1" t="s">
        <v>4876</v>
      </c>
      <c r="F1830" s="1" t="s">
        <v>4880</v>
      </c>
      <c r="H1830" s="1" t="s">
        <v>4881</v>
      </c>
      <c r="M1830" s="1" t="s">
        <v>3119</v>
      </c>
      <c r="N1830" s="1" t="s">
        <v>3122</v>
      </c>
      <c r="P1830" s="1" t="s">
        <v>10543</v>
      </c>
      <c r="Q1830" s="30" t="s">
        <v>2565</v>
      </c>
      <c r="R1830" s="33" t="s">
        <v>3473</v>
      </c>
      <c r="S1830">
        <v>37</v>
      </c>
      <c r="T1830" s="1" t="s">
        <v>13878</v>
      </c>
      <c r="U1830" s="1" t="str">
        <f>HYPERLINK("http://ictvonline.org/taxonomy/p/taxonomy-history?taxnode_id=202100761","ICTVonline=202100761")</f>
        <v>ICTVonline=202100761</v>
      </c>
    </row>
    <row r="1831" spans="1:21" x14ac:dyDescent="0.2">
      <c r="A1831" s="3">
        <v>1830</v>
      </c>
      <c r="B1831" s="1" t="s">
        <v>4875</v>
      </c>
      <c r="D1831" s="1" t="s">
        <v>4876</v>
      </c>
      <c r="F1831" s="1" t="s">
        <v>4880</v>
      </c>
      <c r="H1831" s="1" t="s">
        <v>4881</v>
      </c>
      <c r="M1831" s="1" t="s">
        <v>3119</v>
      </c>
      <c r="N1831" s="1" t="s">
        <v>10544</v>
      </c>
      <c r="P1831" s="1" t="s">
        <v>10545</v>
      </c>
      <c r="Q1831" s="30" t="s">
        <v>2565</v>
      </c>
      <c r="R1831" s="33" t="s">
        <v>3472</v>
      </c>
      <c r="S1831">
        <v>37</v>
      </c>
      <c r="T1831" s="1" t="s">
        <v>13910</v>
      </c>
      <c r="U1831" s="1" t="str">
        <f>HYPERLINK("http://ictvonline.org/taxonomy/p/taxonomy-history?taxnode_id=202113187","ICTVonline=202113187")</f>
        <v>ICTVonline=202113187</v>
      </c>
    </row>
    <row r="1832" spans="1:21" x14ac:dyDescent="0.2">
      <c r="A1832" s="3">
        <v>1831</v>
      </c>
      <c r="B1832" s="1" t="s">
        <v>4875</v>
      </c>
      <c r="D1832" s="1" t="s">
        <v>4876</v>
      </c>
      <c r="F1832" s="1" t="s">
        <v>4880</v>
      </c>
      <c r="H1832" s="1" t="s">
        <v>4881</v>
      </c>
      <c r="M1832" s="1" t="s">
        <v>3119</v>
      </c>
      <c r="N1832" s="1" t="s">
        <v>10544</v>
      </c>
      <c r="P1832" s="1" t="s">
        <v>10546</v>
      </c>
      <c r="Q1832" s="30" t="s">
        <v>2565</v>
      </c>
      <c r="R1832" s="33" t="s">
        <v>3472</v>
      </c>
      <c r="S1832">
        <v>37</v>
      </c>
      <c r="T1832" s="1" t="s">
        <v>13910</v>
      </c>
      <c r="U1832" s="1" t="str">
        <f>HYPERLINK("http://ictvonline.org/taxonomy/p/taxonomy-history?taxnode_id=202113186","ICTVonline=202113186")</f>
        <v>ICTVonline=202113186</v>
      </c>
    </row>
    <row r="1833" spans="1:21" x14ac:dyDescent="0.2">
      <c r="A1833" s="3">
        <v>1832</v>
      </c>
      <c r="B1833" s="1" t="s">
        <v>4875</v>
      </c>
      <c r="D1833" s="1" t="s">
        <v>4876</v>
      </c>
      <c r="F1833" s="1" t="s">
        <v>4880</v>
      </c>
      <c r="H1833" s="1" t="s">
        <v>4881</v>
      </c>
      <c r="M1833" s="1" t="s">
        <v>3119</v>
      </c>
      <c r="N1833" s="1" t="s">
        <v>3123</v>
      </c>
      <c r="P1833" s="1" t="s">
        <v>10547</v>
      </c>
      <c r="Q1833" s="30" t="s">
        <v>2565</v>
      </c>
      <c r="R1833" s="33" t="s">
        <v>3473</v>
      </c>
      <c r="S1833">
        <v>37</v>
      </c>
      <c r="T1833" s="1" t="s">
        <v>13878</v>
      </c>
      <c r="U1833" s="1" t="str">
        <f>HYPERLINK("http://ictvonline.org/taxonomy/p/taxonomy-history?taxnode_id=202100763","ICTVonline=202100763")</f>
        <v>ICTVonline=202100763</v>
      </c>
    </row>
    <row r="1834" spans="1:21" x14ac:dyDescent="0.2">
      <c r="A1834" s="3">
        <v>1833</v>
      </c>
      <c r="B1834" s="1" t="s">
        <v>4875</v>
      </c>
      <c r="D1834" s="1" t="s">
        <v>4876</v>
      </c>
      <c r="F1834" s="1" t="s">
        <v>4880</v>
      </c>
      <c r="H1834" s="1" t="s">
        <v>4881</v>
      </c>
      <c r="M1834" s="1" t="s">
        <v>3119</v>
      </c>
      <c r="N1834" s="1" t="s">
        <v>3123</v>
      </c>
      <c r="P1834" s="1" t="s">
        <v>10548</v>
      </c>
      <c r="Q1834" s="30" t="s">
        <v>2565</v>
      </c>
      <c r="R1834" s="33" t="s">
        <v>3472</v>
      </c>
      <c r="S1834">
        <v>37</v>
      </c>
      <c r="T1834" s="1" t="s">
        <v>13910</v>
      </c>
      <c r="U1834" s="1" t="str">
        <f>HYPERLINK("http://ictvonline.org/taxonomy/p/taxonomy-history?taxnode_id=202113194","ICTVonline=202113194")</f>
        <v>ICTVonline=202113194</v>
      </c>
    </row>
    <row r="1835" spans="1:21" x14ac:dyDescent="0.2">
      <c r="A1835" s="3">
        <v>1834</v>
      </c>
      <c r="B1835" s="1" t="s">
        <v>4875</v>
      </c>
      <c r="D1835" s="1" t="s">
        <v>4876</v>
      </c>
      <c r="F1835" s="1" t="s">
        <v>4880</v>
      </c>
      <c r="H1835" s="1" t="s">
        <v>4881</v>
      </c>
      <c r="M1835" s="1" t="s">
        <v>3119</v>
      </c>
      <c r="N1835" s="1" t="s">
        <v>3123</v>
      </c>
      <c r="P1835" s="1" t="s">
        <v>10549</v>
      </c>
      <c r="Q1835" s="30" t="s">
        <v>2565</v>
      </c>
      <c r="R1835" s="33" t="s">
        <v>3473</v>
      </c>
      <c r="S1835">
        <v>37</v>
      </c>
      <c r="T1835" s="1" t="s">
        <v>13878</v>
      </c>
      <c r="U1835" s="1" t="str">
        <f>HYPERLINK("http://ictvonline.org/taxonomy/p/taxonomy-history?taxnode_id=202100764","ICTVonline=202100764")</f>
        <v>ICTVonline=202100764</v>
      </c>
    </row>
    <row r="1836" spans="1:21" x14ac:dyDescent="0.2">
      <c r="A1836" s="3">
        <v>1835</v>
      </c>
      <c r="B1836" s="1" t="s">
        <v>4875</v>
      </c>
      <c r="D1836" s="1" t="s">
        <v>4876</v>
      </c>
      <c r="F1836" s="1" t="s">
        <v>4880</v>
      </c>
      <c r="H1836" s="1" t="s">
        <v>4881</v>
      </c>
      <c r="M1836" s="1" t="s">
        <v>3119</v>
      </c>
      <c r="N1836" s="1" t="s">
        <v>3123</v>
      </c>
      <c r="P1836" s="1" t="s">
        <v>10550</v>
      </c>
      <c r="Q1836" s="30" t="s">
        <v>2565</v>
      </c>
      <c r="R1836" s="33" t="s">
        <v>3473</v>
      </c>
      <c r="S1836">
        <v>37</v>
      </c>
      <c r="T1836" s="1" t="s">
        <v>13878</v>
      </c>
      <c r="U1836" s="1" t="str">
        <f>HYPERLINK("http://ictvonline.org/taxonomy/p/taxonomy-history?taxnode_id=202101060","ICTVonline=202101060")</f>
        <v>ICTVonline=202101060</v>
      </c>
    </row>
    <row r="1837" spans="1:21" x14ac:dyDescent="0.2">
      <c r="A1837" s="3">
        <v>1836</v>
      </c>
      <c r="B1837" s="1" t="s">
        <v>4875</v>
      </c>
      <c r="D1837" s="1" t="s">
        <v>4876</v>
      </c>
      <c r="F1837" s="1" t="s">
        <v>4880</v>
      </c>
      <c r="H1837" s="1" t="s">
        <v>4881</v>
      </c>
      <c r="M1837" s="1" t="s">
        <v>3119</v>
      </c>
      <c r="N1837" s="1" t="s">
        <v>10551</v>
      </c>
      <c r="P1837" s="1" t="s">
        <v>10552</v>
      </c>
      <c r="Q1837" s="30" t="s">
        <v>2565</v>
      </c>
      <c r="R1837" s="33" t="s">
        <v>3472</v>
      </c>
      <c r="S1837">
        <v>37</v>
      </c>
      <c r="T1837" s="1" t="s">
        <v>13910</v>
      </c>
      <c r="U1837" s="1" t="str">
        <f>HYPERLINK("http://ictvonline.org/taxonomy/p/taxonomy-history?taxnode_id=202113184","ICTVonline=202113184")</f>
        <v>ICTVonline=202113184</v>
      </c>
    </row>
    <row r="1838" spans="1:21" x14ac:dyDescent="0.2">
      <c r="A1838" s="3">
        <v>1837</v>
      </c>
      <c r="B1838" s="1" t="s">
        <v>4875</v>
      </c>
      <c r="D1838" s="1" t="s">
        <v>4876</v>
      </c>
      <c r="F1838" s="1" t="s">
        <v>4880</v>
      </c>
      <c r="H1838" s="1" t="s">
        <v>4881</v>
      </c>
      <c r="M1838" s="1" t="s">
        <v>3119</v>
      </c>
      <c r="N1838" s="1" t="s">
        <v>10553</v>
      </c>
      <c r="P1838" s="1" t="s">
        <v>10554</v>
      </c>
      <c r="Q1838" s="30" t="s">
        <v>2565</v>
      </c>
      <c r="R1838" s="33" t="s">
        <v>3472</v>
      </c>
      <c r="S1838">
        <v>37</v>
      </c>
      <c r="T1838" s="1" t="s">
        <v>13910</v>
      </c>
      <c r="U1838" s="1" t="str">
        <f>HYPERLINK("http://ictvonline.org/taxonomy/p/taxonomy-history?taxnode_id=202113178","ICTVonline=202113178")</f>
        <v>ICTVonline=202113178</v>
      </c>
    </row>
    <row r="1839" spans="1:21" x14ac:dyDescent="0.2">
      <c r="A1839" s="3">
        <v>1838</v>
      </c>
      <c r="B1839" s="1" t="s">
        <v>4875</v>
      </c>
      <c r="D1839" s="1" t="s">
        <v>4876</v>
      </c>
      <c r="F1839" s="1" t="s">
        <v>4880</v>
      </c>
      <c r="H1839" s="1" t="s">
        <v>4881</v>
      </c>
      <c r="M1839" s="1" t="s">
        <v>6047</v>
      </c>
      <c r="N1839" s="1" t="s">
        <v>6048</v>
      </c>
      <c r="P1839" s="1" t="s">
        <v>10555</v>
      </c>
      <c r="Q1839" s="30" t="s">
        <v>2565</v>
      </c>
      <c r="R1839" s="33" t="s">
        <v>3473</v>
      </c>
      <c r="S1839">
        <v>37</v>
      </c>
      <c r="T1839" s="1" t="s">
        <v>13878</v>
      </c>
      <c r="U1839" s="1" t="str">
        <f>HYPERLINK("http://ictvonline.org/taxonomy/p/taxonomy-history?taxnode_id=202109630","ICTVonline=202109630")</f>
        <v>ICTVonline=202109630</v>
      </c>
    </row>
    <row r="1840" spans="1:21" x14ac:dyDescent="0.2">
      <c r="A1840" s="3">
        <v>1839</v>
      </c>
      <c r="B1840" s="1" t="s">
        <v>4875</v>
      </c>
      <c r="D1840" s="1" t="s">
        <v>4876</v>
      </c>
      <c r="F1840" s="1" t="s">
        <v>4880</v>
      </c>
      <c r="H1840" s="1" t="s">
        <v>4881</v>
      </c>
      <c r="M1840" s="1" t="s">
        <v>6047</v>
      </c>
      <c r="N1840" s="1" t="s">
        <v>6049</v>
      </c>
      <c r="P1840" s="1" t="s">
        <v>10556</v>
      </c>
      <c r="Q1840" s="30" t="s">
        <v>2565</v>
      </c>
      <c r="R1840" s="33" t="s">
        <v>3473</v>
      </c>
      <c r="S1840">
        <v>37</v>
      </c>
      <c r="T1840" s="1" t="s">
        <v>13878</v>
      </c>
      <c r="U1840" s="1" t="str">
        <f>HYPERLINK("http://ictvonline.org/taxonomy/p/taxonomy-history?taxnode_id=202109628","ICTVonline=202109628")</f>
        <v>ICTVonline=202109628</v>
      </c>
    </row>
    <row r="1841" spans="1:21" x14ac:dyDescent="0.2">
      <c r="A1841" s="3">
        <v>1840</v>
      </c>
      <c r="B1841" s="1" t="s">
        <v>4875</v>
      </c>
      <c r="D1841" s="1" t="s">
        <v>4876</v>
      </c>
      <c r="F1841" s="1" t="s">
        <v>4880</v>
      </c>
      <c r="H1841" s="1" t="s">
        <v>4881</v>
      </c>
      <c r="M1841" s="1" t="s">
        <v>6047</v>
      </c>
      <c r="N1841" s="1" t="s">
        <v>6050</v>
      </c>
      <c r="P1841" s="1" t="s">
        <v>10557</v>
      </c>
      <c r="Q1841" s="30" t="s">
        <v>2565</v>
      </c>
      <c r="R1841" s="33" t="s">
        <v>3473</v>
      </c>
      <c r="S1841">
        <v>37</v>
      </c>
      <c r="T1841" s="1" t="s">
        <v>13878</v>
      </c>
      <c r="U1841" s="1" t="str">
        <f>HYPERLINK("http://ictvonline.org/taxonomy/p/taxonomy-history?taxnode_id=202109634","ICTVonline=202109634")</f>
        <v>ICTVonline=202109634</v>
      </c>
    </row>
    <row r="1842" spans="1:21" x14ac:dyDescent="0.2">
      <c r="A1842" s="3">
        <v>1841</v>
      </c>
      <c r="B1842" s="1" t="s">
        <v>4875</v>
      </c>
      <c r="D1842" s="1" t="s">
        <v>4876</v>
      </c>
      <c r="F1842" s="1" t="s">
        <v>4880</v>
      </c>
      <c r="H1842" s="1" t="s">
        <v>4881</v>
      </c>
      <c r="M1842" s="1" t="s">
        <v>6047</v>
      </c>
      <c r="N1842" s="1" t="s">
        <v>6050</v>
      </c>
      <c r="P1842" s="1" t="s">
        <v>10558</v>
      </c>
      <c r="Q1842" s="30" t="s">
        <v>2565</v>
      </c>
      <c r="R1842" s="33" t="s">
        <v>3473</v>
      </c>
      <c r="S1842">
        <v>37</v>
      </c>
      <c r="T1842" s="1" t="s">
        <v>13878</v>
      </c>
      <c r="U1842" s="1" t="str">
        <f>HYPERLINK("http://ictvonline.org/taxonomy/p/taxonomy-history?taxnode_id=202109632","ICTVonline=202109632")</f>
        <v>ICTVonline=202109632</v>
      </c>
    </row>
    <row r="1843" spans="1:21" x14ac:dyDescent="0.2">
      <c r="A1843" s="3">
        <v>1842</v>
      </c>
      <c r="B1843" s="1" t="s">
        <v>4875</v>
      </c>
      <c r="D1843" s="1" t="s">
        <v>4876</v>
      </c>
      <c r="F1843" s="1" t="s">
        <v>4880</v>
      </c>
      <c r="H1843" s="1" t="s">
        <v>4881</v>
      </c>
      <c r="M1843" s="1" t="s">
        <v>6047</v>
      </c>
      <c r="N1843" s="1" t="s">
        <v>6050</v>
      </c>
      <c r="P1843" s="1" t="s">
        <v>10559</v>
      </c>
      <c r="Q1843" s="30" t="s">
        <v>2565</v>
      </c>
      <c r="R1843" s="33" t="s">
        <v>3473</v>
      </c>
      <c r="S1843">
        <v>37</v>
      </c>
      <c r="T1843" s="1" t="s">
        <v>13878</v>
      </c>
      <c r="U1843" s="1" t="str">
        <f>HYPERLINK("http://ictvonline.org/taxonomy/p/taxonomy-history?taxnode_id=202109633","ICTVonline=202109633")</f>
        <v>ICTVonline=202109633</v>
      </c>
    </row>
    <row r="1844" spans="1:21" x14ac:dyDescent="0.2">
      <c r="A1844" s="3">
        <v>1843</v>
      </c>
      <c r="B1844" s="1" t="s">
        <v>4875</v>
      </c>
      <c r="D1844" s="1" t="s">
        <v>4876</v>
      </c>
      <c r="F1844" s="1" t="s">
        <v>4880</v>
      </c>
      <c r="H1844" s="1" t="s">
        <v>4881</v>
      </c>
      <c r="M1844" s="1" t="s">
        <v>10560</v>
      </c>
      <c r="N1844" s="1" t="s">
        <v>6197</v>
      </c>
      <c r="P1844" s="1" t="s">
        <v>6198</v>
      </c>
      <c r="Q1844" s="30" t="s">
        <v>2565</v>
      </c>
      <c r="R1844" s="33" t="s">
        <v>3474</v>
      </c>
      <c r="S1844">
        <v>37</v>
      </c>
      <c r="T1844" s="1" t="s">
        <v>13911</v>
      </c>
      <c r="U1844" s="1" t="str">
        <f>HYPERLINK("http://ictvonline.org/taxonomy/p/taxonomy-history?taxnode_id=202110145","ICTVonline=202110145")</f>
        <v>ICTVonline=202110145</v>
      </c>
    </row>
    <row r="1845" spans="1:21" x14ac:dyDescent="0.2">
      <c r="A1845" s="3">
        <v>1844</v>
      </c>
      <c r="B1845" s="1" t="s">
        <v>4875</v>
      </c>
      <c r="D1845" s="1" t="s">
        <v>4876</v>
      </c>
      <c r="F1845" s="1" t="s">
        <v>4880</v>
      </c>
      <c r="H1845" s="1" t="s">
        <v>4881</v>
      </c>
      <c r="M1845" s="1" t="s">
        <v>10560</v>
      </c>
      <c r="N1845" s="1" t="s">
        <v>6197</v>
      </c>
      <c r="P1845" s="1" t="s">
        <v>6199</v>
      </c>
      <c r="Q1845" s="30" t="s">
        <v>2565</v>
      </c>
      <c r="R1845" s="33" t="s">
        <v>3474</v>
      </c>
      <c r="S1845">
        <v>37</v>
      </c>
      <c r="T1845" s="1" t="s">
        <v>13911</v>
      </c>
      <c r="U1845" s="1" t="str">
        <f>HYPERLINK("http://ictvonline.org/taxonomy/p/taxonomy-history?taxnode_id=202110146","ICTVonline=202110146")</f>
        <v>ICTVonline=202110146</v>
      </c>
    </row>
    <row r="1846" spans="1:21" x14ac:dyDescent="0.2">
      <c r="A1846" s="3">
        <v>1845</v>
      </c>
      <c r="B1846" s="1" t="s">
        <v>4875</v>
      </c>
      <c r="D1846" s="1" t="s">
        <v>4876</v>
      </c>
      <c r="F1846" s="1" t="s">
        <v>4880</v>
      </c>
      <c r="H1846" s="1" t="s">
        <v>4881</v>
      </c>
      <c r="M1846" s="1" t="s">
        <v>10560</v>
      </c>
      <c r="N1846" s="1" t="s">
        <v>6197</v>
      </c>
      <c r="P1846" s="1" t="s">
        <v>6200</v>
      </c>
      <c r="Q1846" s="30" t="s">
        <v>2565</v>
      </c>
      <c r="R1846" s="33" t="s">
        <v>3474</v>
      </c>
      <c r="S1846">
        <v>37</v>
      </c>
      <c r="T1846" s="1" t="s">
        <v>13911</v>
      </c>
      <c r="U1846" s="1" t="str">
        <f>HYPERLINK("http://ictvonline.org/taxonomy/p/taxonomy-history?taxnode_id=202110147","ICTVonline=202110147")</f>
        <v>ICTVonline=202110147</v>
      </c>
    </row>
    <row r="1847" spans="1:21" x14ac:dyDescent="0.2">
      <c r="A1847" s="3">
        <v>1846</v>
      </c>
      <c r="B1847" s="1" t="s">
        <v>4875</v>
      </c>
      <c r="D1847" s="1" t="s">
        <v>4876</v>
      </c>
      <c r="F1847" s="1" t="s">
        <v>4880</v>
      </c>
      <c r="H1847" s="1" t="s">
        <v>4881</v>
      </c>
      <c r="M1847" s="1" t="s">
        <v>10560</v>
      </c>
      <c r="N1847" s="1" t="s">
        <v>6197</v>
      </c>
      <c r="P1847" s="1" t="s">
        <v>6201</v>
      </c>
      <c r="Q1847" s="30" t="s">
        <v>2565</v>
      </c>
      <c r="R1847" s="33" t="s">
        <v>3474</v>
      </c>
      <c r="S1847">
        <v>37</v>
      </c>
      <c r="T1847" s="1" t="s">
        <v>13911</v>
      </c>
      <c r="U1847" s="1" t="str">
        <f>HYPERLINK("http://ictvonline.org/taxonomy/p/taxonomy-history?taxnode_id=202110149","ICTVonline=202110149")</f>
        <v>ICTVonline=202110149</v>
      </c>
    </row>
    <row r="1848" spans="1:21" x14ac:dyDescent="0.2">
      <c r="A1848" s="3">
        <v>1847</v>
      </c>
      <c r="B1848" s="1" t="s">
        <v>4875</v>
      </c>
      <c r="D1848" s="1" t="s">
        <v>4876</v>
      </c>
      <c r="F1848" s="1" t="s">
        <v>4880</v>
      </c>
      <c r="H1848" s="1" t="s">
        <v>4881</v>
      </c>
      <c r="M1848" s="1" t="s">
        <v>10560</v>
      </c>
      <c r="N1848" s="1" t="s">
        <v>6197</v>
      </c>
      <c r="P1848" s="1" t="s">
        <v>6202</v>
      </c>
      <c r="Q1848" s="30" t="s">
        <v>2565</v>
      </c>
      <c r="R1848" s="33" t="s">
        <v>3474</v>
      </c>
      <c r="S1848">
        <v>37</v>
      </c>
      <c r="T1848" s="1" t="s">
        <v>13911</v>
      </c>
      <c r="U1848" s="1" t="str">
        <f>HYPERLINK("http://ictvonline.org/taxonomy/p/taxonomy-history?taxnode_id=202110148","ICTVonline=202110148")</f>
        <v>ICTVonline=202110148</v>
      </c>
    </row>
    <row r="1849" spans="1:21" x14ac:dyDescent="0.2">
      <c r="A1849" s="3">
        <v>1848</v>
      </c>
      <c r="B1849" s="1" t="s">
        <v>4875</v>
      </c>
      <c r="D1849" s="1" t="s">
        <v>4876</v>
      </c>
      <c r="F1849" s="1" t="s">
        <v>4880</v>
      </c>
      <c r="H1849" s="1" t="s">
        <v>4881</v>
      </c>
      <c r="M1849" s="1" t="s">
        <v>10560</v>
      </c>
      <c r="N1849" s="1" t="s">
        <v>4729</v>
      </c>
      <c r="P1849" s="1" t="s">
        <v>10561</v>
      </c>
      <c r="Q1849" s="30" t="s">
        <v>2565</v>
      </c>
      <c r="R1849" s="33" t="s">
        <v>3472</v>
      </c>
      <c r="S1849">
        <v>37</v>
      </c>
      <c r="T1849" s="1" t="s">
        <v>13912</v>
      </c>
      <c r="U1849" s="1" t="str">
        <f>HYPERLINK("http://ictvonline.org/taxonomy/p/taxonomy-history?taxnode_id=202112977","ICTVonline=202112977")</f>
        <v>ICTVonline=202112977</v>
      </c>
    </row>
    <row r="1850" spans="1:21" x14ac:dyDescent="0.2">
      <c r="A1850" s="3">
        <v>1849</v>
      </c>
      <c r="B1850" s="1" t="s">
        <v>4875</v>
      </c>
      <c r="D1850" s="1" t="s">
        <v>4876</v>
      </c>
      <c r="F1850" s="1" t="s">
        <v>4880</v>
      </c>
      <c r="H1850" s="1" t="s">
        <v>4881</v>
      </c>
      <c r="M1850" s="1" t="s">
        <v>10560</v>
      </c>
      <c r="N1850" s="1" t="s">
        <v>4729</v>
      </c>
      <c r="P1850" s="1" t="s">
        <v>10562</v>
      </c>
      <c r="Q1850" s="30" t="s">
        <v>2565</v>
      </c>
      <c r="R1850" s="33" t="s">
        <v>3472</v>
      </c>
      <c r="S1850">
        <v>37</v>
      </c>
      <c r="T1850" s="1" t="s">
        <v>13912</v>
      </c>
      <c r="U1850" s="1" t="str">
        <f>HYPERLINK("http://ictvonline.org/taxonomy/p/taxonomy-history?taxnode_id=202112980","ICTVonline=202112980")</f>
        <v>ICTVonline=202112980</v>
      </c>
    </row>
    <row r="1851" spans="1:21" x14ac:dyDescent="0.2">
      <c r="A1851" s="3">
        <v>1850</v>
      </c>
      <c r="B1851" s="1" t="s">
        <v>4875</v>
      </c>
      <c r="D1851" s="1" t="s">
        <v>4876</v>
      </c>
      <c r="F1851" s="1" t="s">
        <v>4880</v>
      </c>
      <c r="H1851" s="1" t="s">
        <v>4881</v>
      </c>
      <c r="M1851" s="1" t="s">
        <v>10560</v>
      </c>
      <c r="N1851" s="1" t="s">
        <v>4729</v>
      </c>
      <c r="P1851" s="1" t="s">
        <v>10563</v>
      </c>
      <c r="Q1851" s="30" t="s">
        <v>2565</v>
      </c>
      <c r="R1851" s="33" t="s">
        <v>3472</v>
      </c>
      <c r="S1851">
        <v>37</v>
      </c>
      <c r="T1851" s="1" t="s">
        <v>13912</v>
      </c>
      <c r="U1851" s="1" t="str">
        <f>HYPERLINK("http://ictvonline.org/taxonomy/p/taxonomy-history?taxnode_id=202112976","ICTVonline=202112976")</f>
        <v>ICTVonline=202112976</v>
      </c>
    </row>
    <row r="1852" spans="1:21" x14ac:dyDescent="0.2">
      <c r="A1852" s="3">
        <v>1851</v>
      </c>
      <c r="B1852" s="1" t="s">
        <v>4875</v>
      </c>
      <c r="D1852" s="1" t="s">
        <v>4876</v>
      </c>
      <c r="F1852" s="1" t="s">
        <v>4880</v>
      </c>
      <c r="H1852" s="1" t="s">
        <v>4881</v>
      </c>
      <c r="M1852" s="1" t="s">
        <v>10560</v>
      </c>
      <c r="N1852" s="1" t="s">
        <v>4729</v>
      </c>
      <c r="P1852" s="1" t="s">
        <v>10564</v>
      </c>
      <c r="Q1852" s="30" t="s">
        <v>2565</v>
      </c>
      <c r="R1852" s="33" t="s">
        <v>3472</v>
      </c>
      <c r="S1852">
        <v>37</v>
      </c>
      <c r="T1852" s="1" t="s">
        <v>13912</v>
      </c>
      <c r="U1852" s="1" t="str">
        <f>HYPERLINK("http://ictvonline.org/taxonomy/p/taxonomy-history?taxnode_id=202112978","ICTVonline=202112978")</f>
        <v>ICTVonline=202112978</v>
      </c>
    </row>
    <row r="1853" spans="1:21" x14ac:dyDescent="0.2">
      <c r="A1853" s="3">
        <v>1852</v>
      </c>
      <c r="B1853" s="1" t="s">
        <v>4875</v>
      </c>
      <c r="D1853" s="1" t="s">
        <v>4876</v>
      </c>
      <c r="F1853" s="1" t="s">
        <v>4880</v>
      </c>
      <c r="H1853" s="1" t="s">
        <v>4881</v>
      </c>
      <c r="M1853" s="1" t="s">
        <v>10560</v>
      </c>
      <c r="N1853" s="1" t="s">
        <v>4729</v>
      </c>
      <c r="P1853" s="1" t="s">
        <v>10565</v>
      </c>
      <c r="Q1853" s="30" t="s">
        <v>2565</v>
      </c>
      <c r="R1853" s="33" t="s">
        <v>3472</v>
      </c>
      <c r="S1853">
        <v>37</v>
      </c>
      <c r="T1853" s="1" t="s">
        <v>13912</v>
      </c>
      <c r="U1853" s="1" t="str">
        <f>HYPERLINK("http://ictvonline.org/taxonomy/p/taxonomy-history?taxnode_id=202112979","ICTVonline=202112979")</f>
        <v>ICTVonline=202112979</v>
      </c>
    </row>
    <row r="1854" spans="1:21" x14ac:dyDescent="0.2">
      <c r="A1854" s="3">
        <v>1853</v>
      </c>
      <c r="B1854" s="1" t="s">
        <v>4875</v>
      </c>
      <c r="D1854" s="1" t="s">
        <v>4876</v>
      </c>
      <c r="F1854" s="1" t="s">
        <v>4880</v>
      </c>
      <c r="H1854" s="1" t="s">
        <v>4881</v>
      </c>
      <c r="M1854" s="1" t="s">
        <v>10560</v>
      </c>
      <c r="N1854" s="1" t="s">
        <v>4729</v>
      </c>
      <c r="P1854" s="1" t="s">
        <v>10566</v>
      </c>
      <c r="Q1854" s="30" t="s">
        <v>2565</v>
      </c>
      <c r="R1854" s="33" t="s">
        <v>3473</v>
      </c>
      <c r="S1854">
        <v>37</v>
      </c>
      <c r="T1854" s="1" t="s">
        <v>13878</v>
      </c>
      <c r="U1854" s="1" t="str">
        <f>HYPERLINK("http://ictvonline.org/taxonomy/p/taxonomy-history?taxnode_id=202106783","ICTVonline=202106783")</f>
        <v>ICTVonline=202106783</v>
      </c>
    </row>
    <row r="1855" spans="1:21" x14ac:dyDescent="0.2">
      <c r="A1855" s="3">
        <v>1854</v>
      </c>
      <c r="B1855" s="1" t="s">
        <v>4875</v>
      </c>
      <c r="D1855" s="1" t="s">
        <v>4876</v>
      </c>
      <c r="F1855" s="1" t="s">
        <v>4880</v>
      </c>
      <c r="H1855" s="1" t="s">
        <v>4881</v>
      </c>
      <c r="M1855" s="1" t="s">
        <v>10560</v>
      </c>
      <c r="N1855" s="1" t="s">
        <v>4729</v>
      </c>
      <c r="P1855" s="1" t="s">
        <v>10567</v>
      </c>
      <c r="Q1855" s="30" t="s">
        <v>2565</v>
      </c>
      <c r="R1855" s="33" t="s">
        <v>3473</v>
      </c>
      <c r="S1855">
        <v>37</v>
      </c>
      <c r="T1855" s="1" t="s">
        <v>13878</v>
      </c>
      <c r="U1855" s="1" t="str">
        <f>HYPERLINK("http://ictvonline.org/taxonomy/p/taxonomy-history?taxnode_id=202106785","ICTVonline=202106785")</f>
        <v>ICTVonline=202106785</v>
      </c>
    </row>
    <row r="1856" spans="1:21" x14ac:dyDescent="0.2">
      <c r="A1856" s="3">
        <v>1855</v>
      </c>
      <c r="B1856" s="1" t="s">
        <v>4875</v>
      </c>
      <c r="D1856" s="1" t="s">
        <v>4876</v>
      </c>
      <c r="F1856" s="1" t="s">
        <v>4880</v>
      </c>
      <c r="H1856" s="1" t="s">
        <v>4881</v>
      </c>
      <c r="M1856" s="1" t="s">
        <v>10560</v>
      </c>
      <c r="N1856" s="1" t="s">
        <v>4729</v>
      </c>
      <c r="P1856" s="1" t="s">
        <v>10568</v>
      </c>
      <c r="Q1856" s="30" t="s">
        <v>2565</v>
      </c>
      <c r="R1856" s="33" t="s">
        <v>3473</v>
      </c>
      <c r="S1856">
        <v>37</v>
      </c>
      <c r="T1856" s="1" t="s">
        <v>13878</v>
      </c>
      <c r="U1856" s="1" t="str">
        <f>HYPERLINK("http://ictvonline.org/taxonomy/p/taxonomy-history?taxnode_id=202106784","ICTVonline=202106784")</f>
        <v>ICTVonline=202106784</v>
      </c>
    </row>
    <row r="1857" spans="1:21" x14ac:dyDescent="0.2">
      <c r="A1857" s="3">
        <v>1856</v>
      </c>
      <c r="B1857" s="1" t="s">
        <v>4875</v>
      </c>
      <c r="D1857" s="1" t="s">
        <v>4876</v>
      </c>
      <c r="F1857" s="1" t="s">
        <v>4880</v>
      </c>
      <c r="H1857" s="1" t="s">
        <v>4881</v>
      </c>
      <c r="M1857" s="1" t="s">
        <v>10560</v>
      </c>
      <c r="N1857" s="1" t="s">
        <v>4729</v>
      </c>
      <c r="P1857" s="1" t="s">
        <v>10569</v>
      </c>
      <c r="Q1857" s="30" t="s">
        <v>2565</v>
      </c>
      <c r="R1857" s="33" t="s">
        <v>3473</v>
      </c>
      <c r="S1857">
        <v>37</v>
      </c>
      <c r="T1857" s="1" t="s">
        <v>13878</v>
      </c>
      <c r="U1857" s="1" t="str">
        <f>HYPERLINK("http://ictvonline.org/taxonomy/p/taxonomy-history?taxnode_id=202106782","ICTVonline=202106782")</f>
        <v>ICTVonline=202106782</v>
      </c>
    </row>
    <row r="1858" spans="1:21" x14ac:dyDescent="0.2">
      <c r="A1858" s="3">
        <v>1857</v>
      </c>
      <c r="B1858" s="1" t="s">
        <v>4875</v>
      </c>
      <c r="D1858" s="1" t="s">
        <v>4876</v>
      </c>
      <c r="F1858" s="1" t="s">
        <v>4880</v>
      </c>
      <c r="H1858" s="1" t="s">
        <v>4881</v>
      </c>
      <c r="M1858" s="1" t="s">
        <v>10560</v>
      </c>
      <c r="N1858" s="1" t="s">
        <v>4729</v>
      </c>
      <c r="P1858" s="1" t="s">
        <v>10570</v>
      </c>
      <c r="Q1858" s="30" t="s">
        <v>2565</v>
      </c>
      <c r="R1858" s="33" t="s">
        <v>3473</v>
      </c>
      <c r="S1858">
        <v>37</v>
      </c>
      <c r="T1858" s="1" t="s">
        <v>13878</v>
      </c>
      <c r="U1858" s="1" t="str">
        <f>HYPERLINK("http://ictvonline.org/taxonomy/p/taxonomy-history?taxnode_id=202106781","ICTVonline=202106781")</f>
        <v>ICTVonline=202106781</v>
      </c>
    </row>
    <row r="1859" spans="1:21" x14ac:dyDescent="0.2">
      <c r="A1859" s="3">
        <v>1858</v>
      </c>
      <c r="B1859" s="1" t="s">
        <v>4875</v>
      </c>
      <c r="D1859" s="1" t="s">
        <v>4876</v>
      </c>
      <c r="F1859" s="1" t="s">
        <v>4880</v>
      </c>
      <c r="H1859" s="1" t="s">
        <v>4881</v>
      </c>
      <c r="M1859" s="1" t="s">
        <v>10560</v>
      </c>
      <c r="N1859" s="1" t="s">
        <v>4729</v>
      </c>
      <c r="P1859" s="1" t="s">
        <v>10571</v>
      </c>
      <c r="Q1859" s="30" t="s">
        <v>2565</v>
      </c>
      <c r="R1859" s="33" t="s">
        <v>3473</v>
      </c>
      <c r="S1859">
        <v>37</v>
      </c>
      <c r="T1859" s="1" t="s">
        <v>13878</v>
      </c>
      <c r="U1859" s="1" t="str">
        <f>HYPERLINK("http://ictvonline.org/taxonomy/p/taxonomy-history?taxnode_id=202106780","ICTVonline=202106780")</f>
        <v>ICTVonline=202106780</v>
      </c>
    </row>
    <row r="1860" spans="1:21" x14ac:dyDescent="0.2">
      <c r="A1860" s="3">
        <v>1859</v>
      </c>
      <c r="B1860" s="1" t="s">
        <v>4875</v>
      </c>
      <c r="D1860" s="1" t="s">
        <v>4876</v>
      </c>
      <c r="F1860" s="1" t="s">
        <v>4880</v>
      </c>
      <c r="H1860" s="1" t="s">
        <v>4881</v>
      </c>
      <c r="M1860" s="1" t="s">
        <v>6129</v>
      </c>
      <c r="N1860" s="1" t="s">
        <v>2609</v>
      </c>
      <c r="P1860" s="1" t="s">
        <v>10572</v>
      </c>
      <c r="Q1860" s="30" t="s">
        <v>2565</v>
      </c>
      <c r="R1860" s="33" t="s">
        <v>3473</v>
      </c>
      <c r="S1860">
        <v>37</v>
      </c>
      <c r="T1860" s="1" t="s">
        <v>13878</v>
      </c>
      <c r="U1860" s="1" t="str">
        <f>HYPERLINK("http://ictvonline.org/taxonomy/p/taxonomy-history?taxnode_id=202109695","ICTVonline=202109695")</f>
        <v>ICTVonline=202109695</v>
      </c>
    </row>
    <row r="1861" spans="1:21" x14ac:dyDescent="0.2">
      <c r="A1861" s="3">
        <v>1860</v>
      </c>
      <c r="B1861" s="1" t="s">
        <v>4875</v>
      </c>
      <c r="D1861" s="1" t="s">
        <v>4876</v>
      </c>
      <c r="F1861" s="1" t="s">
        <v>4880</v>
      </c>
      <c r="H1861" s="1" t="s">
        <v>4881</v>
      </c>
      <c r="M1861" s="1" t="s">
        <v>6129</v>
      </c>
      <c r="N1861" s="1" t="s">
        <v>2609</v>
      </c>
      <c r="P1861" s="1" t="s">
        <v>10573</v>
      </c>
      <c r="Q1861" s="30" t="s">
        <v>2565</v>
      </c>
      <c r="R1861" s="33" t="s">
        <v>3473</v>
      </c>
      <c r="S1861">
        <v>37</v>
      </c>
      <c r="T1861" s="1" t="s">
        <v>13878</v>
      </c>
      <c r="U1861" s="1" t="str">
        <f>HYPERLINK("http://ictvonline.org/taxonomy/p/taxonomy-history?taxnode_id=202100861","ICTVonline=202100861")</f>
        <v>ICTVonline=202100861</v>
      </c>
    </row>
    <row r="1862" spans="1:21" x14ac:dyDescent="0.2">
      <c r="A1862" s="3">
        <v>1861</v>
      </c>
      <c r="B1862" s="1" t="s">
        <v>4875</v>
      </c>
      <c r="D1862" s="1" t="s">
        <v>4876</v>
      </c>
      <c r="F1862" s="1" t="s">
        <v>4880</v>
      </c>
      <c r="H1862" s="1" t="s">
        <v>4881</v>
      </c>
      <c r="M1862" s="1" t="s">
        <v>6129</v>
      </c>
      <c r="N1862" s="1" t="s">
        <v>2609</v>
      </c>
      <c r="P1862" s="1" t="s">
        <v>10574</v>
      </c>
      <c r="Q1862" s="30" t="s">
        <v>2565</v>
      </c>
      <c r="R1862" s="33" t="s">
        <v>3473</v>
      </c>
      <c r="S1862">
        <v>37</v>
      </c>
      <c r="T1862" s="1" t="s">
        <v>13878</v>
      </c>
      <c r="U1862" s="1" t="str">
        <f>HYPERLINK("http://ictvonline.org/taxonomy/p/taxonomy-history?taxnode_id=202109694","ICTVonline=202109694")</f>
        <v>ICTVonline=202109694</v>
      </c>
    </row>
    <row r="1863" spans="1:21" x14ac:dyDescent="0.2">
      <c r="A1863" s="3">
        <v>1862</v>
      </c>
      <c r="B1863" s="1" t="s">
        <v>4875</v>
      </c>
      <c r="D1863" s="1" t="s">
        <v>4876</v>
      </c>
      <c r="F1863" s="1" t="s">
        <v>4880</v>
      </c>
      <c r="H1863" s="1" t="s">
        <v>4881</v>
      </c>
      <c r="M1863" s="1" t="s">
        <v>6129</v>
      </c>
      <c r="N1863" s="1" t="s">
        <v>2609</v>
      </c>
      <c r="P1863" s="1" t="s">
        <v>10575</v>
      </c>
      <c r="Q1863" s="30" t="s">
        <v>2565</v>
      </c>
      <c r="R1863" s="33" t="s">
        <v>3473</v>
      </c>
      <c r="S1863">
        <v>37</v>
      </c>
      <c r="T1863" s="1" t="s">
        <v>13878</v>
      </c>
      <c r="U1863" s="1" t="str">
        <f>HYPERLINK("http://ictvonline.org/taxonomy/p/taxonomy-history?taxnode_id=202109697","ICTVonline=202109697")</f>
        <v>ICTVonline=202109697</v>
      </c>
    </row>
    <row r="1864" spans="1:21" x14ac:dyDescent="0.2">
      <c r="A1864" s="3">
        <v>1863</v>
      </c>
      <c r="B1864" s="1" t="s">
        <v>4875</v>
      </c>
      <c r="D1864" s="1" t="s">
        <v>4876</v>
      </c>
      <c r="F1864" s="1" t="s">
        <v>4880</v>
      </c>
      <c r="H1864" s="1" t="s">
        <v>4881</v>
      </c>
      <c r="M1864" s="1" t="s">
        <v>6129</v>
      </c>
      <c r="N1864" s="1" t="s">
        <v>2609</v>
      </c>
      <c r="P1864" s="1" t="s">
        <v>10576</v>
      </c>
      <c r="Q1864" s="30" t="s">
        <v>2565</v>
      </c>
      <c r="R1864" s="33" t="s">
        <v>3473</v>
      </c>
      <c r="S1864">
        <v>37</v>
      </c>
      <c r="T1864" s="1" t="s">
        <v>13878</v>
      </c>
      <c r="U1864" s="1" t="str">
        <f>HYPERLINK("http://ictvonline.org/taxonomy/p/taxonomy-history?taxnode_id=202109693","ICTVonline=202109693")</f>
        <v>ICTVonline=202109693</v>
      </c>
    </row>
    <row r="1865" spans="1:21" x14ac:dyDescent="0.2">
      <c r="A1865" s="3">
        <v>1864</v>
      </c>
      <c r="B1865" s="1" t="s">
        <v>4875</v>
      </c>
      <c r="D1865" s="1" t="s">
        <v>4876</v>
      </c>
      <c r="F1865" s="1" t="s">
        <v>4880</v>
      </c>
      <c r="H1865" s="1" t="s">
        <v>4881</v>
      </c>
      <c r="M1865" s="1" t="s">
        <v>6129</v>
      </c>
      <c r="N1865" s="1" t="s">
        <v>2609</v>
      </c>
      <c r="P1865" s="1" t="s">
        <v>10577</v>
      </c>
      <c r="Q1865" s="30" t="s">
        <v>2565</v>
      </c>
      <c r="R1865" s="33" t="s">
        <v>3473</v>
      </c>
      <c r="S1865">
        <v>37</v>
      </c>
      <c r="T1865" s="1" t="s">
        <v>13878</v>
      </c>
      <c r="U1865" s="1" t="str">
        <f>HYPERLINK("http://ictvonline.org/taxonomy/p/taxonomy-history?taxnode_id=202109688","ICTVonline=202109688")</f>
        <v>ICTVonline=202109688</v>
      </c>
    </row>
    <row r="1866" spans="1:21" x14ac:dyDescent="0.2">
      <c r="A1866" s="3">
        <v>1865</v>
      </c>
      <c r="B1866" s="1" t="s">
        <v>4875</v>
      </c>
      <c r="D1866" s="1" t="s">
        <v>4876</v>
      </c>
      <c r="F1866" s="1" t="s">
        <v>4880</v>
      </c>
      <c r="H1866" s="1" t="s">
        <v>4881</v>
      </c>
      <c r="M1866" s="1" t="s">
        <v>6129</v>
      </c>
      <c r="N1866" s="1" t="s">
        <v>2609</v>
      </c>
      <c r="P1866" s="1" t="s">
        <v>10578</v>
      </c>
      <c r="Q1866" s="30" t="s">
        <v>2565</v>
      </c>
      <c r="R1866" s="33" t="s">
        <v>3473</v>
      </c>
      <c r="S1866">
        <v>37</v>
      </c>
      <c r="T1866" s="1" t="s">
        <v>13878</v>
      </c>
      <c r="U1866" s="1" t="str">
        <f>HYPERLINK("http://ictvonline.org/taxonomy/p/taxonomy-history?taxnode_id=202109690","ICTVonline=202109690")</f>
        <v>ICTVonline=202109690</v>
      </c>
    </row>
    <row r="1867" spans="1:21" x14ac:dyDescent="0.2">
      <c r="A1867" s="3">
        <v>1866</v>
      </c>
      <c r="B1867" s="1" t="s">
        <v>4875</v>
      </c>
      <c r="D1867" s="1" t="s">
        <v>4876</v>
      </c>
      <c r="F1867" s="1" t="s">
        <v>4880</v>
      </c>
      <c r="H1867" s="1" t="s">
        <v>4881</v>
      </c>
      <c r="M1867" s="1" t="s">
        <v>6129</v>
      </c>
      <c r="N1867" s="1" t="s">
        <v>2609</v>
      </c>
      <c r="P1867" s="1" t="s">
        <v>10579</v>
      </c>
      <c r="Q1867" s="30" t="s">
        <v>2565</v>
      </c>
      <c r="R1867" s="33" t="s">
        <v>3473</v>
      </c>
      <c r="S1867">
        <v>37</v>
      </c>
      <c r="T1867" s="1" t="s">
        <v>13878</v>
      </c>
      <c r="U1867" s="1" t="str">
        <f>HYPERLINK("http://ictvonline.org/taxonomy/p/taxonomy-history?taxnode_id=202109689","ICTVonline=202109689")</f>
        <v>ICTVonline=202109689</v>
      </c>
    </row>
    <row r="1868" spans="1:21" x14ac:dyDescent="0.2">
      <c r="A1868" s="3">
        <v>1867</v>
      </c>
      <c r="B1868" s="1" t="s">
        <v>4875</v>
      </c>
      <c r="D1868" s="1" t="s">
        <v>4876</v>
      </c>
      <c r="F1868" s="1" t="s">
        <v>4880</v>
      </c>
      <c r="H1868" s="1" t="s">
        <v>4881</v>
      </c>
      <c r="M1868" s="1" t="s">
        <v>6129</v>
      </c>
      <c r="N1868" s="1" t="s">
        <v>2609</v>
      </c>
      <c r="P1868" s="1" t="s">
        <v>10580</v>
      </c>
      <c r="Q1868" s="30" t="s">
        <v>2565</v>
      </c>
      <c r="R1868" s="33" t="s">
        <v>3473</v>
      </c>
      <c r="S1868">
        <v>37</v>
      </c>
      <c r="T1868" s="1" t="s">
        <v>13878</v>
      </c>
      <c r="U1868" s="1" t="str">
        <f>HYPERLINK("http://ictvonline.org/taxonomy/p/taxonomy-history?taxnode_id=202109687","ICTVonline=202109687")</f>
        <v>ICTVonline=202109687</v>
      </c>
    </row>
    <row r="1869" spans="1:21" x14ac:dyDescent="0.2">
      <c r="A1869" s="3">
        <v>1868</v>
      </c>
      <c r="B1869" s="1" t="s">
        <v>4875</v>
      </c>
      <c r="D1869" s="1" t="s">
        <v>4876</v>
      </c>
      <c r="F1869" s="1" t="s">
        <v>4880</v>
      </c>
      <c r="H1869" s="1" t="s">
        <v>4881</v>
      </c>
      <c r="M1869" s="1" t="s">
        <v>6129</v>
      </c>
      <c r="N1869" s="1" t="s">
        <v>2609</v>
      </c>
      <c r="P1869" s="1" t="s">
        <v>10581</v>
      </c>
      <c r="Q1869" s="30" t="s">
        <v>2565</v>
      </c>
      <c r="R1869" s="33" t="s">
        <v>3473</v>
      </c>
      <c r="S1869">
        <v>37</v>
      </c>
      <c r="T1869" s="1" t="s">
        <v>13878</v>
      </c>
      <c r="U1869" s="1" t="str">
        <f>HYPERLINK("http://ictvonline.org/taxonomy/p/taxonomy-history?taxnode_id=202109686","ICTVonline=202109686")</f>
        <v>ICTVonline=202109686</v>
      </c>
    </row>
    <row r="1870" spans="1:21" x14ac:dyDescent="0.2">
      <c r="A1870" s="3">
        <v>1869</v>
      </c>
      <c r="B1870" s="1" t="s">
        <v>4875</v>
      </c>
      <c r="D1870" s="1" t="s">
        <v>4876</v>
      </c>
      <c r="F1870" s="1" t="s">
        <v>4880</v>
      </c>
      <c r="H1870" s="1" t="s">
        <v>4881</v>
      </c>
      <c r="M1870" s="1" t="s">
        <v>6129</v>
      </c>
      <c r="N1870" s="1" t="s">
        <v>2609</v>
      </c>
      <c r="P1870" s="1" t="s">
        <v>10582</v>
      </c>
      <c r="Q1870" s="30" t="s">
        <v>2565</v>
      </c>
      <c r="R1870" s="33" t="s">
        <v>3473</v>
      </c>
      <c r="S1870">
        <v>37</v>
      </c>
      <c r="T1870" s="1" t="s">
        <v>13878</v>
      </c>
      <c r="U1870" s="1" t="str">
        <f>HYPERLINK("http://ictvonline.org/taxonomy/p/taxonomy-history?taxnode_id=202109696","ICTVonline=202109696")</f>
        <v>ICTVonline=202109696</v>
      </c>
    </row>
    <row r="1871" spans="1:21" x14ac:dyDescent="0.2">
      <c r="A1871" s="3">
        <v>1870</v>
      </c>
      <c r="B1871" s="1" t="s">
        <v>4875</v>
      </c>
      <c r="D1871" s="1" t="s">
        <v>4876</v>
      </c>
      <c r="F1871" s="1" t="s">
        <v>4880</v>
      </c>
      <c r="H1871" s="1" t="s">
        <v>4881</v>
      </c>
      <c r="M1871" s="1" t="s">
        <v>6129</v>
      </c>
      <c r="N1871" s="1" t="s">
        <v>2609</v>
      </c>
      <c r="P1871" s="1" t="s">
        <v>10583</v>
      </c>
      <c r="Q1871" s="30" t="s">
        <v>2565</v>
      </c>
      <c r="R1871" s="33" t="s">
        <v>3473</v>
      </c>
      <c r="S1871">
        <v>37</v>
      </c>
      <c r="T1871" s="1" t="s">
        <v>13878</v>
      </c>
      <c r="U1871" s="1" t="str">
        <f>HYPERLINK("http://ictvonline.org/taxonomy/p/taxonomy-history?taxnode_id=202109698","ICTVonline=202109698")</f>
        <v>ICTVonline=202109698</v>
      </c>
    </row>
    <row r="1872" spans="1:21" x14ac:dyDescent="0.2">
      <c r="A1872" s="3">
        <v>1871</v>
      </c>
      <c r="B1872" s="1" t="s">
        <v>4875</v>
      </c>
      <c r="D1872" s="1" t="s">
        <v>4876</v>
      </c>
      <c r="F1872" s="1" t="s">
        <v>4880</v>
      </c>
      <c r="H1872" s="1" t="s">
        <v>4881</v>
      </c>
      <c r="M1872" s="1" t="s">
        <v>6129</v>
      </c>
      <c r="N1872" s="1" t="s">
        <v>2609</v>
      </c>
      <c r="P1872" s="1" t="s">
        <v>10584</v>
      </c>
      <c r="Q1872" s="30" t="s">
        <v>2565</v>
      </c>
      <c r="R1872" s="33" t="s">
        <v>3473</v>
      </c>
      <c r="S1872">
        <v>37</v>
      </c>
      <c r="T1872" s="1" t="s">
        <v>13878</v>
      </c>
      <c r="U1872" s="1" t="str">
        <f>HYPERLINK("http://ictvonline.org/taxonomy/p/taxonomy-history?taxnode_id=202109691","ICTVonline=202109691")</f>
        <v>ICTVonline=202109691</v>
      </c>
    </row>
    <row r="1873" spans="1:21" x14ac:dyDescent="0.2">
      <c r="A1873" s="3">
        <v>1872</v>
      </c>
      <c r="B1873" s="1" t="s">
        <v>4875</v>
      </c>
      <c r="D1873" s="1" t="s">
        <v>4876</v>
      </c>
      <c r="F1873" s="1" t="s">
        <v>4880</v>
      </c>
      <c r="H1873" s="1" t="s">
        <v>4881</v>
      </c>
      <c r="M1873" s="1" t="s">
        <v>6129</v>
      </c>
      <c r="N1873" s="1" t="s">
        <v>2609</v>
      </c>
      <c r="P1873" s="1" t="s">
        <v>10585</v>
      </c>
      <c r="Q1873" s="30" t="s">
        <v>2565</v>
      </c>
      <c r="R1873" s="33" t="s">
        <v>3473</v>
      </c>
      <c r="S1873">
        <v>37</v>
      </c>
      <c r="T1873" s="1" t="s">
        <v>13878</v>
      </c>
      <c r="U1873" s="1" t="str">
        <f>HYPERLINK("http://ictvonline.org/taxonomy/p/taxonomy-history?taxnode_id=202109692","ICTVonline=202109692")</f>
        <v>ICTVonline=202109692</v>
      </c>
    </row>
    <row r="1874" spans="1:21" x14ac:dyDescent="0.2">
      <c r="A1874" s="3">
        <v>1873</v>
      </c>
      <c r="B1874" s="1" t="s">
        <v>4875</v>
      </c>
      <c r="D1874" s="1" t="s">
        <v>4876</v>
      </c>
      <c r="F1874" s="1" t="s">
        <v>4880</v>
      </c>
      <c r="H1874" s="1" t="s">
        <v>4881</v>
      </c>
      <c r="M1874" s="1" t="s">
        <v>6129</v>
      </c>
      <c r="N1874" s="1" t="s">
        <v>6130</v>
      </c>
      <c r="P1874" s="1" t="s">
        <v>10586</v>
      </c>
      <c r="Q1874" s="30" t="s">
        <v>2565</v>
      </c>
      <c r="R1874" s="33" t="s">
        <v>3473</v>
      </c>
      <c r="S1874">
        <v>37</v>
      </c>
      <c r="T1874" s="1" t="s">
        <v>13878</v>
      </c>
      <c r="U1874" s="1" t="str">
        <f>HYPERLINK("http://ictvonline.org/taxonomy/p/taxonomy-history?taxnode_id=202109685","ICTVonline=202109685")</f>
        <v>ICTVonline=202109685</v>
      </c>
    </row>
    <row r="1875" spans="1:21" x14ac:dyDescent="0.2">
      <c r="A1875" s="3">
        <v>1874</v>
      </c>
      <c r="B1875" s="1" t="s">
        <v>4875</v>
      </c>
      <c r="D1875" s="1" t="s">
        <v>4876</v>
      </c>
      <c r="F1875" s="1" t="s">
        <v>4880</v>
      </c>
      <c r="H1875" s="1" t="s">
        <v>4881</v>
      </c>
      <c r="M1875" s="1" t="s">
        <v>6129</v>
      </c>
      <c r="N1875" s="1" t="s">
        <v>6130</v>
      </c>
      <c r="P1875" s="1" t="s">
        <v>10587</v>
      </c>
      <c r="Q1875" s="30" t="s">
        <v>2565</v>
      </c>
      <c r="R1875" s="33" t="s">
        <v>3473</v>
      </c>
      <c r="S1875">
        <v>37</v>
      </c>
      <c r="T1875" s="1" t="s">
        <v>13878</v>
      </c>
      <c r="U1875" s="1" t="str">
        <f>HYPERLINK("http://ictvonline.org/taxonomy/p/taxonomy-history?taxnode_id=202109683","ICTVonline=202109683")</f>
        <v>ICTVonline=202109683</v>
      </c>
    </row>
    <row r="1876" spans="1:21" x14ac:dyDescent="0.2">
      <c r="A1876" s="3">
        <v>1875</v>
      </c>
      <c r="B1876" s="1" t="s">
        <v>4875</v>
      </c>
      <c r="D1876" s="1" t="s">
        <v>4876</v>
      </c>
      <c r="F1876" s="1" t="s">
        <v>4880</v>
      </c>
      <c r="H1876" s="1" t="s">
        <v>4881</v>
      </c>
      <c r="M1876" s="1" t="s">
        <v>6129</v>
      </c>
      <c r="N1876" s="1" t="s">
        <v>6130</v>
      </c>
      <c r="P1876" s="1" t="s">
        <v>10588</v>
      </c>
      <c r="Q1876" s="30" t="s">
        <v>2565</v>
      </c>
      <c r="R1876" s="33" t="s">
        <v>3473</v>
      </c>
      <c r="S1876">
        <v>37</v>
      </c>
      <c r="T1876" s="1" t="s">
        <v>13878</v>
      </c>
      <c r="U1876" s="1" t="str">
        <f>HYPERLINK("http://ictvonline.org/taxonomy/p/taxonomy-history?taxnode_id=202100860","ICTVonline=202100860")</f>
        <v>ICTVonline=202100860</v>
      </c>
    </row>
    <row r="1877" spans="1:21" x14ac:dyDescent="0.2">
      <c r="A1877" s="3">
        <v>1876</v>
      </c>
      <c r="B1877" s="1" t="s">
        <v>4875</v>
      </c>
      <c r="D1877" s="1" t="s">
        <v>4876</v>
      </c>
      <c r="F1877" s="1" t="s">
        <v>4880</v>
      </c>
      <c r="H1877" s="1" t="s">
        <v>4881</v>
      </c>
      <c r="M1877" s="1" t="s">
        <v>6129</v>
      </c>
      <c r="N1877" s="1" t="s">
        <v>6130</v>
      </c>
      <c r="P1877" s="1" t="s">
        <v>10589</v>
      </c>
      <c r="Q1877" s="30" t="s">
        <v>2565</v>
      </c>
      <c r="R1877" s="33" t="s">
        <v>3473</v>
      </c>
      <c r="S1877">
        <v>37</v>
      </c>
      <c r="T1877" s="1" t="s">
        <v>13878</v>
      </c>
      <c r="U1877" s="1" t="str">
        <f>HYPERLINK("http://ictvonline.org/taxonomy/p/taxonomy-history?taxnode_id=202109684","ICTVonline=202109684")</f>
        <v>ICTVonline=202109684</v>
      </c>
    </row>
    <row r="1878" spans="1:21" x14ac:dyDescent="0.2">
      <c r="A1878" s="3">
        <v>1877</v>
      </c>
      <c r="B1878" s="1" t="s">
        <v>4875</v>
      </c>
      <c r="D1878" s="1" t="s">
        <v>4876</v>
      </c>
      <c r="F1878" s="1" t="s">
        <v>4880</v>
      </c>
      <c r="H1878" s="1" t="s">
        <v>4881</v>
      </c>
      <c r="M1878" s="1" t="s">
        <v>6129</v>
      </c>
      <c r="N1878" s="1" t="s">
        <v>6130</v>
      </c>
      <c r="P1878" s="1" t="s">
        <v>10590</v>
      </c>
      <c r="Q1878" s="30" t="s">
        <v>2565</v>
      </c>
      <c r="R1878" s="33" t="s">
        <v>3473</v>
      </c>
      <c r="S1878">
        <v>37</v>
      </c>
      <c r="T1878" s="1" t="s">
        <v>13878</v>
      </c>
      <c r="U1878" s="1" t="str">
        <f>HYPERLINK("http://ictvonline.org/taxonomy/p/taxonomy-history?taxnode_id=202109681","ICTVonline=202109681")</f>
        <v>ICTVonline=202109681</v>
      </c>
    </row>
    <row r="1879" spans="1:21" x14ac:dyDescent="0.2">
      <c r="A1879" s="3">
        <v>1878</v>
      </c>
      <c r="B1879" s="1" t="s">
        <v>4875</v>
      </c>
      <c r="D1879" s="1" t="s">
        <v>4876</v>
      </c>
      <c r="F1879" s="1" t="s">
        <v>4880</v>
      </c>
      <c r="H1879" s="1" t="s">
        <v>4881</v>
      </c>
      <c r="M1879" s="1" t="s">
        <v>6129</v>
      </c>
      <c r="N1879" s="1" t="s">
        <v>6130</v>
      </c>
      <c r="P1879" s="1" t="s">
        <v>10591</v>
      </c>
      <c r="Q1879" s="30" t="s">
        <v>2565</v>
      </c>
      <c r="R1879" s="33" t="s">
        <v>3473</v>
      </c>
      <c r="S1879">
        <v>37</v>
      </c>
      <c r="T1879" s="1" t="s">
        <v>13878</v>
      </c>
      <c r="U1879" s="1" t="str">
        <f>HYPERLINK("http://ictvonline.org/taxonomy/p/taxonomy-history?taxnode_id=202109678","ICTVonline=202109678")</f>
        <v>ICTVonline=202109678</v>
      </c>
    </row>
    <row r="1880" spans="1:21" x14ac:dyDescent="0.2">
      <c r="A1880" s="3">
        <v>1879</v>
      </c>
      <c r="B1880" s="1" t="s">
        <v>4875</v>
      </c>
      <c r="D1880" s="1" t="s">
        <v>4876</v>
      </c>
      <c r="F1880" s="1" t="s">
        <v>4880</v>
      </c>
      <c r="H1880" s="1" t="s">
        <v>4881</v>
      </c>
      <c r="M1880" s="1" t="s">
        <v>6129</v>
      </c>
      <c r="N1880" s="1" t="s">
        <v>6130</v>
      </c>
      <c r="P1880" s="1" t="s">
        <v>10592</v>
      </c>
      <c r="Q1880" s="30" t="s">
        <v>2565</v>
      </c>
      <c r="R1880" s="33" t="s">
        <v>3473</v>
      </c>
      <c r="S1880">
        <v>37</v>
      </c>
      <c r="T1880" s="1" t="s">
        <v>13878</v>
      </c>
      <c r="U1880" s="1" t="str">
        <f>HYPERLINK("http://ictvonline.org/taxonomy/p/taxonomy-history?taxnode_id=202100862","ICTVonline=202100862")</f>
        <v>ICTVonline=202100862</v>
      </c>
    </row>
    <row r="1881" spans="1:21" x14ac:dyDescent="0.2">
      <c r="A1881" s="3">
        <v>1880</v>
      </c>
      <c r="B1881" s="1" t="s">
        <v>4875</v>
      </c>
      <c r="D1881" s="1" t="s">
        <v>4876</v>
      </c>
      <c r="F1881" s="1" t="s">
        <v>4880</v>
      </c>
      <c r="H1881" s="1" t="s">
        <v>4881</v>
      </c>
      <c r="M1881" s="1" t="s">
        <v>6129</v>
      </c>
      <c r="N1881" s="1" t="s">
        <v>6130</v>
      </c>
      <c r="P1881" s="1" t="s">
        <v>10593</v>
      </c>
      <c r="Q1881" s="30" t="s">
        <v>2565</v>
      </c>
      <c r="R1881" s="33" t="s">
        <v>3473</v>
      </c>
      <c r="S1881">
        <v>37</v>
      </c>
      <c r="T1881" s="1" t="s">
        <v>13878</v>
      </c>
      <c r="U1881" s="1" t="str">
        <f>HYPERLINK("http://ictvonline.org/taxonomy/p/taxonomy-history?taxnode_id=202109680","ICTVonline=202109680")</f>
        <v>ICTVonline=202109680</v>
      </c>
    </row>
    <row r="1882" spans="1:21" x14ac:dyDescent="0.2">
      <c r="A1882" s="3">
        <v>1881</v>
      </c>
      <c r="B1882" s="1" t="s">
        <v>4875</v>
      </c>
      <c r="D1882" s="1" t="s">
        <v>4876</v>
      </c>
      <c r="F1882" s="1" t="s">
        <v>4880</v>
      </c>
      <c r="H1882" s="1" t="s">
        <v>4881</v>
      </c>
      <c r="M1882" s="1" t="s">
        <v>6129</v>
      </c>
      <c r="N1882" s="1" t="s">
        <v>6130</v>
      </c>
      <c r="P1882" s="1" t="s">
        <v>10594</v>
      </c>
      <c r="Q1882" s="30" t="s">
        <v>2565</v>
      </c>
      <c r="R1882" s="33" t="s">
        <v>3473</v>
      </c>
      <c r="S1882">
        <v>37</v>
      </c>
      <c r="T1882" s="1" t="s">
        <v>13878</v>
      </c>
      <c r="U1882" s="1" t="str">
        <f>HYPERLINK("http://ictvonline.org/taxonomy/p/taxonomy-history?taxnode_id=202109682","ICTVonline=202109682")</f>
        <v>ICTVonline=202109682</v>
      </c>
    </row>
    <row r="1883" spans="1:21" x14ac:dyDescent="0.2">
      <c r="A1883" s="3">
        <v>1882</v>
      </c>
      <c r="B1883" s="1" t="s">
        <v>4875</v>
      </c>
      <c r="D1883" s="1" t="s">
        <v>4876</v>
      </c>
      <c r="F1883" s="1" t="s">
        <v>4880</v>
      </c>
      <c r="H1883" s="1" t="s">
        <v>4881</v>
      </c>
      <c r="M1883" s="1" t="s">
        <v>6129</v>
      </c>
      <c r="N1883" s="1" t="s">
        <v>6130</v>
      </c>
      <c r="P1883" s="1" t="s">
        <v>10595</v>
      </c>
      <c r="Q1883" s="30" t="s">
        <v>2565</v>
      </c>
      <c r="R1883" s="33" t="s">
        <v>3473</v>
      </c>
      <c r="S1883">
        <v>37</v>
      </c>
      <c r="T1883" s="1" t="s">
        <v>13878</v>
      </c>
      <c r="U1883" s="1" t="str">
        <f>HYPERLINK("http://ictvonline.org/taxonomy/p/taxonomy-history?taxnode_id=202109679","ICTVonline=202109679")</f>
        <v>ICTVonline=202109679</v>
      </c>
    </row>
    <row r="1884" spans="1:21" x14ac:dyDescent="0.2">
      <c r="A1884" s="3">
        <v>1883</v>
      </c>
      <c r="B1884" s="1" t="s">
        <v>4875</v>
      </c>
      <c r="D1884" s="1" t="s">
        <v>4876</v>
      </c>
      <c r="F1884" s="1" t="s">
        <v>4880</v>
      </c>
      <c r="H1884" s="1" t="s">
        <v>4881</v>
      </c>
      <c r="M1884" s="1" t="s">
        <v>10596</v>
      </c>
      <c r="N1884" s="1" t="s">
        <v>4534</v>
      </c>
      <c r="P1884" s="1" t="s">
        <v>10597</v>
      </c>
      <c r="Q1884" s="30" t="s">
        <v>2565</v>
      </c>
      <c r="R1884" s="33" t="s">
        <v>3473</v>
      </c>
      <c r="S1884">
        <v>37</v>
      </c>
      <c r="T1884" s="1" t="s">
        <v>13878</v>
      </c>
      <c r="U1884" s="1" t="str">
        <f>HYPERLINK("http://ictvonline.org/taxonomy/p/taxonomy-history?taxnode_id=202100413","ICTVonline=202100413")</f>
        <v>ICTVonline=202100413</v>
      </c>
    </row>
    <row r="1885" spans="1:21" x14ac:dyDescent="0.2">
      <c r="A1885" s="3">
        <v>1884</v>
      </c>
      <c r="B1885" s="1" t="s">
        <v>4875</v>
      </c>
      <c r="D1885" s="1" t="s">
        <v>4876</v>
      </c>
      <c r="F1885" s="1" t="s">
        <v>4880</v>
      </c>
      <c r="H1885" s="1" t="s">
        <v>4881</v>
      </c>
      <c r="M1885" s="1" t="s">
        <v>10596</v>
      </c>
      <c r="N1885" s="1" t="s">
        <v>4534</v>
      </c>
      <c r="P1885" s="1" t="s">
        <v>10598</v>
      </c>
      <c r="Q1885" s="30" t="s">
        <v>2565</v>
      </c>
      <c r="R1885" s="33" t="s">
        <v>3472</v>
      </c>
      <c r="S1885">
        <v>37</v>
      </c>
      <c r="T1885" s="1" t="s">
        <v>13913</v>
      </c>
      <c r="U1885" s="1" t="str">
        <f>HYPERLINK("http://ictvonline.org/taxonomy/p/taxonomy-history?taxnode_id=202113038","ICTVonline=202113038")</f>
        <v>ICTVonline=202113038</v>
      </c>
    </row>
    <row r="1886" spans="1:21" x14ac:dyDescent="0.2">
      <c r="A1886" s="3">
        <v>1885</v>
      </c>
      <c r="B1886" s="1" t="s">
        <v>4875</v>
      </c>
      <c r="D1886" s="1" t="s">
        <v>4876</v>
      </c>
      <c r="F1886" s="1" t="s">
        <v>4880</v>
      </c>
      <c r="H1886" s="1" t="s">
        <v>4881</v>
      </c>
      <c r="M1886" s="1" t="s">
        <v>10596</v>
      </c>
      <c r="N1886" s="1" t="s">
        <v>4534</v>
      </c>
      <c r="P1886" s="1" t="s">
        <v>10599</v>
      </c>
      <c r="Q1886" s="30" t="s">
        <v>2565</v>
      </c>
      <c r="R1886" s="33" t="s">
        <v>3472</v>
      </c>
      <c r="S1886">
        <v>37</v>
      </c>
      <c r="T1886" s="1" t="s">
        <v>13913</v>
      </c>
      <c r="U1886" s="1" t="str">
        <f>HYPERLINK("http://ictvonline.org/taxonomy/p/taxonomy-history?taxnode_id=202113039","ICTVonline=202113039")</f>
        <v>ICTVonline=202113039</v>
      </c>
    </row>
    <row r="1887" spans="1:21" x14ac:dyDescent="0.2">
      <c r="A1887" s="3">
        <v>1886</v>
      </c>
      <c r="B1887" s="1" t="s">
        <v>4875</v>
      </c>
      <c r="D1887" s="1" t="s">
        <v>4876</v>
      </c>
      <c r="F1887" s="1" t="s">
        <v>4880</v>
      </c>
      <c r="H1887" s="1" t="s">
        <v>4881</v>
      </c>
      <c r="M1887" s="1" t="s">
        <v>10596</v>
      </c>
      <c r="N1887" s="1" t="s">
        <v>4534</v>
      </c>
      <c r="P1887" s="1" t="s">
        <v>10600</v>
      </c>
      <c r="Q1887" s="30" t="s">
        <v>2565</v>
      </c>
      <c r="R1887" s="33" t="s">
        <v>3473</v>
      </c>
      <c r="S1887">
        <v>37</v>
      </c>
      <c r="T1887" s="1" t="s">
        <v>13878</v>
      </c>
      <c r="U1887" s="1" t="str">
        <f>HYPERLINK("http://ictvonline.org/taxonomy/p/taxonomy-history?taxnode_id=202100414","ICTVonline=202100414")</f>
        <v>ICTVonline=202100414</v>
      </c>
    </row>
    <row r="1888" spans="1:21" x14ac:dyDescent="0.2">
      <c r="A1888" s="3">
        <v>1887</v>
      </c>
      <c r="B1888" s="1" t="s">
        <v>4875</v>
      </c>
      <c r="D1888" s="1" t="s">
        <v>4876</v>
      </c>
      <c r="F1888" s="1" t="s">
        <v>4880</v>
      </c>
      <c r="H1888" s="1" t="s">
        <v>4881</v>
      </c>
      <c r="M1888" s="1" t="s">
        <v>10596</v>
      </c>
      <c r="N1888" s="1" t="s">
        <v>4534</v>
      </c>
      <c r="P1888" s="1" t="s">
        <v>10601</v>
      </c>
      <c r="Q1888" s="30" t="s">
        <v>2565</v>
      </c>
      <c r="R1888" s="33" t="s">
        <v>3472</v>
      </c>
      <c r="S1888">
        <v>37</v>
      </c>
      <c r="T1888" s="1" t="s">
        <v>13913</v>
      </c>
      <c r="U1888" s="1" t="str">
        <f>HYPERLINK("http://ictvonline.org/taxonomy/p/taxonomy-history?taxnode_id=202113040","ICTVonline=202113040")</f>
        <v>ICTVonline=202113040</v>
      </c>
    </row>
    <row r="1889" spans="1:21" x14ac:dyDescent="0.2">
      <c r="A1889" s="3">
        <v>1888</v>
      </c>
      <c r="B1889" s="1" t="s">
        <v>4875</v>
      </c>
      <c r="D1889" s="1" t="s">
        <v>4876</v>
      </c>
      <c r="F1889" s="1" t="s">
        <v>4880</v>
      </c>
      <c r="H1889" s="1" t="s">
        <v>4881</v>
      </c>
      <c r="M1889" s="1" t="s">
        <v>10596</v>
      </c>
      <c r="N1889" s="1" t="s">
        <v>4534</v>
      </c>
      <c r="P1889" s="1" t="s">
        <v>10602</v>
      </c>
      <c r="Q1889" s="30" t="s">
        <v>2565</v>
      </c>
      <c r="R1889" s="33" t="s">
        <v>3472</v>
      </c>
      <c r="S1889">
        <v>37</v>
      </c>
      <c r="T1889" s="1" t="s">
        <v>13913</v>
      </c>
      <c r="U1889" s="1" t="str">
        <f>HYPERLINK("http://ictvonline.org/taxonomy/p/taxonomy-history?taxnode_id=202113041","ICTVonline=202113041")</f>
        <v>ICTVonline=202113041</v>
      </c>
    </row>
    <row r="1890" spans="1:21" x14ac:dyDescent="0.2">
      <c r="A1890" s="3">
        <v>1889</v>
      </c>
      <c r="B1890" s="1" t="s">
        <v>4875</v>
      </c>
      <c r="D1890" s="1" t="s">
        <v>4876</v>
      </c>
      <c r="F1890" s="1" t="s">
        <v>4880</v>
      </c>
      <c r="H1890" s="1" t="s">
        <v>4881</v>
      </c>
      <c r="M1890" s="1" t="s">
        <v>10596</v>
      </c>
      <c r="N1890" s="1" t="s">
        <v>4534</v>
      </c>
      <c r="P1890" s="1" t="s">
        <v>10603</v>
      </c>
      <c r="Q1890" s="30" t="s">
        <v>2565</v>
      </c>
      <c r="R1890" s="33" t="s">
        <v>3473</v>
      </c>
      <c r="S1890">
        <v>37</v>
      </c>
      <c r="T1890" s="1" t="s">
        <v>13878</v>
      </c>
      <c r="U1890" s="1" t="str">
        <f>HYPERLINK("http://ictvonline.org/taxonomy/p/taxonomy-history?taxnode_id=202100415","ICTVonline=202100415")</f>
        <v>ICTVonline=202100415</v>
      </c>
    </row>
    <row r="1891" spans="1:21" x14ac:dyDescent="0.2">
      <c r="A1891" s="3">
        <v>1890</v>
      </c>
      <c r="B1891" s="1" t="s">
        <v>4875</v>
      </c>
      <c r="D1891" s="1" t="s">
        <v>4876</v>
      </c>
      <c r="F1891" s="1" t="s">
        <v>4880</v>
      </c>
      <c r="H1891" s="1" t="s">
        <v>4881</v>
      </c>
      <c r="M1891" s="1" t="s">
        <v>10596</v>
      </c>
      <c r="N1891" s="1" t="s">
        <v>4534</v>
      </c>
      <c r="P1891" s="1" t="s">
        <v>10604</v>
      </c>
      <c r="Q1891" s="30" t="s">
        <v>2565</v>
      </c>
      <c r="R1891" s="33" t="s">
        <v>3473</v>
      </c>
      <c r="S1891">
        <v>37</v>
      </c>
      <c r="T1891" s="1" t="s">
        <v>13878</v>
      </c>
      <c r="U1891" s="1" t="str">
        <f>HYPERLINK("http://ictvonline.org/taxonomy/p/taxonomy-history?taxnode_id=202100416","ICTVonline=202100416")</f>
        <v>ICTVonline=202100416</v>
      </c>
    </row>
    <row r="1892" spans="1:21" x14ac:dyDescent="0.2">
      <c r="A1892" s="3">
        <v>1891</v>
      </c>
      <c r="B1892" s="1" t="s">
        <v>4875</v>
      </c>
      <c r="D1892" s="1" t="s">
        <v>4876</v>
      </c>
      <c r="F1892" s="1" t="s">
        <v>4880</v>
      </c>
      <c r="H1892" s="1" t="s">
        <v>4881</v>
      </c>
      <c r="M1892" s="1" t="s">
        <v>10596</v>
      </c>
      <c r="N1892" s="1" t="s">
        <v>4534</v>
      </c>
      <c r="P1892" s="1" t="s">
        <v>10605</v>
      </c>
      <c r="Q1892" s="30" t="s">
        <v>2565</v>
      </c>
      <c r="R1892" s="33" t="s">
        <v>3473</v>
      </c>
      <c r="S1892">
        <v>37</v>
      </c>
      <c r="T1892" s="1" t="s">
        <v>13878</v>
      </c>
      <c r="U1892" s="1" t="str">
        <f>HYPERLINK("http://ictvonline.org/taxonomy/p/taxonomy-history?taxnode_id=202100417","ICTVonline=202100417")</f>
        <v>ICTVonline=202100417</v>
      </c>
    </row>
    <row r="1893" spans="1:21" x14ac:dyDescent="0.2">
      <c r="A1893" s="3">
        <v>1892</v>
      </c>
      <c r="B1893" s="1" t="s">
        <v>4875</v>
      </c>
      <c r="D1893" s="1" t="s">
        <v>4876</v>
      </c>
      <c r="F1893" s="1" t="s">
        <v>4880</v>
      </c>
      <c r="H1893" s="1" t="s">
        <v>4881</v>
      </c>
      <c r="M1893" s="1" t="s">
        <v>10596</v>
      </c>
      <c r="N1893" s="1" t="s">
        <v>4534</v>
      </c>
      <c r="P1893" s="1" t="s">
        <v>10606</v>
      </c>
      <c r="Q1893" s="30" t="s">
        <v>2565</v>
      </c>
      <c r="R1893" s="33" t="s">
        <v>3473</v>
      </c>
      <c r="S1893">
        <v>37</v>
      </c>
      <c r="T1893" s="1" t="s">
        <v>13878</v>
      </c>
      <c r="U1893" s="1" t="str">
        <f>HYPERLINK("http://ictvonline.org/taxonomy/p/taxonomy-history?taxnode_id=202106997","ICTVonline=202106997")</f>
        <v>ICTVonline=202106997</v>
      </c>
    </row>
    <row r="1894" spans="1:21" x14ac:dyDescent="0.2">
      <c r="A1894" s="3">
        <v>1893</v>
      </c>
      <c r="B1894" s="1" t="s">
        <v>4875</v>
      </c>
      <c r="D1894" s="1" t="s">
        <v>4876</v>
      </c>
      <c r="F1894" s="1" t="s">
        <v>4880</v>
      </c>
      <c r="H1894" s="1" t="s">
        <v>4881</v>
      </c>
      <c r="M1894" s="1" t="s">
        <v>10596</v>
      </c>
      <c r="N1894" s="1" t="s">
        <v>4534</v>
      </c>
      <c r="P1894" s="1" t="s">
        <v>10607</v>
      </c>
      <c r="Q1894" s="30" t="s">
        <v>2565</v>
      </c>
      <c r="R1894" s="33" t="s">
        <v>3472</v>
      </c>
      <c r="S1894">
        <v>37</v>
      </c>
      <c r="T1894" s="1" t="s">
        <v>13913</v>
      </c>
      <c r="U1894" s="1" t="str">
        <f>HYPERLINK("http://ictvonline.org/taxonomy/p/taxonomy-history?taxnode_id=202113042","ICTVonline=202113042")</f>
        <v>ICTVonline=202113042</v>
      </c>
    </row>
    <row r="1895" spans="1:21" x14ac:dyDescent="0.2">
      <c r="A1895" s="3">
        <v>1894</v>
      </c>
      <c r="B1895" s="1" t="s">
        <v>4875</v>
      </c>
      <c r="D1895" s="1" t="s">
        <v>4876</v>
      </c>
      <c r="F1895" s="1" t="s">
        <v>4880</v>
      </c>
      <c r="H1895" s="1" t="s">
        <v>4881</v>
      </c>
      <c r="M1895" s="1" t="s">
        <v>10596</v>
      </c>
      <c r="N1895" s="1" t="s">
        <v>4534</v>
      </c>
      <c r="P1895" s="1" t="s">
        <v>10608</v>
      </c>
      <c r="Q1895" s="30" t="s">
        <v>2565</v>
      </c>
      <c r="R1895" s="33" t="s">
        <v>3473</v>
      </c>
      <c r="S1895">
        <v>37</v>
      </c>
      <c r="T1895" s="1" t="s">
        <v>13878</v>
      </c>
      <c r="U1895" s="1" t="str">
        <f>HYPERLINK("http://ictvonline.org/taxonomy/p/taxonomy-history?taxnode_id=202100418","ICTVonline=202100418")</f>
        <v>ICTVonline=202100418</v>
      </c>
    </row>
    <row r="1896" spans="1:21" x14ac:dyDescent="0.2">
      <c r="A1896" s="3">
        <v>1895</v>
      </c>
      <c r="B1896" s="1" t="s">
        <v>4875</v>
      </c>
      <c r="D1896" s="1" t="s">
        <v>4876</v>
      </c>
      <c r="F1896" s="1" t="s">
        <v>4880</v>
      </c>
      <c r="H1896" s="1" t="s">
        <v>4881</v>
      </c>
      <c r="M1896" s="1" t="s">
        <v>10596</v>
      </c>
      <c r="N1896" s="1" t="s">
        <v>4534</v>
      </c>
      <c r="P1896" s="1" t="s">
        <v>10609</v>
      </c>
      <c r="Q1896" s="30" t="s">
        <v>2565</v>
      </c>
      <c r="R1896" s="33" t="s">
        <v>3472</v>
      </c>
      <c r="S1896">
        <v>37</v>
      </c>
      <c r="T1896" s="1" t="s">
        <v>13913</v>
      </c>
      <c r="U1896" s="1" t="str">
        <f>HYPERLINK("http://ictvonline.org/taxonomy/p/taxonomy-history?taxnode_id=202113043","ICTVonline=202113043")</f>
        <v>ICTVonline=202113043</v>
      </c>
    </row>
    <row r="1897" spans="1:21" x14ac:dyDescent="0.2">
      <c r="A1897" s="3">
        <v>1896</v>
      </c>
      <c r="B1897" s="1" t="s">
        <v>4875</v>
      </c>
      <c r="D1897" s="1" t="s">
        <v>4876</v>
      </c>
      <c r="F1897" s="1" t="s">
        <v>4880</v>
      </c>
      <c r="H1897" s="1" t="s">
        <v>4881</v>
      </c>
      <c r="M1897" s="1" t="s">
        <v>10596</v>
      </c>
      <c r="N1897" s="1" t="s">
        <v>4534</v>
      </c>
      <c r="P1897" s="1" t="s">
        <v>10610</v>
      </c>
      <c r="Q1897" s="30" t="s">
        <v>2565</v>
      </c>
      <c r="R1897" s="33" t="s">
        <v>3472</v>
      </c>
      <c r="S1897">
        <v>37</v>
      </c>
      <c r="T1897" s="1" t="s">
        <v>13913</v>
      </c>
      <c r="U1897" s="1" t="str">
        <f>HYPERLINK("http://ictvonline.org/taxonomy/p/taxonomy-history?taxnode_id=202113044","ICTVonline=202113044")</f>
        <v>ICTVonline=202113044</v>
      </c>
    </row>
    <row r="1898" spans="1:21" x14ac:dyDescent="0.2">
      <c r="A1898" s="3">
        <v>1897</v>
      </c>
      <c r="B1898" s="1" t="s">
        <v>4875</v>
      </c>
      <c r="D1898" s="1" t="s">
        <v>4876</v>
      </c>
      <c r="F1898" s="1" t="s">
        <v>4880</v>
      </c>
      <c r="H1898" s="1" t="s">
        <v>4881</v>
      </c>
      <c r="M1898" s="1" t="s">
        <v>10596</v>
      </c>
      <c r="N1898" s="1" t="s">
        <v>4534</v>
      </c>
      <c r="P1898" s="1" t="s">
        <v>10611</v>
      </c>
      <c r="Q1898" s="30" t="s">
        <v>2565</v>
      </c>
      <c r="R1898" s="33" t="s">
        <v>3472</v>
      </c>
      <c r="S1898">
        <v>37</v>
      </c>
      <c r="T1898" s="1" t="s">
        <v>13913</v>
      </c>
      <c r="U1898" s="1" t="str">
        <f>HYPERLINK("http://ictvonline.org/taxonomy/p/taxonomy-history?taxnode_id=202113045","ICTVonline=202113045")</f>
        <v>ICTVonline=202113045</v>
      </c>
    </row>
    <row r="1899" spans="1:21" x14ac:dyDescent="0.2">
      <c r="A1899" s="3">
        <v>1898</v>
      </c>
      <c r="B1899" s="1" t="s">
        <v>4875</v>
      </c>
      <c r="D1899" s="1" t="s">
        <v>4876</v>
      </c>
      <c r="F1899" s="1" t="s">
        <v>4880</v>
      </c>
      <c r="H1899" s="1" t="s">
        <v>4881</v>
      </c>
      <c r="M1899" s="1" t="s">
        <v>10596</v>
      </c>
      <c r="N1899" s="1" t="s">
        <v>4534</v>
      </c>
      <c r="P1899" s="1" t="s">
        <v>10612</v>
      </c>
      <c r="Q1899" s="30" t="s">
        <v>2565</v>
      </c>
      <c r="R1899" s="33" t="s">
        <v>3472</v>
      </c>
      <c r="S1899">
        <v>37</v>
      </c>
      <c r="T1899" s="1" t="s">
        <v>13913</v>
      </c>
      <c r="U1899" s="1" t="str">
        <f>HYPERLINK("http://ictvonline.org/taxonomy/p/taxonomy-history?taxnode_id=202113046","ICTVonline=202113046")</f>
        <v>ICTVonline=202113046</v>
      </c>
    </row>
    <row r="1900" spans="1:21" x14ac:dyDescent="0.2">
      <c r="A1900" s="3">
        <v>1899</v>
      </c>
      <c r="B1900" s="1" t="s">
        <v>4875</v>
      </c>
      <c r="D1900" s="1" t="s">
        <v>4876</v>
      </c>
      <c r="F1900" s="1" t="s">
        <v>4880</v>
      </c>
      <c r="H1900" s="1" t="s">
        <v>4881</v>
      </c>
      <c r="M1900" s="1" t="s">
        <v>10596</v>
      </c>
      <c r="N1900" s="1" t="s">
        <v>4534</v>
      </c>
      <c r="P1900" s="1" t="s">
        <v>10613</v>
      </c>
      <c r="Q1900" s="30" t="s">
        <v>2565</v>
      </c>
      <c r="R1900" s="33" t="s">
        <v>3473</v>
      </c>
      <c r="S1900">
        <v>37</v>
      </c>
      <c r="T1900" s="1" t="s">
        <v>13878</v>
      </c>
      <c r="U1900" s="1" t="str">
        <f>HYPERLINK("http://ictvonline.org/taxonomy/p/taxonomy-history?taxnode_id=202100419","ICTVonline=202100419")</f>
        <v>ICTVonline=202100419</v>
      </c>
    </row>
    <row r="1901" spans="1:21" x14ac:dyDescent="0.2">
      <c r="A1901" s="3">
        <v>1900</v>
      </c>
      <c r="B1901" s="1" t="s">
        <v>4875</v>
      </c>
      <c r="D1901" s="1" t="s">
        <v>4876</v>
      </c>
      <c r="F1901" s="1" t="s">
        <v>4880</v>
      </c>
      <c r="H1901" s="1" t="s">
        <v>4881</v>
      </c>
      <c r="M1901" s="1" t="s">
        <v>10596</v>
      </c>
      <c r="N1901" s="1" t="s">
        <v>4534</v>
      </c>
      <c r="P1901" s="1" t="s">
        <v>10614</v>
      </c>
      <c r="Q1901" s="30" t="s">
        <v>2565</v>
      </c>
      <c r="R1901" s="33" t="s">
        <v>3472</v>
      </c>
      <c r="S1901">
        <v>37</v>
      </c>
      <c r="T1901" s="1" t="s">
        <v>13913</v>
      </c>
      <c r="U1901" s="1" t="str">
        <f>HYPERLINK("http://ictvonline.org/taxonomy/p/taxonomy-history?taxnode_id=202113047","ICTVonline=202113047")</f>
        <v>ICTVonline=202113047</v>
      </c>
    </row>
    <row r="1902" spans="1:21" x14ac:dyDescent="0.2">
      <c r="A1902" s="3">
        <v>1901</v>
      </c>
      <c r="B1902" s="1" t="s">
        <v>4875</v>
      </c>
      <c r="D1902" s="1" t="s">
        <v>4876</v>
      </c>
      <c r="F1902" s="1" t="s">
        <v>4880</v>
      </c>
      <c r="H1902" s="1" t="s">
        <v>4881</v>
      </c>
      <c r="M1902" s="1" t="s">
        <v>10596</v>
      </c>
      <c r="N1902" s="1" t="s">
        <v>10615</v>
      </c>
      <c r="P1902" s="1" t="s">
        <v>10616</v>
      </c>
      <c r="Q1902" s="30" t="s">
        <v>2565</v>
      </c>
      <c r="R1902" s="33" t="s">
        <v>3472</v>
      </c>
      <c r="S1902">
        <v>37</v>
      </c>
      <c r="T1902" s="1" t="s">
        <v>13913</v>
      </c>
      <c r="U1902" s="1" t="str">
        <f>HYPERLINK("http://ictvonline.org/taxonomy/p/taxonomy-history?taxnode_id=202113037","ICTVonline=202113037")</f>
        <v>ICTVonline=202113037</v>
      </c>
    </row>
    <row r="1903" spans="1:21" x14ac:dyDescent="0.2">
      <c r="A1903" s="3">
        <v>1902</v>
      </c>
      <c r="B1903" s="1" t="s">
        <v>4875</v>
      </c>
      <c r="D1903" s="1" t="s">
        <v>4876</v>
      </c>
      <c r="F1903" s="1" t="s">
        <v>4880</v>
      </c>
      <c r="H1903" s="1" t="s">
        <v>4881</v>
      </c>
      <c r="M1903" s="1" t="s">
        <v>10596</v>
      </c>
      <c r="N1903" s="1" t="s">
        <v>10615</v>
      </c>
      <c r="P1903" s="1" t="s">
        <v>10617</v>
      </c>
      <c r="Q1903" s="30" t="s">
        <v>2565</v>
      </c>
      <c r="R1903" s="33" t="s">
        <v>3472</v>
      </c>
      <c r="S1903">
        <v>37</v>
      </c>
      <c r="T1903" s="1" t="s">
        <v>13913</v>
      </c>
      <c r="U1903" s="1" t="str">
        <f>HYPERLINK("http://ictvonline.org/taxonomy/p/taxonomy-history?taxnode_id=202113036","ICTVonline=202113036")</f>
        <v>ICTVonline=202113036</v>
      </c>
    </row>
    <row r="1904" spans="1:21" x14ac:dyDescent="0.2">
      <c r="A1904" s="3">
        <v>1903</v>
      </c>
      <c r="B1904" s="1" t="s">
        <v>4875</v>
      </c>
      <c r="D1904" s="1" t="s">
        <v>4876</v>
      </c>
      <c r="F1904" s="1" t="s">
        <v>4880</v>
      </c>
      <c r="H1904" s="1" t="s">
        <v>4881</v>
      </c>
      <c r="M1904" s="1" t="s">
        <v>3538</v>
      </c>
      <c r="N1904" s="1" t="s">
        <v>3539</v>
      </c>
      <c r="P1904" s="1" t="s">
        <v>10618</v>
      </c>
      <c r="Q1904" s="30" t="s">
        <v>2565</v>
      </c>
      <c r="R1904" s="33" t="s">
        <v>3473</v>
      </c>
      <c r="S1904">
        <v>37</v>
      </c>
      <c r="T1904" s="1" t="s">
        <v>13878</v>
      </c>
      <c r="U1904" s="1" t="str">
        <f>HYPERLINK("http://ictvonline.org/taxonomy/p/taxonomy-history?taxnode_id=202100920","ICTVonline=202100920")</f>
        <v>ICTVonline=202100920</v>
      </c>
    </row>
    <row r="1905" spans="1:21" x14ac:dyDescent="0.2">
      <c r="A1905" s="3">
        <v>1904</v>
      </c>
      <c r="B1905" s="1" t="s">
        <v>4875</v>
      </c>
      <c r="D1905" s="1" t="s">
        <v>4876</v>
      </c>
      <c r="F1905" s="1" t="s">
        <v>4880</v>
      </c>
      <c r="H1905" s="1" t="s">
        <v>4881</v>
      </c>
      <c r="M1905" s="1" t="s">
        <v>3538</v>
      </c>
      <c r="N1905" s="1" t="s">
        <v>3539</v>
      </c>
      <c r="P1905" s="1" t="s">
        <v>10619</v>
      </c>
      <c r="Q1905" s="30" t="s">
        <v>2565</v>
      </c>
      <c r="R1905" s="33" t="s">
        <v>3473</v>
      </c>
      <c r="S1905">
        <v>37</v>
      </c>
      <c r="T1905" s="1" t="s">
        <v>13878</v>
      </c>
      <c r="U1905" s="1" t="str">
        <f>HYPERLINK("http://ictvonline.org/taxonomy/p/taxonomy-history?taxnode_id=202100921","ICTVonline=202100921")</f>
        <v>ICTVonline=202100921</v>
      </c>
    </row>
    <row r="1906" spans="1:21" x14ac:dyDescent="0.2">
      <c r="A1906" s="3">
        <v>1905</v>
      </c>
      <c r="B1906" s="1" t="s">
        <v>4875</v>
      </c>
      <c r="D1906" s="1" t="s">
        <v>4876</v>
      </c>
      <c r="F1906" s="1" t="s">
        <v>4880</v>
      </c>
      <c r="H1906" s="1" t="s">
        <v>4881</v>
      </c>
      <c r="M1906" s="1" t="s">
        <v>3538</v>
      </c>
      <c r="N1906" s="1" t="s">
        <v>3539</v>
      </c>
      <c r="P1906" s="1" t="s">
        <v>10620</v>
      </c>
      <c r="Q1906" s="30" t="s">
        <v>2565</v>
      </c>
      <c r="R1906" s="33" t="s">
        <v>3472</v>
      </c>
      <c r="S1906">
        <v>37</v>
      </c>
      <c r="T1906" s="1" t="s">
        <v>13914</v>
      </c>
      <c r="U1906" s="1" t="str">
        <f>HYPERLINK("http://ictvonline.org/taxonomy/p/taxonomy-history?taxnode_id=202112982","ICTVonline=202112982")</f>
        <v>ICTVonline=202112982</v>
      </c>
    </row>
    <row r="1907" spans="1:21" x14ac:dyDescent="0.2">
      <c r="A1907" s="3">
        <v>1906</v>
      </c>
      <c r="B1907" s="1" t="s">
        <v>4875</v>
      </c>
      <c r="D1907" s="1" t="s">
        <v>4876</v>
      </c>
      <c r="F1907" s="1" t="s">
        <v>4880</v>
      </c>
      <c r="H1907" s="1" t="s">
        <v>4881</v>
      </c>
      <c r="M1907" s="1" t="s">
        <v>3538</v>
      </c>
      <c r="N1907" s="1" t="s">
        <v>3539</v>
      </c>
      <c r="P1907" s="1" t="s">
        <v>10621</v>
      </c>
      <c r="Q1907" s="30" t="s">
        <v>2565</v>
      </c>
      <c r="R1907" s="33" t="s">
        <v>3472</v>
      </c>
      <c r="S1907">
        <v>37</v>
      </c>
      <c r="T1907" s="1" t="s">
        <v>13914</v>
      </c>
      <c r="U1907" s="1" t="str">
        <f>HYPERLINK("http://ictvonline.org/taxonomy/p/taxonomy-history?taxnode_id=202112981","ICTVonline=202112981")</f>
        <v>ICTVonline=202112981</v>
      </c>
    </row>
    <row r="1908" spans="1:21" x14ac:dyDescent="0.2">
      <c r="A1908" s="3">
        <v>1907</v>
      </c>
      <c r="B1908" s="1" t="s">
        <v>4875</v>
      </c>
      <c r="D1908" s="1" t="s">
        <v>4876</v>
      </c>
      <c r="F1908" s="1" t="s">
        <v>4880</v>
      </c>
      <c r="H1908" s="1" t="s">
        <v>4881</v>
      </c>
      <c r="M1908" s="1" t="s">
        <v>3540</v>
      </c>
      <c r="N1908" s="1" t="s">
        <v>3541</v>
      </c>
      <c r="P1908" s="1" t="s">
        <v>10622</v>
      </c>
      <c r="Q1908" s="30" t="s">
        <v>2565</v>
      </c>
      <c r="R1908" s="33" t="s">
        <v>3473</v>
      </c>
      <c r="S1908">
        <v>37</v>
      </c>
      <c r="T1908" s="1" t="s">
        <v>13878</v>
      </c>
      <c r="U1908" s="1" t="str">
        <f>HYPERLINK("http://ictvonline.org/taxonomy/p/taxonomy-history?taxnode_id=202105508","ICTVonline=202105508")</f>
        <v>ICTVonline=202105508</v>
      </c>
    </row>
    <row r="1909" spans="1:21" x14ac:dyDescent="0.2">
      <c r="A1909" s="3">
        <v>1908</v>
      </c>
      <c r="B1909" s="1" t="s">
        <v>4875</v>
      </c>
      <c r="D1909" s="1" t="s">
        <v>4876</v>
      </c>
      <c r="F1909" s="1" t="s">
        <v>4880</v>
      </c>
      <c r="H1909" s="1" t="s">
        <v>4881</v>
      </c>
      <c r="M1909" s="1" t="s">
        <v>3540</v>
      </c>
      <c r="N1909" s="1" t="s">
        <v>3542</v>
      </c>
      <c r="P1909" s="1" t="s">
        <v>10623</v>
      </c>
      <c r="Q1909" s="30" t="s">
        <v>2565</v>
      </c>
      <c r="R1909" s="33" t="s">
        <v>3473</v>
      </c>
      <c r="S1909">
        <v>37</v>
      </c>
      <c r="T1909" s="1" t="s">
        <v>13878</v>
      </c>
      <c r="U1909" s="1" t="str">
        <f>HYPERLINK("http://ictvonline.org/taxonomy/p/taxonomy-history?taxnode_id=202105510","ICTVonline=202105510")</f>
        <v>ICTVonline=202105510</v>
      </c>
    </row>
    <row r="1910" spans="1:21" x14ac:dyDescent="0.2">
      <c r="A1910" s="3">
        <v>1909</v>
      </c>
      <c r="B1910" s="1" t="s">
        <v>4875</v>
      </c>
      <c r="D1910" s="1" t="s">
        <v>4876</v>
      </c>
      <c r="F1910" s="1" t="s">
        <v>4880</v>
      </c>
      <c r="H1910" s="1" t="s">
        <v>4881</v>
      </c>
      <c r="M1910" s="1" t="s">
        <v>6131</v>
      </c>
      <c r="N1910" s="1" t="s">
        <v>6132</v>
      </c>
      <c r="P1910" s="1" t="s">
        <v>10624</v>
      </c>
      <c r="Q1910" s="30" t="s">
        <v>2565</v>
      </c>
      <c r="R1910" s="33" t="s">
        <v>3473</v>
      </c>
      <c r="S1910">
        <v>37</v>
      </c>
      <c r="T1910" s="1" t="s">
        <v>13878</v>
      </c>
      <c r="U1910" s="1" t="str">
        <f>HYPERLINK("http://ictvonline.org/taxonomy/p/taxonomy-history?taxnode_id=202109927","ICTVonline=202109927")</f>
        <v>ICTVonline=202109927</v>
      </c>
    </row>
    <row r="1911" spans="1:21" x14ac:dyDescent="0.2">
      <c r="A1911" s="3">
        <v>1910</v>
      </c>
      <c r="B1911" s="1" t="s">
        <v>4875</v>
      </c>
      <c r="D1911" s="1" t="s">
        <v>4876</v>
      </c>
      <c r="F1911" s="1" t="s">
        <v>4880</v>
      </c>
      <c r="H1911" s="1" t="s">
        <v>4881</v>
      </c>
      <c r="M1911" s="1" t="s">
        <v>6131</v>
      </c>
      <c r="N1911" s="1" t="s">
        <v>6132</v>
      </c>
      <c r="P1911" s="1" t="s">
        <v>10625</v>
      </c>
      <c r="Q1911" s="30" t="s">
        <v>2565</v>
      </c>
      <c r="R1911" s="33" t="s">
        <v>3473</v>
      </c>
      <c r="S1911">
        <v>37</v>
      </c>
      <c r="T1911" s="1" t="s">
        <v>13878</v>
      </c>
      <c r="U1911" s="1" t="str">
        <f>HYPERLINK("http://ictvonline.org/taxonomy/p/taxonomy-history?taxnode_id=202109925","ICTVonline=202109925")</f>
        <v>ICTVonline=202109925</v>
      </c>
    </row>
    <row r="1912" spans="1:21" x14ac:dyDescent="0.2">
      <c r="A1912" s="3">
        <v>1911</v>
      </c>
      <c r="B1912" s="1" t="s">
        <v>4875</v>
      </c>
      <c r="D1912" s="1" t="s">
        <v>4876</v>
      </c>
      <c r="F1912" s="1" t="s">
        <v>4880</v>
      </c>
      <c r="H1912" s="1" t="s">
        <v>4881</v>
      </c>
      <c r="M1912" s="1" t="s">
        <v>6131</v>
      </c>
      <c r="N1912" s="1" t="s">
        <v>6132</v>
      </c>
      <c r="P1912" s="1" t="s">
        <v>10626</v>
      </c>
      <c r="Q1912" s="30" t="s">
        <v>2565</v>
      </c>
      <c r="R1912" s="33" t="s">
        <v>3473</v>
      </c>
      <c r="S1912">
        <v>37</v>
      </c>
      <c r="T1912" s="1" t="s">
        <v>13878</v>
      </c>
      <c r="U1912" s="1" t="str">
        <f>HYPERLINK("http://ictvonline.org/taxonomy/p/taxonomy-history?taxnode_id=202109928","ICTVonline=202109928")</f>
        <v>ICTVonline=202109928</v>
      </c>
    </row>
    <row r="1913" spans="1:21" x14ac:dyDescent="0.2">
      <c r="A1913" s="3">
        <v>1912</v>
      </c>
      <c r="B1913" s="1" t="s">
        <v>4875</v>
      </c>
      <c r="D1913" s="1" t="s">
        <v>4876</v>
      </c>
      <c r="F1913" s="1" t="s">
        <v>4880</v>
      </c>
      <c r="H1913" s="1" t="s">
        <v>4881</v>
      </c>
      <c r="M1913" s="1" t="s">
        <v>6131</v>
      </c>
      <c r="N1913" s="1" t="s">
        <v>6132</v>
      </c>
      <c r="P1913" s="1" t="s">
        <v>10627</v>
      </c>
      <c r="Q1913" s="30" t="s">
        <v>2565</v>
      </c>
      <c r="R1913" s="33" t="s">
        <v>3473</v>
      </c>
      <c r="S1913">
        <v>37</v>
      </c>
      <c r="T1913" s="1" t="s">
        <v>13878</v>
      </c>
      <c r="U1913" s="1" t="str">
        <f>HYPERLINK("http://ictvonline.org/taxonomy/p/taxonomy-history?taxnode_id=202109923","ICTVonline=202109923")</f>
        <v>ICTVonline=202109923</v>
      </c>
    </row>
    <row r="1914" spans="1:21" x14ac:dyDescent="0.2">
      <c r="A1914" s="3">
        <v>1913</v>
      </c>
      <c r="B1914" s="1" t="s">
        <v>4875</v>
      </c>
      <c r="D1914" s="1" t="s">
        <v>4876</v>
      </c>
      <c r="F1914" s="1" t="s">
        <v>4880</v>
      </c>
      <c r="H1914" s="1" t="s">
        <v>4881</v>
      </c>
      <c r="M1914" s="1" t="s">
        <v>6131</v>
      </c>
      <c r="N1914" s="1" t="s">
        <v>6132</v>
      </c>
      <c r="P1914" s="1" t="s">
        <v>10628</v>
      </c>
      <c r="Q1914" s="30" t="s">
        <v>2565</v>
      </c>
      <c r="R1914" s="33" t="s">
        <v>3473</v>
      </c>
      <c r="S1914">
        <v>37</v>
      </c>
      <c r="T1914" s="1" t="s">
        <v>13878</v>
      </c>
      <c r="U1914" s="1" t="str">
        <f>HYPERLINK("http://ictvonline.org/taxonomy/p/taxonomy-history?taxnode_id=202109929","ICTVonline=202109929")</f>
        <v>ICTVonline=202109929</v>
      </c>
    </row>
    <row r="1915" spans="1:21" x14ac:dyDescent="0.2">
      <c r="A1915" s="3">
        <v>1914</v>
      </c>
      <c r="B1915" s="1" t="s">
        <v>4875</v>
      </c>
      <c r="D1915" s="1" t="s">
        <v>4876</v>
      </c>
      <c r="F1915" s="1" t="s">
        <v>4880</v>
      </c>
      <c r="H1915" s="1" t="s">
        <v>4881</v>
      </c>
      <c r="M1915" s="1" t="s">
        <v>6131</v>
      </c>
      <c r="N1915" s="1" t="s">
        <v>6132</v>
      </c>
      <c r="P1915" s="1" t="s">
        <v>10629</v>
      </c>
      <c r="Q1915" s="30" t="s">
        <v>2565</v>
      </c>
      <c r="R1915" s="33" t="s">
        <v>3473</v>
      </c>
      <c r="S1915">
        <v>37</v>
      </c>
      <c r="T1915" s="1" t="s">
        <v>13878</v>
      </c>
      <c r="U1915" s="1" t="str">
        <f>HYPERLINK("http://ictvonline.org/taxonomy/p/taxonomy-history?taxnode_id=202109926","ICTVonline=202109926")</f>
        <v>ICTVonline=202109926</v>
      </c>
    </row>
    <row r="1916" spans="1:21" x14ac:dyDescent="0.2">
      <c r="A1916" s="3">
        <v>1915</v>
      </c>
      <c r="B1916" s="1" t="s">
        <v>4875</v>
      </c>
      <c r="D1916" s="1" t="s">
        <v>4876</v>
      </c>
      <c r="F1916" s="1" t="s">
        <v>4880</v>
      </c>
      <c r="H1916" s="1" t="s">
        <v>4881</v>
      </c>
      <c r="M1916" s="1" t="s">
        <v>6131</v>
      </c>
      <c r="N1916" s="1" t="s">
        <v>6132</v>
      </c>
      <c r="P1916" s="1" t="s">
        <v>10630</v>
      </c>
      <c r="Q1916" s="30" t="s">
        <v>2565</v>
      </c>
      <c r="R1916" s="33" t="s">
        <v>3473</v>
      </c>
      <c r="S1916">
        <v>37</v>
      </c>
      <c r="T1916" s="1" t="s">
        <v>13878</v>
      </c>
      <c r="U1916" s="1" t="str">
        <f>HYPERLINK("http://ictvonline.org/taxonomy/p/taxonomy-history?taxnode_id=202109924","ICTVonline=202109924")</f>
        <v>ICTVonline=202109924</v>
      </c>
    </row>
    <row r="1917" spans="1:21" x14ac:dyDescent="0.2">
      <c r="A1917" s="3">
        <v>1916</v>
      </c>
      <c r="B1917" s="1" t="s">
        <v>4875</v>
      </c>
      <c r="D1917" s="1" t="s">
        <v>4876</v>
      </c>
      <c r="F1917" s="1" t="s">
        <v>4880</v>
      </c>
      <c r="H1917" s="1" t="s">
        <v>4881</v>
      </c>
      <c r="M1917" s="1" t="s">
        <v>6131</v>
      </c>
      <c r="N1917" s="1" t="s">
        <v>6133</v>
      </c>
      <c r="P1917" s="1" t="s">
        <v>10631</v>
      </c>
      <c r="Q1917" s="30" t="s">
        <v>2565</v>
      </c>
      <c r="R1917" s="33" t="s">
        <v>3473</v>
      </c>
      <c r="S1917">
        <v>37</v>
      </c>
      <c r="T1917" s="1" t="s">
        <v>13878</v>
      </c>
      <c r="U1917" s="1" t="str">
        <f>HYPERLINK("http://ictvonline.org/taxonomy/p/taxonomy-history?taxnode_id=202109918","ICTVonline=202109918")</f>
        <v>ICTVonline=202109918</v>
      </c>
    </row>
    <row r="1918" spans="1:21" x14ac:dyDescent="0.2">
      <c r="A1918" s="3">
        <v>1917</v>
      </c>
      <c r="B1918" s="1" t="s">
        <v>4875</v>
      </c>
      <c r="D1918" s="1" t="s">
        <v>4876</v>
      </c>
      <c r="F1918" s="1" t="s">
        <v>4880</v>
      </c>
      <c r="H1918" s="1" t="s">
        <v>4881</v>
      </c>
      <c r="M1918" s="1" t="s">
        <v>6131</v>
      </c>
      <c r="N1918" s="1" t="s">
        <v>6134</v>
      </c>
      <c r="P1918" s="1" t="s">
        <v>10632</v>
      </c>
      <c r="Q1918" s="30" t="s">
        <v>2565</v>
      </c>
      <c r="R1918" s="33" t="s">
        <v>3473</v>
      </c>
      <c r="S1918">
        <v>37</v>
      </c>
      <c r="T1918" s="1" t="s">
        <v>13878</v>
      </c>
      <c r="U1918" s="1" t="str">
        <f>HYPERLINK("http://ictvonline.org/taxonomy/p/taxonomy-history?taxnode_id=202109921","ICTVonline=202109921")</f>
        <v>ICTVonline=202109921</v>
      </c>
    </row>
    <row r="1919" spans="1:21" x14ac:dyDescent="0.2">
      <c r="A1919" s="3">
        <v>1918</v>
      </c>
      <c r="B1919" s="1" t="s">
        <v>4875</v>
      </c>
      <c r="D1919" s="1" t="s">
        <v>4876</v>
      </c>
      <c r="F1919" s="1" t="s">
        <v>4880</v>
      </c>
      <c r="H1919" s="1" t="s">
        <v>4881</v>
      </c>
      <c r="M1919" s="1" t="s">
        <v>6131</v>
      </c>
      <c r="N1919" s="1" t="s">
        <v>6134</v>
      </c>
      <c r="P1919" s="1" t="s">
        <v>10633</v>
      </c>
      <c r="Q1919" s="30" t="s">
        <v>2565</v>
      </c>
      <c r="R1919" s="33" t="s">
        <v>3473</v>
      </c>
      <c r="S1919">
        <v>37</v>
      </c>
      <c r="T1919" s="1" t="s">
        <v>13878</v>
      </c>
      <c r="U1919" s="1" t="str">
        <f>HYPERLINK("http://ictvonline.org/taxonomy/p/taxonomy-history?taxnode_id=202109920","ICTVonline=202109920")</f>
        <v>ICTVonline=202109920</v>
      </c>
    </row>
    <row r="1920" spans="1:21" x14ac:dyDescent="0.2">
      <c r="A1920" s="3">
        <v>1919</v>
      </c>
      <c r="B1920" s="1" t="s">
        <v>4875</v>
      </c>
      <c r="D1920" s="1" t="s">
        <v>4876</v>
      </c>
      <c r="F1920" s="1" t="s">
        <v>4880</v>
      </c>
      <c r="H1920" s="1" t="s">
        <v>4881</v>
      </c>
      <c r="M1920" s="1" t="s">
        <v>5164</v>
      </c>
      <c r="N1920" s="1" t="s">
        <v>5165</v>
      </c>
      <c r="P1920" s="1" t="s">
        <v>10634</v>
      </c>
      <c r="Q1920" s="30" t="s">
        <v>2565</v>
      </c>
      <c r="R1920" s="33" t="s">
        <v>3473</v>
      </c>
      <c r="S1920">
        <v>37</v>
      </c>
      <c r="T1920" s="1" t="s">
        <v>13878</v>
      </c>
      <c r="U1920" s="1" t="str">
        <f>HYPERLINK("http://ictvonline.org/taxonomy/p/taxonomy-history?taxnode_id=202107721","ICTVonline=202107721")</f>
        <v>ICTVonline=202107721</v>
      </c>
    </row>
    <row r="1921" spans="1:21" x14ac:dyDescent="0.2">
      <c r="A1921" s="3">
        <v>1920</v>
      </c>
      <c r="B1921" s="1" t="s">
        <v>4875</v>
      </c>
      <c r="D1921" s="1" t="s">
        <v>4876</v>
      </c>
      <c r="F1921" s="1" t="s">
        <v>4880</v>
      </c>
      <c r="H1921" s="1" t="s">
        <v>4881</v>
      </c>
      <c r="M1921" s="1" t="s">
        <v>5164</v>
      </c>
      <c r="N1921" s="1" t="s">
        <v>5165</v>
      </c>
      <c r="P1921" s="1" t="s">
        <v>10635</v>
      </c>
      <c r="Q1921" s="30" t="s">
        <v>2565</v>
      </c>
      <c r="R1921" s="33" t="s">
        <v>3473</v>
      </c>
      <c r="S1921">
        <v>37</v>
      </c>
      <c r="T1921" s="1" t="s">
        <v>13878</v>
      </c>
      <c r="U1921" s="1" t="str">
        <f>HYPERLINK("http://ictvonline.org/taxonomy/p/taxonomy-history?taxnode_id=202107720","ICTVonline=202107720")</f>
        <v>ICTVonline=202107720</v>
      </c>
    </row>
    <row r="1922" spans="1:21" x14ac:dyDescent="0.2">
      <c r="A1922" s="3">
        <v>1921</v>
      </c>
      <c r="B1922" s="1" t="s">
        <v>4875</v>
      </c>
      <c r="D1922" s="1" t="s">
        <v>4876</v>
      </c>
      <c r="F1922" s="1" t="s">
        <v>4880</v>
      </c>
      <c r="H1922" s="1" t="s">
        <v>4881</v>
      </c>
      <c r="M1922" s="1" t="s">
        <v>5164</v>
      </c>
      <c r="N1922" s="1" t="s">
        <v>5166</v>
      </c>
      <c r="P1922" s="1" t="s">
        <v>10636</v>
      </c>
      <c r="Q1922" s="30" t="s">
        <v>2565</v>
      </c>
      <c r="R1922" s="33" t="s">
        <v>3473</v>
      </c>
      <c r="S1922">
        <v>37</v>
      </c>
      <c r="T1922" s="1" t="s">
        <v>13878</v>
      </c>
      <c r="U1922" s="1" t="str">
        <f>HYPERLINK("http://ictvonline.org/taxonomy/p/taxonomy-history?taxnode_id=202107717","ICTVonline=202107717")</f>
        <v>ICTVonline=202107717</v>
      </c>
    </row>
    <row r="1923" spans="1:21" x14ac:dyDescent="0.2">
      <c r="A1923" s="3">
        <v>1922</v>
      </c>
      <c r="B1923" s="1" t="s">
        <v>4875</v>
      </c>
      <c r="D1923" s="1" t="s">
        <v>4876</v>
      </c>
      <c r="F1923" s="1" t="s">
        <v>4880</v>
      </c>
      <c r="H1923" s="1" t="s">
        <v>4881</v>
      </c>
      <c r="M1923" s="1" t="s">
        <v>5164</v>
      </c>
      <c r="N1923" s="1" t="s">
        <v>5166</v>
      </c>
      <c r="P1923" s="1" t="s">
        <v>10637</v>
      </c>
      <c r="Q1923" s="30" t="s">
        <v>2565</v>
      </c>
      <c r="R1923" s="33" t="s">
        <v>3473</v>
      </c>
      <c r="S1923">
        <v>37</v>
      </c>
      <c r="T1923" s="1" t="s">
        <v>13878</v>
      </c>
      <c r="U1923" s="1" t="str">
        <f>HYPERLINK("http://ictvonline.org/taxonomy/p/taxonomy-history?taxnode_id=202107718","ICTVonline=202107718")</f>
        <v>ICTVonline=202107718</v>
      </c>
    </row>
    <row r="1924" spans="1:21" x14ac:dyDescent="0.2">
      <c r="A1924" s="3">
        <v>1923</v>
      </c>
      <c r="B1924" s="1" t="s">
        <v>4875</v>
      </c>
      <c r="D1924" s="1" t="s">
        <v>4876</v>
      </c>
      <c r="F1924" s="1" t="s">
        <v>4880</v>
      </c>
      <c r="H1924" s="1" t="s">
        <v>4881</v>
      </c>
      <c r="M1924" s="1" t="s">
        <v>5164</v>
      </c>
      <c r="N1924" s="1" t="s">
        <v>5167</v>
      </c>
      <c r="P1924" s="1" t="s">
        <v>10638</v>
      </c>
      <c r="Q1924" s="30" t="s">
        <v>2565</v>
      </c>
      <c r="R1924" s="33" t="s">
        <v>3473</v>
      </c>
      <c r="S1924">
        <v>37</v>
      </c>
      <c r="T1924" s="1" t="s">
        <v>13878</v>
      </c>
      <c r="U1924" s="1" t="str">
        <f>HYPERLINK("http://ictvonline.org/taxonomy/p/taxonomy-history?taxnode_id=202107715","ICTVonline=202107715")</f>
        <v>ICTVonline=202107715</v>
      </c>
    </row>
    <row r="1925" spans="1:21" x14ac:dyDescent="0.2">
      <c r="A1925" s="3">
        <v>1924</v>
      </c>
      <c r="B1925" s="1" t="s">
        <v>4875</v>
      </c>
      <c r="D1925" s="1" t="s">
        <v>4876</v>
      </c>
      <c r="F1925" s="1" t="s">
        <v>4880</v>
      </c>
      <c r="H1925" s="1" t="s">
        <v>4881</v>
      </c>
      <c r="M1925" s="1" t="s">
        <v>5164</v>
      </c>
      <c r="N1925" s="1" t="s">
        <v>5167</v>
      </c>
      <c r="P1925" s="1" t="s">
        <v>10639</v>
      </c>
      <c r="Q1925" s="30" t="s">
        <v>2565</v>
      </c>
      <c r="R1925" s="33" t="s">
        <v>3473</v>
      </c>
      <c r="S1925">
        <v>37</v>
      </c>
      <c r="T1925" s="1" t="s">
        <v>13878</v>
      </c>
      <c r="U1925" s="1" t="str">
        <f>HYPERLINK("http://ictvonline.org/taxonomy/p/taxonomy-history?taxnode_id=202101192","ICTVonline=202101192")</f>
        <v>ICTVonline=202101192</v>
      </c>
    </row>
    <row r="1926" spans="1:21" x14ac:dyDescent="0.2">
      <c r="A1926" s="3">
        <v>1925</v>
      </c>
      <c r="B1926" s="1" t="s">
        <v>4875</v>
      </c>
      <c r="D1926" s="1" t="s">
        <v>4876</v>
      </c>
      <c r="F1926" s="1" t="s">
        <v>4880</v>
      </c>
      <c r="H1926" s="1" t="s">
        <v>4881</v>
      </c>
      <c r="M1926" s="1" t="s">
        <v>5164</v>
      </c>
      <c r="N1926" s="1" t="s">
        <v>5168</v>
      </c>
      <c r="P1926" s="1" t="s">
        <v>10640</v>
      </c>
      <c r="Q1926" s="30" t="s">
        <v>2565</v>
      </c>
      <c r="R1926" s="33" t="s">
        <v>3473</v>
      </c>
      <c r="S1926">
        <v>37</v>
      </c>
      <c r="T1926" s="1" t="s">
        <v>13878</v>
      </c>
      <c r="U1926" s="1" t="str">
        <f>HYPERLINK("http://ictvonline.org/taxonomy/p/taxonomy-history?taxnode_id=202101191","ICTVonline=202101191")</f>
        <v>ICTVonline=202101191</v>
      </c>
    </row>
    <row r="1927" spans="1:21" x14ac:dyDescent="0.2">
      <c r="A1927" s="3">
        <v>1926</v>
      </c>
      <c r="B1927" s="1" t="s">
        <v>4875</v>
      </c>
      <c r="D1927" s="1" t="s">
        <v>4876</v>
      </c>
      <c r="F1927" s="1" t="s">
        <v>4880</v>
      </c>
      <c r="H1927" s="1" t="s">
        <v>4881</v>
      </c>
      <c r="M1927" s="1" t="s">
        <v>5164</v>
      </c>
      <c r="N1927" s="1" t="s">
        <v>5168</v>
      </c>
      <c r="P1927" s="1" t="s">
        <v>10641</v>
      </c>
      <c r="Q1927" s="30" t="s">
        <v>2565</v>
      </c>
      <c r="R1927" s="33" t="s">
        <v>3473</v>
      </c>
      <c r="S1927">
        <v>37</v>
      </c>
      <c r="T1927" s="1" t="s">
        <v>13878</v>
      </c>
      <c r="U1927" s="1" t="str">
        <f>HYPERLINK("http://ictvonline.org/taxonomy/p/taxonomy-history?taxnode_id=202101193","ICTVonline=202101193")</f>
        <v>ICTVonline=202101193</v>
      </c>
    </row>
    <row r="1928" spans="1:21" x14ac:dyDescent="0.2">
      <c r="A1928" s="3">
        <v>1927</v>
      </c>
      <c r="B1928" s="1" t="s">
        <v>4875</v>
      </c>
      <c r="D1928" s="1" t="s">
        <v>4876</v>
      </c>
      <c r="F1928" s="1" t="s">
        <v>4880</v>
      </c>
      <c r="H1928" s="1" t="s">
        <v>4881</v>
      </c>
      <c r="M1928" s="1" t="s">
        <v>6051</v>
      </c>
      <c r="N1928" s="1" t="s">
        <v>6052</v>
      </c>
      <c r="P1928" s="1" t="s">
        <v>10642</v>
      </c>
      <c r="Q1928" s="30" t="s">
        <v>2565</v>
      </c>
      <c r="R1928" s="33" t="s">
        <v>3473</v>
      </c>
      <c r="S1928">
        <v>37</v>
      </c>
      <c r="T1928" s="1" t="s">
        <v>13878</v>
      </c>
      <c r="U1928" s="1" t="str">
        <f>HYPERLINK("http://ictvonline.org/taxonomy/p/taxonomy-history?taxnode_id=202109985","ICTVonline=202109985")</f>
        <v>ICTVonline=202109985</v>
      </c>
    </row>
    <row r="1929" spans="1:21" x14ac:dyDescent="0.2">
      <c r="A1929" s="3">
        <v>1928</v>
      </c>
      <c r="B1929" s="1" t="s">
        <v>4875</v>
      </c>
      <c r="D1929" s="1" t="s">
        <v>4876</v>
      </c>
      <c r="F1929" s="1" t="s">
        <v>4880</v>
      </c>
      <c r="H1929" s="1" t="s">
        <v>4881</v>
      </c>
      <c r="M1929" s="1" t="s">
        <v>6051</v>
      </c>
      <c r="N1929" s="1" t="s">
        <v>6052</v>
      </c>
      <c r="P1929" s="1" t="s">
        <v>10643</v>
      </c>
      <c r="Q1929" s="30" t="s">
        <v>2565</v>
      </c>
      <c r="R1929" s="33" t="s">
        <v>3473</v>
      </c>
      <c r="S1929">
        <v>37</v>
      </c>
      <c r="T1929" s="1" t="s">
        <v>13878</v>
      </c>
      <c r="U1929" s="1" t="str">
        <f>HYPERLINK("http://ictvonline.org/taxonomy/p/taxonomy-history?taxnode_id=202109986","ICTVonline=202109986")</f>
        <v>ICTVonline=202109986</v>
      </c>
    </row>
    <row r="1930" spans="1:21" x14ac:dyDescent="0.2">
      <c r="A1930" s="3">
        <v>1929</v>
      </c>
      <c r="B1930" s="1" t="s">
        <v>4875</v>
      </c>
      <c r="D1930" s="1" t="s">
        <v>4876</v>
      </c>
      <c r="F1930" s="1" t="s">
        <v>4880</v>
      </c>
      <c r="H1930" s="1" t="s">
        <v>4881</v>
      </c>
      <c r="M1930" s="1" t="s">
        <v>6051</v>
      </c>
      <c r="N1930" s="1" t="s">
        <v>6053</v>
      </c>
      <c r="P1930" s="1" t="s">
        <v>10644</v>
      </c>
      <c r="Q1930" s="30" t="s">
        <v>2565</v>
      </c>
      <c r="R1930" s="33" t="s">
        <v>3473</v>
      </c>
      <c r="S1930">
        <v>37</v>
      </c>
      <c r="T1930" s="1" t="s">
        <v>13878</v>
      </c>
      <c r="U1930" s="1" t="str">
        <f>HYPERLINK("http://ictvonline.org/taxonomy/p/taxonomy-history?taxnode_id=202109989","ICTVonline=202109989")</f>
        <v>ICTVonline=202109989</v>
      </c>
    </row>
    <row r="1931" spans="1:21" x14ac:dyDescent="0.2">
      <c r="A1931" s="3">
        <v>1930</v>
      </c>
      <c r="B1931" s="1" t="s">
        <v>4875</v>
      </c>
      <c r="D1931" s="1" t="s">
        <v>4876</v>
      </c>
      <c r="F1931" s="1" t="s">
        <v>4880</v>
      </c>
      <c r="H1931" s="1" t="s">
        <v>4881</v>
      </c>
      <c r="M1931" s="1" t="s">
        <v>6051</v>
      </c>
      <c r="N1931" s="1" t="s">
        <v>6053</v>
      </c>
      <c r="P1931" s="1" t="s">
        <v>10645</v>
      </c>
      <c r="Q1931" s="30" t="s">
        <v>2565</v>
      </c>
      <c r="R1931" s="33" t="s">
        <v>3473</v>
      </c>
      <c r="S1931">
        <v>37</v>
      </c>
      <c r="T1931" s="1" t="s">
        <v>13878</v>
      </c>
      <c r="U1931" s="1" t="str">
        <f>HYPERLINK("http://ictvonline.org/taxonomy/p/taxonomy-history?taxnode_id=202109988","ICTVonline=202109988")</f>
        <v>ICTVonline=202109988</v>
      </c>
    </row>
    <row r="1932" spans="1:21" x14ac:dyDescent="0.2">
      <c r="A1932" s="3">
        <v>1931</v>
      </c>
      <c r="B1932" s="1" t="s">
        <v>4875</v>
      </c>
      <c r="D1932" s="1" t="s">
        <v>4876</v>
      </c>
      <c r="F1932" s="1" t="s">
        <v>4880</v>
      </c>
      <c r="H1932" s="1" t="s">
        <v>4881</v>
      </c>
      <c r="M1932" s="1" t="s">
        <v>2458</v>
      </c>
      <c r="N1932" s="1" t="s">
        <v>4506</v>
      </c>
      <c r="P1932" s="1" t="s">
        <v>2577</v>
      </c>
      <c r="Q1932" s="30" t="s">
        <v>2565</v>
      </c>
      <c r="R1932" s="33" t="s">
        <v>3474</v>
      </c>
      <c r="S1932">
        <v>37</v>
      </c>
      <c r="T1932" s="1" t="s">
        <v>13880</v>
      </c>
      <c r="U1932" s="1" t="str">
        <f>HYPERLINK("http://ictvonline.org/taxonomy/p/taxonomy-history?taxnode_id=202100197","ICTVonline=202100197")</f>
        <v>ICTVonline=202100197</v>
      </c>
    </row>
    <row r="1933" spans="1:21" x14ac:dyDescent="0.2">
      <c r="A1933" s="3">
        <v>1932</v>
      </c>
      <c r="B1933" s="1" t="s">
        <v>4875</v>
      </c>
      <c r="D1933" s="1" t="s">
        <v>4876</v>
      </c>
      <c r="F1933" s="1" t="s">
        <v>4880</v>
      </c>
      <c r="H1933" s="1" t="s">
        <v>4881</v>
      </c>
      <c r="M1933" s="1" t="s">
        <v>2458</v>
      </c>
      <c r="N1933" s="1" t="s">
        <v>4506</v>
      </c>
      <c r="P1933" s="1" t="s">
        <v>10646</v>
      </c>
      <c r="Q1933" s="30" t="s">
        <v>2565</v>
      </c>
      <c r="R1933" s="33" t="s">
        <v>3473</v>
      </c>
      <c r="S1933">
        <v>37</v>
      </c>
      <c r="T1933" s="1" t="s">
        <v>13878</v>
      </c>
      <c r="U1933" s="1" t="str">
        <f>HYPERLINK("http://ictvonline.org/taxonomy/p/taxonomy-history?taxnode_id=202100194","ICTVonline=202100194")</f>
        <v>ICTVonline=202100194</v>
      </c>
    </row>
    <row r="1934" spans="1:21" x14ac:dyDescent="0.2">
      <c r="A1934" s="3">
        <v>1933</v>
      </c>
      <c r="B1934" s="1" t="s">
        <v>4875</v>
      </c>
      <c r="D1934" s="1" t="s">
        <v>4876</v>
      </c>
      <c r="F1934" s="1" t="s">
        <v>4880</v>
      </c>
      <c r="H1934" s="1" t="s">
        <v>4881</v>
      </c>
      <c r="M1934" s="1" t="s">
        <v>2458</v>
      </c>
      <c r="N1934" s="1" t="s">
        <v>4506</v>
      </c>
      <c r="P1934" s="1" t="s">
        <v>10647</v>
      </c>
      <c r="Q1934" s="30" t="s">
        <v>2565</v>
      </c>
      <c r="R1934" s="33" t="s">
        <v>3473</v>
      </c>
      <c r="S1934">
        <v>37</v>
      </c>
      <c r="T1934" s="1" t="s">
        <v>13878</v>
      </c>
      <c r="U1934" s="1" t="str">
        <f>HYPERLINK("http://ictvonline.org/taxonomy/p/taxonomy-history?taxnode_id=202100195","ICTVonline=202100195")</f>
        <v>ICTVonline=202100195</v>
      </c>
    </row>
    <row r="1935" spans="1:21" x14ac:dyDescent="0.2">
      <c r="A1935" s="3">
        <v>1934</v>
      </c>
      <c r="B1935" s="1" t="s">
        <v>4875</v>
      </c>
      <c r="D1935" s="1" t="s">
        <v>4876</v>
      </c>
      <c r="F1935" s="1" t="s">
        <v>4880</v>
      </c>
      <c r="H1935" s="1" t="s">
        <v>4881</v>
      </c>
      <c r="M1935" s="1" t="s">
        <v>2458</v>
      </c>
      <c r="N1935" s="1" t="s">
        <v>4506</v>
      </c>
      <c r="P1935" s="1" t="s">
        <v>10648</v>
      </c>
      <c r="Q1935" s="30" t="s">
        <v>2565</v>
      </c>
      <c r="R1935" s="33" t="s">
        <v>3473</v>
      </c>
      <c r="S1935">
        <v>37</v>
      </c>
      <c r="T1935" s="1" t="s">
        <v>13878</v>
      </c>
      <c r="U1935" s="1" t="str">
        <f>HYPERLINK("http://ictvonline.org/taxonomy/p/taxonomy-history?taxnode_id=202100196","ICTVonline=202100196")</f>
        <v>ICTVonline=202100196</v>
      </c>
    </row>
    <row r="1936" spans="1:21" x14ac:dyDescent="0.2">
      <c r="A1936" s="3">
        <v>1935</v>
      </c>
      <c r="B1936" s="1" t="s">
        <v>4875</v>
      </c>
      <c r="D1936" s="1" t="s">
        <v>4876</v>
      </c>
      <c r="F1936" s="1" t="s">
        <v>4880</v>
      </c>
      <c r="H1936" s="1" t="s">
        <v>4881</v>
      </c>
      <c r="M1936" s="1" t="s">
        <v>2458</v>
      </c>
      <c r="N1936" s="1" t="s">
        <v>4507</v>
      </c>
      <c r="P1936" s="1" t="s">
        <v>10649</v>
      </c>
      <c r="Q1936" s="30" t="s">
        <v>2565</v>
      </c>
      <c r="R1936" s="33" t="s">
        <v>3473</v>
      </c>
      <c r="S1936">
        <v>37</v>
      </c>
      <c r="T1936" s="1" t="s">
        <v>13878</v>
      </c>
      <c r="U1936" s="1" t="str">
        <f>HYPERLINK("http://ictvonline.org/taxonomy/p/taxonomy-history?taxnode_id=202100199","ICTVonline=202100199")</f>
        <v>ICTVonline=202100199</v>
      </c>
    </row>
    <row r="1937" spans="1:21" x14ac:dyDescent="0.2">
      <c r="A1937" s="3">
        <v>1936</v>
      </c>
      <c r="B1937" s="1" t="s">
        <v>4875</v>
      </c>
      <c r="D1937" s="1" t="s">
        <v>4876</v>
      </c>
      <c r="F1937" s="1" t="s">
        <v>4880</v>
      </c>
      <c r="H1937" s="1" t="s">
        <v>4881</v>
      </c>
      <c r="M1937" s="1" t="s">
        <v>2458</v>
      </c>
      <c r="N1937" s="1" t="s">
        <v>4507</v>
      </c>
      <c r="P1937" s="1" t="s">
        <v>10650</v>
      </c>
      <c r="Q1937" s="30" t="s">
        <v>2565</v>
      </c>
      <c r="R1937" s="33" t="s">
        <v>3473</v>
      </c>
      <c r="S1937">
        <v>37</v>
      </c>
      <c r="T1937" s="1" t="s">
        <v>13878</v>
      </c>
      <c r="U1937" s="1" t="str">
        <f>HYPERLINK("http://ictvonline.org/taxonomy/p/taxonomy-history?taxnode_id=202100200","ICTVonline=202100200")</f>
        <v>ICTVonline=202100200</v>
      </c>
    </row>
    <row r="1938" spans="1:21" x14ac:dyDescent="0.2">
      <c r="A1938" s="3">
        <v>1937</v>
      </c>
      <c r="B1938" s="1" t="s">
        <v>4875</v>
      </c>
      <c r="D1938" s="1" t="s">
        <v>4876</v>
      </c>
      <c r="F1938" s="1" t="s">
        <v>4880</v>
      </c>
      <c r="H1938" s="1" t="s">
        <v>4881</v>
      </c>
      <c r="M1938" s="1" t="s">
        <v>2458</v>
      </c>
      <c r="N1938" s="1" t="s">
        <v>4507</v>
      </c>
      <c r="P1938" s="1" t="s">
        <v>10651</v>
      </c>
      <c r="Q1938" s="30" t="s">
        <v>2565</v>
      </c>
      <c r="R1938" s="33" t="s">
        <v>3473</v>
      </c>
      <c r="S1938">
        <v>37</v>
      </c>
      <c r="T1938" s="1" t="s">
        <v>13878</v>
      </c>
      <c r="U1938" s="1" t="str">
        <f>HYPERLINK("http://ictvonline.org/taxonomy/p/taxonomy-history?taxnode_id=202100201","ICTVonline=202100201")</f>
        <v>ICTVonline=202100201</v>
      </c>
    </row>
    <row r="1939" spans="1:21" x14ac:dyDescent="0.2">
      <c r="A1939" s="3">
        <v>1938</v>
      </c>
      <c r="B1939" s="1" t="s">
        <v>4875</v>
      </c>
      <c r="D1939" s="1" t="s">
        <v>4876</v>
      </c>
      <c r="F1939" s="1" t="s">
        <v>4880</v>
      </c>
      <c r="H1939" s="1" t="s">
        <v>4881</v>
      </c>
      <c r="M1939" s="1" t="s">
        <v>2458</v>
      </c>
      <c r="N1939" s="1" t="s">
        <v>4507</v>
      </c>
      <c r="P1939" s="1" t="s">
        <v>10652</v>
      </c>
      <c r="Q1939" s="30" t="s">
        <v>2565</v>
      </c>
      <c r="R1939" s="33" t="s">
        <v>3473</v>
      </c>
      <c r="S1939">
        <v>37</v>
      </c>
      <c r="T1939" s="1" t="s">
        <v>13878</v>
      </c>
      <c r="U1939" s="1" t="str">
        <f>HYPERLINK("http://ictvonline.org/taxonomy/p/taxonomy-history?taxnode_id=202106998","ICTVonline=202106998")</f>
        <v>ICTVonline=202106998</v>
      </c>
    </row>
    <row r="1940" spans="1:21" x14ac:dyDescent="0.2">
      <c r="A1940" s="3">
        <v>1939</v>
      </c>
      <c r="B1940" s="1" t="s">
        <v>4875</v>
      </c>
      <c r="D1940" s="1" t="s">
        <v>4876</v>
      </c>
      <c r="F1940" s="1" t="s">
        <v>4880</v>
      </c>
      <c r="H1940" s="1" t="s">
        <v>4881</v>
      </c>
      <c r="M1940" s="1" t="s">
        <v>2458</v>
      </c>
      <c r="N1940" s="1" t="s">
        <v>4507</v>
      </c>
      <c r="P1940" s="1" t="s">
        <v>10653</v>
      </c>
      <c r="Q1940" s="30" t="s">
        <v>2565</v>
      </c>
      <c r="R1940" s="33" t="s">
        <v>3473</v>
      </c>
      <c r="S1940">
        <v>37</v>
      </c>
      <c r="T1940" s="1" t="s">
        <v>13878</v>
      </c>
      <c r="U1940" s="1" t="str">
        <f>HYPERLINK("http://ictvonline.org/taxonomy/p/taxonomy-history?taxnode_id=202100202","ICTVonline=202100202")</f>
        <v>ICTVonline=202100202</v>
      </c>
    </row>
    <row r="1941" spans="1:21" x14ac:dyDescent="0.2">
      <c r="A1941" s="3">
        <v>1940</v>
      </c>
      <c r="B1941" s="1" t="s">
        <v>4875</v>
      </c>
      <c r="D1941" s="1" t="s">
        <v>4876</v>
      </c>
      <c r="F1941" s="1" t="s">
        <v>4880</v>
      </c>
      <c r="H1941" s="1" t="s">
        <v>4881</v>
      </c>
      <c r="M1941" s="1" t="s">
        <v>10654</v>
      </c>
      <c r="N1941" s="1" t="s">
        <v>10655</v>
      </c>
      <c r="P1941" s="1" t="s">
        <v>10656</v>
      </c>
      <c r="Q1941" s="30" t="s">
        <v>2565</v>
      </c>
      <c r="R1941" s="33" t="s">
        <v>3472</v>
      </c>
      <c r="S1941">
        <v>37</v>
      </c>
      <c r="T1941" s="1" t="s">
        <v>13915</v>
      </c>
      <c r="U1941" s="1" t="str">
        <f>HYPERLINK("http://ictvonline.org/taxonomy/p/taxonomy-history?taxnode_id=202113593","ICTVonline=202113593")</f>
        <v>ICTVonline=202113593</v>
      </c>
    </row>
    <row r="1942" spans="1:21" x14ac:dyDescent="0.2">
      <c r="A1942" s="3">
        <v>1941</v>
      </c>
      <c r="B1942" s="1" t="s">
        <v>4875</v>
      </c>
      <c r="D1942" s="1" t="s">
        <v>4876</v>
      </c>
      <c r="F1942" s="1" t="s">
        <v>4880</v>
      </c>
      <c r="H1942" s="1" t="s">
        <v>4881</v>
      </c>
      <c r="M1942" s="1" t="s">
        <v>10654</v>
      </c>
      <c r="N1942" s="1" t="s">
        <v>10657</v>
      </c>
      <c r="P1942" s="1" t="s">
        <v>10658</v>
      </c>
      <c r="Q1942" s="30" t="s">
        <v>2565</v>
      </c>
      <c r="R1942" s="33" t="s">
        <v>3472</v>
      </c>
      <c r="S1942">
        <v>37</v>
      </c>
      <c r="T1942" s="1" t="s">
        <v>13915</v>
      </c>
      <c r="U1942" s="1" t="str">
        <f>HYPERLINK("http://ictvonline.org/taxonomy/p/taxonomy-history?taxnode_id=202113589","ICTVonline=202113589")</f>
        <v>ICTVonline=202113589</v>
      </c>
    </row>
    <row r="1943" spans="1:21" x14ac:dyDescent="0.2">
      <c r="A1943" s="3">
        <v>1942</v>
      </c>
      <c r="B1943" s="1" t="s">
        <v>4875</v>
      </c>
      <c r="D1943" s="1" t="s">
        <v>4876</v>
      </c>
      <c r="F1943" s="1" t="s">
        <v>4880</v>
      </c>
      <c r="H1943" s="1" t="s">
        <v>4881</v>
      </c>
      <c r="M1943" s="1" t="s">
        <v>10654</v>
      </c>
      <c r="N1943" s="1" t="s">
        <v>10657</v>
      </c>
      <c r="P1943" s="1" t="s">
        <v>10659</v>
      </c>
      <c r="Q1943" s="30" t="s">
        <v>2565</v>
      </c>
      <c r="R1943" s="33" t="s">
        <v>3472</v>
      </c>
      <c r="S1943">
        <v>37</v>
      </c>
      <c r="T1943" s="1" t="s">
        <v>13915</v>
      </c>
      <c r="U1943" s="1" t="str">
        <f>HYPERLINK("http://ictvonline.org/taxonomy/p/taxonomy-history?taxnode_id=202113591","ICTVonline=202113591")</f>
        <v>ICTVonline=202113591</v>
      </c>
    </row>
    <row r="1944" spans="1:21" x14ac:dyDescent="0.2">
      <c r="A1944" s="3">
        <v>1943</v>
      </c>
      <c r="B1944" s="1" t="s">
        <v>4875</v>
      </c>
      <c r="D1944" s="1" t="s">
        <v>4876</v>
      </c>
      <c r="F1944" s="1" t="s">
        <v>4880</v>
      </c>
      <c r="H1944" s="1" t="s">
        <v>4881</v>
      </c>
      <c r="M1944" s="1" t="s">
        <v>10654</v>
      </c>
      <c r="N1944" s="1" t="s">
        <v>10657</v>
      </c>
      <c r="P1944" s="1" t="s">
        <v>10660</v>
      </c>
      <c r="Q1944" s="30" t="s">
        <v>2565</v>
      </c>
      <c r="R1944" s="33" t="s">
        <v>3472</v>
      </c>
      <c r="S1944">
        <v>37</v>
      </c>
      <c r="T1944" s="1" t="s">
        <v>13915</v>
      </c>
      <c r="U1944" s="1" t="str">
        <f>HYPERLINK("http://ictvonline.org/taxonomy/p/taxonomy-history?taxnode_id=202113590","ICTVonline=202113590")</f>
        <v>ICTVonline=202113590</v>
      </c>
    </row>
    <row r="1945" spans="1:21" x14ac:dyDescent="0.2">
      <c r="A1945" s="3">
        <v>1944</v>
      </c>
      <c r="B1945" s="1" t="s">
        <v>4875</v>
      </c>
      <c r="D1945" s="1" t="s">
        <v>4876</v>
      </c>
      <c r="F1945" s="1" t="s">
        <v>4880</v>
      </c>
      <c r="H1945" s="1" t="s">
        <v>4881</v>
      </c>
      <c r="M1945" s="1" t="s">
        <v>10654</v>
      </c>
      <c r="N1945" s="1" t="s">
        <v>10661</v>
      </c>
      <c r="P1945" s="1" t="s">
        <v>10662</v>
      </c>
      <c r="Q1945" s="30" t="s">
        <v>2565</v>
      </c>
      <c r="R1945" s="33" t="s">
        <v>3472</v>
      </c>
      <c r="S1945">
        <v>37</v>
      </c>
      <c r="T1945" s="1" t="s">
        <v>13915</v>
      </c>
      <c r="U1945" s="1" t="str">
        <f>HYPERLINK("http://ictvonline.org/taxonomy/p/taxonomy-history?taxnode_id=202113595","ICTVonline=202113595")</f>
        <v>ICTVonline=202113595</v>
      </c>
    </row>
    <row r="1946" spans="1:21" x14ac:dyDescent="0.2">
      <c r="A1946" s="3">
        <v>1945</v>
      </c>
      <c r="B1946" s="1" t="s">
        <v>4875</v>
      </c>
      <c r="D1946" s="1" t="s">
        <v>4876</v>
      </c>
      <c r="F1946" s="1" t="s">
        <v>4880</v>
      </c>
      <c r="H1946" s="1" t="s">
        <v>4881</v>
      </c>
      <c r="M1946" s="1" t="s">
        <v>10654</v>
      </c>
      <c r="N1946" s="1" t="s">
        <v>10661</v>
      </c>
      <c r="P1946" s="1" t="s">
        <v>10663</v>
      </c>
      <c r="Q1946" s="30" t="s">
        <v>2565</v>
      </c>
      <c r="R1946" s="33" t="s">
        <v>3472</v>
      </c>
      <c r="S1946">
        <v>37</v>
      </c>
      <c r="T1946" s="1" t="s">
        <v>13915</v>
      </c>
      <c r="U1946" s="1" t="str">
        <f>HYPERLINK("http://ictvonline.org/taxonomy/p/taxonomy-history?taxnode_id=202113597","ICTVonline=202113597")</f>
        <v>ICTVonline=202113597</v>
      </c>
    </row>
    <row r="1947" spans="1:21" x14ac:dyDescent="0.2">
      <c r="A1947" s="3">
        <v>1946</v>
      </c>
      <c r="B1947" s="1" t="s">
        <v>4875</v>
      </c>
      <c r="D1947" s="1" t="s">
        <v>4876</v>
      </c>
      <c r="F1947" s="1" t="s">
        <v>4880</v>
      </c>
      <c r="H1947" s="1" t="s">
        <v>4881</v>
      </c>
      <c r="M1947" s="1" t="s">
        <v>10654</v>
      </c>
      <c r="N1947" s="1" t="s">
        <v>10661</v>
      </c>
      <c r="P1947" s="1" t="s">
        <v>10664</v>
      </c>
      <c r="Q1947" s="30" t="s">
        <v>2565</v>
      </c>
      <c r="R1947" s="33" t="s">
        <v>3472</v>
      </c>
      <c r="S1947">
        <v>37</v>
      </c>
      <c r="T1947" s="1" t="s">
        <v>13915</v>
      </c>
      <c r="U1947" s="1" t="str">
        <f>HYPERLINK("http://ictvonline.org/taxonomy/p/taxonomy-history?taxnode_id=202113596","ICTVonline=202113596")</f>
        <v>ICTVonline=202113596</v>
      </c>
    </row>
    <row r="1948" spans="1:21" x14ac:dyDescent="0.2">
      <c r="A1948" s="3">
        <v>1947</v>
      </c>
      <c r="B1948" s="1" t="s">
        <v>4875</v>
      </c>
      <c r="D1948" s="1" t="s">
        <v>4876</v>
      </c>
      <c r="F1948" s="1" t="s">
        <v>4880</v>
      </c>
      <c r="H1948" s="1" t="s">
        <v>4881</v>
      </c>
      <c r="M1948" s="1" t="s">
        <v>10654</v>
      </c>
      <c r="N1948" s="1" t="s">
        <v>2639</v>
      </c>
      <c r="P1948" s="1" t="s">
        <v>10665</v>
      </c>
      <c r="Q1948" s="30" t="s">
        <v>2565</v>
      </c>
      <c r="R1948" s="33" t="s">
        <v>3472</v>
      </c>
      <c r="S1948">
        <v>37</v>
      </c>
      <c r="T1948" s="1" t="s">
        <v>13915</v>
      </c>
      <c r="U1948" s="1" t="str">
        <f>HYPERLINK("http://ictvonline.org/taxonomy/p/taxonomy-history?taxnode_id=202113587","ICTVonline=202113587")</f>
        <v>ICTVonline=202113587</v>
      </c>
    </row>
    <row r="1949" spans="1:21" x14ac:dyDescent="0.2">
      <c r="A1949" s="3">
        <v>1948</v>
      </c>
      <c r="B1949" s="1" t="s">
        <v>4875</v>
      </c>
      <c r="D1949" s="1" t="s">
        <v>4876</v>
      </c>
      <c r="F1949" s="1" t="s">
        <v>4880</v>
      </c>
      <c r="H1949" s="1" t="s">
        <v>4881</v>
      </c>
      <c r="M1949" s="1" t="s">
        <v>10654</v>
      </c>
      <c r="N1949" s="1" t="s">
        <v>2639</v>
      </c>
      <c r="P1949" s="1" t="s">
        <v>10666</v>
      </c>
      <c r="Q1949" s="30" t="s">
        <v>2565</v>
      </c>
      <c r="R1949" s="33" t="s">
        <v>3472</v>
      </c>
      <c r="S1949">
        <v>37</v>
      </c>
      <c r="T1949" s="1" t="s">
        <v>13915</v>
      </c>
      <c r="U1949" s="1" t="str">
        <f>HYPERLINK("http://ictvonline.org/taxonomy/p/taxonomy-history?taxnode_id=202113584","ICTVonline=202113584")</f>
        <v>ICTVonline=202113584</v>
      </c>
    </row>
    <row r="1950" spans="1:21" x14ac:dyDescent="0.2">
      <c r="A1950" s="3">
        <v>1949</v>
      </c>
      <c r="B1950" s="1" t="s">
        <v>4875</v>
      </c>
      <c r="D1950" s="1" t="s">
        <v>4876</v>
      </c>
      <c r="F1950" s="1" t="s">
        <v>4880</v>
      </c>
      <c r="H1950" s="1" t="s">
        <v>4881</v>
      </c>
      <c r="M1950" s="1" t="s">
        <v>10654</v>
      </c>
      <c r="N1950" s="1" t="s">
        <v>2639</v>
      </c>
      <c r="P1950" s="1" t="s">
        <v>10667</v>
      </c>
      <c r="Q1950" s="30" t="s">
        <v>2565</v>
      </c>
      <c r="R1950" s="33" t="s">
        <v>3472</v>
      </c>
      <c r="S1950">
        <v>37</v>
      </c>
      <c r="T1950" s="1" t="s">
        <v>13915</v>
      </c>
      <c r="U1950" s="1" t="str">
        <f>HYPERLINK("http://ictvonline.org/taxonomy/p/taxonomy-history?taxnode_id=202113586","ICTVonline=202113586")</f>
        <v>ICTVonline=202113586</v>
      </c>
    </row>
    <row r="1951" spans="1:21" x14ac:dyDescent="0.2">
      <c r="A1951" s="3">
        <v>1950</v>
      </c>
      <c r="B1951" s="1" t="s">
        <v>4875</v>
      </c>
      <c r="D1951" s="1" t="s">
        <v>4876</v>
      </c>
      <c r="F1951" s="1" t="s">
        <v>4880</v>
      </c>
      <c r="H1951" s="1" t="s">
        <v>4881</v>
      </c>
      <c r="M1951" s="1" t="s">
        <v>10654</v>
      </c>
      <c r="N1951" s="1" t="s">
        <v>2639</v>
      </c>
      <c r="P1951" s="1" t="s">
        <v>10668</v>
      </c>
      <c r="Q1951" s="30" t="s">
        <v>2565</v>
      </c>
      <c r="R1951" s="33" t="s">
        <v>3472</v>
      </c>
      <c r="S1951">
        <v>37</v>
      </c>
      <c r="T1951" s="1" t="s">
        <v>13915</v>
      </c>
      <c r="U1951" s="1" t="str">
        <f>HYPERLINK("http://ictvonline.org/taxonomy/p/taxonomy-history?taxnode_id=202113585","ICTVonline=202113585")</f>
        <v>ICTVonline=202113585</v>
      </c>
    </row>
    <row r="1952" spans="1:21" x14ac:dyDescent="0.2">
      <c r="A1952" s="3">
        <v>1951</v>
      </c>
      <c r="B1952" s="1" t="s">
        <v>4875</v>
      </c>
      <c r="D1952" s="1" t="s">
        <v>4876</v>
      </c>
      <c r="F1952" s="1" t="s">
        <v>4880</v>
      </c>
      <c r="H1952" s="1" t="s">
        <v>4881</v>
      </c>
      <c r="M1952" s="1" t="s">
        <v>10654</v>
      </c>
      <c r="N1952" s="1" t="s">
        <v>2639</v>
      </c>
      <c r="P1952" s="1" t="s">
        <v>2640</v>
      </c>
      <c r="Q1952" s="30" t="s">
        <v>2565</v>
      </c>
      <c r="R1952" s="33" t="s">
        <v>3474</v>
      </c>
      <c r="S1952">
        <v>37</v>
      </c>
      <c r="T1952" s="1" t="s">
        <v>13916</v>
      </c>
      <c r="U1952" s="1" t="str">
        <f>HYPERLINK("http://ictvonline.org/taxonomy/p/taxonomy-history?taxnode_id=202101076","ICTVonline=202101076")</f>
        <v>ICTVonline=202101076</v>
      </c>
    </row>
    <row r="1953" spans="1:21" x14ac:dyDescent="0.2">
      <c r="A1953" s="3">
        <v>1952</v>
      </c>
      <c r="B1953" s="1" t="s">
        <v>4875</v>
      </c>
      <c r="D1953" s="1" t="s">
        <v>4876</v>
      </c>
      <c r="F1953" s="1" t="s">
        <v>4880</v>
      </c>
      <c r="H1953" s="1" t="s">
        <v>4881</v>
      </c>
      <c r="M1953" s="1" t="s">
        <v>10654</v>
      </c>
      <c r="N1953" s="1" t="s">
        <v>2639</v>
      </c>
      <c r="P1953" s="1" t="s">
        <v>2641</v>
      </c>
      <c r="Q1953" s="30" t="s">
        <v>2565</v>
      </c>
      <c r="R1953" s="33" t="s">
        <v>3474</v>
      </c>
      <c r="S1953">
        <v>37</v>
      </c>
      <c r="T1953" s="1" t="s">
        <v>13916</v>
      </c>
      <c r="U1953" s="1" t="str">
        <f>HYPERLINK("http://ictvonline.org/taxonomy/p/taxonomy-history?taxnode_id=202101077","ICTVonline=202101077")</f>
        <v>ICTVonline=202101077</v>
      </c>
    </row>
    <row r="1954" spans="1:21" x14ac:dyDescent="0.2">
      <c r="A1954" s="3">
        <v>1953</v>
      </c>
      <c r="B1954" s="1" t="s">
        <v>4875</v>
      </c>
      <c r="D1954" s="1" t="s">
        <v>4876</v>
      </c>
      <c r="F1954" s="1" t="s">
        <v>4880</v>
      </c>
      <c r="H1954" s="1" t="s">
        <v>4881</v>
      </c>
      <c r="M1954" s="1" t="s">
        <v>10654</v>
      </c>
      <c r="N1954" s="1" t="s">
        <v>10669</v>
      </c>
      <c r="P1954" s="1" t="s">
        <v>10670</v>
      </c>
      <c r="Q1954" s="30" t="s">
        <v>2565</v>
      </c>
      <c r="R1954" s="33" t="s">
        <v>3472</v>
      </c>
      <c r="S1954">
        <v>37</v>
      </c>
      <c r="T1954" s="1" t="s">
        <v>13915</v>
      </c>
      <c r="U1954" s="1" t="str">
        <f>HYPERLINK("http://ictvonline.org/taxonomy/p/taxonomy-history?taxnode_id=202113600","ICTVonline=202113600")</f>
        <v>ICTVonline=202113600</v>
      </c>
    </row>
    <row r="1955" spans="1:21" x14ac:dyDescent="0.2">
      <c r="A1955" s="3">
        <v>1954</v>
      </c>
      <c r="B1955" s="1" t="s">
        <v>4875</v>
      </c>
      <c r="D1955" s="1" t="s">
        <v>4876</v>
      </c>
      <c r="F1955" s="1" t="s">
        <v>4880</v>
      </c>
      <c r="H1955" s="1" t="s">
        <v>4881</v>
      </c>
      <c r="M1955" s="1" t="s">
        <v>10654</v>
      </c>
      <c r="N1955" s="1" t="s">
        <v>10669</v>
      </c>
      <c r="P1955" s="1" t="s">
        <v>10671</v>
      </c>
      <c r="Q1955" s="30" t="s">
        <v>2565</v>
      </c>
      <c r="R1955" s="33" t="s">
        <v>3472</v>
      </c>
      <c r="S1955">
        <v>37</v>
      </c>
      <c r="T1955" s="1" t="s">
        <v>13915</v>
      </c>
      <c r="U1955" s="1" t="str">
        <f>HYPERLINK("http://ictvonline.org/taxonomy/p/taxonomy-history?taxnode_id=202113599","ICTVonline=202113599")</f>
        <v>ICTVonline=202113599</v>
      </c>
    </row>
    <row r="1956" spans="1:21" x14ac:dyDescent="0.2">
      <c r="A1956" s="3">
        <v>1955</v>
      </c>
      <c r="B1956" s="1" t="s">
        <v>4875</v>
      </c>
      <c r="D1956" s="1" t="s">
        <v>4876</v>
      </c>
      <c r="F1956" s="1" t="s">
        <v>4880</v>
      </c>
      <c r="H1956" s="1" t="s">
        <v>4881</v>
      </c>
      <c r="M1956" s="1" t="s">
        <v>6135</v>
      </c>
      <c r="N1956" s="1" t="s">
        <v>6136</v>
      </c>
      <c r="P1956" s="1" t="s">
        <v>10672</v>
      </c>
      <c r="Q1956" s="30" t="s">
        <v>2565</v>
      </c>
      <c r="R1956" s="33" t="s">
        <v>3473</v>
      </c>
      <c r="S1956">
        <v>37</v>
      </c>
      <c r="T1956" s="1" t="s">
        <v>13878</v>
      </c>
      <c r="U1956" s="1" t="str">
        <f>HYPERLINK("http://ictvonline.org/taxonomy/p/taxonomy-history?taxnode_id=202110047","ICTVonline=202110047")</f>
        <v>ICTVonline=202110047</v>
      </c>
    </row>
    <row r="1957" spans="1:21" x14ac:dyDescent="0.2">
      <c r="A1957" s="3">
        <v>1956</v>
      </c>
      <c r="B1957" s="1" t="s">
        <v>4875</v>
      </c>
      <c r="D1957" s="1" t="s">
        <v>4876</v>
      </c>
      <c r="F1957" s="1" t="s">
        <v>4880</v>
      </c>
      <c r="H1957" s="1" t="s">
        <v>4881</v>
      </c>
      <c r="M1957" s="1" t="s">
        <v>6135</v>
      </c>
      <c r="N1957" s="1" t="s">
        <v>3205</v>
      </c>
      <c r="P1957" s="1" t="s">
        <v>10673</v>
      </c>
      <c r="Q1957" s="30" t="s">
        <v>2565</v>
      </c>
      <c r="R1957" s="33" t="s">
        <v>3473</v>
      </c>
      <c r="S1957">
        <v>37</v>
      </c>
      <c r="T1957" s="1" t="s">
        <v>13878</v>
      </c>
      <c r="U1957" s="1" t="str">
        <f>HYPERLINK("http://ictvonline.org/taxonomy/p/taxonomy-history?taxnode_id=202100981","ICTVonline=202100981")</f>
        <v>ICTVonline=202100981</v>
      </c>
    </row>
    <row r="1958" spans="1:21" x14ac:dyDescent="0.2">
      <c r="A1958" s="3">
        <v>1957</v>
      </c>
      <c r="B1958" s="1" t="s">
        <v>4875</v>
      </c>
      <c r="D1958" s="1" t="s">
        <v>4876</v>
      </c>
      <c r="F1958" s="1" t="s">
        <v>4880</v>
      </c>
      <c r="H1958" s="1" t="s">
        <v>4881</v>
      </c>
      <c r="M1958" s="1" t="s">
        <v>6135</v>
      </c>
      <c r="N1958" s="1" t="s">
        <v>3216</v>
      </c>
      <c r="P1958" s="1" t="s">
        <v>10674</v>
      </c>
      <c r="Q1958" s="30" t="s">
        <v>2565</v>
      </c>
      <c r="R1958" s="33" t="s">
        <v>3473</v>
      </c>
      <c r="S1958">
        <v>37</v>
      </c>
      <c r="T1958" s="1" t="s">
        <v>13878</v>
      </c>
      <c r="U1958" s="1" t="str">
        <f>HYPERLINK("http://ictvonline.org/taxonomy/p/taxonomy-history?taxnode_id=202101365","ICTVonline=202101365")</f>
        <v>ICTVonline=202101365</v>
      </c>
    </row>
    <row r="1959" spans="1:21" x14ac:dyDescent="0.2">
      <c r="A1959" s="3">
        <v>1958</v>
      </c>
      <c r="B1959" s="1" t="s">
        <v>4875</v>
      </c>
      <c r="D1959" s="1" t="s">
        <v>4876</v>
      </c>
      <c r="F1959" s="1" t="s">
        <v>4880</v>
      </c>
      <c r="H1959" s="1" t="s">
        <v>4881</v>
      </c>
      <c r="M1959" s="1" t="s">
        <v>6135</v>
      </c>
      <c r="N1959" s="1" t="s">
        <v>6137</v>
      </c>
      <c r="P1959" s="1" t="s">
        <v>10675</v>
      </c>
      <c r="Q1959" s="30" t="s">
        <v>2565</v>
      </c>
      <c r="R1959" s="33" t="s">
        <v>3473</v>
      </c>
      <c r="S1959">
        <v>37</v>
      </c>
      <c r="T1959" s="1" t="s">
        <v>13878</v>
      </c>
      <c r="U1959" s="1" t="str">
        <f>HYPERLINK("http://ictvonline.org/taxonomy/p/taxonomy-history?taxnode_id=202110049","ICTVonline=202110049")</f>
        <v>ICTVonline=202110049</v>
      </c>
    </row>
    <row r="1960" spans="1:21" x14ac:dyDescent="0.2">
      <c r="A1960" s="3">
        <v>1959</v>
      </c>
      <c r="B1960" s="1" t="s">
        <v>4875</v>
      </c>
      <c r="D1960" s="1" t="s">
        <v>4876</v>
      </c>
      <c r="F1960" s="1" t="s">
        <v>4880</v>
      </c>
      <c r="H1960" s="1" t="s">
        <v>4881</v>
      </c>
      <c r="M1960" s="1" t="s">
        <v>5992</v>
      </c>
      <c r="N1960" s="1" t="s">
        <v>4531</v>
      </c>
      <c r="P1960" s="1" t="s">
        <v>10676</v>
      </c>
      <c r="Q1960" s="30" t="s">
        <v>2565</v>
      </c>
      <c r="R1960" s="33" t="s">
        <v>3473</v>
      </c>
      <c r="S1960">
        <v>37</v>
      </c>
      <c r="T1960" s="1" t="s">
        <v>13878</v>
      </c>
      <c r="U1960" s="1" t="str">
        <f>HYPERLINK("http://ictvonline.org/taxonomy/p/taxonomy-history?taxnode_id=202106799","ICTVonline=202106799")</f>
        <v>ICTVonline=202106799</v>
      </c>
    </row>
    <row r="1961" spans="1:21" x14ac:dyDescent="0.2">
      <c r="A1961" s="3">
        <v>1960</v>
      </c>
      <c r="B1961" s="1" t="s">
        <v>4875</v>
      </c>
      <c r="D1961" s="1" t="s">
        <v>4876</v>
      </c>
      <c r="F1961" s="1" t="s">
        <v>4880</v>
      </c>
      <c r="H1961" s="1" t="s">
        <v>4881</v>
      </c>
      <c r="M1961" s="1" t="s">
        <v>5992</v>
      </c>
      <c r="N1961" s="1" t="s">
        <v>4531</v>
      </c>
      <c r="P1961" s="1" t="s">
        <v>10677</v>
      </c>
      <c r="Q1961" s="30" t="s">
        <v>2565</v>
      </c>
      <c r="R1961" s="33" t="s">
        <v>3473</v>
      </c>
      <c r="S1961">
        <v>37</v>
      </c>
      <c r="T1961" s="1" t="s">
        <v>13878</v>
      </c>
      <c r="U1961" s="1" t="str">
        <f>HYPERLINK("http://ictvonline.org/taxonomy/p/taxonomy-history?taxnode_id=202110052","ICTVonline=202110052")</f>
        <v>ICTVonline=202110052</v>
      </c>
    </row>
    <row r="1962" spans="1:21" x14ac:dyDescent="0.2">
      <c r="A1962" s="3">
        <v>1961</v>
      </c>
      <c r="B1962" s="1" t="s">
        <v>4875</v>
      </c>
      <c r="D1962" s="1" t="s">
        <v>4876</v>
      </c>
      <c r="F1962" s="1" t="s">
        <v>4880</v>
      </c>
      <c r="H1962" s="1" t="s">
        <v>4881</v>
      </c>
      <c r="M1962" s="1" t="s">
        <v>5992</v>
      </c>
      <c r="N1962" s="1" t="s">
        <v>4531</v>
      </c>
      <c r="P1962" s="1" t="s">
        <v>10678</v>
      </c>
      <c r="Q1962" s="30" t="s">
        <v>2565</v>
      </c>
      <c r="R1962" s="33" t="s">
        <v>3473</v>
      </c>
      <c r="S1962">
        <v>37</v>
      </c>
      <c r="T1962" s="1" t="s">
        <v>13878</v>
      </c>
      <c r="U1962" s="1" t="str">
        <f>HYPERLINK("http://ictvonline.org/taxonomy/p/taxonomy-history?taxnode_id=202110053","ICTVonline=202110053")</f>
        <v>ICTVonline=202110053</v>
      </c>
    </row>
    <row r="1963" spans="1:21" x14ac:dyDescent="0.2">
      <c r="A1963" s="3">
        <v>1962</v>
      </c>
      <c r="B1963" s="1" t="s">
        <v>4875</v>
      </c>
      <c r="D1963" s="1" t="s">
        <v>4876</v>
      </c>
      <c r="F1963" s="1" t="s">
        <v>4880</v>
      </c>
      <c r="H1963" s="1" t="s">
        <v>4881</v>
      </c>
      <c r="M1963" s="1" t="s">
        <v>5992</v>
      </c>
      <c r="N1963" s="1" t="s">
        <v>4531</v>
      </c>
      <c r="P1963" s="1" t="s">
        <v>10679</v>
      </c>
      <c r="Q1963" s="30" t="s">
        <v>2565</v>
      </c>
      <c r="R1963" s="33" t="s">
        <v>3473</v>
      </c>
      <c r="S1963">
        <v>37</v>
      </c>
      <c r="T1963" s="1" t="s">
        <v>13878</v>
      </c>
      <c r="U1963" s="1" t="str">
        <f>HYPERLINK("http://ictvonline.org/taxonomy/p/taxonomy-history?taxnode_id=202110051","ICTVonline=202110051")</f>
        <v>ICTVonline=202110051</v>
      </c>
    </row>
    <row r="1964" spans="1:21" x14ac:dyDescent="0.2">
      <c r="A1964" s="3">
        <v>1963</v>
      </c>
      <c r="B1964" s="1" t="s">
        <v>4875</v>
      </c>
      <c r="D1964" s="1" t="s">
        <v>4876</v>
      </c>
      <c r="F1964" s="1" t="s">
        <v>4880</v>
      </c>
      <c r="H1964" s="1" t="s">
        <v>4881</v>
      </c>
      <c r="M1964" s="1" t="s">
        <v>5992</v>
      </c>
      <c r="N1964" s="1" t="s">
        <v>4576</v>
      </c>
      <c r="P1964" s="1" t="s">
        <v>10680</v>
      </c>
      <c r="Q1964" s="30" t="s">
        <v>2565</v>
      </c>
      <c r="R1964" s="33" t="s">
        <v>3473</v>
      </c>
      <c r="S1964">
        <v>37</v>
      </c>
      <c r="T1964" s="1" t="s">
        <v>13878</v>
      </c>
      <c r="U1964" s="1" t="str">
        <f>HYPERLINK("http://ictvonline.org/taxonomy/p/taxonomy-history?taxnode_id=202106892","ICTVonline=202106892")</f>
        <v>ICTVonline=202106892</v>
      </c>
    </row>
    <row r="1965" spans="1:21" x14ac:dyDescent="0.2">
      <c r="A1965" s="3">
        <v>1964</v>
      </c>
      <c r="B1965" s="1" t="s">
        <v>4875</v>
      </c>
      <c r="D1965" s="1" t="s">
        <v>4876</v>
      </c>
      <c r="F1965" s="1" t="s">
        <v>4880</v>
      </c>
      <c r="H1965" s="1" t="s">
        <v>4881</v>
      </c>
      <c r="M1965" s="1" t="s">
        <v>5992</v>
      </c>
      <c r="N1965" s="1" t="s">
        <v>4576</v>
      </c>
      <c r="P1965" s="1" t="s">
        <v>10681</v>
      </c>
      <c r="Q1965" s="30" t="s">
        <v>2565</v>
      </c>
      <c r="R1965" s="33" t="s">
        <v>3473</v>
      </c>
      <c r="S1965">
        <v>37</v>
      </c>
      <c r="T1965" s="1" t="s">
        <v>13878</v>
      </c>
      <c r="U1965" s="1" t="str">
        <f>HYPERLINK("http://ictvonline.org/taxonomy/p/taxonomy-history?taxnode_id=202106893","ICTVonline=202106893")</f>
        <v>ICTVonline=202106893</v>
      </c>
    </row>
    <row r="1966" spans="1:21" x14ac:dyDescent="0.2">
      <c r="A1966" s="3">
        <v>1965</v>
      </c>
      <c r="B1966" s="1" t="s">
        <v>4875</v>
      </c>
      <c r="D1966" s="1" t="s">
        <v>4876</v>
      </c>
      <c r="F1966" s="1" t="s">
        <v>4880</v>
      </c>
      <c r="H1966" s="1" t="s">
        <v>4881</v>
      </c>
      <c r="M1966" s="1" t="s">
        <v>10682</v>
      </c>
      <c r="N1966" s="1" t="s">
        <v>6167</v>
      </c>
      <c r="P1966" s="1" t="s">
        <v>10683</v>
      </c>
      <c r="Q1966" s="30" t="s">
        <v>2565</v>
      </c>
      <c r="R1966" s="33" t="s">
        <v>3473</v>
      </c>
      <c r="S1966">
        <v>37</v>
      </c>
      <c r="T1966" s="1" t="s">
        <v>13878</v>
      </c>
      <c r="U1966" s="1" t="str">
        <f>HYPERLINK("http://ictvonline.org/taxonomy/p/taxonomy-history?taxnode_id=202100892","ICTVonline=202100892")</f>
        <v>ICTVonline=202100892</v>
      </c>
    </row>
    <row r="1967" spans="1:21" x14ac:dyDescent="0.2">
      <c r="A1967" s="3">
        <v>1966</v>
      </c>
      <c r="B1967" s="1" t="s">
        <v>4875</v>
      </c>
      <c r="D1967" s="1" t="s">
        <v>4876</v>
      </c>
      <c r="F1967" s="1" t="s">
        <v>4880</v>
      </c>
      <c r="H1967" s="1" t="s">
        <v>4881</v>
      </c>
      <c r="M1967" s="1" t="s">
        <v>10682</v>
      </c>
      <c r="N1967" s="1" t="s">
        <v>6167</v>
      </c>
      <c r="P1967" s="1" t="s">
        <v>10684</v>
      </c>
      <c r="Q1967" s="30" t="s">
        <v>2565</v>
      </c>
      <c r="R1967" s="33" t="s">
        <v>3473</v>
      </c>
      <c r="S1967">
        <v>37</v>
      </c>
      <c r="T1967" s="1" t="s">
        <v>13878</v>
      </c>
      <c r="U1967" s="1" t="str">
        <f>HYPERLINK("http://ictvonline.org/taxonomy/p/taxonomy-history?taxnode_id=202100895","ICTVonline=202100895")</f>
        <v>ICTVonline=202100895</v>
      </c>
    </row>
    <row r="1968" spans="1:21" x14ac:dyDescent="0.2">
      <c r="A1968" s="3">
        <v>1967</v>
      </c>
      <c r="B1968" s="1" t="s">
        <v>4875</v>
      </c>
      <c r="D1968" s="1" t="s">
        <v>4876</v>
      </c>
      <c r="F1968" s="1" t="s">
        <v>4880</v>
      </c>
      <c r="H1968" s="1" t="s">
        <v>4881</v>
      </c>
      <c r="M1968" s="1" t="s">
        <v>10682</v>
      </c>
      <c r="N1968" s="1" t="s">
        <v>6167</v>
      </c>
      <c r="P1968" s="1" t="s">
        <v>10685</v>
      </c>
      <c r="Q1968" s="30" t="s">
        <v>2565</v>
      </c>
      <c r="R1968" s="33" t="s">
        <v>3472</v>
      </c>
      <c r="S1968">
        <v>37</v>
      </c>
      <c r="T1968" s="1" t="s">
        <v>13917</v>
      </c>
      <c r="U1968" s="1" t="str">
        <f>HYPERLINK("http://ictvonline.org/taxonomy/p/taxonomy-history?taxnode_id=202112340","ICTVonline=202112340")</f>
        <v>ICTVonline=202112340</v>
      </c>
    </row>
    <row r="1969" spans="1:21" x14ac:dyDescent="0.2">
      <c r="A1969" s="3">
        <v>1968</v>
      </c>
      <c r="B1969" s="1" t="s">
        <v>4875</v>
      </c>
      <c r="D1969" s="1" t="s">
        <v>4876</v>
      </c>
      <c r="F1969" s="1" t="s">
        <v>4880</v>
      </c>
      <c r="H1969" s="1" t="s">
        <v>4881</v>
      </c>
      <c r="M1969" s="1" t="s">
        <v>10682</v>
      </c>
      <c r="N1969" s="1" t="s">
        <v>6167</v>
      </c>
      <c r="P1969" s="1" t="s">
        <v>10686</v>
      </c>
      <c r="Q1969" s="30" t="s">
        <v>2565</v>
      </c>
      <c r="R1969" s="33" t="s">
        <v>3472</v>
      </c>
      <c r="S1969">
        <v>37</v>
      </c>
      <c r="T1969" s="1" t="s">
        <v>13917</v>
      </c>
      <c r="U1969" s="1" t="str">
        <f>HYPERLINK("http://ictvonline.org/taxonomy/p/taxonomy-history?taxnode_id=202112341","ICTVonline=202112341")</f>
        <v>ICTVonline=202112341</v>
      </c>
    </row>
    <row r="1970" spans="1:21" x14ac:dyDescent="0.2">
      <c r="A1970" s="3">
        <v>1969</v>
      </c>
      <c r="B1970" s="1" t="s">
        <v>4875</v>
      </c>
      <c r="D1970" s="1" t="s">
        <v>4876</v>
      </c>
      <c r="F1970" s="1" t="s">
        <v>4880</v>
      </c>
      <c r="H1970" s="1" t="s">
        <v>4881</v>
      </c>
      <c r="M1970" s="1" t="s">
        <v>10682</v>
      </c>
      <c r="N1970" s="1" t="s">
        <v>6167</v>
      </c>
      <c r="P1970" s="1" t="s">
        <v>10687</v>
      </c>
      <c r="Q1970" s="30" t="s">
        <v>2565</v>
      </c>
      <c r="R1970" s="33" t="s">
        <v>3473</v>
      </c>
      <c r="S1970">
        <v>37</v>
      </c>
      <c r="T1970" s="1" t="s">
        <v>13878</v>
      </c>
      <c r="U1970" s="1" t="str">
        <f>HYPERLINK("http://ictvonline.org/taxonomy/p/taxonomy-history?taxnode_id=202100918","ICTVonline=202100918")</f>
        <v>ICTVonline=202100918</v>
      </c>
    </row>
    <row r="1971" spans="1:21" x14ac:dyDescent="0.2">
      <c r="A1971" s="3">
        <v>1970</v>
      </c>
      <c r="B1971" s="1" t="s">
        <v>4875</v>
      </c>
      <c r="D1971" s="1" t="s">
        <v>4876</v>
      </c>
      <c r="F1971" s="1" t="s">
        <v>4880</v>
      </c>
      <c r="H1971" s="1" t="s">
        <v>4881</v>
      </c>
      <c r="M1971" s="1" t="s">
        <v>10682</v>
      </c>
      <c r="N1971" s="1" t="s">
        <v>6167</v>
      </c>
      <c r="P1971" s="1" t="s">
        <v>10688</v>
      </c>
      <c r="Q1971" s="30" t="s">
        <v>2565</v>
      </c>
      <c r="R1971" s="33" t="s">
        <v>3472</v>
      </c>
      <c r="S1971">
        <v>37</v>
      </c>
      <c r="T1971" s="1" t="s">
        <v>13917</v>
      </c>
      <c r="U1971" s="1" t="str">
        <f>HYPERLINK("http://ictvonline.org/taxonomy/p/taxonomy-history?taxnode_id=202112342","ICTVonline=202112342")</f>
        <v>ICTVonline=202112342</v>
      </c>
    </row>
    <row r="1972" spans="1:21" x14ac:dyDescent="0.2">
      <c r="A1972" s="3">
        <v>1971</v>
      </c>
      <c r="B1972" s="1" t="s">
        <v>4875</v>
      </c>
      <c r="D1972" s="1" t="s">
        <v>4876</v>
      </c>
      <c r="F1972" s="1" t="s">
        <v>4880</v>
      </c>
      <c r="H1972" s="1" t="s">
        <v>4881</v>
      </c>
      <c r="M1972" s="1" t="s">
        <v>10682</v>
      </c>
      <c r="N1972" s="1" t="s">
        <v>4658</v>
      </c>
      <c r="P1972" s="1" t="s">
        <v>10689</v>
      </c>
      <c r="Q1972" s="30" t="s">
        <v>2565</v>
      </c>
      <c r="R1972" s="33" t="s">
        <v>3472</v>
      </c>
      <c r="S1972">
        <v>37</v>
      </c>
      <c r="T1972" s="1" t="s">
        <v>13917</v>
      </c>
      <c r="U1972" s="1" t="str">
        <f>HYPERLINK("http://ictvonline.org/taxonomy/p/taxonomy-history?taxnode_id=202112257","ICTVonline=202112257")</f>
        <v>ICTVonline=202112257</v>
      </c>
    </row>
    <row r="1973" spans="1:21" x14ac:dyDescent="0.2">
      <c r="A1973" s="3">
        <v>1972</v>
      </c>
      <c r="B1973" s="1" t="s">
        <v>4875</v>
      </c>
      <c r="D1973" s="1" t="s">
        <v>4876</v>
      </c>
      <c r="F1973" s="1" t="s">
        <v>4880</v>
      </c>
      <c r="H1973" s="1" t="s">
        <v>4881</v>
      </c>
      <c r="M1973" s="1" t="s">
        <v>10682</v>
      </c>
      <c r="N1973" s="1" t="s">
        <v>4658</v>
      </c>
      <c r="P1973" s="1" t="s">
        <v>10690</v>
      </c>
      <c r="Q1973" s="30" t="s">
        <v>2565</v>
      </c>
      <c r="R1973" s="33" t="s">
        <v>3472</v>
      </c>
      <c r="S1973">
        <v>37</v>
      </c>
      <c r="T1973" s="1" t="s">
        <v>13917</v>
      </c>
      <c r="U1973" s="1" t="str">
        <f>HYPERLINK("http://ictvonline.org/taxonomy/p/taxonomy-history?taxnode_id=202112258","ICTVonline=202112258")</f>
        <v>ICTVonline=202112258</v>
      </c>
    </row>
    <row r="1974" spans="1:21" x14ac:dyDescent="0.2">
      <c r="A1974" s="3">
        <v>1973</v>
      </c>
      <c r="B1974" s="1" t="s">
        <v>4875</v>
      </c>
      <c r="D1974" s="1" t="s">
        <v>4876</v>
      </c>
      <c r="F1974" s="1" t="s">
        <v>4880</v>
      </c>
      <c r="H1974" s="1" t="s">
        <v>4881</v>
      </c>
      <c r="M1974" s="1" t="s">
        <v>10682</v>
      </c>
      <c r="N1974" s="1" t="s">
        <v>4658</v>
      </c>
      <c r="P1974" s="1" t="s">
        <v>10691</v>
      </c>
      <c r="Q1974" s="30" t="s">
        <v>2565</v>
      </c>
      <c r="R1974" s="33" t="s">
        <v>3472</v>
      </c>
      <c r="S1974">
        <v>37</v>
      </c>
      <c r="T1974" s="1" t="s">
        <v>13917</v>
      </c>
      <c r="U1974" s="1" t="str">
        <f>HYPERLINK("http://ictvonline.org/taxonomy/p/taxonomy-history?taxnode_id=202112259","ICTVonline=202112259")</f>
        <v>ICTVonline=202112259</v>
      </c>
    </row>
    <row r="1975" spans="1:21" x14ac:dyDescent="0.2">
      <c r="A1975" s="3">
        <v>1974</v>
      </c>
      <c r="B1975" s="1" t="s">
        <v>4875</v>
      </c>
      <c r="D1975" s="1" t="s">
        <v>4876</v>
      </c>
      <c r="F1975" s="1" t="s">
        <v>4880</v>
      </c>
      <c r="H1975" s="1" t="s">
        <v>4881</v>
      </c>
      <c r="M1975" s="1" t="s">
        <v>10682</v>
      </c>
      <c r="N1975" s="1" t="s">
        <v>4658</v>
      </c>
      <c r="P1975" s="1" t="s">
        <v>10692</v>
      </c>
      <c r="Q1975" s="30" t="s">
        <v>2565</v>
      </c>
      <c r="R1975" s="33" t="s">
        <v>3472</v>
      </c>
      <c r="S1975">
        <v>37</v>
      </c>
      <c r="T1975" s="1" t="s">
        <v>13917</v>
      </c>
      <c r="U1975" s="1" t="str">
        <f>HYPERLINK("http://ictvonline.org/taxonomy/p/taxonomy-history?taxnode_id=202112260","ICTVonline=202112260")</f>
        <v>ICTVonline=202112260</v>
      </c>
    </row>
    <row r="1976" spans="1:21" x14ac:dyDescent="0.2">
      <c r="A1976" s="3">
        <v>1975</v>
      </c>
      <c r="B1976" s="1" t="s">
        <v>4875</v>
      </c>
      <c r="D1976" s="1" t="s">
        <v>4876</v>
      </c>
      <c r="F1976" s="1" t="s">
        <v>4880</v>
      </c>
      <c r="H1976" s="1" t="s">
        <v>4881</v>
      </c>
      <c r="M1976" s="1" t="s">
        <v>10682</v>
      </c>
      <c r="N1976" s="1" t="s">
        <v>4658</v>
      </c>
      <c r="P1976" s="1" t="s">
        <v>10693</v>
      </c>
      <c r="Q1976" s="30" t="s">
        <v>2565</v>
      </c>
      <c r="R1976" s="33" t="s">
        <v>3472</v>
      </c>
      <c r="S1976">
        <v>37</v>
      </c>
      <c r="T1976" s="1" t="s">
        <v>13917</v>
      </c>
      <c r="U1976" s="1" t="str">
        <f>HYPERLINK("http://ictvonline.org/taxonomy/p/taxonomy-history?taxnode_id=202112261","ICTVonline=202112261")</f>
        <v>ICTVonline=202112261</v>
      </c>
    </row>
    <row r="1977" spans="1:21" x14ac:dyDescent="0.2">
      <c r="A1977" s="3">
        <v>1976</v>
      </c>
      <c r="B1977" s="1" t="s">
        <v>4875</v>
      </c>
      <c r="D1977" s="1" t="s">
        <v>4876</v>
      </c>
      <c r="F1977" s="1" t="s">
        <v>4880</v>
      </c>
      <c r="H1977" s="1" t="s">
        <v>4881</v>
      </c>
      <c r="M1977" s="1" t="s">
        <v>10682</v>
      </c>
      <c r="N1977" s="1" t="s">
        <v>4658</v>
      </c>
      <c r="P1977" s="1" t="s">
        <v>10694</v>
      </c>
      <c r="Q1977" s="30" t="s">
        <v>2565</v>
      </c>
      <c r="R1977" s="33" t="s">
        <v>3472</v>
      </c>
      <c r="S1977">
        <v>37</v>
      </c>
      <c r="T1977" s="1" t="s">
        <v>13917</v>
      </c>
      <c r="U1977" s="1" t="str">
        <f>HYPERLINK("http://ictvonline.org/taxonomy/p/taxonomy-history?taxnode_id=202112262","ICTVonline=202112262")</f>
        <v>ICTVonline=202112262</v>
      </c>
    </row>
    <row r="1978" spans="1:21" x14ac:dyDescent="0.2">
      <c r="A1978" s="3">
        <v>1977</v>
      </c>
      <c r="B1978" s="1" t="s">
        <v>4875</v>
      </c>
      <c r="D1978" s="1" t="s">
        <v>4876</v>
      </c>
      <c r="F1978" s="1" t="s">
        <v>4880</v>
      </c>
      <c r="H1978" s="1" t="s">
        <v>4881</v>
      </c>
      <c r="M1978" s="1" t="s">
        <v>10682</v>
      </c>
      <c r="N1978" s="1" t="s">
        <v>4658</v>
      </c>
      <c r="P1978" s="1" t="s">
        <v>10695</v>
      </c>
      <c r="Q1978" s="30" t="s">
        <v>2565</v>
      </c>
      <c r="R1978" s="33" t="s">
        <v>3472</v>
      </c>
      <c r="S1978">
        <v>37</v>
      </c>
      <c r="T1978" s="1" t="s">
        <v>13917</v>
      </c>
      <c r="U1978" s="1" t="str">
        <f>HYPERLINK("http://ictvonline.org/taxonomy/p/taxonomy-history?taxnode_id=202112263","ICTVonline=202112263")</f>
        <v>ICTVonline=202112263</v>
      </c>
    </row>
    <row r="1979" spans="1:21" x14ac:dyDescent="0.2">
      <c r="A1979" s="3">
        <v>1978</v>
      </c>
      <c r="B1979" s="1" t="s">
        <v>4875</v>
      </c>
      <c r="D1979" s="1" t="s">
        <v>4876</v>
      </c>
      <c r="F1979" s="1" t="s">
        <v>4880</v>
      </c>
      <c r="H1979" s="1" t="s">
        <v>4881</v>
      </c>
      <c r="M1979" s="1" t="s">
        <v>10682</v>
      </c>
      <c r="N1979" s="1" t="s">
        <v>4658</v>
      </c>
      <c r="P1979" s="1" t="s">
        <v>10696</v>
      </c>
      <c r="Q1979" s="30" t="s">
        <v>2565</v>
      </c>
      <c r="R1979" s="33" t="s">
        <v>3472</v>
      </c>
      <c r="S1979">
        <v>37</v>
      </c>
      <c r="T1979" s="1" t="s">
        <v>13917</v>
      </c>
      <c r="U1979" s="1" t="str">
        <f>HYPERLINK("http://ictvonline.org/taxonomy/p/taxonomy-history?taxnode_id=202112264","ICTVonline=202112264")</f>
        <v>ICTVonline=202112264</v>
      </c>
    </row>
    <row r="1980" spans="1:21" x14ac:dyDescent="0.2">
      <c r="A1980" s="3">
        <v>1979</v>
      </c>
      <c r="B1980" s="1" t="s">
        <v>4875</v>
      </c>
      <c r="D1980" s="1" t="s">
        <v>4876</v>
      </c>
      <c r="F1980" s="1" t="s">
        <v>4880</v>
      </c>
      <c r="H1980" s="1" t="s">
        <v>4881</v>
      </c>
      <c r="M1980" s="1" t="s">
        <v>10682</v>
      </c>
      <c r="N1980" s="1" t="s">
        <v>4658</v>
      </c>
      <c r="P1980" s="1" t="s">
        <v>10697</v>
      </c>
      <c r="Q1980" s="30" t="s">
        <v>2565</v>
      </c>
      <c r="R1980" s="33" t="s">
        <v>3472</v>
      </c>
      <c r="S1980">
        <v>37</v>
      </c>
      <c r="T1980" s="1" t="s">
        <v>13917</v>
      </c>
      <c r="U1980" s="1" t="str">
        <f>HYPERLINK("http://ictvonline.org/taxonomy/p/taxonomy-history?taxnode_id=202112265","ICTVonline=202112265")</f>
        <v>ICTVonline=202112265</v>
      </c>
    </row>
    <row r="1981" spans="1:21" x14ac:dyDescent="0.2">
      <c r="A1981" s="3">
        <v>1980</v>
      </c>
      <c r="B1981" s="1" t="s">
        <v>4875</v>
      </c>
      <c r="D1981" s="1" t="s">
        <v>4876</v>
      </c>
      <c r="F1981" s="1" t="s">
        <v>4880</v>
      </c>
      <c r="H1981" s="1" t="s">
        <v>4881</v>
      </c>
      <c r="M1981" s="1" t="s">
        <v>10682</v>
      </c>
      <c r="N1981" s="1" t="s">
        <v>4658</v>
      </c>
      <c r="P1981" s="1" t="s">
        <v>10698</v>
      </c>
      <c r="Q1981" s="30" t="s">
        <v>2565</v>
      </c>
      <c r="R1981" s="33" t="s">
        <v>3472</v>
      </c>
      <c r="S1981">
        <v>37</v>
      </c>
      <c r="T1981" s="1" t="s">
        <v>13917</v>
      </c>
      <c r="U1981" s="1" t="str">
        <f>HYPERLINK("http://ictvonline.org/taxonomy/p/taxonomy-history?taxnode_id=202112266","ICTVonline=202112266")</f>
        <v>ICTVonline=202112266</v>
      </c>
    </row>
    <row r="1982" spans="1:21" x14ac:dyDescent="0.2">
      <c r="A1982" s="3">
        <v>1981</v>
      </c>
      <c r="B1982" s="1" t="s">
        <v>4875</v>
      </c>
      <c r="D1982" s="1" t="s">
        <v>4876</v>
      </c>
      <c r="F1982" s="1" t="s">
        <v>4880</v>
      </c>
      <c r="H1982" s="1" t="s">
        <v>4881</v>
      </c>
      <c r="M1982" s="1" t="s">
        <v>10682</v>
      </c>
      <c r="N1982" s="1" t="s">
        <v>4658</v>
      </c>
      <c r="P1982" s="1" t="s">
        <v>10699</v>
      </c>
      <c r="Q1982" s="30" t="s">
        <v>2565</v>
      </c>
      <c r="R1982" s="33" t="s">
        <v>3472</v>
      </c>
      <c r="S1982">
        <v>37</v>
      </c>
      <c r="T1982" s="1" t="s">
        <v>13917</v>
      </c>
      <c r="U1982" s="1" t="str">
        <f>HYPERLINK("http://ictvonline.org/taxonomy/p/taxonomy-history?taxnode_id=202112267","ICTVonline=202112267")</f>
        <v>ICTVonline=202112267</v>
      </c>
    </row>
    <row r="1983" spans="1:21" x14ac:dyDescent="0.2">
      <c r="A1983" s="3">
        <v>1982</v>
      </c>
      <c r="B1983" s="1" t="s">
        <v>4875</v>
      </c>
      <c r="D1983" s="1" t="s">
        <v>4876</v>
      </c>
      <c r="F1983" s="1" t="s">
        <v>4880</v>
      </c>
      <c r="H1983" s="1" t="s">
        <v>4881</v>
      </c>
      <c r="M1983" s="1" t="s">
        <v>10682</v>
      </c>
      <c r="N1983" s="1" t="s">
        <v>4658</v>
      </c>
      <c r="P1983" s="1" t="s">
        <v>10700</v>
      </c>
      <c r="Q1983" s="30" t="s">
        <v>2565</v>
      </c>
      <c r="R1983" s="33" t="s">
        <v>3472</v>
      </c>
      <c r="S1983">
        <v>37</v>
      </c>
      <c r="T1983" s="1" t="s">
        <v>13917</v>
      </c>
      <c r="U1983" s="1" t="str">
        <f>HYPERLINK("http://ictvonline.org/taxonomy/p/taxonomy-history?taxnode_id=202112268","ICTVonline=202112268")</f>
        <v>ICTVonline=202112268</v>
      </c>
    </row>
    <row r="1984" spans="1:21" x14ac:dyDescent="0.2">
      <c r="A1984" s="3">
        <v>1983</v>
      </c>
      <c r="B1984" s="1" t="s">
        <v>4875</v>
      </c>
      <c r="D1984" s="1" t="s">
        <v>4876</v>
      </c>
      <c r="F1984" s="1" t="s">
        <v>4880</v>
      </c>
      <c r="H1984" s="1" t="s">
        <v>4881</v>
      </c>
      <c r="M1984" s="1" t="s">
        <v>10682</v>
      </c>
      <c r="N1984" s="1" t="s">
        <v>4658</v>
      </c>
      <c r="P1984" s="1" t="s">
        <v>10701</v>
      </c>
      <c r="Q1984" s="30" t="s">
        <v>2565</v>
      </c>
      <c r="R1984" s="33" t="s">
        <v>3472</v>
      </c>
      <c r="S1984">
        <v>37</v>
      </c>
      <c r="T1984" s="1" t="s">
        <v>13917</v>
      </c>
      <c r="U1984" s="1" t="str">
        <f>HYPERLINK("http://ictvonline.org/taxonomy/p/taxonomy-history?taxnode_id=202112269","ICTVonline=202112269")</f>
        <v>ICTVonline=202112269</v>
      </c>
    </row>
    <row r="1985" spans="1:21" x14ac:dyDescent="0.2">
      <c r="A1985" s="3">
        <v>1984</v>
      </c>
      <c r="B1985" s="1" t="s">
        <v>4875</v>
      </c>
      <c r="D1985" s="1" t="s">
        <v>4876</v>
      </c>
      <c r="F1985" s="1" t="s">
        <v>4880</v>
      </c>
      <c r="H1985" s="1" t="s">
        <v>4881</v>
      </c>
      <c r="M1985" s="1" t="s">
        <v>10682</v>
      </c>
      <c r="N1985" s="1" t="s">
        <v>4658</v>
      </c>
      <c r="P1985" s="1" t="s">
        <v>10702</v>
      </c>
      <c r="Q1985" s="30" t="s">
        <v>2565</v>
      </c>
      <c r="R1985" s="33" t="s">
        <v>3472</v>
      </c>
      <c r="S1985">
        <v>37</v>
      </c>
      <c r="T1985" s="1" t="s">
        <v>13917</v>
      </c>
      <c r="U1985" s="1" t="str">
        <f>HYPERLINK("http://ictvonline.org/taxonomy/p/taxonomy-history?taxnode_id=202112270","ICTVonline=202112270")</f>
        <v>ICTVonline=202112270</v>
      </c>
    </row>
    <row r="1986" spans="1:21" x14ac:dyDescent="0.2">
      <c r="A1986" s="3">
        <v>1985</v>
      </c>
      <c r="B1986" s="1" t="s">
        <v>4875</v>
      </c>
      <c r="D1986" s="1" t="s">
        <v>4876</v>
      </c>
      <c r="F1986" s="1" t="s">
        <v>4880</v>
      </c>
      <c r="H1986" s="1" t="s">
        <v>4881</v>
      </c>
      <c r="M1986" s="1" t="s">
        <v>10682</v>
      </c>
      <c r="N1986" s="1" t="s">
        <v>4658</v>
      </c>
      <c r="P1986" s="1" t="s">
        <v>10703</v>
      </c>
      <c r="Q1986" s="30" t="s">
        <v>2565</v>
      </c>
      <c r="R1986" s="33" t="s">
        <v>3472</v>
      </c>
      <c r="S1986">
        <v>37</v>
      </c>
      <c r="T1986" s="1" t="s">
        <v>13917</v>
      </c>
      <c r="U1986" s="1" t="str">
        <f>HYPERLINK("http://ictvonline.org/taxonomy/p/taxonomy-history?taxnode_id=202112271","ICTVonline=202112271")</f>
        <v>ICTVonline=202112271</v>
      </c>
    </row>
    <row r="1987" spans="1:21" x14ac:dyDescent="0.2">
      <c r="A1987" s="3">
        <v>1986</v>
      </c>
      <c r="B1987" s="1" t="s">
        <v>4875</v>
      </c>
      <c r="D1987" s="1" t="s">
        <v>4876</v>
      </c>
      <c r="F1987" s="1" t="s">
        <v>4880</v>
      </c>
      <c r="H1987" s="1" t="s">
        <v>4881</v>
      </c>
      <c r="M1987" s="1" t="s">
        <v>10682</v>
      </c>
      <c r="N1987" s="1" t="s">
        <v>4658</v>
      </c>
      <c r="P1987" s="1" t="s">
        <v>10704</v>
      </c>
      <c r="Q1987" s="30" t="s">
        <v>2565</v>
      </c>
      <c r="R1987" s="33" t="s">
        <v>3472</v>
      </c>
      <c r="S1987">
        <v>37</v>
      </c>
      <c r="T1987" s="1" t="s">
        <v>13917</v>
      </c>
      <c r="U1987" s="1" t="str">
        <f>HYPERLINK("http://ictvonline.org/taxonomy/p/taxonomy-history?taxnode_id=202112272","ICTVonline=202112272")</f>
        <v>ICTVonline=202112272</v>
      </c>
    </row>
    <row r="1988" spans="1:21" x14ac:dyDescent="0.2">
      <c r="A1988" s="3">
        <v>1987</v>
      </c>
      <c r="B1988" s="1" t="s">
        <v>4875</v>
      </c>
      <c r="D1988" s="1" t="s">
        <v>4876</v>
      </c>
      <c r="F1988" s="1" t="s">
        <v>4880</v>
      </c>
      <c r="H1988" s="1" t="s">
        <v>4881</v>
      </c>
      <c r="M1988" s="1" t="s">
        <v>10682</v>
      </c>
      <c r="N1988" s="1" t="s">
        <v>4658</v>
      </c>
      <c r="P1988" s="1" t="s">
        <v>10705</v>
      </c>
      <c r="Q1988" s="30" t="s">
        <v>2565</v>
      </c>
      <c r="R1988" s="33" t="s">
        <v>3472</v>
      </c>
      <c r="S1988">
        <v>37</v>
      </c>
      <c r="T1988" s="1" t="s">
        <v>13917</v>
      </c>
      <c r="U1988" s="1" t="str">
        <f>HYPERLINK("http://ictvonline.org/taxonomy/p/taxonomy-history?taxnode_id=202112273","ICTVonline=202112273")</f>
        <v>ICTVonline=202112273</v>
      </c>
    </row>
    <row r="1989" spans="1:21" x14ac:dyDescent="0.2">
      <c r="A1989" s="3">
        <v>1988</v>
      </c>
      <c r="B1989" s="1" t="s">
        <v>4875</v>
      </c>
      <c r="D1989" s="1" t="s">
        <v>4876</v>
      </c>
      <c r="F1989" s="1" t="s">
        <v>4880</v>
      </c>
      <c r="H1989" s="1" t="s">
        <v>4881</v>
      </c>
      <c r="M1989" s="1" t="s">
        <v>10682</v>
      </c>
      <c r="N1989" s="1" t="s">
        <v>4658</v>
      </c>
      <c r="P1989" s="1" t="s">
        <v>10706</v>
      </c>
      <c r="Q1989" s="30" t="s">
        <v>2565</v>
      </c>
      <c r="R1989" s="33" t="s">
        <v>3472</v>
      </c>
      <c r="S1989">
        <v>37</v>
      </c>
      <c r="T1989" s="1" t="s">
        <v>13917</v>
      </c>
      <c r="U1989" s="1" t="str">
        <f>HYPERLINK("http://ictvonline.org/taxonomy/p/taxonomy-history?taxnode_id=202112274","ICTVonline=202112274")</f>
        <v>ICTVonline=202112274</v>
      </c>
    </row>
    <row r="1990" spans="1:21" x14ac:dyDescent="0.2">
      <c r="A1990" s="3">
        <v>1989</v>
      </c>
      <c r="B1990" s="1" t="s">
        <v>4875</v>
      </c>
      <c r="D1990" s="1" t="s">
        <v>4876</v>
      </c>
      <c r="F1990" s="1" t="s">
        <v>4880</v>
      </c>
      <c r="H1990" s="1" t="s">
        <v>4881</v>
      </c>
      <c r="M1990" s="1" t="s">
        <v>10682</v>
      </c>
      <c r="N1990" s="1" t="s">
        <v>4658</v>
      </c>
      <c r="P1990" s="1" t="s">
        <v>10707</v>
      </c>
      <c r="Q1990" s="30" t="s">
        <v>2565</v>
      </c>
      <c r="R1990" s="33" t="s">
        <v>3472</v>
      </c>
      <c r="S1990">
        <v>37</v>
      </c>
      <c r="T1990" s="1" t="s">
        <v>13917</v>
      </c>
      <c r="U1990" s="1" t="str">
        <f>HYPERLINK("http://ictvonline.org/taxonomy/p/taxonomy-history?taxnode_id=202112275","ICTVonline=202112275")</f>
        <v>ICTVonline=202112275</v>
      </c>
    </row>
    <row r="1991" spans="1:21" x14ac:dyDescent="0.2">
      <c r="A1991" s="3">
        <v>1990</v>
      </c>
      <c r="B1991" s="1" t="s">
        <v>4875</v>
      </c>
      <c r="D1991" s="1" t="s">
        <v>4876</v>
      </c>
      <c r="F1991" s="1" t="s">
        <v>4880</v>
      </c>
      <c r="H1991" s="1" t="s">
        <v>4881</v>
      </c>
      <c r="M1991" s="1" t="s">
        <v>10682</v>
      </c>
      <c r="N1991" s="1" t="s">
        <v>4658</v>
      </c>
      <c r="P1991" s="1" t="s">
        <v>10708</v>
      </c>
      <c r="Q1991" s="30" t="s">
        <v>2565</v>
      </c>
      <c r="R1991" s="33" t="s">
        <v>3472</v>
      </c>
      <c r="S1991">
        <v>37</v>
      </c>
      <c r="T1991" s="1" t="s">
        <v>13917</v>
      </c>
      <c r="U1991" s="1" t="str">
        <f>HYPERLINK("http://ictvonline.org/taxonomy/p/taxonomy-history?taxnode_id=202112276","ICTVonline=202112276")</f>
        <v>ICTVonline=202112276</v>
      </c>
    </row>
    <row r="1992" spans="1:21" x14ac:dyDescent="0.2">
      <c r="A1992" s="3">
        <v>1991</v>
      </c>
      <c r="B1992" s="1" t="s">
        <v>4875</v>
      </c>
      <c r="D1992" s="1" t="s">
        <v>4876</v>
      </c>
      <c r="F1992" s="1" t="s">
        <v>4880</v>
      </c>
      <c r="H1992" s="1" t="s">
        <v>4881</v>
      </c>
      <c r="M1992" s="1" t="s">
        <v>10682</v>
      </c>
      <c r="N1992" s="1" t="s">
        <v>4658</v>
      </c>
      <c r="P1992" s="1" t="s">
        <v>10709</v>
      </c>
      <c r="Q1992" s="30" t="s">
        <v>2565</v>
      </c>
      <c r="R1992" s="33" t="s">
        <v>3472</v>
      </c>
      <c r="S1992">
        <v>37</v>
      </c>
      <c r="T1992" s="1" t="s">
        <v>13917</v>
      </c>
      <c r="U1992" s="1" t="str">
        <f>HYPERLINK("http://ictvonline.org/taxonomy/p/taxonomy-history?taxnode_id=202112277","ICTVonline=202112277")</f>
        <v>ICTVonline=202112277</v>
      </c>
    </row>
    <row r="1993" spans="1:21" x14ac:dyDescent="0.2">
      <c r="A1993" s="3">
        <v>1992</v>
      </c>
      <c r="B1993" s="1" t="s">
        <v>4875</v>
      </c>
      <c r="D1993" s="1" t="s">
        <v>4876</v>
      </c>
      <c r="F1993" s="1" t="s">
        <v>4880</v>
      </c>
      <c r="H1993" s="1" t="s">
        <v>4881</v>
      </c>
      <c r="M1993" s="1" t="s">
        <v>10682</v>
      </c>
      <c r="N1993" s="1" t="s">
        <v>4658</v>
      </c>
      <c r="P1993" s="1" t="s">
        <v>10710</v>
      </c>
      <c r="Q1993" s="30" t="s">
        <v>2565</v>
      </c>
      <c r="R1993" s="33" t="s">
        <v>3472</v>
      </c>
      <c r="S1993">
        <v>37</v>
      </c>
      <c r="T1993" s="1" t="s">
        <v>13917</v>
      </c>
      <c r="U1993" s="1" t="str">
        <f>HYPERLINK("http://ictvonline.org/taxonomy/p/taxonomy-history?taxnode_id=202112278","ICTVonline=202112278")</f>
        <v>ICTVonline=202112278</v>
      </c>
    </row>
    <row r="1994" spans="1:21" x14ac:dyDescent="0.2">
      <c r="A1994" s="3">
        <v>1993</v>
      </c>
      <c r="B1994" s="1" t="s">
        <v>4875</v>
      </c>
      <c r="D1994" s="1" t="s">
        <v>4876</v>
      </c>
      <c r="F1994" s="1" t="s">
        <v>4880</v>
      </c>
      <c r="H1994" s="1" t="s">
        <v>4881</v>
      </c>
      <c r="M1994" s="1" t="s">
        <v>10682</v>
      </c>
      <c r="N1994" s="1" t="s">
        <v>4658</v>
      </c>
      <c r="P1994" s="1" t="s">
        <v>10711</v>
      </c>
      <c r="Q1994" s="30" t="s">
        <v>2565</v>
      </c>
      <c r="R1994" s="33" t="s">
        <v>3472</v>
      </c>
      <c r="S1994">
        <v>37</v>
      </c>
      <c r="T1994" s="1" t="s">
        <v>13917</v>
      </c>
      <c r="U1994" s="1" t="str">
        <f>HYPERLINK("http://ictvonline.org/taxonomy/p/taxonomy-history?taxnode_id=202112279","ICTVonline=202112279")</f>
        <v>ICTVonline=202112279</v>
      </c>
    </row>
    <row r="1995" spans="1:21" x14ac:dyDescent="0.2">
      <c r="A1995" s="3">
        <v>1994</v>
      </c>
      <c r="B1995" s="1" t="s">
        <v>4875</v>
      </c>
      <c r="D1995" s="1" t="s">
        <v>4876</v>
      </c>
      <c r="F1995" s="1" t="s">
        <v>4880</v>
      </c>
      <c r="H1995" s="1" t="s">
        <v>4881</v>
      </c>
      <c r="M1995" s="1" t="s">
        <v>10682</v>
      </c>
      <c r="N1995" s="1" t="s">
        <v>4658</v>
      </c>
      <c r="P1995" s="1" t="s">
        <v>10712</v>
      </c>
      <c r="Q1995" s="30" t="s">
        <v>2565</v>
      </c>
      <c r="R1995" s="33" t="s">
        <v>3472</v>
      </c>
      <c r="S1995">
        <v>37</v>
      </c>
      <c r="T1995" s="1" t="s">
        <v>13917</v>
      </c>
      <c r="U1995" s="1" t="str">
        <f>HYPERLINK("http://ictvonline.org/taxonomy/p/taxonomy-history?taxnode_id=202112280","ICTVonline=202112280")</f>
        <v>ICTVonline=202112280</v>
      </c>
    </row>
    <row r="1996" spans="1:21" x14ac:dyDescent="0.2">
      <c r="A1996" s="3">
        <v>1995</v>
      </c>
      <c r="B1996" s="1" t="s">
        <v>4875</v>
      </c>
      <c r="D1996" s="1" t="s">
        <v>4876</v>
      </c>
      <c r="F1996" s="1" t="s">
        <v>4880</v>
      </c>
      <c r="H1996" s="1" t="s">
        <v>4881</v>
      </c>
      <c r="M1996" s="1" t="s">
        <v>10682</v>
      </c>
      <c r="N1996" s="1" t="s">
        <v>4658</v>
      </c>
      <c r="P1996" s="1" t="s">
        <v>10713</v>
      </c>
      <c r="Q1996" s="30" t="s">
        <v>2565</v>
      </c>
      <c r="R1996" s="33" t="s">
        <v>3472</v>
      </c>
      <c r="S1996">
        <v>37</v>
      </c>
      <c r="T1996" s="1" t="s">
        <v>13917</v>
      </c>
      <c r="U1996" s="1" t="str">
        <f>HYPERLINK("http://ictvonline.org/taxonomy/p/taxonomy-history?taxnode_id=202112281","ICTVonline=202112281")</f>
        <v>ICTVonline=202112281</v>
      </c>
    </row>
    <row r="1997" spans="1:21" x14ac:dyDescent="0.2">
      <c r="A1997" s="3">
        <v>1996</v>
      </c>
      <c r="B1997" s="1" t="s">
        <v>4875</v>
      </c>
      <c r="D1997" s="1" t="s">
        <v>4876</v>
      </c>
      <c r="F1997" s="1" t="s">
        <v>4880</v>
      </c>
      <c r="H1997" s="1" t="s">
        <v>4881</v>
      </c>
      <c r="M1997" s="1" t="s">
        <v>10682</v>
      </c>
      <c r="N1997" s="1" t="s">
        <v>4658</v>
      </c>
      <c r="P1997" s="1" t="s">
        <v>10714</v>
      </c>
      <c r="Q1997" s="30" t="s">
        <v>2565</v>
      </c>
      <c r="R1997" s="33" t="s">
        <v>3472</v>
      </c>
      <c r="S1997">
        <v>37</v>
      </c>
      <c r="T1997" s="1" t="s">
        <v>13917</v>
      </c>
      <c r="U1997" s="1" t="str">
        <f>HYPERLINK("http://ictvonline.org/taxonomy/p/taxonomy-history?taxnode_id=202112282","ICTVonline=202112282")</f>
        <v>ICTVonline=202112282</v>
      </c>
    </row>
    <row r="1998" spans="1:21" x14ac:dyDescent="0.2">
      <c r="A1998" s="3">
        <v>1997</v>
      </c>
      <c r="B1998" s="1" t="s">
        <v>4875</v>
      </c>
      <c r="D1998" s="1" t="s">
        <v>4876</v>
      </c>
      <c r="F1998" s="1" t="s">
        <v>4880</v>
      </c>
      <c r="H1998" s="1" t="s">
        <v>4881</v>
      </c>
      <c r="M1998" s="1" t="s">
        <v>10682</v>
      </c>
      <c r="N1998" s="1" t="s">
        <v>4658</v>
      </c>
      <c r="P1998" s="1" t="s">
        <v>10715</v>
      </c>
      <c r="Q1998" s="30" t="s">
        <v>2565</v>
      </c>
      <c r="R1998" s="33" t="s">
        <v>3472</v>
      </c>
      <c r="S1998">
        <v>37</v>
      </c>
      <c r="T1998" s="1" t="s">
        <v>13917</v>
      </c>
      <c r="U1998" s="1" t="str">
        <f>HYPERLINK("http://ictvonline.org/taxonomy/p/taxonomy-history?taxnode_id=202112283","ICTVonline=202112283")</f>
        <v>ICTVonline=202112283</v>
      </c>
    </row>
    <row r="1999" spans="1:21" x14ac:dyDescent="0.2">
      <c r="A1999" s="3">
        <v>1998</v>
      </c>
      <c r="B1999" s="1" t="s">
        <v>4875</v>
      </c>
      <c r="D1999" s="1" t="s">
        <v>4876</v>
      </c>
      <c r="F1999" s="1" t="s">
        <v>4880</v>
      </c>
      <c r="H1999" s="1" t="s">
        <v>4881</v>
      </c>
      <c r="M1999" s="1" t="s">
        <v>10682</v>
      </c>
      <c r="N1999" s="1" t="s">
        <v>4658</v>
      </c>
      <c r="P1999" s="1" t="s">
        <v>10716</v>
      </c>
      <c r="Q1999" s="30" t="s">
        <v>2565</v>
      </c>
      <c r="R1999" s="33" t="s">
        <v>3472</v>
      </c>
      <c r="S1999">
        <v>37</v>
      </c>
      <c r="T1999" s="1" t="s">
        <v>13917</v>
      </c>
      <c r="U1999" s="1" t="str">
        <f>HYPERLINK("http://ictvonline.org/taxonomy/p/taxonomy-history?taxnode_id=202112284","ICTVonline=202112284")</f>
        <v>ICTVonline=202112284</v>
      </c>
    </row>
    <row r="2000" spans="1:21" x14ac:dyDescent="0.2">
      <c r="A2000" s="3">
        <v>1999</v>
      </c>
      <c r="B2000" s="1" t="s">
        <v>4875</v>
      </c>
      <c r="D2000" s="1" t="s">
        <v>4876</v>
      </c>
      <c r="F2000" s="1" t="s">
        <v>4880</v>
      </c>
      <c r="H2000" s="1" t="s">
        <v>4881</v>
      </c>
      <c r="M2000" s="1" t="s">
        <v>10682</v>
      </c>
      <c r="N2000" s="1" t="s">
        <v>4658</v>
      </c>
      <c r="P2000" s="1" t="s">
        <v>10717</v>
      </c>
      <c r="Q2000" s="30" t="s">
        <v>2565</v>
      </c>
      <c r="R2000" s="33" t="s">
        <v>3472</v>
      </c>
      <c r="S2000">
        <v>37</v>
      </c>
      <c r="T2000" s="1" t="s">
        <v>13917</v>
      </c>
      <c r="U2000" s="1" t="str">
        <f>HYPERLINK("http://ictvonline.org/taxonomy/p/taxonomy-history?taxnode_id=202112285","ICTVonline=202112285")</f>
        <v>ICTVonline=202112285</v>
      </c>
    </row>
    <row r="2001" spans="1:21" x14ac:dyDescent="0.2">
      <c r="A2001" s="3">
        <v>2000</v>
      </c>
      <c r="B2001" s="1" t="s">
        <v>4875</v>
      </c>
      <c r="D2001" s="1" t="s">
        <v>4876</v>
      </c>
      <c r="F2001" s="1" t="s">
        <v>4880</v>
      </c>
      <c r="H2001" s="1" t="s">
        <v>4881</v>
      </c>
      <c r="M2001" s="1" t="s">
        <v>10682</v>
      </c>
      <c r="N2001" s="1" t="s">
        <v>4658</v>
      </c>
      <c r="P2001" s="1" t="s">
        <v>10718</v>
      </c>
      <c r="Q2001" s="30" t="s">
        <v>2565</v>
      </c>
      <c r="R2001" s="33" t="s">
        <v>3472</v>
      </c>
      <c r="S2001">
        <v>37</v>
      </c>
      <c r="T2001" s="1" t="s">
        <v>13917</v>
      </c>
      <c r="U2001" s="1" t="str">
        <f>HYPERLINK("http://ictvonline.org/taxonomy/p/taxonomy-history?taxnode_id=202112286","ICTVonline=202112286")</f>
        <v>ICTVonline=202112286</v>
      </c>
    </row>
    <row r="2002" spans="1:21" x14ac:dyDescent="0.2">
      <c r="A2002" s="3">
        <v>2001</v>
      </c>
      <c r="B2002" s="1" t="s">
        <v>4875</v>
      </c>
      <c r="D2002" s="1" t="s">
        <v>4876</v>
      </c>
      <c r="F2002" s="1" t="s">
        <v>4880</v>
      </c>
      <c r="H2002" s="1" t="s">
        <v>4881</v>
      </c>
      <c r="M2002" s="1" t="s">
        <v>10682</v>
      </c>
      <c r="N2002" s="1" t="s">
        <v>4658</v>
      </c>
      <c r="P2002" s="1" t="s">
        <v>10719</v>
      </c>
      <c r="Q2002" s="30" t="s">
        <v>2565</v>
      </c>
      <c r="R2002" s="33" t="s">
        <v>3472</v>
      </c>
      <c r="S2002">
        <v>37</v>
      </c>
      <c r="T2002" s="1" t="s">
        <v>13917</v>
      </c>
      <c r="U2002" s="1" t="str">
        <f>HYPERLINK("http://ictvonline.org/taxonomy/p/taxonomy-history?taxnode_id=202112287","ICTVonline=202112287")</f>
        <v>ICTVonline=202112287</v>
      </c>
    </row>
    <row r="2003" spans="1:21" x14ac:dyDescent="0.2">
      <c r="A2003" s="3">
        <v>2002</v>
      </c>
      <c r="B2003" s="1" t="s">
        <v>4875</v>
      </c>
      <c r="D2003" s="1" t="s">
        <v>4876</v>
      </c>
      <c r="F2003" s="1" t="s">
        <v>4880</v>
      </c>
      <c r="H2003" s="1" t="s">
        <v>4881</v>
      </c>
      <c r="M2003" s="1" t="s">
        <v>10682</v>
      </c>
      <c r="N2003" s="1" t="s">
        <v>4658</v>
      </c>
      <c r="P2003" s="1" t="s">
        <v>10720</v>
      </c>
      <c r="Q2003" s="30" t="s">
        <v>2565</v>
      </c>
      <c r="R2003" s="33" t="s">
        <v>3472</v>
      </c>
      <c r="S2003">
        <v>37</v>
      </c>
      <c r="T2003" s="1" t="s">
        <v>13917</v>
      </c>
      <c r="U2003" s="1" t="str">
        <f>HYPERLINK("http://ictvonline.org/taxonomy/p/taxonomy-history?taxnode_id=202112288","ICTVonline=202112288")</f>
        <v>ICTVonline=202112288</v>
      </c>
    </row>
    <row r="2004" spans="1:21" x14ac:dyDescent="0.2">
      <c r="A2004" s="3">
        <v>2003</v>
      </c>
      <c r="B2004" s="1" t="s">
        <v>4875</v>
      </c>
      <c r="D2004" s="1" t="s">
        <v>4876</v>
      </c>
      <c r="F2004" s="1" t="s">
        <v>4880</v>
      </c>
      <c r="H2004" s="1" t="s">
        <v>4881</v>
      </c>
      <c r="M2004" s="1" t="s">
        <v>10682</v>
      </c>
      <c r="N2004" s="1" t="s">
        <v>4658</v>
      </c>
      <c r="P2004" s="1" t="s">
        <v>10721</v>
      </c>
      <c r="Q2004" s="30" t="s">
        <v>2565</v>
      </c>
      <c r="R2004" s="33" t="s">
        <v>3472</v>
      </c>
      <c r="S2004">
        <v>37</v>
      </c>
      <c r="T2004" s="1" t="s">
        <v>13917</v>
      </c>
      <c r="U2004" s="1" t="str">
        <f>HYPERLINK("http://ictvonline.org/taxonomy/p/taxonomy-history?taxnode_id=202112289","ICTVonline=202112289")</f>
        <v>ICTVonline=202112289</v>
      </c>
    </row>
    <row r="2005" spans="1:21" x14ac:dyDescent="0.2">
      <c r="A2005" s="3">
        <v>2004</v>
      </c>
      <c r="B2005" s="1" t="s">
        <v>4875</v>
      </c>
      <c r="D2005" s="1" t="s">
        <v>4876</v>
      </c>
      <c r="F2005" s="1" t="s">
        <v>4880</v>
      </c>
      <c r="H2005" s="1" t="s">
        <v>4881</v>
      </c>
      <c r="M2005" s="1" t="s">
        <v>10682</v>
      </c>
      <c r="N2005" s="1" t="s">
        <v>4658</v>
      </c>
      <c r="P2005" s="1" t="s">
        <v>10722</v>
      </c>
      <c r="Q2005" s="30" t="s">
        <v>2565</v>
      </c>
      <c r="R2005" s="33" t="s">
        <v>3472</v>
      </c>
      <c r="S2005">
        <v>37</v>
      </c>
      <c r="T2005" s="1" t="s">
        <v>13917</v>
      </c>
      <c r="U2005" s="1" t="str">
        <f>HYPERLINK("http://ictvonline.org/taxonomy/p/taxonomy-history?taxnode_id=202112290","ICTVonline=202112290")</f>
        <v>ICTVonline=202112290</v>
      </c>
    </row>
    <row r="2006" spans="1:21" x14ac:dyDescent="0.2">
      <c r="A2006" s="3">
        <v>2005</v>
      </c>
      <c r="B2006" s="1" t="s">
        <v>4875</v>
      </c>
      <c r="D2006" s="1" t="s">
        <v>4876</v>
      </c>
      <c r="F2006" s="1" t="s">
        <v>4880</v>
      </c>
      <c r="H2006" s="1" t="s">
        <v>4881</v>
      </c>
      <c r="M2006" s="1" t="s">
        <v>10682</v>
      </c>
      <c r="N2006" s="1" t="s">
        <v>4658</v>
      </c>
      <c r="P2006" s="1" t="s">
        <v>10723</v>
      </c>
      <c r="Q2006" s="30" t="s">
        <v>2565</v>
      </c>
      <c r="R2006" s="33" t="s">
        <v>3472</v>
      </c>
      <c r="S2006">
        <v>37</v>
      </c>
      <c r="T2006" s="1" t="s">
        <v>13917</v>
      </c>
      <c r="U2006" s="1" t="str">
        <f>HYPERLINK("http://ictvonline.org/taxonomy/p/taxonomy-history?taxnode_id=202112291","ICTVonline=202112291")</f>
        <v>ICTVonline=202112291</v>
      </c>
    </row>
    <row r="2007" spans="1:21" x14ac:dyDescent="0.2">
      <c r="A2007" s="3">
        <v>2006</v>
      </c>
      <c r="B2007" s="1" t="s">
        <v>4875</v>
      </c>
      <c r="D2007" s="1" t="s">
        <v>4876</v>
      </c>
      <c r="F2007" s="1" t="s">
        <v>4880</v>
      </c>
      <c r="H2007" s="1" t="s">
        <v>4881</v>
      </c>
      <c r="M2007" s="1" t="s">
        <v>10682</v>
      </c>
      <c r="N2007" s="1" t="s">
        <v>4658</v>
      </c>
      <c r="P2007" s="1" t="s">
        <v>10724</v>
      </c>
      <c r="Q2007" s="30" t="s">
        <v>2565</v>
      </c>
      <c r="R2007" s="33" t="s">
        <v>3472</v>
      </c>
      <c r="S2007">
        <v>37</v>
      </c>
      <c r="T2007" s="1" t="s">
        <v>13917</v>
      </c>
      <c r="U2007" s="1" t="str">
        <f>HYPERLINK("http://ictvonline.org/taxonomy/p/taxonomy-history?taxnode_id=202112292","ICTVonline=202112292")</f>
        <v>ICTVonline=202112292</v>
      </c>
    </row>
    <row r="2008" spans="1:21" x14ac:dyDescent="0.2">
      <c r="A2008" s="3">
        <v>2007</v>
      </c>
      <c r="B2008" s="1" t="s">
        <v>4875</v>
      </c>
      <c r="D2008" s="1" t="s">
        <v>4876</v>
      </c>
      <c r="F2008" s="1" t="s">
        <v>4880</v>
      </c>
      <c r="H2008" s="1" t="s">
        <v>4881</v>
      </c>
      <c r="M2008" s="1" t="s">
        <v>10682</v>
      </c>
      <c r="N2008" s="1" t="s">
        <v>4658</v>
      </c>
      <c r="P2008" s="1" t="s">
        <v>10725</v>
      </c>
      <c r="Q2008" s="30" t="s">
        <v>2565</v>
      </c>
      <c r="R2008" s="33" t="s">
        <v>3472</v>
      </c>
      <c r="S2008">
        <v>37</v>
      </c>
      <c r="T2008" s="1" t="s">
        <v>13917</v>
      </c>
      <c r="U2008" s="1" t="str">
        <f>HYPERLINK("http://ictvonline.org/taxonomy/p/taxonomy-history?taxnode_id=202112293","ICTVonline=202112293")</f>
        <v>ICTVonline=202112293</v>
      </c>
    </row>
    <row r="2009" spans="1:21" x14ac:dyDescent="0.2">
      <c r="A2009" s="3">
        <v>2008</v>
      </c>
      <c r="B2009" s="1" t="s">
        <v>4875</v>
      </c>
      <c r="D2009" s="1" t="s">
        <v>4876</v>
      </c>
      <c r="F2009" s="1" t="s">
        <v>4880</v>
      </c>
      <c r="H2009" s="1" t="s">
        <v>4881</v>
      </c>
      <c r="M2009" s="1" t="s">
        <v>10682</v>
      </c>
      <c r="N2009" s="1" t="s">
        <v>4658</v>
      </c>
      <c r="P2009" s="1" t="s">
        <v>10726</v>
      </c>
      <c r="Q2009" s="30" t="s">
        <v>2565</v>
      </c>
      <c r="R2009" s="33" t="s">
        <v>3472</v>
      </c>
      <c r="S2009">
        <v>37</v>
      </c>
      <c r="T2009" s="1" t="s">
        <v>13917</v>
      </c>
      <c r="U2009" s="1" t="str">
        <f>HYPERLINK("http://ictvonline.org/taxonomy/p/taxonomy-history?taxnode_id=202112294","ICTVonline=202112294")</f>
        <v>ICTVonline=202112294</v>
      </c>
    </row>
    <row r="2010" spans="1:21" x14ac:dyDescent="0.2">
      <c r="A2010" s="3">
        <v>2009</v>
      </c>
      <c r="B2010" s="1" t="s">
        <v>4875</v>
      </c>
      <c r="D2010" s="1" t="s">
        <v>4876</v>
      </c>
      <c r="F2010" s="1" t="s">
        <v>4880</v>
      </c>
      <c r="H2010" s="1" t="s">
        <v>4881</v>
      </c>
      <c r="M2010" s="1" t="s">
        <v>10682</v>
      </c>
      <c r="N2010" s="1" t="s">
        <v>4658</v>
      </c>
      <c r="P2010" s="1" t="s">
        <v>10727</v>
      </c>
      <c r="Q2010" s="30" t="s">
        <v>2565</v>
      </c>
      <c r="R2010" s="33" t="s">
        <v>3472</v>
      </c>
      <c r="S2010">
        <v>37</v>
      </c>
      <c r="T2010" s="1" t="s">
        <v>13917</v>
      </c>
      <c r="U2010" s="1" t="str">
        <f>HYPERLINK("http://ictvonline.org/taxonomy/p/taxonomy-history?taxnode_id=202112295","ICTVonline=202112295")</f>
        <v>ICTVonline=202112295</v>
      </c>
    </row>
    <row r="2011" spans="1:21" x14ac:dyDescent="0.2">
      <c r="A2011" s="3">
        <v>2010</v>
      </c>
      <c r="B2011" s="1" t="s">
        <v>4875</v>
      </c>
      <c r="D2011" s="1" t="s">
        <v>4876</v>
      </c>
      <c r="F2011" s="1" t="s">
        <v>4880</v>
      </c>
      <c r="H2011" s="1" t="s">
        <v>4881</v>
      </c>
      <c r="M2011" s="1" t="s">
        <v>10682</v>
      </c>
      <c r="N2011" s="1" t="s">
        <v>4658</v>
      </c>
      <c r="P2011" s="1" t="s">
        <v>10728</v>
      </c>
      <c r="Q2011" s="30" t="s">
        <v>2565</v>
      </c>
      <c r="R2011" s="33" t="s">
        <v>3472</v>
      </c>
      <c r="S2011">
        <v>37</v>
      </c>
      <c r="T2011" s="1" t="s">
        <v>13917</v>
      </c>
      <c r="U2011" s="1" t="str">
        <f>HYPERLINK("http://ictvonline.org/taxonomy/p/taxonomy-history?taxnode_id=202112296","ICTVonline=202112296")</f>
        <v>ICTVonline=202112296</v>
      </c>
    </row>
    <row r="2012" spans="1:21" x14ac:dyDescent="0.2">
      <c r="A2012" s="3">
        <v>2011</v>
      </c>
      <c r="B2012" s="1" t="s">
        <v>4875</v>
      </c>
      <c r="D2012" s="1" t="s">
        <v>4876</v>
      </c>
      <c r="F2012" s="1" t="s">
        <v>4880</v>
      </c>
      <c r="H2012" s="1" t="s">
        <v>4881</v>
      </c>
      <c r="M2012" s="1" t="s">
        <v>10682</v>
      </c>
      <c r="N2012" s="1" t="s">
        <v>4658</v>
      </c>
      <c r="P2012" s="1" t="s">
        <v>10729</v>
      </c>
      <c r="Q2012" s="30" t="s">
        <v>2565</v>
      </c>
      <c r="R2012" s="33" t="s">
        <v>3472</v>
      </c>
      <c r="S2012">
        <v>37</v>
      </c>
      <c r="T2012" s="1" t="s">
        <v>13917</v>
      </c>
      <c r="U2012" s="1" t="str">
        <f>HYPERLINK("http://ictvonline.org/taxonomy/p/taxonomy-history?taxnode_id=202112297","ICTVonline=202112297")</f>
        <v>ICTVonline=202112297</v>
      </c>
    </row>
    <row r="2013" spans="1:21" x14ac:dyDescent="0.2">
      <c r="A2013" s="3">
        <v>2012</v>
      </c>
      <c r="B2013" s="1" t="s">
        <v>4875</v>
      </c>
      <c r="D2013" s="1" t="s">
        <v>4876</v>
      </c>
      <c r="F2013" s="1" t="s">
        <v>4880</v>
      </c>
      <c r="H2013" s="1" t="s">
        <v>4881</v>
      </c>
      <c r="M2013" s="1" t="s">
        <v>10682</v>
      </c>
      <c r="N2013" s="1" t="s">
        <v>4658</v>
      </c>
      <c r="P2013" s="1" t="s">
        <v>10730</v>
      </c>
      <c r="Q2013" s="30" t="s">
        <v>2565</v>
      </c>
      <c r="R2013" s="33" t="s">
        <v>3472</v>
      </c>
      <c r="S2013">
        <v>37</v>
      </c>
      <c r="T2013" s="1" t="s">
        <v>13917</v>
      </c>
      <c r="U2013" s="1" t="str">
        <f>HYPERLINK("http://ictvonline.org/taxonomy/p/taxonomy-history?taxnode_id=202112298","ICTVonline=202112298")</f>
        <v>ICTVonline=202112298</v>
      </c>
    </row>
    <row r="2014" spans="1:21" x14ac:dyDescent="0.2">
      <c r="A2014" s="3">
        <v>2013</v>
      </c>
      <c r="B2014" s="1" t="s">
        <v>4875</v>
      </c>
      <c r="D2014" s="1" t="s">
        <v>4876</v>
      </c>
      <c r="F2014" s="1" t="s">
        <v>4880</v>
      </c>
      <c r="H2014" s="1" t="s">
        <v>4881</v>
      </c>
      <c r="M2014" s="1" t="s">
        <v>10682</v>
      </c>
      <c r="N2014" s="1" t="s">
        <v>4658</v>
      </c>
      <c r="P2014" s="1" t="s">
        <v>10731</v>
      </c>
      <c r="Q2014" s="30" t="s">
        <v>2565</v>
      </c>
      <c r="R2014" s="33" t="s">
        <v>3472</v>
      </c>
      <c r="S2014">
        <v>37</v>
      </c>
      <c r="T2014" s="1" t="s">
        <v>13917</v>
      </c>
      <c r="U2014" s="1" t="str">
        <f>HYPERLINK("http://ictvonline.org/taxonomy/p/taxonomy-history?taxnode_id=202112299","ICTVonline=202112299")</f>
        <v>ICTVonline=202112299</v>
      </c>
    </row>
    <row r="2015" spans="1:21" x14ac:dyDescent="0.2">
      <c r="A2015" s="3">
        <v>2014</v>
      </c>
      <c r="B2015" s="1" t="s">
        <v>4875</v>
      </c>
      <c r="D2015" s="1" t="s">
        <v>4876</v>
      </c>
      <c r="F2015" s="1" t="s">
        <v>4880</v>
      </c>
      <c r="H2015" s="1" t="s">
        <v>4881</v>
      </c>
      <c r="M2015" s="1" t="s">
        <v>10682</v>
      </c>
      <c r="N2015" s="1" t="s">
        <v>4658</v>
      </c>
      <c r="P2015" s="1" t="s">
        <v>10732</v>
      </c>
      <c r="Q2015" s="30" t="s">
        <v>2565</v>
      </c>
      <c r="R2015" s="33" t="s">
        <v>3472</v>
      </c>
      <c r="S2015">
        <v>37</v>
      </c>
      <c r="T2015" s="1" t="s">
        <v>13917</v>
      </c>
      <c r="U2015" s="1" t="str">
        <f>HYPERLINK("http://ictvonline.org/taxonomy/p/taxonomy-history?taxnode_id=202112300","ICTVonline=202112300")</f>
        <v>ICTVonline=202112300</v>
      </c>
    </row>
    <row r="2016" spans="1:21" x14ac:dyDescent="0.2">
      <c r="A2016" s="3">
        <v>2015</v>
      </c>
      <c r="B2016" s="1" t="s">
        <v>4875</v>
      </c>
      <c r="D2016" s="1" t="s">
        <v>4876</v>
      </c>
      <c r="F2016" s="1" t="s">
        <v>4880</v>
      </c>
      <c r="H2016" s="1" t="s">
        <v>4881</v>
      </c>
      <c r="M2016" s="1" t="s">
        <v>10682</v>
      </c>
      <c r="N2016" s="1" t="s">
        <v>4658</v>
      </c>
      <c r="P2016" s="1" t="s">
        <v>10733</v>
      </c>
      <c r="Q2016" s="30" t="s">
        <v>2565</v>
      </c>
      <c r="R2016" s="33" t="s">
        <v>3472</v>
      </c>
      <c r="S2016">
        <v>37</v>
      </c>
      <c r="T2016" s="1" t="s">
        <v>13917</v>
      </c>
      <c r="U2016" s="1" t="str">
        <f>HYPERLINK("http://ictvonline.org/taxonomy/p/taxonomy-history?taxnode_id=202112301","ICTVonline=202112301")</f>
        <v>ICTVonline=202112301</v>
      </c>
    </row>
    <row r="2017" spans="1:21" x14ac:dyDescent="0.2">
      <c r="A2017" s="3">
        <v>2016</v>
      </c>
      <c r="B2017" s="1" t="s">
        <v>4875</v>
      </c>
      <c r="D2017" s="1" t="s">
        <v>4876</v>
      </c>
      <c r="F2017" s="1" t="s">
        <v>4880</v>
      </c>
      <c r="H2017" s="1" t="s">
        <v>4881</v>
      </c>
      <c r="M2017" s="1" t="s">
        <v>10682</v>
      </c>
      <c r="N2017" s="1" t="s">
        <v>4658</v>
      </c>
      <c r="P2017" s="1" t="s">
        <v>10734</v>
      </c>
      <c r="Q2017" s="30" t="s">
        <v>2565</v>
      </c>
      <c r="R2017" s="33" t="s">
        <v>3472</v>
      </c>
      <c r="S2017">
        <v>37</v>
      </c>
      <c r="T2017" s="1" t="s">
        <v>13917</v>
      </c>
      <c r="U2017" s="1" t="str">
        <f>HYPERLINK("http://ictvonline.org/taxonomy/p/taxonomy-history?taxnode_id=202112302","ICTVonline=202112302")</f>
        <v>ICTVonline=202112302</v>
      </c>
    </row>
    <row r="2018" spans="1:21" x14ac:dyDescent="0.2">
      <c r="A2018" s="3">
        <v>2017</v>
      </c>
      <c r="B2018" s="1" t="s">
        <v>4875</v>
      </c>
      <c r="D2018" s="1" t="s">
        <v>4876</v>
      </c>
      <c r="F2018" s="1" t="s">
        <v>4880</v>
      </c>
      <c r="H2018" s="1" t="s">
        <v>4881</v>
      </c>
      <c r="M2018" s="1" t="s">
        <v>10682</v>
      </c>
      <c r="N2018" s="1" t="s">
        <v>4658</v>
      </c>
      <c r="P2018" s="1" t="s">
        <v>10735</v>
      </c>
      <c r="Q2018" s="30" t="s">
        <v>2565</v>
      </c>
      <c r="R2018" s="33" t="s">
        <v>3472</v>
      </c>
      <c r="S2018">
        <v>37</v>
      </c>
      <c r="T2018" s="1" t="s">
        <v>13917</v>
      </c>
      <c r="U2018" s="1" t="str">
        <f>HYPERLINK("http://ictvonline.org/taxonomy/p/taxonomy-history?taxnode_id=202112303","ICTVonline=202112303")</f>
        <v>ICTVonline=202112303</v>
      </c>
    </row>
    <row r="2019" spans="1:21" x14ac:dyDescent="0.2">
      <c r="A2019" s="3">
        <v>2018</v>
      </c>
      <c r="B2019" s="1" t="s">
        <v>4875</v>
      </c>
      <c r="D2019" s="1" t="s">
        <v>4876</v>
      </c>
      <c r="F2019" s="1" t="s">
        <v>4880</v>
      </c>
      <c r="H2019" s="1" t="s">
        <v>4881</v>
      </c>
      <c r="M2019" s="1" t="s">
        <v>10682</v>
      </c>
      <c r="N2019" s="1" t="s">
        <v>4658</v>
      </c>
      <c r="P2019" s="1" t="s">
        <v>10736</v>
      </c>
      <c r="Q2019" s="30" t="s">
        <v>2565</v>
      </c>
      <c r="R2019" s="33" t="s">
        <v>3472</v>
      </c>
      <c r="S2019">
        <v>37</v>
      </c>
      <c r="T2019" s="1" t="s">
        <v>13917</v>
      </c>
      <c r="U2019" s="1" t="str">
        <f>HYPERLINK("http://ictvonline.org/taxonomy/p/taxonomy-history?taxnode_id=202112304","ICTVonline=202112304")</f>
        <v>ICTVonline=202112304</v>
      </c>
    </row>
    <row r="2020" spans="1:21" x14ac:dyDescent="0.2">
      <c r="A2020" s="3">
        <v>2019</v>
      </c>
      <c r="B2020" s="1" t="s">
        <v>4875</v>
      </c>
      <c r="D2020" s="1" t="s">
        <v>4876</v>
      </c>
      <c r="F2020" s="1" t="s">
        <v>4880</v>
      </c>
      <c r="H2020" s="1" t="s">
        <v>4881</v>
      </c>
      <c r="M2020" s="1" t="s">
        <v>10682</v>
      </c>
      <c r="N2020" s="1" t="s">
        <v>4658</v>
      </c>
      <c r="P2020" s="1" t="s">
        <v>10737</v>
      </c>
      <c r="Q2020" s="30" t="s">
        <v>2565</v>
      </c>
      <c r="R2020" s="33" t="s">
        <v>3472</v>
      </c>
      <c r="S2020">
        <v>37</v>
      </c>
      <c r="T2020" s="1" t="s">
        <v>13917</v>
      </c>
      <c r="U2020" s="1" t="str">
        <f>HYPERLINK("http://ictvonline.org/taxonomy/p/taxonomy-history?taxnode_id=202112305","ICTVonline=202112305")</f>
        <v>ICTVonline=202112305</v>
      </c>
    </row>
    <row r="2021" spans="1:21" x14ac:dyDescent="0.2">
      <c r="A2021" s="3">
        <v>2020</v>
      </c>
      <c r="B2021" s="1" t="s">
        <v>4875</v>
      </c>
      <c r="D2021" s="1" t="s">
        <v>4876</v>
      </c>
      <c r="F2021" s="1" t="s">
        <v>4880</v>
      </c>
      <c r="H2021" s="1" t="s">
        <v>4881</v>
      </c>
      <c r="M2021" s="1" t="s">
        <v>10682</v>
      </c>
      <c r="N2021" s="1" t="s">
        <v>4658</v>
      </c>
      <c r="P2021" s="1" t="s">
        <v>10738</v>
      </c>
      <c r="Q2021" s="30" t="s">
        <v>2565</v>
      </c>
      <c r="R2021" s="33" t="s">
        <v>3472</v>
      </c>
      <c r="S2021">
        <v>37</v>
      </c>
      <c r="T2021" s="1" t="s">
        <v>13917</v>
      </c>
      <c r="U2021" s="1" t="str">
        <f>HYPERLINK("http://ictvonline.org/taxonomy/p/taxonomy-history?taxnode_id=202112306","ICTVonline=202112306")</f>
        <v>ICTVonline=202112306</v>
      </c>
    </row>
    <row r="2022" spans="1:21" x14ac:dyDescent="0.2">
      <c r="A2022" s="3">
        <v>2021</v>
      </c>
      <c r="B2022" s="1" t="s">
        <v>4875</v>
      </c>
      <c r="D2022" s="1" t="s">
        <v>4876</v>
      </c>
      <c r="F2022" s="1" t="s">
        <v>4880</v>
      </c>
      <c r="H2022" s="1" t="s">
        <v>4881</v>
      </c>
      <c r="M2022" s="1" t="s">
        <v>10682</v>
      </c>
      <c r="N2022" s="1" t="s">
        <v>4658</v>
      </c>
      <c r="P2022" s="1" t="s">
        <v>10739</v>
      </c>
      <c r="Q2022" s="30" t="s">
        <v>2565</v>
      </c>
      <c r="R2022" s="33" t="s">
        <v>3472</v>
      </c>
      <c r="S2022">
        <v>37</v>
      </c>
      <c r="T2022" s="1" t="s">
        <v>13917</v>
      </c>
      <c r="U2022" s="1" t="str">
        <f>HYPERLINK("http://ictvonline.org/taxonomy/p/taxonomy-history?taxnode_id=202112307","ICTVonline=202112307")</f>
        <v>ICTVonline=202112307</v>
      </c>
    </row>
    <row r="2023" spans="1:21" x14ac:dyDescent="0.2">
      <c r="A2023" s="3">
        <v>2022</v>
      </c>
      <c r="B2023" s="1" t="s">
        <v>4875</v>
      </c>
      <c r="D2023" s="1" t="s">
        <v>4876</v>
      </c>
      <c r="F2023" s="1" t="s">
        <v>4880</v>
      </c>
      <c r="H2023" s="1" t="s">
        <v>4881</v>
      </c>
      <c r="M2023" s="1" t="s">
        <v>10682</v>
      </c>
      <c r="N2023" s="1" t="s">
        <v>4658</v>
      </c>
      <c r="P2023" s="1" t="s">
        <v>10740</v>
      </c>
      <c r="Q2023" s="30" t="s">
        <v>2565</v>
      </c>
      <c r="R2023" s="33" t="s">
        <v>3472</v>
      </c>
      <c r="S2023">
        <v>37</v>
      </c>
      <c r="T2023" s="1" t="s">
        <v>13917</v>
      </c>
      <c r="U2023" s="1" t="str">
        <f>HYPERLINK("http://ictvonline.org/taxonomy/p/taxonomy-history?taxnode_id=202112308","ICTVonline=202112308")</f>
        <v>ICTVonline=202112308</v>
      </c>
    </row>
    <row r="2024" spans="1:21" x14ac:dyDescent="0.2">
      <c r="A2024" s="3">
        <v>2023</v>
      </c>
      <c r="B2024" s="1" t="s">
        <v>4875</v>
      </c>
      <c r="D2024" s="1" t="s">
        <v>4876</v>
      </c>
      <c r="F2024" s="1" t="s">
        <v>4880</v>
      </c>
      <c r="H2024" s="1" t="s">
        <v>4881</v>
      </c>
      <c r="M2024" s="1" t="s">
        <v>10682</v>
      </c>
      <c r="N2024" s="1" t="s">
        <v>4658</v>
      </c>
      <c r="P2024" s="1" t="s">
        <v>10741</v>
      </c>
      <c r="Q2024" s="30" t="s">
        <v>2565</v>
      </c>
      <c r="R2024" s="33" t="s">
        <v>3472</v>
      </c>
      <c r="S2024">
        <v>37</v>
      </c>
      <c r="T2024" s="1" t="s">
        <v>13917</v>
      </c>
      <c r="U2024" s="1" t="str">
        <f>HYPERLINK("http://ictvonline.org/taxonomy/p/taxonomy-history?taxnode_id=202112309","ICTVonline=202112309")</f>
        <v>ICTVonline=202112309</v>
      </c>
    </row>
    <row r="2025" spans="1:21" x14ac:dyDescent="0.2">
      <c r="A2025" s="3">
        <v>2024</v>
      </c>
      <c r="B2025" s="1" t="s">
        <v>4875</v>
      </c>
      <c r="D2025" s="1" t="s">
        <v>4876</v>
      </c>
      <c r="F2025" s="1" t="s">
        <v>4880</v>
      </c>
      <c r="H2025" s="1" t="s">
        <v>4881</v>
      </c>
      <c r="M2025" s="1" t="s">
        <v>10682</v>
      </c>
      <c r="N2025" s="1" t="s">
        <v>4658</v>
      </c>
      <c r="P2025" s="1" t="s">
        <v>10742</v>
      </c>
      <c r="Q2025" s="30" t="s">
        <v>2565</v>
      </c>
      <c r="R2025" s="33" t="s">
        <v>3472</v>
      </c>
      <c r="S2025">
        <v>37</v>
      </c>
      <c r="T2025" s="1" t="s">
        <v>13917</v>
      </c>
      <c r="U2025" s="1" t="str">
        <f>HYPERLINK("http://ictvonline.org/taxonomy/p/taxonomy-history?taxnode_id=202112310","ICTVonline=202112310")</f>
        <v>ICTVonline=202112310</v>
      </c>
    </row>
    <row r="2026" spans="1:21" x14ac:dyDescent="0.2">
      <c r="A2026" s="3">
        <v>2025</v>
      </c>
      <c r="B2026" s="1" t="s">
        <v>4875</v>
      </c>
      <c r="D2026" s="1" t="s">
        <v>4876</v>
      </c>
      <c r="F2026" s="1" t="s">
        <v>4880</v>
      </c>
      <c r="H2026" s="1" t="s">
        <v>4881</v>
      </c>
      <c r="M2026" s="1" t="s">
        <v>10682</v>
      </c>
      <c r="N2026" s="1" t="s">
        <v>4658</v>
      </c>
      <c r="P2026" s="1" t="s">
        <v>10743</v>
      </c>
      <c r="Q2026" s="30" t="s">
        <v>2565</v>
      </c>
      <c r="R2026" s="33" t="s">
        <v>3472</v>
      </c>
      <c r="S2026">
        <v>37</v>
      </c>
      <c r="T2026" s="1" t="s">
        <v>13917</v>
      </c>
      <c r="U2026" s="1" t="str">
        <f>HYPERLINK("http://ictvonline.org/taxonomy/p/taxonomy-history?taxnode_id=202112311","ICTVonline=202112311")</f>
        <v>ICTVonline=202112311</v>
      </c>
    </row>
    <row r="2027" spans="1:21" x14ac:dyDescent="0.2">
      <c r="A2027" s="3">
        <v>2026</v>
      </c>
      <c r="B2027" s="1" t="s">
        <v>4875</v>
      </c>
      <c r="D2027" s="1" t="s">
        <v>4876</v>
      </c>
      <c r="F2027" s="1" t="s">
        <v>4880</v>
      </c>
      <c r="H2027" s="1" t="s">
        <v>4881</v>
      </c>
      <c r="M2027" s="1" t="s">
        <v>10682</v>
      </c>
      <c r="N2027" s="1" t="s">
        <v>4658</v>
      </c>
      <c r="P2027" s="1" t="s">
        <v>10744</v>
      </c>
      <c r="Q2027" s="30" t="s">
        <v>2565</v>
      </c>
      <c r="R2027" s="33" t="s">
        <v>3472</v>
      </c>
      <c r="S2027">
        <v>37</v>
      </c>
      <c r="T2027" s="1" t="s">
        <v>13917</v>
      </c>
      <c r="U2027" s="1" t="str">
        <f>HYPERLINK("http://ictvonline.org/taxonomy/p/taxonomy-history?taxnode_id=202112312","ICTVonline=202112312")</f>
        <v>ICTVonline=202112312</v>
      </c>
    </row>
    <row r="2028" spans="1:21" x14ac:dyDescent="0.2">
      <c r="A2028" s="3">
        <v>2027</v>
      </c>
      <c r="B2028" s="1" t="s">
        <v>4875</v>
      </c>
      <c r="D2028" s="1" t="s">
        <v>4876</v>
      </c>
      <c r="F2028" s="1" t="s">
        <v>4880</v>
      </c>
      <c r="H2028" s="1" t="s">
        <v>4881</v>
      </c>
      <c r="M2028" s="1" t="s">
        <v>10682</v>
      </c>
      <c r="N2028" s="1" t="s">
        <v>4658</v>
      </c>
      <c r="P2028" s="1" t="s">
        <v>10745</v>
      </c>
      <c r="Q2028" s="30" t="s">
        <v>2565</v>
      </c>
      <c r="R2028" s="33" t="s">
        <v>3472</v>
      </c>
      <c r="S2028">
        <v>37</v>
      </c>
      <c r="T2028" s="1" t="s">
        <v>13917</v>
      </c>
      <c r="U2028" s="1" t="str">
        <f>HYPERLINK("http://ictvonline.org/taxonomy/p/taxonomy-history?taxnode_id=202112313","ICTVonline=202112313")</f>
        <v>ICTVonline=202112313</v>
      </c>
    </row>
    <row r="2029" spans="1:21" x14ac:dyDescent="0.2">
      <c r="A2029" s="3">
        <v>2028</v>
      </c>
      <c r="B2029" s="1" t="s">
        <v>4875</v>
      </c>
      <c r="D2029" s="1" t="s">
        <v>4876</v>
      </c>
      <c r="F2029" s="1" t="s">
        <v>4880</v>
      </c>
      <c r="H2029" s="1" t="s">
        <v>4881</v>
      </c>
      <c r="M2029" s="1" t="s">
        <v>10682</v>
      </c>
      <c r="N2029" s="1" t="s">
        <v>4658</v>
      </c>
      <c r="P2029" s="1" t="s">
        <v>10746</v>
      </c>
      <c r="Q2029" s="30" t="s">
        <v>2565</v>
      </c>
      <c r="R2029" s="33" t="s">
        <v>3472</v>
      </c>
      <c r="S2029">
        <v>37</v>
      </c>
      <c r="T2029" s="1" t="s">
        <v>13917</v>
      </c>
      <c r="U2029" s="1" t="str">
        <f>HYPERLINK("http://ictvonline.org/taxonomy/p/taxonomy-history?taxnode_id=202112314","ICTVonline=202112314")</f>
        <v>ICTVonline=202112314</v>
      </c>
    </row>
    <row r="2030" spans="1:21" x14ac:dyDescent="0.2">
      <c r="A2030" s="3">
        <v>2029</v>
      </c>
      <c r="B2030" s="1" t="s">
        <v>4875</v>
      </c>
      <c r="D2030" s="1" t="s">
        <v>4876</v>
      </c>
      <c r="F2030" s="1" t="s">
        <v>4880</v>
      </c>
      <c r="H2030" s="1" t="s">
        <v>4881</v>
      </c>
      <c r="M2030" s="1" t="s">
        <v>10682</v>
      </c>
      <c r="N2030" s="1" t="s">
        <v>4658</v>
      </c>
      <c r="P2030" s="1" t="s">
        <v>10747</v>
      </c>
      <c r="Q2030" s="30" t="s">
        <v>2565</v>
      </c>
      <c r="R2030" s="33" t="s">
        <v>3472</v>
      </c>
      <c r="S2030">
        <v>37</v>
      </c>
      <c r="T2030" s="1" t="s">
        <v>13917</v>
      </c>
      <c r="U2030" s="1" t="str">
        <f>HYPERLINK("http://ictvonline.org/taxonomy/p/taxonomy-history?taxnode_id=202112315","ICTVonline=202112315")</f>
        <v>ICTVonline=202112315</v>
      </c>
    </row>
    <row r="2031" spans="1:21" x14ac:dyDescent="0.2">
      <c r="A2031" s="3">
        <v>2030</v>
      </c>
      <c r="B2031" s="1" t="s">
        <v>4875</v>
      </c>
      <c r="D2031" s="1" t="s">
        <v>4876</v>
      </c>
      <c r="F2031" s="1" t="s">
        <v>4880</v>
      </c>
      <c r="H2031" s="1" t="s">
        <v>4881</v>
      </c>
      <c r="M2031" s="1" t="s">
        <v>10682</v>
      </c>
      <c r="N2031" s="1" t="s">
        <v>4658</v>
      </c>
      <c r="P2031" s="1" t="s">
        <v>10748</v>
      </c>
      <c r="Q2031" s="30" t="s">
        <v>2565</v>
      </c>
      <c r="R2031" s="33" t="s">
        <v>3472</v>
      </c>
      <c r="S2031">
        <v>37</v>
      </c>
      <c r="T2031" s="1" t="s">
        <v>13917</v>
      </c>
      <c r="U2031" s="1" t="str">
        <f>HYPERLINK("http://ictvonline.org/taxonomy/p/taxonomy-history?taxnode_id=202112316","ICTVonline=202112316")</f>
        <v>ICTVonline=202112316</v>
      </c>
    </row>
    <row r="2032" spans="1:21" x14ac:dyDescent="0.2">
      <c r="A2032" s="3">
        <v>2031</v>
      </c>
      <c r="B2032" s="1" t="s">
        <v>4875</v>
      </c>
      <c r="D2032" s="1" t="s">
        <v>4876</v>
      </c>
      <c r="F2032" s="1" t="s">
        <v>4880</v>
      </c>
      <c r="H2032" s="1" t="s">
        <v>4881</v>
      </c>
      <c r="M2032" s="1" t="s">
        <v>10682</v>
      </c>
      <c r="N2032" s="1" t="s">
        <v>4658</v>
      </c>
      <c r="P2032" s="1" t="s">
        <v>10749</v>
      </c>
      <c r="Q2032" s="30" t="s">
        <v>2565</v>
      </c>
      <c r="R2032" s="33" t="s">
        <v>3472</v>
      </c>
      <c r="S2032">
        <v>37</v>
      </c>
      <c r="T2032" s="1" t="s">
        <v>13917</v>
      </c>
      <c r="U2032" s="1" t="str">
        <f>HYPERLINK("http://ictvonline.org/taxonomy/p/taxonomy-history?taxnode_id=202112317","ICTVonline=202112317")</f>
        <v>ICTVonline=202112317</v>
      </c>
    </row>
    <row r="2033" spans="1:21" x14ac:dyDescent="0.2">
      <c r="A2033" s="3">
        <v>2032</v>
      </c>
      <c r="B2033" s="1" t="s">
        <v>4875</v>
      </c>
      <c r="D2033" s="1" t="s">
        <v>4876</v>
      </c>
      <c r="F2033" s="1" t="s">
        <v>4880</v>
      </c>
      <c r="H2033" s="1" t="s">
        <v>4881</v>
      </c>
      <c r="M2033" s="1" t="s">
        <v>10682</v>
      </c>
      <c r="N2033" s="1" t="s">
        <v>4658</v>
      </c>
      <c r="P2033" s="1" t="s">
        <v>10750</v>
      </c>
      <c r="Q2033" s="30" t="s">
        <v>2565</v>
      </c>
      <c r="R2033" s="33" t="s">
        <v>3472</v>
      </c>
      <c r="S2033">
        <v>37</v>
      </c>
      <c r="T2033" s="1" t="s">
        <v>13917</v>
      </c>
      <c r="U2033" s="1" t="str">
        <f>HYPERLINK("http://ictvonline.org/taxonomy/p/taxonomy-history?taxnode_id=202112318","ICTVonline=202112318")</f>
        <v>ICTVonline=202112318</v>
      </c>
    </row>
    <row r="2034" spans="1:21" x14ac:dyDescent="0.2">
      <c r="A2034" s="3">
        <v>2033</v>
      </c>
      <c r="B2034" s="1" t="s">
        <v>4875</v>
      </c>
      <c r="D2034" s="1" t="s">
        <v>4876</v>
      </c>
      <c r="F2034" s="1" t="s">
        <v>4880</v>
      </c>
      <c r="H2034" s="1" t="s">
        <v>4881</v>
      </c>
      <c r="M2034" s="1" t="s">
        <v>10682</v>
      </c>
      <c r="N2034" s="1" t="s">
        <v>4658</v>
      </c>
      <c r="P2034" s="1" t="s">
        <v>10751</v>
      </c>
      <c r="Q2034" s="30" t="s">
        <v>2565</v>
      </c>
      <c r="R2034" s="33" t="s">
        <v>3472</v>
      </c>
      <c r="S2034">
        <v>37</v>
      </c>
      <c r="T2034" s="1" t="s">
        <v>13917</v>
      </c>
      <c r="U2034" s="1" t="str">
        <f>HYPERLINK("http://ictvonline.org/taxonomy/p/taxonomy-history?taxnode_id=202112319","ICTVonline=202112319")</f>
        <v>ICTVonline=202112319</v>
      </c>
    </row>
    <row r="2035" spans="1:21" x14ac:dyDescent="0.2">
      <c r="A2035" s="3">
        <v>2034</v>
      </c>
      <c r="B2035" s="1" t="s">
        <v>4875</v>
      </c>
      <c r="D2035" s="1" t="s">
        <v>4876</v>
      </c>
      <c r="F2035" s="1" t="s">
        <v>4880</v>
      </c>
      <c r="H2035" s="1" t="s">
        <v>4881</v>
      </c>
      <c r="M2035" s="1" t="s">
        <v>10682</v>
      </c>
      <c r="N2035" s="1" t="s">
        <v>4658</v>
      </c>
      <c r="P2035" s="1" t="s">
        <v>10752</v>
      </c>
      <c r="Q2035" s="30" t="s">
        <v>2565</v>
      </c>
      <c r="R2035" s="33" t="s">
        <v>3472</v>
      </c>
      <c r="S2035">
        <v>37</v>
      </c>
      <c r="T2035" s="1" t="s">
        <v>13917</v>
      </c>
      <c r="U2035" s="1" t="str">
        <f>HYPERLINK("http://ictvonline.org/taxonomy/p/taxonomy-history?taxnode_id=202112320","ICTVonline=202112320")</f>
        <v>ICTVonline=202112320</v>
      </c>
    </row>
    <row r="2036" spans="1:21" x14ac:dyDescent="0.2">
      <c r="A2036" s="3">
        <v>2035</v>
      </c>
      <c r="B2036" s="1" t="s">
        <v>4875</v>
      </c>
      <c r="D2036" s="1" t="s">
        <v>4876</v>
      </c>
      <c r="F2036" s="1" t="s">
        <v>4880</v>
      </c>
      <c r="H2036" s="1" t="s">
        <v>4881</v>
      </c>
      <c r="M2036" s="1" t="s">
        <v>10682</v>
      </c>
      <c r="N2036" s="1" t="s">
        <v>4658</v>
      </c>
      <c r="P2036" s="1" t="s">
        <v>10753</v>
      </c>
      <c r="Q2036" s="30" t="s">
        <v>2565</v>
      </c>
      <c r="R2036" s="33" t="s">
        <v>3472</v>
      </c>
      <c r="S2036">
        <v>37</v>
      </c>
      <c r="T2036" s="1" t="s">
        <v>13917</v>
      </c>
      <c r="U2036" s="1" t="str">
        <f>HYPERLINK("http://ictvonline.org/taxonomy/p/taxonomy-history?taxnode_id=202112321","ICTVonline=202112321")</f>
        <v>ICTVonline=202112321</v>
      </c>
    </row>
    <row r="2037" spans="1:21" x14ac:dyDescent="0.2">
      <c r="A2037" s="3">
        <v>2036</v>
      </c>
      <c r="B2037" s="1" t="s">
        <v>4875</v>
      </c>
      <c r="D2037" s="1" t="s">
        <v>4876</v>
      </c>
      <c r="F2037" s="1" t="s">
        <v>4880</v>
      </c>
      <c r="H2037" s="1" t="s">
        <v>4881</v>
      </c>
      <c r="M2037" s="1" t="s">
        <v>10682</v>
      </c>
      <c r="N2037" s="1" t="s">
        <v>4658</v>
      </c>
      <c r="P2037" s="1" t="s">
        <v>10754</v>
      </c>
      <c r="Q2037" s="30" t="s">
        <v>2565</v>
      </c>
      <c r="R2037" s="33" t="s">
        <v>3472</v>
      </c>
      <c r="S2037">
        <v>37</v>
      </c>
      <c r="T2037" s="1" t="s">
        <v>13917</v>
      </c>
      <c r="U2037" s="1" t="str">
        <f>HYPERLINK("http://ictvonline.org/taxonomy/p/taxonomy-history?taxnode_id=202112322","ICTVonline=202112322")</f>
        <v>ICTVonline=202112322</v>
      </c>
    </row>
    <row r="2038" spans="1:21" x14ac:dyDescent="0.2">
      <c r="A2038" s="3">
        <v>2037</v>
      </c>
      <c r="B2038" s="1" t="s">
        <v>4875</v>
      </c>
      <c r="D2038" s="1" t="s">
        <v>4876</v>
      </c>
      <c r="F2038" s="1" t="s">
        <v>4880</v>
      </c>
      <c r="H2038" s="1" t="s">
        <v>4881</v>
      </c>
      <c r="M2038" s="1" t="s">
        <v>10682</v>
      </c>
      <c r="N2038" s="1" t="s">
        <v>4658</v>
      </c>
      <c r="P2038" s="1" t="s">
        <v>10755</v>
      </c>
      <c r="Q2038" s="30" t="s">
        <v>2565</v>
      </c>
      <c r="R2038" s="33" t="s">
        <v>3472</v>
      </c>
      <c r="S2038">
        <v>37</v>
      </c>
      <c r="T2038" s="1" t="s">
        <v>13917</v>
      </c>
      <c r="U2038" s="1" t="str">
        <f>HYPERLINK("http://ictvonline.org/taxonomy/p/taxonomy-history?taxnode_id=202112323","ICTVonline=202112323")</f>
        <v>ICTVonline=202112323</v>
      </c>
    </row>
    <row r="2039" spans="1:21" x14ac:dyDescent="0.2">
      <c r="A2039" s="3">
        <v>2038</v>
      </c>
      <c r="B2039" s="1" t="s">
        <v>4875</v>
      </c>
      <c r="D2039" s="1" t="s">
        <v>4876</v>
      </c>
      <c r="F2039" s="1" t="s">
        <v>4880</v>
      </c>
      <c r="H2039" s="1" t="s">
        <v>4881</v>
      </c>
      <c r="M2039" s="1" t="s">
        <v>10682</v>
      </c>
      <c r="N2039" s="1" t="s">
        <v>4658</v>
      </c>
      <c r="P2039" s="1" t="s">
        <v>10756</v>
      </c>
      <c r="Q2039" s="30" t="s">
        <v>2565</v>
      </c>
      <c r="R2039" s="33" t="s">
        <v>3472</v>
      </c>
      <c r="S2039">
        <v>37</v>
      </c>
      <c r="T2039" s="1" t="s">
        <v>13917</v>
      </c>
      <c r="U2039" s="1" t="str">
        <f>HYPERLINK("http://ictvonline.org/taxonomy/p/taxonomy-history?taxnode_id=202112324","ICTVonline=202112324")</f>
        <v>ICTVonline=202112324</v>
      </c>
    </row>
    <row r="2040" spans="1:21" x14ac:dyDescent="0.2">
      <c r="A2040" s="3">
        <v>2039</v>
      </c>
      <c r="B2040" s="1" t="s">
        <v>4875</v>
      </c>
      <c r="D2040" s="1" t="s">
        <v>4876</v>
      </c>
      <c r="F2040" s="1" t="s">
        <v>4880</v>
      </c>
      <c r="H2040" s="1" t="s">
        <v>4881</v>
      </c>
      <c r="M2040" s="1" t="s">
        <v>10682</v>
      </c>
      <c r="N2040" s="1" t="s">
        <v>4658</v>
      </c>
      <c r="P2040" s="1" t="s">
        <v>10757</v>
      </c>
      <c r="Q2040" s="30" t="s">
        <v>2565</v>
      </c>
      <c r="R2040" s="33" t="s">
        <v>3472</v>
      </c>
      <c r="S2040">
        <v>37</v>
      </c>
      <c r="T2040" s="1" t="s">
        <v>13917</v>
      </c>
      <c r="U2040" s="1" t="str">
        <f>HYPERLINK("http://ictvonline.org/taxonomy/p/taxonomy-history?taxnode_id=202112325","ICTVonline=202112325")</f>
        <v>ICTVonline=202112325</v>
      </c>
    </row>
    <row r="2041" spans="1:21" x14ac:dyDescent="0.2">
      <c r="A2041" s="3">
        <v>2040</v>
      </c>
      <c r="B2041" s="1" t="s">
        <v>4875</v>
      </c>
      <c r="D2041" s="1" t="s">
        <v>4876</v>
      </c>
      <c r="F2041" s="1" t="s">
        <v>4880</v>
      </c>
      <c r="H2041" s="1" t="s">
        <v>4881</v>
      </c>
      <c r="M2041" s="1" t="s">
        <v>10682</v>
      </c>
      <c r="N2041" s="1" t="s">
        <v>4658</v>
      </c>
      <c r="P2041" s="1" t="s">
        <v>10758</v>
      </c>
      <c r="Q2041" s="30" t="s">
        <v>2565</v>
      </c>
      <c r="R2041" s="33" t="s">
        <v>3472</v>
      </c>
      <c r="S2041">
        <v>37</v>
      </c>
      <c r="T2041" s="1" t="s">
        <v>13917</v>
      </c>
      <c r="U2041" s="1" t="str">
        <f>HYPERLINK("http://ictvonline.org/taxonomy/p/taxonomy-history?taxnode_id=202112326","ICTVonline=202112326")</f>
        <v>ICTVonline=202112326</v>
      </c>
    </row>
    <row r="2042" spans="1:21" x14ac:dyDescent="0.2">
      <c r="A2042" s="3">
        <v>2041</v>
      </c>
      <c r="B2042" s="1" t="s">
        <v>4875</v>
      </c>
      <c r="D2042" s="1" t="s">
        <v>4876</v>
      </c>
      <c r="F2042" s="1" t="s">
        <v>4880</v>
      </c>
      <c r="H2042" s="1" t="s">
        <v>4881</v>
      </c>
      <c r="M2042" s="1" t="s">
        <v>10682</v>
      </c>
      <c r="N2042" s="1" t="s">
        <v>4658</v>
      </c>
      <c r="P2042" s="1" t="s">
        <v>10759</v>
      </c>
      <c r="Q2042" s="30" t="s">
        <v>2565</v>
      </c>
      <c r="R2042" s="33" t="s">
        <v>3472</v>
      </c>
      <c r="S2042">
        <v>37</v>
      </c>
      <c r="T2042" s="1" t="s">
        <v>13917</v>
      </c>
      <c r="U2042" s="1" t="str">
        <f>HYPERLINK("http://ictvonline.org/taxonomy/p/taxonomy-history?taxnode_id=202112327","ICTVonline=202112327")</f>
        <v>ICTVonline=202112327</v>
      </c>
    </row>
    <row r="2043" spans="1:21" x14ac:dyDescent="0.2">
      <c r="A2043" s="3">
        <v>2042</v>
      </c>
      <c r="B2043" s="1" t="s">
        <v>4875</v>
      </c>
      <c r="D2043" s="1" t="s">
        <v>4876</v>
      </c>
      <c r="F2043" s="1" t="s">
        <v>4880</v>
      </c>
      <c r="H2043" s="1" t="s">
        <v>4881</v>
      </c>
      <c r="M2043" s="1" t="s">
        <v>10682</v>
      </c>
      <c r="N2043" s="1" t="s">
        <v>4658</v>
      </c>
      <c r="P2043" s="1" t="s">
        <v>10760</v>
      </c>
      <c r="Q2043" s="30" t="s">
        <v>2565</v>
      </c>
      <c r="R2043" s="33" t="s">
        <v>3472</v>
      </c>
      <c r="S2043">
        <v>37</v>
      </c>
      <c r="T2043" s="1" t="s">
        <v>13917</v>
      </c>
      <c r="U2043" s="1" t="str">
        <f>HYPERLINK("http://ictvonline.org/taxonomy/p/taxonomy-history?taxnode_id=202112328","ICTVonline=202112328")</f>
        <v>ICTVonline=202112328</v>
      </c>
    </row>
    <row r="2044" spans="1:21" x14ac:dyDescent="0.2">
      <c r="A2044" s="3">
        <v>2043</v>
      </c>
      <c r="B2044" s="1" t="s">
        <v>4875</v>
      </c>
      <c r="D2044" s="1" t="s">
        <v>4876</v>
      </c>
      <c r="F2044" s="1" t="s">
        <v>4880</v>
      </c>
      <c r="H2044" s="1" t="s">
        <v>4881</v>
      </c>
      <c r="M2044" s="1" t="s">
        <v>10682</v>
      </c>
      <c r="N2044" s="1" t="s">
        <v>4658</v>
      </c>
      <c r="P2044" s="1" t="s">
        <v>10761</v>
      </c>
      <c r="Q2044" s="30" t="s">
        <v>2565</v>
      </c>
      <c r="R2044" s="33" t="s">
        <v>3472</v>
      </c>
      <c r="S2044">
        <v>37</v>
      </c>
      <c r="T2044" s="1" t="s">
        <v>13917</v>
      </c>
      <c r="U2044" s="1" t="str">
        <f>HYPERLINK("http://ictvonline.org/taxonomy/p/taxonomy-history?taxnode_id=202112329","ICTVonline=202112329")</f>
        <v>ICTVonline=202112329</v>
      </c>
    </row>
    <row r="2045" spans="1:21" x14ac:dyDescent="0.2">
      <c r="A2045" s="3">
        <v>2044</v>
      </c>
      <c r="B2045" s="1" t="s">
        <v>4875</v>
      </c>
      <c r="D2045" s="1" t="s">
        <v>4876</v>
      </c>
      <c r="F2045" s="1" t="s">
        <v>4880</v>
      </c>
      <c r="H2045" s="1" t="s">
        <v>4881</v>
      </c>
      <c r="M2045" s="1" t="s">
        <v>10682</v>
      </c>
      <c r="N2045" s="1" t="s">
        <v>4658</v>
      </c>
      <c r="P2045" s="1" t="s">
        <v>10762</v>
      </c>
      <c r="Q2045" s="30" t="s">
        <v>2565</v>
      </c>
      <c r="R2045" s="33" t="s">
        <v>3472</v>
      </c>
      <c r="S2045">
        <v>37</v>
      </c>
      <c r="T2045" s="1" t="s">
        <v>13917</v>
      </c>
      <c r="U2045" s="1" t="str">
        <f>HYPERLINK("http://ictvonline.org/taxonomy/p/taxonomy-history?taxnode_id=202112330","ICTVonline=202112330")</f>
        <v>ICTVonline=202112330</v>
      </c>
    </row>
    <row r="2046" spans="1:21" x14ac:dyDescent="0.2">
      <c r="A2046" s="3">
        <v>2045</v>
      </c>
      <c r="B2046" s="1" t="s">
        <v>4875</v>
      </c>
      <c r="D2046" s="1" t="s">
        <v>4876</v>
      </c>
      <c r="F2046" s="1" t="s">
        <v>4880</v>
      </c>
      <c r="H2046" s="1" t="s">
        <v>4881</v>
      </c>
      <c r="M2046" s="1" t="s">
        <v>10682</v>
      </c>
      <c r="N2046" s="1" t="s">
        <v>4658</v>
      </c>
      <c r="P2046" s="1" t="s">
        <v>10763</v>
      </c>
      <c r="Q2046" s="30" t="s">
        <v>2565</v>
      </c>
      <c r="R2046" s="33" t="s">
        <v>3472</v>
      </c>
      <c r="S2046">
        <v>37</v>
      </c>
      <c r="T2046" s="1" t="s">
        <v>13917</v>
      </c>
      <c r="U2046" s="1" t="str">
        <f>HYPERLINK("http://ictvonline.org/taxonomy/p/taxonomy-history?taxnode_id=202112331","ICTVonline=202112331")</f>
        <v>ICTVonline=202112331</v>
      </c>
    </row>
    <row r="2047" spans="1:21" x14ac:dyDescent="0.2">
      <c r="A2047" s="3">
        <v>2046</v>
      </c>
      <c r="B2047" s="1" t="s">
        <v>4875</v>
      </c>
      <c r="D2047" s="1" t="s">
        <v>4876</v>
      </c>
      <c r="F2047" s="1" t="s">
        <v>4880</v>
      </c>
      <c r="H2047" s="1" t="s">
        <v>4881</v>
      </c>
      <c r="M2047" s="1" t="s">
        <v>10682</v>
      </c>
      <c r="N2047" s="1" t="s">
        <v>4658</v>
      </c>
      <c r="P2047" s="1" t="s">
        <v>10764</v>
      </c>
      <c r="Q2047" s="30" t="s">
        <v>2565</v>
      </c>
      <c r="R2047" s="33" t="s">
        <v>3472</v>
      </c>
      <c r="S2047">
        <v>37</v>
      </c>
      <c r="T2047" s="1" t="s">
        <v>13917</v>
      </c>
      <c r="U2047" s="1" t="str">
        <f>HYPERLINK("http://ictvonline.org/taxonomy/p/taxonomy-history?taxnode_id=202112332","ICTVonline=202112332")</f>
        <v>ICTVonline=202112332</v>
      </c>
    </row>
    <row r="2048" spans="1:21" x14ac:dyDescent="0.2">
      <c r="A2048" s="3">
        <v>2047</v>
      </c>
      <c r="B2048" s="1" t="s">
        <v>4875</v>
      </c>
      <c r="D2048" s="1" t="s">
        <v>4876</v>
      </c>
      <c r="F2048" s="1" t="s">
        <v>4880</v>
      </c>
      <c r="H2048" s="1" t="s">
        <v>4881</v>
      </c>
      <c r="M2048" s="1" t="s">
        <v>10682</v>
      </c>
      <c r="N2048" s="1" t="s">
        <v>4658</v>
      </c>
      <c r="P2048" s="1" t="s">
        <v>10765</v>
      </c>
      <c r="Q2048" s="30" t="s">
        <v>2565</v>
      </c>
      <c r="R2048" s="33" t="s">
        <v>3472</v>
      </c>
      <c r="S2048">
        <v>37</v>
      </c>
      <c r="T2048" s="1" t="s">
        <v>13917</v>
      </c>
      <c r="U2048" s="1" t="str">
        <f>HYPERLINK("http://ictvonline.org/taxonomy/p/taxonomy-history?taxnode_id=202112333","ICTVonline=202112333")</f>
        <v>ICTVonline=202112333</v>
      </c>
    </row>
    <row r="2049" spans="1:21" x14ac:dyDescent="0.2">
      <c r="A2049" s="3">
        <v>2048</v>
      </c>
      <c r="B2049" s="1" t="s">
        <v>4875</v>
      </c>
      <c r="D2049" s="1" t="s">
        <v>4876</v>
      </c>
      <c r="F2049" s="1" t="s">
        <v>4880</v>
      </c>
      <c r="H2049" s="1" t="s">
        <v>4881</v>
      </c>
      <c r="M2049" s="1" t="s">
        <v>10682</v>
      </c>
      <c r="N2049" s="1" t="s">
        <v>4658</v>
      </c>
      <c r="P2049" s="1" t="s">
        <v>10766</v>
      </c>
      <c r="Q2049" s="30" t="s">
        <v>2565</v>
      </c>
      <c r="R2049" s="33" t="s">
        <v>3472</v>
      </c>
      <c r="S2049">
        <v>37</v>
      </c>
      <c r="T2049" s="1" t="s">
        <v>13917</v>
      </c>
      <c r="U2049" s="1" t="str">
        <f>HYPERLINK("http://ictvonline.org/taxonomy/p/taxonomy-history?taxnode_id=202112334","ICTVonline=202112334")</f>
        <v>ICTVonline=202112334</v>
      </c>
    </row>
    <row r="2050" spans="1:21" x14ac:dyDescent="0.2">
      <c r="A2050" s="3">
        <v>2049</v>
      </c>
      <c r="B2050" s="1" t="s">
        <v>4875</v>
      </c>
      <c r="D2050" s="1" t="s">
        <v>4876</v>
      </c>
      <c r="F2050" s="1" t="s">
        <v>4880</v>
      </c>
      <c r="H2050" s="1" t="s">
        <v>4881</v>
      </c>
      <c r="M2050" s="1" t="s">
        <v>10682</v>
      </c>
      <c r="N2050" s="1" t="s">
        <v>4658</v>
      </c>
      <c r="P2050" s="1" t="s">
        <v>10767</v>
      </c>
      <c r="Q2050" s="30" t="s">
        <v>2565</v>
      </c>
      <c r="R2050" s="33" t="s">
        <v>3472</v>
      </c>
      <c r="S2050">
        <v>37</v>
      </c>
      <c r="T2050" s="1" t="s">
        <v>13917</v>
      </c>
      <c r="U2050" s="1" t="str">
        <f>HYPERLINK("http://ictvonline.org/taxonomy/p/taxonomy-history?taxnode_id=202112335","ICTVonline=202112335")</f>
        <v>ICTVonline=202112335</v>
      </c>
    </row>
    <row r="2051" spans="1:21" x14ac:dyDescent="0.2">
      <c r="A2051" s="3">
        <v>2050</v>
      </c>
      <c r="B2051" s="1" t="s">
        <v>4875</v>
      </c>
      <c r="D2051" s="1" t="s">
        <v>4876</v>
      </c>
      <c r="F2051" s="1" t="s">
        <v>4880</v>
      </c>
      <c r="H2051" s="1" t="s">
        <v>4881</v>
      </c>
      <c r="M2051" s="1" t="s">
        <v>10682</v>
      </c>
      <c r="N2051" s="1" t="s">
        <v>4658</v>
      </c>
      <c r="P2051" s="1" t="s">
        <v>10768</v>
      </c>
      <c r="Q2051" s="30" t="s">
        <v>2565</v>
      </c>
      <c r="R2051" s="33" t="s">
        <v>3472</v>
      </c>
      <c r="S2051">
        <v>37</v>
      </c>
      <c r="T2051" s="1" t="s">
        <v>13917</v>
      </c>
      <c r="U2051" s="1" t="str">
        <f>HYPERLINK("http://ictvonline.org/taxonomy/p/taxonomy-history?taxnode_id=202112336","ICTVonline=202112336")</f>
        <v>ICTVonline=202112336</v>
      </c>
    </row>
    <row r="2052" spans="1:21" x14ac:dyDescent="0.2">
      <c r="A2052" s="3">
        <v>2051</v>
      </c>
      <c r="B2052" s="1" t="s">
        <v>4875</v>
      </c>
      <c r="D2052" s="1" t="s">
        <v>4876</v>
      </c>
      <c r="F2052" s="1" t="s">
        <v>4880</v>
      </c>
      <c r="H2052" s="1" t="s">
        <v>4881</v>
      </c>
      <c r="M2052" s="1" t="s">
        <v>10682</v>
      </c>
      <c r="N2052" s="1" t="s">
        <v>4658</v>
      </c>
      <c r="P2052" s="1" t="s">
        <v>10769</v>
      </c>
      <c r="Q2052" s="30" t="s">
        <v>2565</v>
      </c>
      <c r="R2052" s="33" t="s">
        <v>3472</v>
      </c>
      <c r="S2052">
        <v>37</v>
      </c>
      <c r="T2052" s="1" t="s">
        <v>13917</v>
      </c>
      <c r="U2052" s="1" t="str">
        <f>HYPERLINK("http://ictvonline.org/taxonomy/p/taxonomy-history?taxnode_id=202112337","ICTVonline=202112337")</f>
        <v>ICTVonline=202112337</v>
      </c>
    </row>
    <row r="2053" spans="1:21" x14ac:dyDescent="0.2">
      <c r="A2053" s="3">
        <v>2052</v>
      </c>
      <c r="B2053" s="1" t="s">
        <v>4875</v>
      </c>
      <c r="D2053" s="1" t="s">
        <v>4876</v>
      </c>
      <c r="F2053" s="1" t="s">
        <v>4880</v>
      </c>
      <c r="H2053" s="1" t="s">
        <v>4881</v>
      </c>
      <c r="M2053" s="1" t="s">
        <v>10682</v>
      </c>
      <c r="N2053" s="1" t="s">
        <v>4658</v>
      </c>
      <c r="P2053" s="1" t="s">
        <v>2615</v>
      </c>
      <c r="Q2053" s="30" t="s">
        <v>2565</v>
      </c>
      <c r="R2053" s="33" t="s">
        <v>3474</v>
      </c>
      <c r="S2053">
        <v>37</v>
      </c>
      <c r="T2053" s="1" t="s">
        <v>13918</v>
      </c>
      <c r="U2053" s="1" t="str">
        <f>HYPERLINK("http://ictvonline.org/taxonomy/p/taxonomy-history?taxnode_id=202100891","ICTVonline=202100891")</f>
        <v>ICTVonline=202100891</v>
      </c>
    </row>
    <row r="2054" spans="1:21" x14ac:dyDescent="0.2">
      <c r="A2054" s="3">
        <v>2053</v>
      </c>
      <c r="B2054" s="1" t="s">
        <v>4875</v>
      </c>
      <c r="D2054" s="1" t="s">
        <v>4876</v>
      </c>
      <c r="F2054" s="1" t="s">
        <v>4880</v>
      </c>
      <c r="H2054" s="1" t="s">
        <v>4881</v>
      </c>
      <c r="M2054" s="1" t="s">
        <v>10682</v>
      </c>
      <c r="N2054" s="1" t="s">
        <v>4658</v>
      </c>
      <c r="P2054" s="1" t="s">
        <v>2616</v>
      </c>
      <c r="Q2054" s="30" t="s">
        <v>2565</v>
      </c>
      <c r="R2054" s="33" t="s">
        <v>3474</v>
      </c>
      <c r="S2054">
        <v>37</v>
      </c>
      <c r="T2054" s="1" t="s">
        <v>13918</v>
      </c>
      <c r="U2054" s="1" t="str">
        <f>HYPERLINK("http://ictvonline.org/taxonomy/p/taxonomy-history?taxnode_id=202100893","ICTVonline=202100893")</f>
        <v>ICTVonline=202100893</v>
      </c>
    </row>
    <row r="2055" spans="1:21" x14ac:dyDescent="0.2">
      <c r="A2055" s="3">
        <v>2054</v>
      </c>
      <c r="B2055" s="1" t="s">
        <v>4875</v>
      </c>
      <c r="D2055" s="1" t="s">
        <v>4876</v>
      </c>
      <c r="F2055" s="1" t="s">
        <v>4880</v>
      </c>
      <c r="H2055" s="1" t="s">
        <v>4881</v>
      </c>
      <c r="M2055" s="1" t="s">
        <v>10682</v>
      </c>
      <c r="N2055" s="1" t="s">
        <v>4658</v>
      </c>
      <c r="P2055" s="1" t="s">
        <v>2617</v>
      </c>
      <c r="Q2055" s="30" t="s">
        <v>2565</v>
      </c>
      <c r="R2055" s="33" t="s">
        <v>3474</v>
      </c>
      <c r="S2055">
        <v>37</v>
      </c>
      <c r="T2055" s="1" t="s">
        <v>13918</v>
      </c>
      <c r="U2055" s="1" t="str">
        <f>HYPERLINK("http://ictvonline.org/taxonomy/p/taxonomy-history?taxnode_id=202100894","ICTVonline=202100894")</f>
        <v>ICTVonline=202100894</v>
      </c>
    </row>
    <row r="2056" spans="1:21" x14ac:dyDescent="0.2">
      <c r="A2056" s="3">
        <v>2055</v>
      </c>
      <c r="B2056" s="1" t="s">
        <v>4875</v>
      </c>
      <c r="D2056" s="1" t="s">
        <v>4876</v>
      </c>
      <c r="F2056" s="1" t="s">
        <v>4880</v>
      </c>
      <c r="H2056" s="1" t="s">
        <v>4881</v>
      </c>
      <c r="M2056" s="1" t="s">
        <v>10682</v>
      </c>
      <c r="N2056" s="1" t="s">
        <v>4658</v>
      </c>
      <c r="P2056" s="1" t="s">
        <v>5187</v>
      </c>
      <c r="Q2056" s="30" t="s">
        <v>2565</v>
      </c>
      <c r="R2056" s="33" t="s">
        <v>3474</v>
      </c>
      <c r="S2056">
        <v>37</v>
      </c>
      <c r="T2056" s="1" t="s">
        <v>13918</v>
      </c>
      <c r="U2056" s="1" t="str">
        <f>HYPERLINK("http://ictvonline.org/taxonomy/p/taxonomy-history?taxnode_id=202100896","ICTVonline=202100896")</f>
        <v>ICTVonline=202100896</v>
      </c>
    </row>
    <row r="2057" spans="1:21" x14ac:dyDescent="0.2">
      <c r="A2057" s="3">
        <v>2056</v>
      </c>
      <c r="B2057" s="1" t="s">
        <v>4875</v>
      </c>
      <c r="D2057" s="1" t="s">
        <v>4876</v>
      </c>
      <c r="F2057" s="1" t="s">
        <v>4880</v>
      </c>
      <c r="H2057" s="1" t="s">
        <v>4881</v>
      </c>
      <c r="M2057" s="1" t="s">
        <v>10682</v>
      </c>
      <c r="N2057" s="1" t="s">
        <v>4658</v>
      </c>
      <c r="P2057" s="1" t="s">
        <v>2618</v>
      </c>
      <c r="Q2057" s="30" t="s">
        <v>2565</v>
      </c>
      <c r="R2057" s="33" t="s">
        <v>3474</v>
      </c>
      <c r="S2057">
        <v>37</v>
      </c>
      <c r="T2057" s="1" t="s">
        <v>13918</v>
      </c>
      <c r="U2057" s="1" t="str">
        <f>HYPERLINK("http://ictvonline.org/taxonomy/p/taxonomy-history?taxnode_id=202100897","ICTVonline=202100897")</f>
        <v>ICTVonline=202100897</v>
      </c>
    </row>
    <row r="2058" spans="1:21" x14ac:dyDescent="0.2">
      <c r="A2058" s="3">
        <v>2057</v>
      </c>
      <c r="B2058" s="1" t="s">
        <v>4875</v>
      </c>
      <c r="D2058" s="1" t="s">
        <v>4876</v>
      </c>
      <c r="F2058" s="1" t="s">
        <v>4880</v>
      </c>
      <c r="H2058" s="1" t="s">
        <v>4881</v>
      </c>
      <c r="M2058" s="1" t="s">
        <v>10682</v>
      </c>
      <c r="N2058" s="1" t="s">
        <v>4658</v>
      </c>
      <c r="P2058" s="1" t="s">
        <v>2619</v>
      </c>
      <c r="Q2058" s="30" t="s">
        <v>2565</v>
      </c>
      <c r="R2058" s="33" t="s">
        <v>3474</v>
      </c>
      <c r="S2058">
        <v>37</v>
      </c>
      <c r="T2058" s="1" t="s">
        <v>13918</v>
      </c>
      <c r="U2058" s="1" t="str">
        <f>HYPERLINK("http://ictvonline.org/taxonomy/p/taxonomy-history?taxnode_id=202100898","ICTVonline=202100898")</f>
        <v>ICTVonline=202100898</v>
      </c>
    </row>
    <row r="2059" spans="1:21" x14ac:dyDescent="0.2">
      <c r="A2059" s="3">
        <v>2058</v>
      </c>
      <c r="B2059" s="1" t="s">
        <v>4875</v>
      </c>
      <c r="D2059" s="1" t="s">
        <v>4876</v>
      </c>
      <c r="F2059" s="1" t="s">
        <v>4880</v>
      </c>
      <c r="H2059" s="1" t="s">
        <v>4881</v>
      </c>
      <c r="M2059" s="1" t="s">
        <v>10682</v>
      </c>
      <c r="N2059" s="1" t="s">
        <v>4658</v>
      </c>
      <c r="P2059" s="1" t="s">
        <v>5188</v>
      </c>
      <c r="Q2059" s="30" t="s">
        <v>2565</v>
      </c>
      <c r="R2059" s="33" t="s">
        <v>3474</v>
      </c>
      <c r="S2059">
        <v>37</v>
      </c>
      <c r="T2059" s="1" t="s">
        <v>13918</v>
      </c>
      <c r="U2059" s="1" t="str">
        <f>HYPERLINK("http://ictvonline.org/taxonomy/p/taxonomy-history?taxnode_id=202100899","ICTVonline=202100899")</f>
        <v>ICTVonline=202100899</v>
      </c>
    </row>
    <row r="2060" spans="1:21" x14ac:dyDescent="0.2">
      <c r="A2060" s="3">
        <v>2059</v>
      </c>
      <c r="B2060" s="1" t="s">
        <v>4875</v>
      </c>
      <c r="D2060" s="1" t="s">
        <v>4876</v>
      </c>
      <c r="F2060" s="1" t="s">
        <v>4880</v>
      </c>
      <c r="H2060" s="1" t="s">
        <v>4881</v>
      </c>
      <c r="M2060" s="1" t="s">
        <v>10682</v>
      </c>
      <c r="N2060" s="1" t="s">
        <v>4658</v>
      </c>
      <c r="P2060" s="1" t="s">
        <v>2620</v>
      </c>
      <c r="Q2060" s="30" t="s">
        <v>2565</v>
      </c>
      <c r="R2060" s="33" t="s">
        <v>3474</v>
      </c>
      <c r="S2060">
        <v>37</v>
      </c>
      <c r="T2060" s="1" t="s">
        <v>13918</v>
      </c>
      <c r="U2060" s="1" t="str">
        <f>HYPERLINK("http://ictvonline.org/taxonomy/p/taxonomy-history?taxnode_id=202100900","ICTVonline=202100900")</f>
        <v>ICTVonline=202100900</v>
      </c>
    </row>
    <row r="2061" spans="1:21" x14ac:dyDescent="0.2">
      <c r="A2061" s="3">
        <v>2060</v>
      </c>
      <c r="B2061" s="1" t="s">
        <v>4875</v>
      </c>
      <c r="D2061" s="1" t="s">
        <v>4876</v>
      </c>
      <c r="F2061" s="1" t="s">
        <v>4880</v>
      </c>
      <c r="H2061" s="1" t="s">
        <v>4881</v>
      </c>
      <c r="M2061" s="1" t="s">
        <v>10682</v>
      </c>
      <c r="N2061" s="1" t="s">
        <v>4658</v>
      </c>
      <c r="P2061" s="1" t="s">
        <v>2621</v>
      </c>
      <c r="Q2061" s="30" t="s">
        <v>2565</v>
      </c>
      <c r="R2061" s="33" t="s">
        <v>3474</v>
      </c>
      <c r="S2061">
        <v>37</v>
      </c>
      <c r="T2061" s="1" t="s">
        <v>13918</v>
      </c>
      <c r="U2061" s="1" t="str">
        <f>HYPERLINK("http://ictvonline.org/taxonomy/p/taxonomy-history?taxnode_id=202100901","ICTVonline=202100901")</f>
        <v>ICTVonline=202100901</v>
      </c>
    </row>
    <row r="2062" spans="1:21" x14ac:dyDescent="0.2">
      <c r="A2062" s="3">
        <v>2061</v>
      </c>
      <c r="B2062" s="1" t="s">
        <v>4875</v>
      </c>
      <c r="D2062" s="1" t="s">
        <v>4876</v>
      </c>
      <c r="F2062" s="1" t="s">
        <v>4880</v>
      </c>
      <c r="H2062" s="1" t="s">
        <v>4881</v>
      </c>
      <c r="M2062" s="1" t="s">
        <v>10682</v>
      </c>
      <c r="N2062" s="1" t="s">
        <v>4658</v>
      </c>
      <c r="P2062" s="1" t="s">
        <v>5189</v>
      </c>
      <c r="Q2062" s="30" t="s">
        <v>2565</v>
      </c>
      <c r="R2062" s="33" t="s">
        <v>3474</v>
      </c>
      <c r="S2062">
        <v>37</v>
      </c>
      <c r="T2062" s="1" t="s">
        <v>13918</v>
      </c>
      <c r="U2062" s="1" t="str">
        <f>HYPERLINK("http://ictvonline.org/taxonomy/p/taxonomy-history?taxnode_id=202100902","ICTVonline=202100902")</f>
        <v>ICTVonline=202100902</v>
      </c>
    </row>
    <row r="2063" spans="1:21" x14ac:dyDescent="0.2">
      <c r="A2063" s="3">
        <v>2062</v>
      </c>
      <c r="B2063" s="1" t="s">
        <v>4875</v>
      </c>
      <c r="D2063" s="1" t="s">
        <v>4876</v>
      </c>
      <c r="F2063" s="1" t="s">
        <v>4880</v>
      </c>
      <c r="H2063" s="1" t="s">
        <v>4881</v>
      </c>
      <c r="M2063" s="1" t="s">
        <v>10682</v>
      </c>
      <c r="N2063" s="1" t="s">
        <v>4658</v>
      </c>
      <c r="P2063" s="1" t="s">
        <v>2622</v>
      </c>
      <c r="Q2063" s="30" t="s">
        <v>2565</v>
      </c>
      <c r="R2063" s="33" t="s">
        <v>3474</v>
      </c>
      <c r="S2063">
        <v>37</v>
      </c>
      <c r="T2063" s="1" t="s">
        <v>13918</v>
      </c>
      <c r="U2063" s="1" t="str">
        <f>HYPERLINK("http://ictvonline.org/taxonomy/p/taxonomy-history?taxnode_id=202100903","ICTVonline=202100903")</f>
        <v>ICTVonline=202100903</v>
      </c>
    </row>
    <row r="2064" spans="1:21" x14ac:dyDescent="0.2">
      <c r="A2064" s="3">
        <v>2063</v>
      </c>
      <c r="B2064" s="1" t="s">
        <v>4875</v>
      </c>
      <c r="D2064" s="1" t="s">
        <v>4876</v>
      </c>
      <c r="F2064" s="1" t="s">
        <v>4880</v>
      </c>
      <c r="H2064" s="1" t="s">
        <v>4881</v>
      </c>
      <c r="M2064" s="1" t="s">
        <v>10682</v>
      </c>
      <c r="N2064" s="1" t="s">
        <v>4658</v>
      </c>
      <c r="P2064" s="1" t="s">
        <v>2623</v>
      </c>
      <c r="Q2064" s="30" t="s">
        <v>2565</v>
      </c>
      <c r="R2064" s="33" t="s">
        <v>3474</v>
      </c>
      <c r="S2064">
        <v>37</v>
      </c>
      <c r="T2064" s="1" t="s">
        <v>13918</v>
      </c>
      <c r="U2064" s="1" t="str">
        <f>HYPERLINK("http://ictvonline.org/taxonomy/p/taxonomy-history?taxnode_id=202100904","ICTVonline=202100904")</f>
        <v>ICTVonline=202100904</v>
      </c>
    </row>
    <row r="2065" spans="1:21" x14ac:dyDescent="0.2">
      <c r="A2065" s="3">
        <v>2064</v>
      </c>
      <c r="B2065" s="1" t="s">
        <v>4875</v>
      </c>
      <c r="D2065" s="1" t="s">
        <v>4876</v>
      </c>
      <c r="F2065" s="1" t="s">
        <v>4880</v>
      </c>
      <c r="H2065" s="1" t="s">
        <v>4881</v>
      </c>
      <c r="M2065" s="1" t="s">
        <v>10682</v>
      </c>
      <c r="N2065" s="1" t="s">
        <v>4658</v>
      </c>
      <c r="P2065" s="1" t="s">
        <v>2624</v>
      </c>
      <c r="Q2065" s="30" t="s">
        <v>2565</v>
      </c>
      <c r="R2065" s="33" t="s">
        <v>3474</v>
      </c>
      <c r="S2065">
        <v>37</v>
      </c>
      <c r="T2065" s="1" t="s">
        <v>13918</v>
      </c>
      <c r="U2065" s="1" t="str">
        <f>HYPERLINK("http://ictvonline.org/taxonomy/p/taxonomy-history?taxnode_id=202100905","ICTVonline=202100905")</f>
        <v>ICTVonline=202100905</v>
      </c>
    </row>
    <row r="2066" spans="1:21" x14ac:dyDescent="0.2">
      <c r="A2066" s="3">
        <v>2065</v>
      </c>
      <c r="B2066" s="1" t="s">
        <v>4875</v>
      </c>
      <c r="D2066" s="1" t="s">
        <v>4876</v>
      </c>
      <c r="F2066" s="1" t="s">
        <v>4880</v>
      </c>
      <c r="H2066" s="1" t="s">
        <v>4881</v>
      </c>
      <c r="M2066" s="1" t="s">
        <v>10682</v>
      </c>
      <c r="N2066" s="1" t="s">
        <v>4658</v>
      </c>
      <c r="P2066" s="1" t="s">
        <v>2625</v>
      </c>
      <c r="Q2066" s="30" t="s">
        <v>2565</v>
      </c>
      <c r="R2066" s="33" t="s">
        <v>3474</v>
      </c>
      <c r="S2066">
        <v>37</v>
      </c>
      <c r="T2066" s="1" t="s">
        <v>13918</v>
      </c>
      <c r="U2066" s="1" t="str">
        <f>HYPERLINK("http://ictvonline.org/taxonomy/p/taxonomy-history?taxnode_id=202100906","ICTVonline=202100906")</f>
        <v>ICTVonline=202100906</v>
      </c>
    </row>
    <row r="2067" spans="1:21" x14ac:dyDescent="0.2">
      <c r="A2067" s="3">
        <v>2066</v>
      </c>
      <c r="B2067" s="1" t="s">
        <v>4875</v>
      </c>
      <c r="D2067" s="1" t="s">
        <v>4876</v>
      </c>
      <c r="F2067" s="1" t="s">
        <v>4880</v>
      </c>
      <c r="H2067" s="1" t="s">
        <v>4881</v>
      </c>
      <c r="M2067" s="1" t="s">
        <v>10682</v>
      </c>
      <c r="N2067" s="1" t="s">
        <v>4658</v>
      </c>
      <c r="P2067" s="1" t="s">
        <v>2626</v>
      </c>
      <c r="Q2067" s="30" t="s">
        <v>2565</v>
      </c>
      <c r="R2067" s="33" t="s">
        <v>3474</v>
      </c>
      <c r="S2067">
        <v>37</v>
      </c>
      <c r="T2067" s="1" t="s">
        <v>13918</v>
      </c>
      <c r="U2067" s="1" t="str">
        <f>HYPERLINK("http://ictvonline.org/taxonomy/p/taxonomy-history?taxnode_id=202100907","ICTVonline=202100907")</f>
        <v>ICTVonline=202100907</v>
      </c>
    </row>
    <row r="2068" spans="1:21" x14ac:dyDescent="0.2">
      <c r="A2068" s="3">
        <v>2067</v>
      </c>
      <c r="B2068" s="1" t="s">
        <v>4875</v>
      </c>
      <c r="D2068" s="1" t="s">
        <v>4876</v>
      </c>
      <c r="F2068" s="1" t="s">
        <v>4880</v>
      </c>
      <c r="H2068" s="1" t="s">
        <v>4881</v>
      </c>
      <c r="M2068" s="1" t="s">
        <v>10682</v>
      </c>
      <c r="N2068" s="1" t="s">
        <v>4658</v>
      </c>
      <c r="P2068" s="1" t="s">
        <v>2627</v>
      </c>
      <c r="Q2068" s="30" t="s">
        <v>2565</v>
      </c>
      <c r="R2068" s="33" t="s">
        <v>3474</v>
      </c>
      <c r="S2068">
        <v>37</v>
      </c>
      <c r="T2068" s="1" t="s">
        <v>13918</v>
      </c>
      <c r="U2068" s="1" t="str">
        <f>HYPERLINK("http://ictvonline.org/taxonomy/p/taxonomy-history?taxnode_id=202100908","ICTVonline=202100908")</f>
        <v>ICTVonline=202100908</v>
      </c>
    </row>
    <row r="2069" spans="1:21" x14ac:dyDescent="0.2">
      <c r="A2069" s="3">
        <v>2068</v>
      </c>
      <c r="B2069" s="1" t="s">
        <v>4875</v>
      </c>
      <c r="D2069" s="1" t="s">
        <v>4876</v>
      </c>
      <c r="F2069" s="1" t="s">
        <v>4880</v>
      </c>
      <c r="H2069" s="1" t="s">
        <v>4881</v>
      </c>
      <c r="M2069" s="1" t="s">
        <v>10682</v>
      </c>
      <c r="N2069" s="1" t="s">
        <v>4658</v>
      </c>
      <c r="P2069" s="1" t="s">
        <v>2628</v>
      </c>
      <c r="Q2069" s="30" t="s">
        <v>2565</v>
      </c>
      <c r="R2069" s="33" t="s">
        <v>3474</v>
      </c>
      <c r="S2069">
        <v>37</v>
      </c>
      <c r="T2069" s="1" t="s">
        <v>13918</v>
      </c>
      <c r="U2069" s="1" t="str">
        <f>HYPERLINK("http://ictvonline.org/taxonomy/p/taxonomy-history?taxnode_id=202100909","ICTVonline=202100909")</f>
        <v>ICTVonline=202100909</v>
      </c>
    </row>
    <row r="2070" spans="1:21" x14ac:dyDescent="0.2">
      <c r="A2070" s="3">
        <v>2069</v>
      </c>
      <c r="B2070" s="1" t="s">
        <v>4875</v>
      </c>
      <c r="D2070" s="1" t="s">
        <v>4876</v>
      </c>
      <c r="F2070" s="1" t="s">
        <v>4880</v>
      </c>
      <c r="H2070" s="1" t="s">
        <v>4881</v>
      </c>
      <c r="M2070" s="1" t="s">
        <v>10682</v>
      </c>
      <c r="N2070" s="1" t="s">
        <v>4658</v>
      </c>
      <c r="P2070" s="1" t="s">
        <v>5190</v>
      </c>
      <c r="Q2070" s="30" t="s">
        <v>2565</v>
      </c>
      <c r="R2070" s="33" t="s">
        <v>3474</v>
      </c>
      <c r="S2070">
        <v>37</v>
      </c>
      <c r="T2070" s="1" t="s">
        <v>13918</v>
      </c>
      <c r="U2070" s="1" t="str">
        <f>HYPERLINK("http://ictvonline.org/taxonomy/p/taxonomy-history?taxnode_id=202100910","ICTVonline=202100910")</f>
        <v>ICTVonline=202100910</v>
      </c>
    </row>
    <row r="2071" spans="1:21" x14ac:dyDescent="0.2">
      <c r="A2071" s="3">
        <v>2070</v>
      </c>
      <c r="B2071" s="1" t="s">
        <v>4875</v>
      </c>
      <c r="D2071" s="1" t="s">
        <v>4876</v>
      </c>
      <c r="F2071" s="1" t="s">
        <v>4880</v>
      </c>
      <c r="H2071" s="1" t="s">
        <v>4881</v>
      </c>
      <c r="M2071" s="1" t="s">
        <v>10682</v>
      </c>
      <c r="N2071" s="1" t="s">
        <v>4658</v>
      </c>
      <c r="P2071" s="1" t="s">
        <v>2629</v>
      </c>
      <c r="Q2071" s="30" t="s">
        <v>2565</v>
      </c>
      <c r="R2071" s="33" t="s">
        <v>3474</v>
      </c>
      <c r="S2071">
        <v>37</v>
      </c>
      <c r="T2071" s="1" t="s">
        <v>13918</v>
      </c>
      <c r="U2071" s="1" t="str">
        <f>HYPERLINK("http://ictvonline.org/taxonomy/p/taxonomy-history?taxnode_id=202100911","ICTVonline=202100911")</f>
        <v>ICTVonline=202100911</v>
      </c>
    </row>
    <row r="2072" spans="1:21" x14ac:dyDescent="0.2">
      <c r="A2072" s="3">
        <v>2071</v>
      </c>
      <c r="B2072" s="1" t="s">
        <v>4875</v>
      </c>
      <c r="D2072" s="1" t="s">
        <v>4876</v>
      </c>
      <c r="F2072" s="1" t="s">
        <v>4880</v>
      </c>
      <c r="H2072" s="1" t="s">
        <v>4881</v>
      </c>
      <c r="M2072" s="1" t="s">
        <v>10682</v>
      </c>
      <c r="N2072" s="1" t="s">
        <v>4658</v>
      </c>
      <c r="P2072" s="1" t="s">
        <v>2630</v>
      </c>
      <c r="Q2072" s="30" t="s">
        <v>2565</v>
      </c>
      <c r="R2072" s="33" t="s">
        <v>3474</v>
      </c>
      <c r="S2072">
        <v>37</v>
      </c>
      <c r="T2072" s="1" t="s">
        <v>13918</v>
      </c>
      <c r="U2072" s="1" t="str">
        <f>HYPERLINK("http://ictvonline.org/taxonomy/p/taxonomy-history?taxnode_id=202100912","ICTVonline=202100912")</f>
        <v>ICTVonline=202100912</v>
      </c>
    </row>
    <row r="2073" spans="1:21" x14ac:dyDescent="0.2">
      <c r="A2073" s="3">
        <v>2072</v>
      </c>
      <c r="B2073" s="1" t="s">
        <v>4875</v>
      </c>
      <c r="D2073" s="1" t="s">
        <v>4876</v>
      </c>
      <c r="F2073" s="1" t="s">
        <v>4880</v>
      </c>
      <c r="H2073" s="1" t="s">
        <v>4881</v>
      </c>
      <c r="M2073" s="1" t="s">
        <v>10682</v>
      </c>
      <c r="N2073" s="1" t="s">
        <v>4658</v>
      </c>
      <c r="P2073" s="1" t="s">
        <v>2631</v>
      </c>
      <c r="Q2073" s="30" t="s">
        <v>2565</v>
      </c>
      <c r="R2073" s="33" t="s">
        <v>3474</v>
      </c>
      <c r="S2073">
        <v>37</v>
      </c>
      <c r="T2073" s="1" t="s">
        <v>13918</v>
      </c>
      <c r="U2073" s="1" t="str">
        <f>HYPERLINK("http://ictvonline.org/taxonomy/p/taxonomy-history?taxnode_id=202100913","ICTVonline=202100913")</f>
        <v>ICTVonline=202100913</v>
      </c>
    </row>
    <row r="2074" spans="1:21" x14ac:dyDescent="0.2">
      <c r="A2074" s="3">
        <v>2073</v>
      </c>
      <c r="B2074" s="1" t="s">
        <v>4875</v>
      </c>
      <c r="D2074" s="1" t="s">
        <v>4876</v>
      </c>
      <c r="F2074" s="1" t="s">
        <v>4880</v>
      </c>
      <c r="H2074" s="1" t="s">
        <v>4881</v>
      </c>
      <c r="M2074" s="1" t="s">
        <v>10682</v>
      </c>
      <c r="N2074" s="1" t="s">
        <v>4658</v>
      </c>
      <c r="P2074" s="1" t="s">
        <v>2632</v>
      </c>
      <c r="Q2074" s="30" t="s">
        <v>2565</v>
      </c>
      <c r="R2074" s="33" t="s">
        <v>3474</v>
      </c>
      <c r="S2074">
        <v>37</v>
      </c>
      <c r="T2074" s="1" t="s">
        <v>13918</v>
      </c>
      <c r="U2074" s="1" t="str">
        <f>HYPERLINK("http://ictvonline.org/taxonomy/p/taxonomy-history?taxnode_id=202100914","ICTVonline=202100914")</f>
        <v>ICTVonline=202100914</v>
      </c>
    </row>
    <row r="2075" spans="1:21" x14ac:dyDescent="0.2">
      <c r="A2075" s="3">
        <v>2074</v>
      </c>
      <c r="B2075" s="1" t="s">
        <v>4875</v>
      </c>
      <c r="D2075" s="1" t="s">
        <v>4876</v>
      </c>
      <c r="F2075" s="1" t="s">
        <v>4880</v>
      </c>
      <c r="H2075" s="1" t="s">
        <v>4881</v>
      </c>
      <c r="M2075" s="1" t="s">
        <v>10682</v>
      </c>
      <c r="N2075" s="1" t="s">
        <v>4658</v>
      </c>
      <c r="P2075" s="1" t="s">
        <v>2633</v>
      </c>
      <c r="Q2075" s="30" t="s">
        <v>2565</v>
      </c>
      <c r="R2075" s="33" t="s">
        <v>3474</v>
      </c>
      <c r="S2075">
        <v>37</v>
      </c>
      <c r="T2075" s="1" t="s">
        <v>13918</v>
      </c>
      <c r="U2075" s="1" t="str">
        <f>HYPERLINK("http://ictvonline.org/taxonomy/p/taxonomy-history?taxnode_id=202100915","ICTVonline=202100915")</f>
        <v>ICTVonline=202100915</v>
      </c>
    </row>
    <row r="2076" spans="1:21" x14ac:dyDescent="0.2">
      <c r="A2076" s="3">
        <v>2075</v>
      </c>
      <c r="B2076" s="1" t="s">
        <v>4875</v>
      </c>
      <c r="D2076" s="1" t="s">
        <v>4876</v>
      </c>
      <c r="F2076" s="1" t="s">
        <v>4880</v>
      </c>
      <c r="H2076" s="1" t="s">
        <v>4881</v>
      </c>
      <c r="M2076" s="1" t="s">
        <v>10682</v>
      </c>
      <c r="N2076" s="1" t="s">
        <v>4658</v>
      </c>
      <c r="P2076" s="1" t="s">
        <v>2634</v>
      </c>
      <c r="Q2076" s="30" t="s">
        <v>2565</v>
      </c>
      <c r="R2076" s="33" t="s">
        <v>3474</v>
      </c>
      <c r="S2076">
        <v>37</v>
      </c>
      <c r="T2076" s="1" t="s">
        <v>13918</v>
      </c>
      <c r="U2076" s="1" t="str">
        <f>HYPERLINK("http://ictvonline.org/taxonomy/p/taxonomy-history?taxnode_id=202100916","ICTVonline=202100916")</f>
        <v>ICTVonline=202100916</v>
      </c>
    </row>
    <row r="2077" spans="1:21" x14ac:dyDescent="0.2">
      <c r="A2077" s="3">
        <v>2076</v>
      </c>
      <c r="B2077" s="1" t="s">
        <v>4875</v>
      </c>
      <c r="D2077" s="1" t="s">
        <v>4876</v>
      </c>
      <c r="F2077" s="1" t="s">
        <v>4880</v>
      </c>
      <c r="H2077" s="1" t="s">
        <v>4881</v>
      </c>
      <c r="M2077" s="1" t="s">
        <v>10682</v>
      </c>
      <c r="N2077" s="1" t="s">
        <v>4658</v>
      </c>
      <c r="P2077" s="1" t="s">
        <v>2635</v>
      </c>
      <c r="Q2077" s="30" t="s">
        <v>2565</v>
      </c>
      <c r="R2077" s="33" t="s">
        <v>3474</v>
      </c>
      <c r="S2077">
        <v>37</v>
      </c>
      <c r="T2077" s="1" t="s">
        <v>13918</v>
      </c>
      <c r="U2077" s="1" t="str">
        <f>HYPERLINK("http://ictvonline.org/taxonomy/p/taxonomy-history?taxnode_id=202100917","ICTVonline=202100917")</f>
        <v>ICTVonline=202100917</v>
      </c>
    </row>
    <row r="2078" spans="1:21" x14ac:dyDescent="0.2">
      <c r="A2078" s="3">
        <v>2077</v>
      </c>
      <c r="B2078" s="1" t="s">
        <v>4875</v>
      </c>
      <c r="D2078" s="1" t="s">
        <v>4876</v>
      </c>
      <c r="F2078" s="1" t="s">
        <v>4880</v>
      </c>
      <c r="H2078" s="1" t="s">
        <v>4881</v>
      </c>
      <c r="M2078" s="1" t="s">
        <v>10682</v>
      </c>
      <c r="N2078" s="1" t="s">
        <v>6175</v>
      </c>
      <c r="P2078" s="1" t="s">
        <v>6176</v>
      </c>
      <c r="Q2078" s="30" t="s">
        <v>2565</v>
      </c>
      <c r="R2078" s="33" t="s">
        <v>3474</v>
      </c>
      <c r="S2078">
        <v>37</v>
      </c>
      <c r="T2078" s="1" t="s">
        <v>13918</v>
      </c>
      <c r="U2078" s="1" t="str">
        <f>HYPERLINK("http://ictvonline.org/taxonomy/p/taxonomy-history?taxnode_id=202109899","ICTVonline=202109899")</f>
        <v>ICTVonline=202109899</v>
      </c>
    </row>
    <row r="2079" spans="1:21" x14ac:dyDescent="0.2">
      <c r="A2079" s="3">
        <v>2078</v>
      </c>
      <c r="B2079" s="1" t="s">
        <v>4875</v>
      </c>
      <c r="D2079" s="1" t="s">
        <v>4876</v>
      </c>
      <c r="F2079" s="1" t="s">
        <v>4880</v>
      </c>
      <c r="H2079" s="1" t="s">
        <v>4881</v>
      </c>
      <c r="M2079" s="1" t="s">
        <v>10682</v>
      </c>
      <c r="N2079" s="1" t="s">
        <v>10770</v>
      </c>
      <c r="P2079" s="1" t="s">
        <v>10771</v>
      </c>
      <c r="Q2079" s="30" t="s">
        <v>2565</v>
      </c>
      <c r="R2079" s="33" t="s">
        <v>3472</v>
      </c>
      <c r="S2079">
        <v>37</v>
      </c>
      <c r="T2079" s="1" t="s">
        <v>13917</v>
      </c>
      <c r="U2079" s="1" t="str">
        <f>HYPERLINK("http://ictvonline.org/taxonomy/p/taxonomy-history?taxnode_id=202112339","ICTVonline=202112339")</f>
        <v>ICTVonline=202112339</v>
      </c>
    </row>
    <row r="2080" spans="1:21" x14ac:dyDescent="0.2">
      <c r="A2080" s="3">
        <v>2079</v>
      </c>
      <c r="B2080" s="1" t="s">
        <v>4875</v>
      </c>
      <c r="D2080" s="1" t="s">
        <v>4876</v>
      </c>
      <c r="F2080" s="1" t="s">
        <v>4880</v>
      </c>
      <c r="H2080" s="1" t="s">
        <v>4881</v>
      </c>
      <c r="M2080" s="1" t="s">
        <v>10682</v>
      </c>
      <c r="N2080" s="1" t="s">
        <v>6238</v>
      </c>
      <c r="P2080" s="1" t="s">
        <v>6239</v>
      </c>
      <c r="Q2080" s="30" t="s">
        <v>2565</v>
      </c>
      <c r="R2080" s="33" t="s">
        <v>3474</v>
      </c>
      <c r="S2080">
        <v>37</v>
      </c>
      <c r="T2080" s="1" t="s">
        <v>13918</v>
      </c>
      <c r="U2080" s="1" t="str">
        <f>HYPERLINK("http://ictvonline.org/taxonomy/p/taxonomy-history?taxnode_id=202111958","ICTVonline=202111958")</f>
        <v>ICTVonline=202111958</v>
      </c>
    </row>
    <row r="2081" spans="1:21" x14ac:dyDescent="0.2">
      <c r="A2081" s="3">
        <v>2080</v>
      </c>
      <c r="B2081" s="1" t="s">
        <v>4875</v>
      </c>
      <c r="D2081" s="1" t="s">
        <v>4876</v>
      </c>
      <c r="F2081" s="1" t="s">
        <v>4880</v>
      </c>
      <c r="H2081" s="1" t="s">
        <v>4881</v>
      </c>
      <c r="M2081" s="1" t="s">
        <v>10682</v>
      </c>
      <c r="N2081" s="1" t="s">
        <v>6244</v>
      </c>
      <c r="P2081" s="1" t="s">
        <v>6245</v>
      </c>
      <c r="Q2081" s="30" t="s">
        <v>2565</v>
      </c>
      <c r="R2081" s="33" t="s">
        <v>3474</v>
      </c>
      <c r="S2081">
        <v>37</v>
      </c>
      <c r="T2081" s="1" t="s">
        <v>13918</v>
      </c>
      <c r="U2081" s="1" t="str">
        <f>HYPERLINK("http://ictvonline.org/taxonomy/p/taxonomy-history?taxnode_id=202112027","ICTVonline=202112027")</f>
        <v>ICTVonline=202112027</v>
      </c>
    </row>
    <row r="2082" spans="1:21" x14ac:dyDescent="0.2">
      <c r="A2082" s="3">
        <v>2081</v>
      </c>
      <c r="B2082" s="1" t="s">
        <v>4875</v>
      </c>
      <c r="D2082" s="1" t="s">
        <v>4876</v>
      </c>
      <c r="F2082" s="1" t="s">
        <v>4880</v>
      </c>
      <c r="H2082" s="1" t="s">
        <v>4881</v>
      </c>
      <c r="M2082" s="1" t="s">
        <v>10682</v>
      </c>
      <c r="N2082" s="1" t="s">
        <v>6244</v>
      </c>
      <c r="P2082" s="1" t="s">
        <v>6246</v>
      </c>
      <c r="Q2082" s="30" t="s">
        <v>2565</v>
      </c>
      <c r="R2082" s="33" t="s">
        <v>3474</v>
      </c>
      <c r="S2082">
        <v>37</v>
      </c>
      <c r="T2082" s="1" t="s">
        <v>13918</v>
      </c>
      <c r="U2082" s="1" t="str">
        <f>HYPERLINK("http://ictvonline.org/taxonomy/p/taxonomy-history?taxnode_id=202112028","ICTVonline=202112028")</f>
        <v>ICTVonline=202112028</v>
      </c>
    </row>
    <row r="2083" spans="1:21" x14ac:dyDescent="0.2">
      <c r="A2083" s="3">
        <v>2082</v>
      </c>
      <c r="B2083" s="1" t="s">
        <v>4875</v>
      </c>
      <c r="D2083" s="1" t="s">
        <v>4876</v>
      </c>
      <c r="F2083" s="1" t="s">
        <v>4880</v>
      </c>
      <c r="H2083" s="1" t="s">
        <v>4881</v>
      </c>
      <c r="M2083" s="1" t="s">
        <v>10682</v>
      </c>
      <c r="N2083" s="1" t="s">
        <v>6244</v>
      </c>
      <c r="P2083" s="1" t="s">
        <v>6247</v>
      </c>
      <c r="Q2083" s="30" t="s">
        <v>2565</v>
      </c>
      <c r="R2083" s="33" t="s">
        <v>3474</v>
      </c>
      <c r="S2083">
        <v>37</v>
      </c>
      <c r="T2083" s="1" t="s">
        <v>13918</v>
      </c>
      <c r="U2083" s="1" t="str">
        <f>HYPERLINK("http://ictvonline.org/taxonomy/p/taxonomy-history?taxnode_id=202112026","ICTVonline=202112026")</f>
        <v>ICTVonline=202112026</v>
      </c>
    </row>
    <row r="2084" spans="1:21" x14ac:dyDescent="0.2">
      <c r="A2084" s="3">
        <v>2083</v>
      </c>
      <c r="B2084" s="1" t="s">
        <v>4875</v>
      </c>
      <c r="D2084" s="1" t="s">
        <v>4876</v>
      </c>
      <c r="F2084" s="1" t="s">
        <v>4880</v>
      </c>
      <c r="H2084" s="1" t="s">
        <v>4881</v>
      </c>
      <c r="M2084" s="1" t="s">
        <v>2601</v>
      </c>
      <c r="N2084" s="1" t="s">
        <v>4627</v>
      </c>
      <c r="P2084" s="1" t="s">
        <v>10772</v>
      </c>
      <c r="Q2084" s="30" t="s">
        <v>2565</v>
      </c>
      <c r="R2084" s="33" t="s">
        <v>3473</v>
      </c>
      <c r="S2084">
        <v>37</v>
      </c>
      <c r="T2084" s="1" t="s">
        <v>13878</v>
      </c>
      <c r="U2084" s="1" t="str">
        <f>HYPERLINK("http://ictvonline.org/taxonomy/p/taxonomy-history?taxnode_id=202100786","ICTVonline=202100786")</f>
        <v>ICTVonline=202100786</v>
      </c>
    </row>
    <row r="2085" spans="1:21" x14ac:dyDescent="0.2">
      <c r="A2085" s="3">
        <v>2084</v>
      </c>
      <c r="B2085" s="1" t="s">
        <v>4875</v>
      </c>
      <c r="D2085" s="1" t="s">
        <v>4876</v>
      </c>
      <c r="F2085" s="1" t="s">
        <v>4880</v>
      </c>
      <c r="H2085" s="1" t="s">
        <v>4881</v>
      </c>
      <c r="M2085" s="1" t="s">
        <v>2601</v>
      </c>
      <c r="N2085" s="1" t="s">
        <v>2602</v>
      </c>
      <c r="P2085" s="1" t="s">
        <v>10773</v>
      </c>
      <c r="Q2085" s="30" t="s">
        <v>2565</v>
      </c>
      <c r="R2085" s="33" t="s">
        <v>3473</v>
      </c>
      <c r="S2085">
        <v>37</v>
      </c>
      <c r="T2085" s="1" t="s">
        <v>13878</v>
      </c>
      <c r="U2085" s="1" t="str">
        <f>HYPERLINK("http://ictvonline.org/taxonomy/p/taxonomy-history?taxnode_id=202100767","ICTVonline=202100767")</f>
        <v>ICTVonline=202100767</v>
      </c>
    </row>
    <row r="2086" spans="1:21" x14ac:dyDescent="0.2">
      <c r="A2086" s="3">
        <v>2085</v>
      </c>
      <c r="B2086" s="1" t="s">
        <v>4875</v>
      </c>
      <c r="D2086" s="1" t="s">
        <v>4876</v>
      </c>
      <c r="F2086" s="1" t="s">
        <v>4880</v>
      </c>
      <c r="H2086" s="1" t="s">
        <v>4881</v>
      </c>
      <c r="M2086" s="1" t="s">
        <v>2601</v>
      </c>
      <c r="N2086" s="1" t="s">
        <v>2602</v>
      </c>
      <c r="P2086" s="1" t="s">
        <v>10774</v>
      </c>
      <c r="Q2086" s="30" t="s">
        <v>2565</v>
      </c>
      <c r="R2086" s="33" t="s">
        <v>3473</v>
      </c>
      <c r="S2086">
        <v>37</v>
      </c>
      <c r="T2086" s="1" t="s">
        <v>13878</v>
      </c>
      <c r="U2086" s="1" t="str">
        <f>HYPERLINK("http://ictvonline.org/taxonomy/p/taxonomy-history?taxnode_id=202100768","ICTVonline=202100768")</f>
        <v>ICTVonline=202100768</v>
      </c>
    </row>
    <row r="2087" spans="1:21" x14ac:dyDescent="0.2">
      <c r="A2087" s="3">
        <v>2086</v>
      </c>
      <c r="B2087" s="1" t="s">
        <v>4875</v>
      </c>
      <c r="D2087" s="1" t="s">
        <v>4876</v>
      </c>
      <c r="F2087" s="1" t="s">
        <v>4880</v>
      </c>
      <c r="H2087" s="1" t="s">
        <v>4881</v>
      </c>
      <c r="M2087" s="1" t="s">
        <v>2601</v>
      </c>
      <c r="N2087" s="1" t="s">
        <v>2602</v>
      </c>
      <c r="P2087" s="1" t="s">
        <v>10775</v>
      </c>
      <c r="Q2087" s="30" t="s">
        <v>2565</v>
      </c>
      <c r="R2087" s="33" t="s">
        <v>3473</v>
      </c>
      <c r="S2087">
        <v>37</v>
      </c>
      <c r="T2087" s="1" t="s">
        <v>13878</v>
      </c>
      <c r="U2087" s="1" t="str">
        <f>HYPERLINK("http://ictvonline.org/taxonomy/p/taxonomy-history?taxnode_id=202100769","ICTVonline=202100769")</f>
        <v>ICTVonline=202100769</v>
      </c>
    </row>
    <row r="2088" spans="1:21" x14ac:dyDescent="0.2">
      <c r="A2088" s="3">
        <v>2087</v>
      </c>
      <c r="B2088" s="1" t="s">
        <v>4875</v>
      </c>
      <c r="D2088" s="1" t="s">
        <v>4876</v>
      </c>
      <c r="F2088" s="1" t="s">
        <v>4880</v>
      </c>
      <c r="H2088" s="1" t="s">
        <v>4881</v>
      </c>
      <c r="M2088" s="1" t="s">
        <v>2601</v>
      </c>
      <c r="N2088" s="1" t="s">
        <v>2602</v>
      </c>
      <c r="P2088" s="1" t="s">
        <v>10776</v>
      </c>
      <c r="Q2088" s="30" t="s">
        <v>2565</v>
      </c>
      <c r="R2088" s="33" t="s">
        <v>3473</v>
      </c>
      <c r="S2088">
        <v>37</v>
      </c>
      <c r="T2088" s="1" t="s">
        <v>13878</v>
      </c>
      <c r="U2088" s="1" t="str">
        <f>HYPERLINK("http://ictvonline.org/taxonomy/p/taxonomy-history?taxnode_id=202100770","ICTVonline=202100770")</f>
        <v>ICTVonline=202100770</v>
      </c>
    </row>
    <row r="2089" spans="1:21" x14ac:dyDescent="0.2">
      <c r="A2089" s="3">
        <v>2088</v>
      </c>
      <c r="B2089" s="1" t="s">
        <v>4875</v>
      </c>
      <c r="D2089" s="1" t="s">
        <v>4876</v>
      </c>
      <c r="F2089" s="1" t="s">
        <v>4880</v>
      </c>
      <c r="H2089" s="1" t="s">
        <v>4881</v>
      </c>
      <c r="M2089" s="1" t="s">
        <v>2601</v>
      </c>
      <c r="N2089" s="1" t="s">
        <v>2602</v>
      </c>
      <c r="P2089" s="1" t="s">
        <v>10777</v>
      </c>
      <c r="Q2089" s="30" t="s">
        <v>2565</v>
      </c>
      <c r="R2089" s="33" t="s">
        <v>3473</v>
      </c>
      <c r="S2089">
        <v>37</v>
      </c>
      <c r="T2089" s="1" t="s">
        <v>13878</v>
      </c>
      <c r="U2089" s="1" t="str">
        <f>HYPERLINK("http://ictvonline.org/taxonomy/p/taxonomy-history?taxnode_id=202100771","ICTVonline=202100771")</f>
        <v>ICTVonline=202100771</v>
      </c>
    </row>
    <row r="2090" spans="1:21" x14ac:dyDescent="0.2">
      <c r="A2090" s="3">
        <v>2089</v>
      </c>
      <c r="B2090" s="1" t="s">
        <v>4875</v>
      </c>
      <c r="D2090" s="1" t="s">
        <v>4876</v>
      </c>
      <c r="F2090" s="1" t="s">
        <v>4880</v>
      </c>
      <c r="H2090" s="1" t="s">
        <v>4881</v>
      </c>
      <c r="M2090" s="1" t="s">
        <v>2601</v>
      </c>
      <c r="N2090" s="1" t="s">
        <v>2602</v>
      </c>
      <c r="P2090" s="1" t="s">
        <v>10778</v>
      </c>
      <c r="Q2090" s="30" t="s">
        <v>2565</v>
      </c>
      <c r="R2090" s="33" t="s">
        <v>3473</v>
      </c>
      <c r="S2090">
        <v>37</v>
      </c>
      <c r="T2090" s="1" t="s">
        <v>13878</v>
      </c>
      <c r="U2090" s="1" t="str">
        <f>HYPERLINK("http://ictvonline.org/taxonomy/p/taxonomy-history?taxnode_id=202100772","ICTVonline=202100772")</f>
        <v>ICTVonline=202100772</v>
      </c>
    </row>
    <row r="2091" spans="1:21" x14ac:dyDescent="0.2">
      <c r="A2091" s="3">
        <v>2090</v>
      </c>
      <c r="B2091" s="1" t="s">
        <v>4875</v>
      </c>
      <c r="D2091" s="1" t="s">
        <v>4876</v>
      </c>
      <c r="F2091" s="1" t="s">
        <v>4880</v>
      </c>
      <c r="H2091" s="1" t="s">
        <v>4881</v>
      </c>
      <c r="M2091" s="1" t="s">
        <v>2601</v>
      </c>
      <c r="N2091" s="1" t="s">
        <v>2602</v>
      </c>
      <c r="P2091" s="1" t="s">
        <v>10779</v>
      </c>
      <c r="Q2091" s="30" t="s">
        <v>2565</v>
      </c>
      <c r="R2091" s="33" t="s">
        <v>3473</v>
      </c>
      <c r="S2091">
        <v>37</v>
      </c>
      <c r="T2091" s="1" t="s">
        <v>13878</v>
      </c>
      <c r="U2091" s="1" t="str">
        <f>HYPERLINK("http://ictvonline.org/taxonomy/p/taxonomy-history?taxnode_id=202100773","ICTVonline=202100773")</f>
        <v>ICTVonline=202100773</v>
      </c>
    </row>
    <row r="2092" spans="1:21" x14ac:dyDescent="0.2">
      <c r="A2092" s="3">
        <v>2091</v>
      </c>
      <c r="B2092" s="1" t="s">
        <v>4875</v>
      </c>
      <c r="D2092" s="1" t="s">
        <v>4876</v>
      </c>
      <c r="F2092" s="1" t="s">
        <v>4880</v>
      </c>
      <c r="H2092" s="1" t="s">
        <v>4881</v>
      </c>
      <c r="M2092" s="1" t="s">
        <v>2601</v>
      </c>
      <c r="N2092" s="1" t="s">
        <v>2602</v>
      </c>
      <c r="P2092" s="1" t="s">
        <v>10780</v>
      </c>
      <c r="Q2092" s="30" t="s">
        <v>2565</v>
      </c>
      <c r="R2092" s="33" t="s">
        <v>3473</v>
      </c>
      <c r="S2092">
        <v>37</v>
      </c>
      <c r="T2092" s="1" t="s">
        <v>13878</v>
      </c>
      <c r="U2092" s="1" t="str">
        <f>HYPERLINK("http://ictvonline.org/taxonomy/p/taxonomy-history?taxnode_id=202100774","ICTVonline=202100774")</f>
        <v>ICTVonline=202100774</v>
      </c>
    </row>
    <row r="2093" spans="1:21" x14ac:dyDescent="0.2">
      <c r="A2093" s="3">
        <v>2092</v>
      </c>
      <c r="B2093" s="1" t="s">
        <v>4875</v>
      </c>
      <c r="D2093" s="1" t="s">
        <v>4876</v>
      </c>
      <c r="F2093" s="1" t="s">
        <v>4880</v>
      </c>
      <c r="H2093" s="1" t="s">
        <v>4881</v>
      </c>
      <c r="M2093" s="1" t="s">
        <v>2601</v>
      </c>
      <c r="N2093" s="1" t="s">
        <v>2602</v>
      </c>
      <c r="P2093" s="1" t="s">
        <v>10781</v>
      </c>
      <c r="Q2093" s="30" t="s">
        <v>2565</v>
      </c>
      <c r="R2093" s="33" t="s">
        <v>3473</v>
      </c>
      <c r="S2093">
        <v>37</v>
      </c>
      <c r="T2093" s="1" t="s">
        <v>13878</v>
      </c>
      <c r="U2093" s="1" t="str">
        <f>HYPERLINK("http://ictvonline.org/taxonomy/p/taxonomy-history?taxnode_id=202100775","ICTVonline=202100775")</f>
        <v>ICTVonline=202100775</v>
      </c>
    </row>
    <row r="2094" spans="1:21" x14ac:dyDescent="0.2">
      <c r="A2094" s="3">
        <v>2093</v>
      </c>
      <c r="B2094" s="1" t="s">
        <v>4875</v>
      </c>
      <c r="D2094" s="1" t="s">
        <v>4876</v>
      </c>
      <c r="F2094" s="1" t="s">
        <v>4880</v>
      </c>
      <c r="H2094" s="1" t="s">
        <v>4881</v>
      </c>
      <c r="M2094" s="1" t="s">
        <v>2601</v>
      </c>
      <c r="N2094" s="1" t="s">
        <v>2602</v>
      </c>
      <c r="P2094" s="1" t="s">
        <v>10782</v>
      </c>
      <c r="Q2094" s="30" t="s">
        <v>2565</v>
      </c>
      <c r="R2094" s="33" t="s">
        <v>3473</v>
      </c>
      <c r="S2094">
        <v>37</v>
      </c>
      <c r="T2094" s="1" t="s">
        <v>13878</v>
      </c>
      <c r="U2094" s="1" t="str">
        <f>HYPERLINK("http://ictvonline.org/taxonomy/p/taxonomy-history?taxnode_id=202100776","ICTVonline=202100776")</f>
        <v>ICTVonline=202100776</v>
      </c>
    </row>
    <row r="2095" spans="1:21" x14ac:dyDescent="0.2">
      <c r="A2095" s="3">
        <v>2094</v>
      </c>
      <c r="B2095" s="1" t="s">
        <v>4875</v>
      </c>
      <c r="D2095" s="1" t="s">
        <v>4876</v>
      </c>
      <c r="F2095" s="1" t="s">
        <v>4880</v>
      </c>
      <c r="H2095" s="1" t="s">
        <v>4881</v>
      </c>
      <c r="M2095" s="1" t="s">
        <v>2601</v>
      </c>
      <c r="N2095" s="1" t="s">
        <v>2602</v>
      </c>
      <c r="P2095" s="1" t="s">
        <v>10783</v>
      </c>
      <c r="Q2095" s="30" t="s">
        <v>2565</v>
      </c>
      <c r="R2095" s="33" t="s">
        <v>3473</v>
      </c>
      <c r="S2095">
        <v>37</v>
      </c>
      <c r="T2095" s="1" t="s">
        <v>13878</v>
      </c>
      <c r="U2095" s="1" t="str">
        <f>HYPERLINK("http://ictvonline.org/taxonomy/p/taxonomy-history?taxnode_id=202100777","ICTVonline=202100777")</f>
        <v>ICTVonline=202100777</v>
      </c>
    </row>
    <row r="2096" spans="1:21" x14ac:dyDescent="0.2">
      <c r="A2096" s="3">
        <v>2095</v>
      </c>
      <c r="B2096" s="1" t="s">
        <v>4875</v>
      </c>
      <c r="D2096" s="1" t="s">
        <v>4876</v>
      </c>
      <c r="F2096" s="1" t="s">
        <v>4880</v>
      </c>
      <c r="H2096" s="1" t="s">
        <v>4881</v>
      </c>
      <c r="M2096" s="1" t="s">
        <v>2601</v>
      </c>
      <c r="N2096" s="1" t="s">
        <v>2602</v>
      </c>
      <c r="P2096" s="1" t="s">
        <v>10784</v>
      </c>
      <c r="Q2096" s="30" t="s">
        <v>2565</v>
      </c>
      <c r="R2096" s="33" t="s">
        <v>3473</v>
      </c>
      <c r="S2096">
        <v>37</v>
      </c>
      <c r="T2096" s="1" t="s">
        <v>13878</v>
      </c>
      <c r="U2096" s="1" t="str">
        <f>HYPERLINK("http://ictvonline.org/taxonomy/p/taxonomy-history?taxnode_id=202100778","ICTVonline=202100778")</f>
        <v>ICTVonline=202100778</v>
      </c>
    </row>
    <row r="2097" spans="1:21" x14ac:dyDescent="0.2">
      <c r="A2097" s="3">
        <v>2096</v>
      </c>
      <c r="B2097" s="1" t="s">
        <v>4875</v>
      </c>
      <c r="D2097" s="1" t="s">
        <v>4876</v>
      </c>
      <c r="F2097" s="1" t="s">
        <v>4880</v>
      </c>
      <c r="H2097" s="1" t="s">
        <v>4881</v>
      </c>
      <c r="M2097" s="1" t="s">
        <v>2601</v>
      </c>
      <c r="N2097" s="1" t="s">
        <v>2602</v>
      </c>
      <c r="P2097" s="1" t="s">
        <v>10785</v>
      </c>
      <c r="Q2097" s="30" t="s">
        <v>2565</v>
      </c>
      <c r="R2097" s="33" t="s">
        <v>3473</v>
      </c>
      <c r="S2097">
        <v>37</v>
      </c>
      <c r="T2097" s="1" t="s">
        <v>13878</v>
      </c>
      <c r="U2097" s="1" t="str">
        <f>HYPERLINK("http://ictvonline.org/taxonomy/p/taxonomy-history?taxnode_id=202100779","ICTVonline=202100779")</f>
        <v>ICTVonline=202100779</v>
      </c>
    </row>
    <row r="2098" spans="1:21" x14ac:dyDescent="0.2">
      <c r="A2098" s="3">
        <v>2097</v>
      </c>
      <c r="B2098" s="1" t="s">
        <v>4875</v>
      </c>
      <c r="D2098" s="1" t="s">
        <v>4876</v>
      </c>
      <c r="F2098" s="1" t="s">
        <v>4880</v>
      </c>
      <c r="H2098" s="1" t="s">
        <v>4881</v>
      </c>
      <c r="M2098" s="1" t="s">
        <v>2601</v>
      </c>
      <c r="N2098" s="1" t="s">
        <v>4628</v>
      </c>
      <c r="P2098" s="1" t="s">
        <v>10786</v>
      </c>
      <c r="Q2098" s="30" t="s">
        <v>2565</v>
      </c>
      <c r="R2098" s="33" t="s">
        <v>3473</v>
      </c>
      <c r="S2098">
        <v>37</v>
      </c>
      <c r="T2098" s="1" t="s">
        <v>13878</v>
      </c>
      <c r="U2098" s="1" t="str">
        <f>HYPERLINK("http://ictvonline.org/taxonomy/p/taxonomy-history?taxnode_id=202106957","ICTVonline=202106957")</f>
        <v>ICTVonline=202106957</v>
      </c>
    </row>
    <row r="2099" spans="1:21" x14ac:dyDescent="0.2">
      <c r="A2099" s="3">
        <v>2098</v>
      </c>
      <c r="B2099" s="1" t="s">
        <v>4875</v>
      </c>
      <c r="D2099" s="1" t="s">
        <v>4876</v>
      </c>
      <c r="F2099" s="1" t="s">
        <v>4880</v>
      </c>
      <c r="H2099" s="1" t="s">
        <v>4881</v>
      </c>
      <c r="M2099" s="1" t="s">
        <v>2601</v>
      </c>
      <c r="N2099" s="1" t="s">
        <v>4628</v>
      </c>
      <c r="P2099" s="1" t="s">
        <v>10787</v>
      </c>
      <c r="Q2099" s="30" t="s">
        <v>2565</v>
      </c>
      <c r="R2099" s="33" t="s">
        <v>3473</v>
      </c>
      <c r="S2099">
        <v>37</v>
      </c>
      <c r="T2099" s="1" t="s">
        <v>13878</v>
      </c>
      <c r="U2099" s="1" t="str">
        <f>HYPERLINK("http://ictvonline.org/taxonomy/p/taxonomy-history?taxnode_id=202100781","ICTVonline=202100781")</f>
        <v>ICTVonline=202100781</v>
      </c>
    </row>
    <row r="2100" spans="1:21" x14ac:dyDescent="0.2">
      <c r="A2100" s="3">
        <v>2099</v>
      </c>
      <c r="B2100" s="1" t="s">
        <v>4875</v>
      </c>
      <c r="D2100" s="1" t="s">
        <v>4876</v>
      </c>
      <c r="F2100" s="1" t="s">
        <v>4880</v>
      </c>
      <c r="H2100" s="1" t="s">
        <v>4881</v>
      </c>
      <c r="M2100" s="1" t="s">
        <v>2601</v>
      </c>
      <c r="N2100" s="1" t="s">
        <v>4628</v>
      </c>
      <c r="P2100" s="1" t="s">
        <v>10788</v>
      </c>
      <c r="Q2100" s="30" t="s">
        <v>2565</v>
      </c>
      <c r="R2100" s="33" t="s">
        <v>3473</v>
      </c>
      <c r="S2100">
        <v>37</v>
      </c>
      <c r="T2100" s="1" t="s">
        <v>13878</v>
      </c>
      <c r="U2100" s="1" t="str">
        <f>HYPERLINK("http://ictvonline.org/taxonomy/p/taxonomy-history?taxnode_id=202100782","ICTVonline=202100782")</f>
        <v>ICTVonline=202100782</v>
      </c>
    </row>
    <row r="2101" spans="1:21" x14ac:dyDescent="0.2">
      <c r="A2101" s="3">
        <v>2100</v>
      </c>
      <c r="B2101" s="1" t="s">
        <v>4875</v>
      </c>
      <c r="D2101" s="1" t="s">
        <v>4876</v>
      </c>
      <c r="F2101" s="1" t="s">
        <v>4880</v>
      </c>
      <c r="H2101" s="1" t="s">
        <v>4881</v>
      </c>
      <c r="M2101" s="1" t="s">
        <v>2601</v>
      </c>
      <c r="N2101" s="1" t="s">
        <v>4628</v>
      </c>
      <c r="P2101" s="1" t="s">
        <v>10789</v>
      </c>
      <c r="Q2101" s="30" t="s">
        <v>2565</v>
      </c>
      <c r="R2101" s="33" t="s">
        <v>3473</v>
      </c>
      <c r="S2101">
        <v>37</v>
      </c>
      <c r="T2101" s="1" t="s">
        <v>13878</v>
      </c>
      <c r="U2101" s="1" t="str">
        <f>HYPERLINK("http://ictvonline.org/taxonomy/p/taxonomy-history?taxnode_id=202100783","ICTVonline=202100783")</f>
        <v>ICTVonline=202100783</v>
      </c>
    </row>
    <row r="2102" spans="1:21" x14ac:dyDescent="0.2">
      <c r="A2102" s="3">
        <v>2101</v>
      </c>
      <c r="B2102" s="1" t="s">
        <v>4875</v>
      </c>
      <c r="D2102" s="1" t="s">
        <v>4876</v>
      </c>
      <c r="F2102" s="1" t="s">
        <v>4880</v>
      </c>
      <c r="H2102" s="1" t="s">
        <v>4881</v>
      </c>
      <c r="M2102" s="1" t="s">
        <v>2601</v>
      </c>
      <c r="N2102" s="1" t="s">
        <v>4628</v>
      </c>
      <c r="P2102" s="1" t="s">
        <v>10790</v>
      </c>
      <c r="Q2102" s="30" t="s">
        <v>2565</v>
      </c>
      <c r="R2102" s="33" t="s">
        <v>3473</v>
      </c>
      <c r="S2102">
        <v>37</v>
      </c>
      <c r="T2102" s="1" t="s">
        <v>13878</v>
      </c>
      <c r="U2102" s="1" t="str">
        <f>HYPERLINK("http://ictvonline.org/taxonomy/p/taxonomy-history?taxnode_id=202100784","ICTVonline=202100784")</f>
        <v>ICTVonline=202100784</v>
      </c>
    </row>
    <row r="2103" spans="1:21" x14ac:dyDescent="0.2">
      <c r="A2103" s="3">
        <v>2102</v>
      </c>
      <c r="B2103" s="1" t="s">
        <v>4875</v>
      </c>
      <c r="D2103" s="1" t="s">
        <v>4876</v>
      </c>
      <c r="F2103" s="1" t="s">
        <v>4880</v>
      </c>
      <c r="H2103" s="1" t="s">
        <v>4881</v>
      </c>
      <c r="M2103" s="1" t="s">
        <v>2601</v>
      </c>
      <c r="N2103" s="1" t="s">
        <v>4628</v>
      </c>
      <c r="P2103" s="1" t="s">
        <v>10791</v>
      </c>
      <c r="Q2103" s="30" t="s">
        <v>2565</v>
      </c>
      <c r="R2103" s="33" t="s">
        <v>3473</v>
      </c>
      <c r="S2103">
        <v>37</v>
      </c>
      <c r="T2103" s="1" t="s">
        <v>13878</v>
      </c>
      <c r="U2103" s="1" t="str">
        <f>HYPERLINK("http://ictvonline.org/taxonomy/p/taxonomy-history?taxnode_id=202108019","ICTVonline=202108019")</f>
        <v>ICTVonline=202108019</v>
      </c>
    </row>
    <row r="2104" spans="1:21" x14ac:dyDescent="0.2">
      <c r="A2104" s="3">
        <v>2103</v>
      </c>
      <c r="B2104" s="1" t="s">
        <v>4875</v>
      </c>
      <c r="D2104" s="1" t="s">
        <v>4876</v>
      </c>
      <c r="F2104" s="1" t="s">
        <v>4880</v>
      </c>
      <c r="H2104" s="1" t="s">
        <v>4881</v>
      </c>
      <c r="M2104" s="1" t="s">
        <v>6138</v>
      </c>
      <c r="N2104" s="1" t="s">
        <v>6139</v>
      </c>
      <c r="P2104" s="1" t="s">
        <v>10792</v>
      </c>
      <c r="Q2104" s="30" t="s">
        <v>2565</v>
      </c>
      <c r="R2104" s="33" t="s">
        <v>3473</v>
      </c>
      <c r="S2104">
        <v>37</v>
      </c>
      <c r="T2104" s="1" t="s">
        <v>13878</v>
      </c>
      <c r="U2104" s="1" t="str">
        <f>HYPERLINK("http://ictvonline.org/taxonomy/p/taxonomy-history?taxnode_id=202110071","ICTVonline=202110071")</f>
        <v>ICTVonline=202110071</v>
      </c>
    </row>
    <row r="2105" spans="1:21" x14ac:dyDescent="0.2">
      <c r="A2105" s="3">
        <v>2104</v>
      </c>
      <c r="B2105" s="1" t="s">
        <v>4875</v>
      </c>
      <c r="D2105" s="1" t="s">
        <v>4876</v>
      </c>
      <c r="F2105" s="1" t="s">
        <v>4880</v>
      </c>
      <c r="H2105" s="1" t="s">
        <v>4881</v>
      </c>
      <c r="M2105" s="1" t="s">
        <v>6138</v>
      </c>
      <c r="N2105" s="1" t="s">
        <v>6139</v>
      </c>
      <c r="P2105" s="1" t="s">
        <v>10793</v>
      </c>
      <c r="Q2105" s="30" t="s">
        <v>2565</v>
      </c>
      <c r="R2105" s="33" t="s">
        <v>3473</v>
      </c>
      <c r="S2105">
        <v>37</v>
      </c>
      <c r="T2105" s="1" t="s">
        <v>13878</v>
      </c>
      <c r="U2105" s="1" t="str">
        <f>HYPERLINK("http://ictvonline.org/taxonomy/p/taxonomy-history?taxnode_id=202110072","ICTVonline=202110072")</f>
        <v>ICTVonline=202110072</v>
      </c>
    </row>
    <row r="2106" spans="1:21" x14ac:dyDescent="0.2">
      <c r="A2106" s="3">
        <v>2105</v>
      </c>
      <c r="B2106" s="1" t="s">
        <v>4875</v>
      </c>
      <c r="D2106" s="1" t="s">
        <v>4876</v>
      </c>
      <c r="F2106" s="1" t="s">
        <v>4880</v>
      </c>
      <c r="H2106" s="1" t="s">
        <v>4881</v>
      </c>
      <c r="M2106" s="1" t="s">
        <v>6138</v>
      </c>
      <c r="N2106" s="1" t="s">
        <v>6140</v>
      </c>
      <c r="P2106" s="1" t="s">
        <v>10794</v>
      </c>
      <c r="Q2106" s="30" t="s">
        <v>2565</v>
      </c>
      <c r="R2106" s="33" t="s">
        <v>3473</v>
      </c>
      <c r="S2106">
        <v>37</v>
      </c>
      <c r="T2106" s="1" t="s">
        <v>13878</v>
      </c>
      <c r="U2106" s="1" t="str">
        <f>HYPERLINK("http://ictvonline.org/taxonomy/p/taxonomy-history?taxnode_id=202110074","ICTVonline=202110074")</f>
        <v>ICTVonline=202110074</v>
      </c>
    </row>
    <row r="2107" spans="1:21" x14ac:dyDescent="0.2">
      <c r="A2107" s="3">
        <v>2106</v>
      </c>
      <c r="B2107" s="1" t="s">
        <v>4875</v>
      </c>
      <c r="D2107" s="1" t="s">
        <v>4876</v>
      </c>
      <c r="F2107" s="1" t="s">
        <v>4880</v>
      </c>
      <c r="H2107" s="1" t="s">
        <v>4881</v>
      </c>
      <c r="M2107" s="1" t="s">
        <v>6141</v>
      </c>
      <c r="N2107" s="1" t="s">
        <v>6142</v>
      </c>
      <c r="P2107" s="1" t="s">
        <v>10795</v>
      </c>
      <c r="Q2107" s="30" t="s">
        <v>2565</v>
      </c>
      <c r="R2107" s="33" t="s">
        <v>3473</v>
      </c>
      <c r="S2107">
        <v>37</v>
      </c>
      <c r="T2107" s="1" t="s">
        <v>13878</v>
      </c>
      <c r="U2107" s="1" t="str">
        <f>HYPERLINK("http://ictvonline.org/taxonomy/p/taxonomy-history?taxnode_id=202101071","ICTVonline=202101071")</f>
        <v>ICTVonline=202101071</v>
      </c>
    </row>
    <row r="2108" spans="1:21" x14ac:dyDescent="0.2">
      <c r="A2108" s="3">
        <v>2107</v>
      </c>
      <c r="B2108" s="1" t="s">
        <v>4875</v>
      </c>
      <c r="D2108" s="1" t="s">
        <v>4876</v>
      </c>
      <c r="F2108" s="1" t="s">
        <v>4880</v>
      </c>
      <c r="H2108" s="1" t="s">
        <v>4881</v>
      </c>
      <c r="M2108" s="1" t="s">
        <v>6141</v>
      </c>
      <c r="N2108" s="1" t="s">
        <v>6143</v>
      </c>
      <c r="P2108" s="1" t="s">
        <v>10796</v>
      </c>
      <c r="Q2108" s="30" t="s">
        <v>2565</v>
      </c>
      <c r="R2108" s="33" t="s">
        <v>3473</v>
      </c>
      <c r="S2108">
        <v>37</v>
      </c>
      <c r="T2108" s="1" t="s">
        <v>13878</v>
      </c>
      <c r="U2108" s="1" t="str">
        <f>HYPERLINK("http://ictvonline.org/taxonomy/p/taxonomy-history?taxnode_id=202105555","ICTVonline=202105555")</f>
        <v>ICTVonline=202105555</v>
      </c>
    </row>
    <row r="2109" spans="1:21" x14ac:dyDescent="0.2">
      <c r="A2109" s="3">
        <v>2108</v>
      </c>
      <c r="B2109" s="1" t="s">
        <v>4875</v>
      </c>
      <c r="D2109" s="1" t="s">
        <v>4876</v>
      </c>
      <c r="F2109" s="1" t="s">
        <v>4880</v>
      </c>
      <c r="H2109" s="1" t="s">
        <v>4881</v>
      </c>
      <c r="M2109" s="1" t="s">
        <v>6141</v>
      </c>
      <c r="N2109" s="1" t="s">
        <v>6144</v>
      </c>
      <c r="P2109" s="1" t="s">
        <v>10797</v>
      </c>
      <c r="Q2109" s="30" t="s">
        <v>2565</v>
      </c>
      <c r="R2109" s="33" t="s">
        <v>3473</v>
      </c>
      <c r="S2109">
        <v>37</v>
      </c>
      <c r="T2109" s="1" t="s">
        <v>13878</v>
      </c>
      <c r="U2109" s="1" t="str">
        <f>HYPERLINK("http://ictvonline.org/taxonomy/p/taxonomy-history?taxnode_id=202105549","ICTVonline=202105549")</f>
        <v>ICTVonline=202105549</v>
      </c>
    </row>
    <row r="2110" spans="1:21" x14ac:dyDescent="0.2">
      <c r="A2110" s="3">
        <v>2109</v>
      </c>
      <c r="B2110" s="1" t="s">
        <v>4875</v>
      </c>
      <c r="D2110" s="1" t="s">
        <v>4876</v>
      </c>
      <c r="F2110" s="1" t="s">
        <v>4880</v>
      </c>
      <c r="H2110" s="1" t="s">
        <v>4881</v>
      </c>
      <c r="M2110" s="1" t="s">
        <v>6141</v>
      </c>
      <c r="N2110" s="1" t="s">
        <v>6144</v>
      </c>
      <c r="P2110" s="1" t="s">
        <v>10798</v>
      </c>
      <c r="Q2110" s="30" t="s">
        <v>2565</v>
      </c>
      <c r="R2110" s="33" t="s">
        <v>3473</v>
      </c>
      <c r="S2110">
        <v>37</v>
      </c>
      <c r="T2110" s="1" t="s">
        <v>13878</v>
      </c>
      <c r="U2110" s="1" t="str">
        <f>HYPERLINK("http://ictvonline.org/taxonomy/p/taxonomy-history?taxnode_id=202105551","ICTVonline=202105551")</f>
        <v>ICTVonline=202105551</v>
      </c>
    </row>
    <row r="2111" spans="1:21" x14ac:dyDescent="0.2">
      <c r="A2111" s="3">
        <v>2110</v>
      </c>
      <c r="B2111" s="1" t="s">
        <v>4875</v>
      </c>
      <c r="D2111" s="1" t="s">
        <v>4876</v>
      </c>
      <c r="F2111" s="1" t="s">
        <v>4880</v>
      </c>
      <c r="H2111" s="1" t="s">
        <v>4881</v>
      </c>
      <c r="M2111" s="1" t="s">
        <v>6141</v>
      </c>
      <c r="N2111" s="1" t="s">
        <v>6145</v>
      </c>
      <c r="P2111" s="1" t="s">
        <v>10799</v>
      </c>
      <c r="Q2111" s="30" t="s">
        <v>2565</v>
      </c>
      <c r="R2111" s="33" t="s">
        <v>3473</v>
      </c>
      <c r="S2111">
        <v>37</v>
      </c>
      <c r="T2111" s="1" t="s">
        <v>13878</v>
      </c>
      <c r="U2111" s="1" t="str">
        <f>HYPERLINK("http://ictvonline.org/taxonomy/p/taxonomy-history?taxnode_id=202110093","ICTVonline=202110093")</f>
        <v>ICTVonline=202110093</v>
      </c>
    </row>
    <row r="2112" spans="1:21" x14ac:dyDescent="0.2">
      <c r="A2112" s="3">
        <v>2111</v>
      </c>
      <c r="B2112" s="1" t="s">
        <v>4875</v>
      </c>
      <c r="D2112" s="1" t="s">
        <v>4876</v>
      </c>
      <c r="F2112" s="1" t="s">
        <v>4880</v>
      </c>
      <c r="H2112" s="1" t="s">
        <v>4881</v>
      </c>
      <c r="M2112" s="1" t="s">
        <v>6141</v>
      </c>
      <c r="N2112" s="1" t="s">
        <v>6146</v>
      </c>
      <c r="P2112" s="1" t="s">
        <v>10800</v>
      </c>
      <c r="Q2112" s="30" t="s">
        <v>2565</v>
      </c>
      <c r="R2112" s="33" t="s">
        <v>3473</v>
      </c>
      <c r="S2112">
        <v>37</v>
      </c>
      <c r="T2112" s="1" t="s">
        <v>13878</v>
      </c>
      <c r="U2112" s="1" t="str">
        <f>HYPERLINK("http://ictvonline.org/taxonomy/p/taxonomy-history?taxnode_id=202105553","ICTVonline=202105553")</f>
        <v>ICTVonline=202105553</v>
      </c>
    </row>
    <row r="2113" spans="1:21" x14ac:dyDescent="0.2">
      <c r="A2113" s="3">
        <v>2112</v>
      </c>
      <c r="B2113" s="1" t="s">
        <v>4875</v>
      </c>
      <c r="D2113" s="1" t="s">
        <v>4876</v>
      </c>
      <c r="F2113" s="1" t="s">
        <v>4880</v>
      </c>
      <c r="H2113" s="1" t="s">
        <v>4881</v>
      </c>
      <c r="M2113" s="1" t="s">
        <v>6141</v>
      </c>
      <c r="N2113" s="1" t="s">
        <v>6146</v>
      </c>
      <c r="P2113" s="1" t="s">
        <v>10801</v>
      </c>
      <c r="Q2113" s="30" t="s">
        <v>2565</v>
      </c>
      <c r="R2113" s="33" t="s">
        <v>3473</v>
      </c>
      <c r="S2113">
        <v>37</v>
      </c>
      <c r="T2113" s="1" t="s">
        <v>13878</v>
      </c>
      <c r="U2113" s="1" t="str">
        <f>HYPERLINK("http://ictvonline.org/taxonomy/p/taxonomy-history?taxnode_id=202105552","ICTVonline=202105552")</f>
        <v>ICTVonline=202105552</v>
      </c>
    </row>
    <row r="2114" spans="1:21" x14ac:dyDescent="0.2">
      <c r="A2114" s="3">
        <v>2113</v>
      </c>
      <c r="B2114" s="1" t="s">
        <v>4875</v>
      </c>
      <c r="D2114" s="1" t="s">
        <v>4876</v>
      </c>
      <c r="F2114" s="1" t="s">
        <v>4880</v>
      </c>
      <c r="H2114" s="1" t="s">
        <v>4881</v>
      </c>
      <c r="M2114" s="1" t="s">
        <v>6141</v>
      </c>
      <c r="N2114" s="1" t="s">
        <v>6147</v>
      </c>
      <c r="P2114" s="1" t="s">
        <v>10802</v>
      </c>
      <c r="Q2114" s="30" t="s">
        <v>2565</v>
      </c>
      <c r="R2114" s="33" t="s">
        <v>3473</v>
      </c>
      <c r="S2114">
        <v>37</v>
      </c>
      <c r="T2114" s="1" t="s">
        <v>13878</v>
      </c>
      <c r="U2114" s="1" t="str">
        <f>HYPERLINK("http://ictvonline.org/taxonomy/p/taxonomy-history?taxnode_id=202101070","ICTVonline=202101070")</f>
        <v>ICTVonline=202101070</v>
      </c>
    </row>
    <row r="2115" spans="1:21" x14ac:dyDescent="0.2">
      <c r="A2115" s="3">
        <v>2114</v>
      </c>
      <c r="B2115" s="1" t="s">
        <v>4875</v>
      </c>
      <c r="D2115" s="1" t="s">
        <v>4876</v>
      </c>
      <c r="F2115" s="1" t="s">
        <v>4880</v>
      </c>
      <c r="H2115" s="1" t="s">
        <v>4881</v>
      </c>
      <c r="M2115" s="1" t="s">
        <v>6141</v>
      </c>
      <c r="N2115" s="1" t="s">
        <v>6147</v>
      </c>
      <c r="P2115" s="1" t="s">
        <v>10803</v>
      </c>
      <c r="Q2115" s="30" t="s">
        <v>2565</v>
      </c>
      <c r="R2115" s="33" t="s">
        <v>3473</v>
      </c>
      <c r="S2115">
        <v>37</v>
      </c>
      <c r="T2115" s="1" t="s">
        <v>13878</v>
      </c>
      <c r="U2115" s="1" t="str">
        <f>HYPERLINK("http://ictvonline.org/taxonomy/p/taxonomy-history?taxnode_id=202105556","ICTVonline=202105556")</f>
        <v>ICTVonline=202105556</v>
      </c>
    </row>
    <row r="2116" spans="1:21" x14ac:dyDescent="0.2">
      <c r="A2116" s="3">
        <v>2115</v>
      </c>
      <c r="B2116" s="1" t="s">
        <v>4875</v>
      </c>
      <c r="D2116" s="1" t="s">
        <v>4876</v>
      </c>
      <c r="F2116" s="1" t="s">
        <v>4880</v>
      </c>
      <c r="H2116" s="1" t="s">
        <v>4881</v>
      </c>
      <c r="M2116" s="1" t="s">
        <v>6141</v>
      </c>
      <c r="N2116" s="1" t="s">
        <v>6148</v>
      </c>
      <c r="P2116" s="1" t="s">
        <v>10804</v>
      </c>
      <c r="Q2116" s="30" t="s">
        <v>2565</v>
      </c>
      <c r="R2116" s="33" t="s">
        <v>3473</v>
      </c>
      <c r="S2116">
        <v>37</v>
      </c>
      <c r="T2116" s="1" t="s">
        <v>13878</v>
      </c>
      <c r="U2116" s="1" t="str">
        <f>HYPERLINK("http://ictvonline.org/taxonomy/p/taxonomy-history?taxnode_id=202105548","ICTVonline=202105548")</f>
        <v>ICTVonline=202105548</v>
      </c>
    </row>
    <row r="2117" spans="1:21" x14ac:dyDescent="0.2">
      <c r="A2117" s="3">
        <v>2116</v>
      </c>
      <c r="B2117" s="1" t="s">
        <v>4875</v>
      </c>
      <c r="D2117" s="1" t="s">
        <v>4876</v>
      </c>
      <c r="F2117" s="1" t="s">
        <v>4880</v>
      </c>
      <c r="H2117" s="1" t="s">
        <v>4881</v>
      </c>
      <c r="M2117" s="1" t="s">
        <v>6141</v>
      </c>
      <c r="N2117" s="1" t="s">
        <v>6148</v>
      </c>
      <c r="P2117" s="1" t="s">
        <v>10805</v>
      </c>
      <c r="Q2117" s="30" t="s">
        <v>2565</v>
      </c>
      <c r="R2117" s="33" t="s">
        <v>3473</v>
      </c>
      <c r="S2117">
        <v>37</v>
      </c>
      <c r="T2117" s="1" t="s">
        <v>13878</v>
      </c>
      <c r="U2117" s="1" t="str">
        <f>HYPERLINK("http://ictvonline.org/taxonomy/p/taxonomy-history?taxnode_id=202105554","ICTVonline=202105554")</f>
        <v>ICTVonline=202105554</v>
      </c>
    </row>
    <row r="2118" spans="1:21" x14ac:dyDescent="0.2">
      <c r="A2118" s="3">
        <v>2117</v>
      </c>
      <c r="B2118" s="1" t="s">
        <v>4875</v>
      </c>
      <c r="D2118" s="1" t="s">
        <v>4876</v>
      </c>
      <c r="F2118" s="1" t="s">
        <v>4880</v>
      </c>
      <c r="H2118" s="1" t="s">
        <v>4881</v>
      </c>
      <c r="M2118" s="1" t="s">
        <v>6141</v>
      </c>
      <c r="N2118" s="1" t="s">
        <v>6149</v>
      </c>
      <c r="P2118" s="1" t="s">
        <v>10806</v>
      </c>
      <c r="Q2118" s="30" t="s">
        <v>2565</v>
      </c>
      <c r="R2118" s="33" t="s">
        <v>3473</v>
      </c>
      <c r="S2118">
        <v>37</v>
      </c>
      <c r="T2118" s="1" t="s">
        <v>13878</v>
      </c>
      <c r="U2118" s="1" t="str">
        <f>HYPERLINK("http://ictvonline.org/taxonomy/p/taxonomy-history?taxnode_id=202110098","ICTVonline=202110098")</f>
        <v>ICTVonline=202110098</v>
      </c>
    </row>
    <row r="2119" spans="1:21" x14ac:dyDescent="0.2">
      <c r="A2119" s="3">
        <v>2118</v>
      </c>
      <c r="B2119" s="1" t="s">
        <v>4875</v>
      </c>
      <c r="D2119" s="1" t="s">
        <v>4876</v>
      </c>
      <c r="F2119" s="1" t="s">
        <v>4880</v>
      </c>
      <c r="H2119" s="1" t="s">
        <v>4881</v>
      </c>
      <c r="M2119" s="1" t="s">
        <v>6141</v>
      </c>
      <c r="N2119" s="1" t="s">
        <v>6149</v>
      </c>
      <c r="P2119" s="1" t="s">
        <v>10807</v>
      </c>
      <c r="Q2119" s="30" t="s">
        <v>2565</v>
      </c>
      <c r="R2119" s="33" t="s">
        <v>3473</v>
      </c>
      <c r="S2119">
        <v>37</v>
      </c>
      <c r="T2119" s="1" t="s">
        <v>13878</v>
      </c>
      <c r="U2119" s="1" t="str">
        <f>HYPERLINK("http://ictvonline.org/taxonomy/p/taxonomy-history?taxnode_id=202105550","ICTVonline=202105550")</f>
        <v>ICTVonline=202105550</v>
      </c>
    </row>
    <row r="2120" spans="1:21" x14ac:dyDescent="0.2">
      <c r="A2120" s="3">
        <v>2119</v>
      </c>
      <c r="B2120" s="1" t="s">
        <v>4875</v>
      </c>
      <c r="D2120" s="1" t="s">
        <v>4876</v>
      </c>
      <c r="F2120" s="1" t="s">
        <v>4880</v>
      </c>
      <c r="H2120" s="1" t="s">
        <v>4881</v>
      </c>
      <c r="M2120" s="1" t="s">
        <v>6141</v>
      </c>
      <c r="N2120" s="1" t="s">
        <v>6150</v>
      </c>
      <c r="P2120" s="1" t="s">
        <v>10808</v>
      </c>
      <c r="Q2120" s="30" t="s">
        <v>2565</v>
      </c>
      <c r="R2120" s="33" t="s">
        <v>3473</v>
      </c>
      <c r="S2120">
        <v>37</v>
      </c>
      <c r="T2120" s="1" t="s">
        <v>13878</v>
      </c>
      <c r="U2120" s="1" t="str">
        <f>HYPERLINK("http://ictvonline.org/taxonomy/p/taxonomy-history?taxnode_id=202110095","ICTVonline=202110095")</f>
        <v>ICTVonline=202110095</v>
      </c>
    </row>
    <row r="2121" spans="1:21" x14ac:dyDescent="0.2">
      <c r="A2121" s="3">
        <v>2120</v>
      </c>
      <c r="B2121" s="1" t="s">
        <v>4875</v>
      </c>
      <c r="D2121" s="1" t="s">
        <v>4876</v>
      </c>
      <c r="F2121" s="1" t="s">
        <v>4880</v>
      </c>
      <c r="H2121" s="1" t="s">
        <v>4881</v>
      </c>
      <c r="M2121" s="1" t="s">
        <v>10809</v>
      </c>
      <c r="N2121" s="1" t="s">
        <v>10810</v>
      </c>
      <c r="P2121" s="1" t="s">
        <v>10811</v>
      </c>
      <c r="Q2121" s="30" t="s">
        <v>2565</v>
      </c>
      <c r="R2121" s="33" t="s">
        <v>3472</v>
      </c>
      <c r="S2121">
        <v>37</v>
      </c>
      <c r="T2121" s="1" t="s">
        <v>13919</v>
      </c>
      <c r="U2121" s="1" t="str">
        <f>HYPERLINK("http://ictvonline.org/taxonomy/p/taxonomy-history?taxnode_id=202112352","ICTVonline=202112352")</f>
        <v>ICTVonline=202112352</v>
      </c>
    </row>
    <row r="2122" spans="1:21" x14ac:dyDescent="0.2">
      <c r="A2122" s="3">
        <v>2121</v>
      </c>
      <c r="B2122" s="1" t="s">
        <v>4875</v>
      </c>
      <c r="D2122" s="1" t="s">
        <v>4876</v>
      </c>
      <c r="F2122" s="1" t="s">
        <v>4880</v>
      </c>
      <c r="H2122" s="1" t="s">
        <v>4881</v>
      </c>
      <c r="M2122" s="1" t="s">
        <v>10809</v>
      </c>
      <c r="N2122" s="1" t="s">
        <v>10810</v>
      </c>
      <c r="P2122" s="1" t="s">
        <v>10812</v>
      </c>
      <c r="Q2122" s="30" t="s">
        <v>2565</v>
      </c>
      <c r="R2122" s="33" t="s">
        <v>3472</v>
      </c>
      <c r="S2122">
        <v>37</v>
      </c>
      <c r="T2122" s="1" t="s">
        <v>13919</v>
      </c>
      <c r="U2122" s="1" t="str">
        <f>HYPERLINK("http://ictvonline.org/taxonomy/p/taxonomy-history?taxnode_id=202112353","ICTVonline=202112353")</f>
        <v>ICTVonline=202112353</v>
      </c>
    </row>
    <row r="2123" spans="1:21" x14ac:dyDescent="0.2">
      <c r="A2123" s="3">
        <v>2122</v>
      </c>
      <c r="B2123" s="1" t="s">
        <v>4875</v>
      </c>
      <c r="D2123" s="1" t="s">
        <v>4876</v>
      </c>
      <c r="F2123" s="1" t="s">
        <v>4880</v>
      </c>
      <c r="H2123" s="1" t="s">
        <v>4881</v>
      </c>
      <c r="M2123" s="1" t="s">
        <v>10809</v>
      </c>
      <c r="N2123" s="1" t="s">
        <v>10813</v>
      </c>
      <c r="P2123" s="1" t="s">
        <v>10814</v>
      </c>
      <c r="Q2123" s="30" t="s">
        <v>2565</v>
      </c>
      <c r="R2123" s="33" t="s">
        <v>3473</v>
      </c>
      <c r="S2123">
        <v>37</v>
      </c>
      <c r="T2123" s="1" t="s">
        <v>13919</v>
      </c>
      <c r="U2123" s="1" t="str">
        <f>HYPERLINK("http://ictvonline.org/taxonomy/p/taxonomy-history?taxnode_id=202100406","ICTVonline=202100406")</f>
        <v>ICTVonline=202100406</v>
      </c>
    </row>
    <row r="2124" spans="1:21" x14ac:dyDescent="0.2">
      <c r="A2124" s="3">
        <v>2123</v>
      </c>
      <c r="B2124" s="1" t="s">
        <v>4875</v>
      </c>
      <c r="D2124" s="1" t="s">
        <v>4876</v>
      </c>
      <c r="F2124" s="1" t="s">
        <v>4880</v>
      </c>
      <c r="H2124" s="1" t="s">
        <v>4881</v>
      </c>
      <c r="M2124" s="1" t="s">
        <v>10809</v>
      </c>
      <c r="N2124" s="1" t="s">
        <v>10813</v>
      </c>
      <c r="P2124" s="1" t="s">
        <v>10815</v>
      </c>
      <c r="Q2124" s="30" t="s">
        <v>2565</v>
      </c>
      <c r="R2124" s="33" t="s">
        <v>3472</v>
      </c>
      <c r="S2124">
        <v>37</v>
      </c>
      <c r="T2124" s="1" t="s">
        <v>13919</v>
      </c>
      <c r="U2124" s="1" t="str">
        <f>HYPERLINK("http://ictvonline.org/taxonomy/p/taxonomy-history?taxnode_id=202112349","ICTVonline=202112349")</f>
        <v>ICTVonline=202112349</v>
      </c>
    </row>
    <row r="2125" spans="1:21" x14ac:dyDescent="0.2">
      <c r="A2125" s="3">
        <v>2124</v>
      </c>
      <c r="B2125" s="1" t="s">
        <v>4875</v>
      </c>
      <c r="D2125" s="1" t="s">
        <v>4876</v>
      </c>
      <c r="F2125" s="1" t="s">
        <v>4880</v>
      </c>
      <c r="H2125" s="1" t="s">
        <v>4881</v>
      </c>
      <c r="M2125" s="1" t="s">
        <v>10809</v>
      </c>
      <c r="N2125" s="1" t="s">
        <v>10813</v>
      </c>
      <c r="P2125" s="1" t="s">
        <v>10816</v>
      </c>
      <c r="Q2125" s="30" t="s">
        <v>2565</v>
      </c>
      <c r="R2125" s="33" t="s">
        <v>3472</v>
      </c>
      <c r="S2125">
        <v>37</v>
      </c>
      <c r="T2125" s="1" t="s">
        <v>13919</v>
      </c>
      <c r="U2125" s="1" t="str">
        <f>HYPERLINK("http://ictvonline.org/taxonomy/p/taxonomy-history?taxnode_id=202112350","ICTVonline=202112350")</f>
        <v>ICTVonline=202112350</v>
      </c>
    </row>
    <row r="2126" spans="1:21" x14ac:dyDescent="0.2">
      <c r="A2126" s="3">
        <v>2125</v>
      </c>
      <c r="B2126" s="1" t="s">
        <v>4875</v>
      </c>
      <c r="D2126" s="1" t="s">
        <v>4876</v>
      </c>
      <c r="F2126" s="1" t="s">
        <v>4880</v>
      </c>
      <c r="H2126" s="1" t="s">
        <v>4881</v>
      </c>
      <c r="M2126" s="1" t="s">
        <v>5169</v>
      </c>
      <c r="N2126" s="1" t="s">
        <v>5170</v>
      </c>
      <c r="P2126" s="1" t="s">
        <v>10817</v>
      </c>
      <c r="Q2126" s="30" t="s">
        <v>2565</v>
      </c>
      <c r="R2126" s="33" t="s">
        <v>3473</v>
      </c>
      <c r="S2126">
        <v>37</v>
      </c>
      <c r="T2126" s="1" t="s">
        <v>13878</v>
      </c>
      <c r="U2126" s="1" t="str">
        <f>HYPERLINK("http://ictvonline.org/taxonomy/p/taxonomy-history?taxnode_id=202107882","ICTVonline=202107882")</f>
        <v>ICTVonline=202107882</v>
      </c>
    </row>
    <row r="2127" spans="1:21" x14ac:dyDescent="0.2">
      <c r="A2127" s="3">
        <v>2126</v>
      </c>
      <c r="B2127" s="1" t="s">
        <v>4875</v>
      </c>
      <c r="D2127" s="1" t="s">
        <v>4876</v>
      </c>
      <c r="F2127" s="1" t="s">
        <v>4880</v>
      </c>
      <c r="H2127" s="1" t="s">
        <v>4881</v>
      </c>
      <c r="M2127" s="1" t="s">
        <v>5169</v>
      </c>
      <c r="N2127" s="1" t="s">
        <v>5170</v>
      </c>
      <c r="P2127" s="1" t="s">
        <v>10818</v>
      </c>
      <c r="Q2127" s="30" t="s">
        <v>2565</v>
      </c>
      <c r="R2127" s="33" t="s">
        <v>3473</v>
      </c>
      <c r="S2127">
        <v>37</v>
      </c>
      <c r="T2127" s="1" t="s">
        <v>13878</v>
      </c>
      <c r="U2127" s="1" t="str">
        <f>HYPERLINK("http://ictvonline.org/taxonomy/p/taxonomy-history?taxnode_id=202107884","ICTVonline=202107884")</f>
        <v>ICTVonline=202107884</v>
      </c>
    </row>
    <row r="2128" spans="1:21" x14ac:dyDescent="0.2">
      <c r="A2128" s="3">
        <v>2127</v>
      </c>
      <c r="B2128" s="1" t="s">
        <v>4875</v>
      </c>
      <c r="D2128" s="1" t="s">
        <v>4876</v>
      </c>
      <c r="F2128" s="1" t="s">
        <v>4880</v>
      </c>
      <c r="H2128" s="1" t="s">
        <v>4881</v>
      </c>
      <c r="M2128" s="1" t="s">
        <v>5169</v>
      </c>
      <c r="N2128" s="1" t="s">
        <v>5170</v>
      </c>
      <c r="P2128" s="1" t="s">
        <v>10819</v>
      </c>
      <c r="Q2128" s="30" t="s">
        <v>2565</v>
      </c>
      <c r="R2128" s="33" t="s">
        <v>3473</v>
      </c>
      <c r="S2128">
        <v>37</v>
      </c>
      <c r="T2128" s="1" t="s">
        <v>13878</v>
      </c>
      <c r="U2128" s="1" t="str">
        <f>HYPERLINK("http://ictvonline.org/taxonomy/p/taxonomy-history?taxnode_id=202107881","ICTVonline=202107881")</f>
        <v>ICTVonline=202107881</v>
      </c>
    </row>
    <row r="2129" spans="1:21" x14ac:dyDescent="0.2">
      <c r="A2129" s="3">
        <v>2128</v>
      </c>
      <c r="B2129" s="1" t="s">
        <v>4875</v>
      </c>
      <c r="D2129" s="1" t="s">
        <v>4876</v>
      </c>
      <c r="F2129" s="1" t="s">
        <v>4880</v>
      </c>
      <c r="H2129" s="1" t="s">
        <v>4881</v>
      </c>
      <c r="M2129" s="1" t="s">
        <v>5169</v>
      </c>
      <c r="N2129" s="1" t="s">
        <v>5170</v>
      </c>
      <c r="P2129" s="1" t="s">
        <v>10820</v>
      </c>
      <c r="Q2129" s="30" t="s">
        <v>2565</v>
      </c>
      <c r="R2129" s="33" t="s">
        <v>3473</v>
      </c>
      <c r="S2129">
        <v>37</v>
      </c>
      <c r="T2129" s="1" t="s">
        <v>13878</v>
      </c>
      <c r="U2129" s="1" t="str">
        <f>HYPERLINK("http://ictvonline.org/taxonomy/p/taxonomy-history?taxnode_id=202107883","ICTVonline=202107883")</f>
        <v>ICTVonline=202107883</v>
      </c>
    </row>
    <row r="2130" spans="1:21" x14ac:dyDescent="0.2">
      <c r="A2130" s="3">
        <v>2129</v>
      </c>
      <c r="B2130" s="1" t="s">
        <v>4875</v>
      </c>
      <c r="D2130" s="1" t="s">
        <v>4876</v>
      </c>
      <c r="F2130" s="1" t="s">
        <v>4880</v>
      </c>
      <c r="H2130" s="1" t="s">
        <v>4881</v>
      </c>
      <c r="M2130" s="1" t="s">
        <v>5169</v>
      </c>
      <c r="N2130" s="1" t="s">
        <v>5171</v>
      </c>
      <c r="P2130" s="1" t="s">
        <v>10821</v>
      </c>
      <c r="Q2130" s="30" t="s">
        <v>2565</v>
      </c>
      <c r="R2130" s="33" t="s">
        <v>3473</v>
      </c>
      <c r="S2130">
        <v>37</v>
      </c>
      <c r="T2130" s="1" t="s">
        <v>13878</v>
      </c>
      <c r="U2130" s="1" t="str">
        <f>HYPERLINK("http://ictvonline.org/taxonomy/p/taxonomy-history?taxnode_id=202107886","ICTVonline=202107886")</f>
        <v>ICTVonline=202107886</v>
      </c>
    </row>
    <row r="2131" spans="1:21" x14ac:dyDescent="0.2">
      <c r="A2131" s="3">
        <v>2130</v>
      </c>
      <c r="B2131" s="1" t="s">
        <v>4875</v>
      </c>
      <c r="D2131" s="1" t="s">
        <v>4876</v>
      </c>
      <c r="F2131" s="1" t="s">
        <v>4880</v>
      </c>
      <c r="H2131" s="1" t="s">
        <v>4881</v>
      </c>
      <c r="M2131" s="1" t="s">
        <v>5169</v>
      </c>
      <c r="N2131" s="1" t="s">
        <v>5172</v>
      </c>
      <c r="P2131" s="1" t="s">
        <v>10822</v>
      </c>
      <c r="Q2131" s="30" t="s">
        <v>2565</v>
      </c>
      <c r="R2131" s="33" t="s">
        <v>3473</v>
      </c>
      <c r="S2131">
        <v>37</v>
      </c>
      <c r="T2131" s="1" t="s">
        <v>13878</v>
      </c>
      <c r="U2131" s="1" t="str">
        <f>HYPERLINK("http://ictvonline.org/taxonomy/p/taxonomy-history?taxnode_id=202107888","ICTVonline=202107888")</f>
        <v>ICTVonline=202107888</v>
      </c>
    </row>
    <row r="2132" spans="1:21" x14ac:dyDescent="0.2">
      <c r="A2132" s="3">
        <v>2131</v>
      </c>
      <c r="B2132" s="1" t="s">
        <v>4875</v>
      </c>
      <c r="D2132" s="1" t="s">
        <v>4876</v>
      </c>
      <c r="F2132" s="1" t="s">
        <v>4880</v>
      </c>
      <c r="H2132" s="1" t="s">
        <v>4881</v>
      </c>
      <c r="M2132" s="1" t="s">
        <v>3543</v>
      </c>
      <c r="N2132" s="1" t="s">
        <v>4629</v>
      </c>
      <c r="P2132" s="1" t="s">
        <v>10823</v>
      </c>
      <c r="Q2132" s="30" t="s">
        <v>2565</v>
      </c>
      <c r="R2132" s="33" t="s">
        <v>3473</v>
      </c>
      <c r="S2132">
        <v>37</v>
      </c>
      <c r="T2132" s="1" t="s">
        <v>13878</v>
      </c>
      <c r="U2132" s="1" t="str">
        <f>HYPERLINK("http://ictvonline.org/taxonomy/p/taxonomy-history?taxnode_id=202110215","ICTVonline=202110215")</f>
        <v>ICTVonline=202110215</v>
      </c>
    </row>
    <row r="2133" spans="1:21" x14ac:dyDescent="0.2">
      <c r="A2133" s="3">
        <v>2132</v>
      </c>
      <c r="B2133" s="1" t="s">
        <v>4875</v>
      </c>
      <c r="D2133" s="1" t="s">
        <v>4876</v>
      </c>
      <c r="F2133" s="1" t="s">
        <v>4880</v>
      </c>
      <c r="H2133" s="1" t="s">
        <v>4881</v>
      </c>
      <c r="M2133" s="1" t="s">
        <v>3543</v>
      </c>
      <c r="N2133" s="1" t="s">
        <v>4629</v>
      </c>
      <c r="P2133" s="1" t="s">
        <v>10824</v>
      </c>
      <c r="Q2133" s="30" t="s">
        <v>2565</v>
      </c>
      <c r="R2133" s="33" t="s">
        <v>3473</v>
      </c>
      <c r="S2133">
        <v>37</v>
      </c>
      <c r="T2133" s="1" t="s">
        <v>13878</v>
      </c>
      <c r="U2133" s="1" t="str">
        <f>HYPERLINK("http://ictvonline.org/taxonomy/p/taxonomy-history?taxnode_id=202105513","ICTVonline=202105513")</f>
        <v>ICTVonline=202105513</v>
      </c>
    </row>
    <row r="2134" spans="1:21" x14ac:dyDescent="0.2">
      <c r="A2134" s="3">
        <v>2133</v>
      </c>
      <c r="B2134" s="1" t="s">
        <v>4875</v>
      </c>
      <c r="D2134" s="1" t="s">
        <v>4876</v>
      </c>
      <c r="F2134" s="1" t="s">
        <v>4880</v>
      </c>
      <c r="H2134" s="1" t="s">
        <v>4881</v>
      </c>
      <c r="M2134" s="1" t="s">
        <v>3543</v>
      </c>
      <c r="N2134" s="1" t="s">
        <v>4629</v>
      </c>
      <c r="P2134" s="1" t="s">
        <v>10825</v>
      </c>
      <c r="Q2134" s="30" t="s">
        <v>2565</v>
      </c>
      <c r="R2134" s="33" t="s">
        <v>3473</v>
      </c>
      <c r="S2134">
        <v>37</v>
      </c>
      <c r="T2134" s="1" t="s">
        <v>13878</v>
      </c>
      <c r="U2134" s="1" t="str">
        <f>HYPERLINK("http://ictvonline.org/taxonomy/p/taxonomy-history?taxnode_id=202105514","ICTVonline=202105514")</f>
        <v>ICTVonline=202105514</v>
      </c>
    </row>
    <row r="2135" spans="1:21" x14ac:dyDescent="0.2">
      <c r="A2135" s="3">
        <v>2134</v>
      </c>
      <c r="B2135" s="1" t="s">
        <v>4875</v>
      </c>
      <c r="D2135" s="1" t="s">
        <v>4876</v>
      </c>
      <c r="F2135" s="1" t="s">
        <v>4880</v>
      </c>
      <c r="H2135" s="1" t="s">
        <v>4881</v>
      </c>
      <c r="M2135" s="1" t="s">
        <v>3543</v>
      </c>
      <c r="N2135" s="1" t="s">
        <v>4629</v>
      </c>
      <c r="P2135" s="1" t="s">
        <v>10826</v>
      </c>
      <c r="Q2135" s="30" t="s">
        <v>2565</v>
      </c>
      <c r="R2135" s="33" t="s">
        <v>3473</v>
      </c>
      <c r="S2135">
        <v>37</v>
      </c>
      <c r="T2135" s="1" t="s">
        <v>13878</v>
      </c>
      <c r="U2135" s="1" t="str">
        <f>HYPERLINK("http://ictvonline.org/taxonomy/p/taxonomy-history?taxnode_id=202105515","ICTVonline=202105515")</f>
        <v>ICTVonline=202105515</v>
      </c>
    </row>
    <row r="2136" spans="1:21" x14ac:dyDescent="0.2">
      <c r="A2136" s="3">
        <v>2135</v>
      </c>
      <c r="B2136" s="1" t="s">
        <v>4875</v>
      </c>
      <c r="D2136" s="1" t="s">
        <v>4876</v>
      </c>
      <c r="F2136" s="1" t="s">
        <v>4880</v>
      </c>
      <c r="H2136" s="1" t="s">
        <v>4881</v>
      </c>
      <c r="M2136" s="1" t="s">
        <v>3543</v>
      </c>
      <c r="N2136" s="1" t="s">
        <v>4629</v>
      </c>
      <c r="P2136" s="1" t="s">
        <v>10827</v>
      </c>
      <c r="Q2136" s="30" t="s">
        <v>2565</v>
      </c>
      <c r="R2136" s="33" t="s">
        <v>3473</v>
      </c>
      <c r="S2136">
        <v>37</v>
      </c>
      <c r="T2136" s="1" t="s">
        <v>13878</v>
      </c>
      <c r="U2136" s="1" t="str">
        <f>HYPERLINK("http://ictvonline.org/taxonomy/p/taxonomy-history?taxnode_id=202105516","ICTVonline=202105516")</f>
        <v>ICTVonline=202105516</v>
      </c>
    </row>
    <row r="2137" spans="1:21" x14ac:dyDescent="0.2">
      <c r="A2137" s="3">
        <v>2136</v>
      </c>
      <c r="B2137" s="1" t="s">
        <v>4875</v>
      </c>
      <c r="D2137" s="1" t="s">
        <v>4876</v>
      </c>
      <c r="F2137" s="1" t="s">
        <v>4880</v>
      </c>
      <c r="H2137" s="1" t="s">
        <v>4881</v>
      </c>
      <c r="M2137" s="1" t="s">
        <v>3543</v>
      </c>
      <c r="N2137" s="1" t="s">
        <v>4629</v>
      </c>
      <c r="P2137" s="1" t="s">
        <v>10828</v>
      </c>
      <c r="Q2137" s="30" t="s">
        <v>2565</v>
      </c>
      <c r="R2137" s="33" t="s">
        <v>3473</v>
      </c>
      <c r="S2137">
        <v>37</v>
      </c>
      <c r="T2137" s="1" t="s">
        <v>13878</v>
      </c>
      <c r="U2137" s="1" t="str">
        <f>HYPERLINK("http://ictvonline.org/taxonomy/p/taxonomy-history?taxnode_id=202105518","ICTVonline=202105518")</f>
        <v>ICTVonline=202105518</v>
      </c>
    </row>
    <row r="2138" spans="1:21" x14ac:dyDescent="0.2">
      <c r="A2138" s="3">
        <v>2137</v>
      </c>
      <c r="B2138" s="1" t="s">
        <v>4875</v>
      </c>
      <c r="D2138" s="1" t="s">
        <v>4876</v>
      </c>
      <c r="F2138" s="1" t="s">
        <v>4880</v>
      </c>
      <c r="H2138" s="1" t="s">
        <v>4881</v>
      </c>
      <c r="M2138" s="1" t="s">
        <v>3543</v>
      </c>
      <c r="N2138" s="1" t="s">
        <v>4629</v>
      </c>
      <c r="P2138" s="1" t="s">
        <v>10829</v>
      </c>
      <c r="Q2138" s="30" t="s">
        <v>2565</v>
      </c>
      <c r="R2138" s="33" t="s">
        <v>3473</v>
      </c>
      <c r="S2138">
        <v>37</v>
      </c>
      <c r="T2138" s="1" t="s">
        <v>13878</v>
      </c>
      <c r="U2138" s="1" t="str">
        <f>HYPERLINK("http://ictvonline.org/taxonomy/p/taxonomy-history?taxnode_id=202110214","ICTVonline=202110214")</f>
        <v>ICTVonline=202110214</v>
      </c>
    </row>
    <row r="2139" spans="1:21" x14ac:dyDescent="0.2">
      <c r="A2139" s="3">
        <v>2138</v>
      </c>
      <c r="B2139" s="1" t="s">
        <v>4875</v>
      </c>
      <c r="D2139" s="1" t="s">
        <v>4876</v>
      </c>
      <c r="F2139" s="1" t="s">
        <v>4880</v>
      </c>
      <c r="H2139" s="1" t="s">
        <v>4881</v>
      </c>
      <c r="M2139" s="1" t="s">
        <v>3543</v>
      </c>
      <c r="N2139" s="1" t="s">
        <v>4630</v>
      </c>
      <c r="P2139" s="1" t="s">
        <v>10830</v>
      </c>
      <c r="Q2139" s="30" t="s">
        <v>2565</v>
      </c>
      <c r="R2139" s="33" t="s">
        <v>3473</v>
      </c>
      <c r="S2139">
        <v>37</v>
      </c>
      <c r="T2139" s="1" t="s">
        <v>13878</v>
      </c>
      <c r="U2139" s="1" t="str">
        <f>HYPERLINK("http://ictvonline.org/taxonomy/p/taxonomy-history?taxnode_id=202110216","ICTVonline=202110216")</f>
        <v>ICTVonline=202110216</v>
      </c>
    </row>
    <row r="2140" spans="1:21" x14ac:dyDescent="0.2">
      <c r="A2140" s="3">
        <v>2139</v>
      </c>
      <c r="B2140" s="1" t="s">
        <v>4875</v>
      </c>
      <c r="D2140" s="1" t="s">
        <v>4876</v>
      </c>
      <c r="F2140" s="1" t="s">
        <v>4880</v>
      </c>
      <c r="H2140" s="1" t="s">
        <v>4881</v>
      </c>
      <c r="M2140" s="1" t="s">
        <v>3543</v>
      </c>
      <c r="N2140" s="1" t="s">
        <v>4630</v>
      </c>
      <c r="P2140" s="1" t="s">
        <v>10831</v>
      </c>
      <c r="Q2140" s="30" t="s">
        <v>2565</v>
      </c>
      <c r="R2140" s="33" t="s">
        <v>3473</v>
      </c>
      <c r="S2140">
        <v>37</v>
      </c>
      <c r="T2140" s="1" t="s">
        <v>13878</v>
      </c>
      <c r="U2140" s="1" t="str">
        <f>HYPERLINK("http://ictvonline.org/taxonomy/p/taxonomy-history?taxnode_id=202105524","ICTVonline=202105524")</f>
        <v>ICTVonline=202105524</v>
      </c>
    </row>
    <row r="2141" spans="1:21" x14ac:dyDescent="0.2">
      <c r="A2141" s="3">
        <v>2140</v>
      </c>
      <c r="B2141" s="1" t="s">
        <v>4875</v>
      </c>
      <c r="D2141" s="1" t="s">
        <v>4876</v>
      </c>
      <c r="F2141" s="1" t="s">
        <v>4880</v>
      </c>
      <c r="H2141" s="1" t="s">
        <v>4881</v>
      </c>
      <c r="M2141" s="1" t="s">
        <v>3543</v>
      </c>
      <c r="N2141" s="1" t="s">
        <v>4630</v>
      </c>
      <c r="P2141" s="1" t="s">
        <v>10832</v>
      </c>
      <c r="Q2141" s="30" t="s">
        <v>2565</v>
      </c>
      <c r="R2141" s="33" t="s">
        <v>3473</v>
      </c>
      <c r="S2141">
        <v>37</v>
      </c>
      <c r="T2141" s="1" t="s">
        <v>13878</v>
      </c>
      <c r="U2141" s="1" t="str">
        <f>HYPERLINK("http://ictvonline.org/taxonomy/p/taxonomy-history?taxnode_id=202105521","ICTVonline=202105521")</f>
        <v>ICTVonline=202105521</v>
      </c>
    </row>
    <row r="2142" spans="1:21" x14ac:dyDescent="0.2">
      <c r="A2142" s="3">
        <v>2141</v>
      </c>
      <c r="B2142" s="1" t="s">
        <v>4875</v>
      </c>
      <c r="D2142" s="1" t="s">
        <v>4876</v>
      </c>
      <c r="F2142" s="1" t="s">
        <v>4880</v>
      </c>
      <c r="H2142" s="1" t="s">
        <v>4881</v>
      </c>
      <c r="M2142" s="1" t="s">
        <v>3543</v>
      </c>
      <c r="N2142" s="1" t="s">
        <v>4630</v>
      </c>
      <c r="P2142" s="1" t="s">
        <v>10833</v>
      </c>
      <c r="Q2142" s="30" t="s">
        <v>2565</v>
      </c>
      <c r="R2142" s="33" t="s">
        <v>3473</v>
      </c>
      <c r="S2142">
        <v>37</v>
      </c>
      <c r="T2142" s="1" t="s">
        <v>13878</v>
      </c>
      <c r="U2142" s="1" t="str">
        <f>HYPERLINK("http://ictvonline.org/taxonomy/p/taxonomy-history?taxnode_id=202105522","ICTVonline=202105522")</f>
        <v>ICTVonline=202105522</v>
      </c>
    </row>
    <row r="2143" spans="1:21" x14ac:dyDescent="0.2">
      <c r="A2143" s="3">
        <v>2142</v>
      </c>
      <c r="B2143" s="1" t="s">
        <v>4875</v>
      </c>
      <c r="D2143" s="1" t="s">
        <v>4876</v>
      </c>
      <c r="F2143" s="1" t="s">
        <v>4880</v>
      </c>
      <c r="H2143" s="1" t="s">
        <v>4881</v>
      </c>
      <c r="M2143" s="1" t="s">
        <v>3543</v>
      </c>
      <c r="N2143" s="1" t="s">
        <v>4630</v>
      </c>
      <c r="P2143" s="1" t="s">
        <v>10834</v>
      </c>
      <c r="Q2143" s="30" t="s">
        <v>2565</v>
      </c>
      <c r="R2143" s="33" t="s">
        <v>3473</v>
      </c>
      <c r="S2143">
        <v>37</v>
      </c>
      <c r="T2143" s="1" t="s">
        <v>13878</v>
      </c>
      <c r="U2143" s="1" t="str">
        <f>HYPERLINK("http://ictvonline.org/taxonomy/p/taxonomy-history?taxnode_id=202105520","ICTVonline=202105520")</f>
        <v>ICTVonline=202105520</v>
      </c>
    </row>
    <row r="2144" spans="1:21" x14ac:dyDescent="0.2">
      <c r="A2144" s="3">
        <v>2143</v>
      </c>
      <c r="B2144" s="1" t="s">
        <v>4875</v>
      </c>
      <c r="D2144" s="1" t="s">
        <v>4876</v>
      </c>
      <c r="F2144" s="1" t="s">
        <v>4880</v>
      </c>
      <c r="H2144" s="1" t="s">
        <v>4881</v>
      </c>
      <c r="M2144" s="1" t="s">
        <v>3544</v>
      </c>
      <c r="N2144" s="1" t="s">
        <v>2614</v>
      </c>
      <c r="P2144" s="1" t="s">
        <v>10835</v>
      </c>
      <c r="Q2144" s="30" t="s">
        <v>2565</v>
      </c>
      <c r="R2144" s="33" t="s">
        <v>3472</v>
      </c>
      <c r="S2144">
        <v>37</v>
      </c>
      <c r="T2144" s="1" t="s">
        <v>13920</v>
      </c>
      <c r="U2144" s="1" t="str">
        <f>HYPERLINK("http://ictvonline.org/taxonomy/p/taxonomy-history?taxnode_id=202112777","ICTVonline=202112777")</f>
        <v>ICTVonline=202112777</v>
      </c>
    </row>
    <row r="2145" spans="1:21" x14ac:dyDescent="0.2">
      <c r="A2145" s="3">
        <v>2144</v>
      </c>
      <c r="B2145" s="1" t="s">
        <v>4875</v>
      </c>
      <c r="D2145" s="1" t="s">
        <v>4876</v>
      </c>
      <c r="F2145" s="1" t="s">
        <v>4880</v>
      </c>
      <c r="H2145" s="1" t="s">
        <v>4881</v>
      </c>
      <c r="M2145" s="1" t="s">
        <v>3544</v>
      </c>
      <c r="N2145" s="1" t="s">
        <v>2614</v>
      </c>
      <c r="P2145" s="1" t="s">
        <v>10836</v>
      </c>
      <c r="Q2145" s="30" t="s">
        <v>2565</v>
      </c>
      <c r="R2145" s="33" t="s">
        <v>3472</v>
      </c>
      <c r="S2145">
        <v>37</v>
      </c>
      <c r="T2145" s="1" t="s">
        <v>13920</v>
      </c>
      <c r="U2145" s="1" t="str">
        <f>HYPERLINK("http://ictvonline.org/taxonomy/p/taxonomy-history?taxnode_id=202112779","ICTVonline=202112779")</f>
        <v>ICTVonline=202112779</v>
      </c>
    </row>
    <row r="2146" spans="1:21" x14ac:dyDescent="0.2">
      <c r="A2146" s="3">
        <v>2145</v>
      </c>
      <c r="B2146" s="1" t="s">
        <v>4875</v>
      </c>
      <c r="D2146" s="1" t="s">
        <v>4876</v>
      </c>
      <c r="F2146" s="1" t="s">
        <v>4880</v>
      </c>
      <c r="H2146" s="1" t="s">
        <v>4881</v>
      </c>
      <c r="M2146" s="1" t="s">
        <v>3544</v>
      </c>
      <c r="N2146" s="1" t="s">
        <v>2614</v>
      </c>
      <c r="P2146" s="1" t="s">
        <v>10837</v>
      </c>
      <c r="Q2146" s="30" t="s">
        <v>2565</v>
      </c>
      <c r="R2146" s="33" t="s">
        <v>3473</v>
      </c>
      <c r="S2146">
        <v>37</v>
      </c>
      <c r="T2146" s="1" t="s">
        <v>13920</v>
      </c>
      <c r="U2146" s="1" t="str">
        <f>HYPERLINK("http://ictvonline.org/taxonomy/p/taxonomy-history?taxnode_id=202105528","ICTVonline=202105528")</f>
        <v>ICTVonline=202105528</v>
      </c>
    </row>
    <row r="2147" spans="1:21" x14ac:dyDescent="0.2">
      <c r="A2147" s="3">
        <v>2146</v>
      </c>
      <c r="B2147" s="1" t="s">
        <v>4875</v>
      </c>
      <c r="D2147" s="1" t="s">
        <v>4876</v>
      </c>
      <c r="F2147" s="1" t="s">
        <v>4880</v>
      </c>
      <c r="H2147" s="1" t="s">
        <v>4881</v>
      </c>
      <c r="M2147" s="1" t="s">
        <v>3544</v>
      </c>
      <c r="N2147" s="1" t="s">
        <v>2614</v>
      </c>
      <c r="P2147" s="1" t="s">
        <v>10838</v>
      </c>
      <c r="Q2147" s="30" t="s">
        <v>2565</v>
      </c>
      <c r="R2147" s="33" t="s">
        <v>3473</v>
      </c>
      <c r="S2147">
        <v>37</v>
      </c>
      <c r="T2147" s="1" t="s">
        <v>13920</v>
      </c>
      <c r="U2147" s="1" t="str">
        <f>HYPERLINK("http://ictvonline.org/taxonomy/p/taxonomy-history?taxnode_id=202100888","ICTVonline=202100888")</f>
        <v>ICTVonline=202100888</v>
      </c>
    </row>
    <row r="2148" spans="1:21" x14ac:dyDescent="0.2">
      <c r="A2148" s="3">
        <v>2147</v>
      </c>
      <c r="B2148" s="1" t="s">
        <v>4875</v>
      </c>
      <c r="D2148" s="1" t="s">
        <v>4876</v>
      </c>
      <c r="F2148" s="1" t="s">
        <v>4880</v>
      </c>
      <c r="H2148" s="1" t="s">
        <v>4881</v>
      </c>
      <c r="M2148" s="1" t="s">
        <v>3544</v>
      </c>
      <c r="N2148" s="1" t="s">
        <v>2614</v>
      </c>
      <c r="P2148" s="1" t="s">
        <v>10839</v>
      </c>
      <c r="Q2148" s="30" t="s">
        <v>2565</v>
      </c>
      <c r="R2148" s="33" t="s">
        <v>3472</v>
      </c>
      <c r="S2148">
        <v>37</v>
      </c>
      <c r="T2148" s="1" t="s">
        <v>13920</v>
      </c>
      <c r="U2148" s="1" t="str">
        <f>HYPERLINK("http://ictvonline.org/taxonomy/p/taxonomy-history?taxnode_id=202112780","ICTVonline=202112780")</f>
        <v>ICTVonline=202112780</v>
      </c>
    </row>
    <row r="2149" spans="1:21" x14ac:dyDescent="0.2">
      <c r="A2149" s="3">
        <v>2148</v>
      </c>
      <c r="B2149" s="1" t="s">
        <v>4875</v>
      </c>
      <c r="D2149" s="1" t="s">
        <v>4876</v>
      </c>
      <c r="F2149" s="1" t="s">
        <v>4880</v>
      </c>
      <c r="H2149" s="1" t="s">
        <v>4881</v>
      </c>
      <c r="M2149" s="1" t="s">
        <v>3544</v>
      </c>
      <c r="N2149" s="1" t="s">
        <v>2614</v>
      </c>
      <c r="P2149" s="1" t="s">
        <v>10840</v>
      </c>
      <c r="Q2149" s="30" t="s">
        <v>2565</v>
      </c>
      <c r="R2149" s="33" t="s">
        <v>3472</v>
      </c>
      <c r="S2149">
        <v>37</v>
      </c>
      <c r="T2149" s="1" t="s">
        <v>13920</v>
      </c>
      <c r="U2149" s="1" t="str">
        <f>HYPERLINK("http://ictvonline.org/taxonomy/p/taxonomy-history?taxnode_id=202112783","ICTVonline=202112783")</f>
        <v>ICTVonline=202112783</v>
      </c>
    </row>
    <row r="2150" spans="1:21" x14ac:dyDescent="0.2">
      <c r="A2150" s="3">
        <v>2149</v>
      </c>
      <c r="B2150" s="1" t="s">
        <v>4875</v>
      </c>
      <c r="D2150" s="1" t="s">
        <v>4876</v>
      </c>
      <c r="F2150" s="1" t="s">
        <v>4880</v>
      </c>
      <c r="H2150" s="1" t="s">
        <v>4881</v>
      </c>
      <c r="M2150" s="1" t="s">
        <v>3544</v>
      </c>
      <c r="N2150" s="1" t="s">
        <v>2614</v>
      </c>
      <c r="P2150" s="1" t="s">
        <v>10841</v>
      </c>
      <c r="Q2150" s="30" t="s">
        <v>2565</v>
      </c>
      <c r="R2150" s="33" t="s">
        <v>3472</v>
      </c>
      <c r="S2150">
        <v>37</v>
      </c>
      <c r="T2150" s="1" t="s">
        <v>13920</v>
      </c>
      <c r="U2150" s="1" t="str">
        <f>HYPERLINK("http://ictvonline.org/taxonomy/p/taxonomy-history?taxnode_id=202112778","ICTVonline=202112778")</f>
        <v>ICTVonline=202112778</v>
      </c>
    </row>
    <row r="2151" spans="1:21" x14ac:dyDescent="0.2">
      <c r="A2151" s="3">
        <v>2150</v>
      </c>
      <c r="B2151" s="1" t="s">
        <v>4875</v>
      </c>
      <c r="D2151" s="1" t="s">
        <v>4876</v>
      </c>
      <c r="F2151" s="1" t="s">
        <v>4880</v>
      </c>
      <c r="H2151" s="1" t="s">
        <v>4881</v>
      </c>
      <c r="M2151" s="1" t="s">
        <v>3544</v>
      </c>
      <c r="N2151" s="1" t="s">
        <v>2614</v>
      </c>
      <c r="P2151" s="1" t="s">
        <v>10842</v>
      </c>
      <c r="Q2151" s="30" t="s">
        <v>2565</v>
      </c>
      <c r="R2151" s="33" t="s">
        <v>3473</v>
      </c>
      <c r="S2151">
        <v>37</v>
      </c>
      <c r="T2151" s="1" t="s">
        <v>13920</v>
      </c>
      <c r="U2151" s="1" t="str">
        <f>HYPERLINK("http://ictvonline.org/taxonomy/p/taxonomy-history?taxnode_id=202105529","ICTVonline=202105529")</f>
        <v>ICTVonline=202105529</v>
      </c>
    </row>
    <row r="2152" spans="1:21" x14ac:dyDescent="0.2">
      <c r="A2152" s="3">
        <v>2151</v>
      </c>
      <c r="B2152" s="1" t="s">
        <v>4875</v>
      </c>
      <c r="D2152" s="1" t="s">
        <v>4876</v>
      </c>
      <c r="F2152" s="1" t="s">
        <v>4880</v>
      </c>
      <c r="H2152" s="1" t="s">
        <v>4881</v>
      </c>
      <c r="M2152" s="1" t="s">
        <v>3544</v>
      </c>
      <c r="N2152" s="1" t="s">
        <v>2614</v>
      </c>
      <c r="P2152" s="1" t="s">
        <v>10843</v>
      </c>
      <c r="Q2152" s="30" t="s">
        <v>2565</v>
      </c>
      <c r="R2152" s="33" t="s">
        <v>3473</v>
      </c>
      <c r="S2152">
        <v>37</v>
      </c>
      <c r="T2152" s="1" t="s">
        <v>13920</v>
      </c>
      <c r="U2152" s="1" t="str">
        <f>HYPERLINK("http://ictvonline.org/taxonomy/p/taxonomy-history?taxnode_id=202105533","ICTVonline=202105533")</f>
        <v>ICTVonline=202105533</v>
      </c>
    </row>
    <row r="2153" spans="1:21" x14ac:dyDescent="0.2">
      <c r="A2153" s="3">
        <v>2152</v>
      </c>
      <c r="B2153" s="1" t="s">
        <v>4875</v>
      </c>
      <c r="D2153" s="1" t="s">
        <v>4876</v>
      </c>
      <c r="F2153" s="1" t="s">
        <v>4880</v>
      </c>
      <c r="H2153" s="1" t="s">
        <v>4881</v>
      </c>
      <c r="M2153" s="1" t="s">
        <v>3544</v>
      </c>
      <c r="N2153" s="1" t="s">
        <v>2614</v>
      </c>
      <c r="P2153" s="1" t="s">
        <v>10844</v>
      </c>
      <c r="Q2153" s="30" t="s">
        <v>2565</v>
      </c>
      <c r="R2153" s="33" t="s">
        <v>3472</v>
      </c>
      <c r="S2153">
        <v>37</v>
      </c>
      <c r="T2153" s="1" t="s">
        <v>13920</v>
      </c>
      <c r="U2153" s="1" t="str">
        <f>HYPERLINK("http://ictvonline.org/taxonomy/p/taxonomy-history?taxnode_id=202112776","ICTVonline=202112776")</f>
        <v>ICTVonline=202112776</v>
      </c>
    </row>
    <row r="2154" spans="1:21" x14ac:dyDescent="0.2">
      <c r="A2154" s="3">
        <v>2153</v>
      </c>
      <c r="B2154" s="1" t="s">
        <v>4875</v>
      </c>
      <c r="D2154" s="1" t="s">
        <v>4876</v>
      </c>
      <c r="F2154" s="1" t="s">
        <v>4880</v>
      </c>
      <c r="H2154" s="1" t="s">
        <v>4881</v>
      </c>
      <c r="M2154" s="1" t="s">
        <v>3544</v>
      </c>
      <c r="N2154" s="1" t="s">
        <v>2614</v>
      </c>
      <c r="P2154" s="1" t="s">
        <v>10845</v>
      </c>
      <c r="Q2154" s="30" t="s">
        <v>2565</v>
      </c>
      <c r="R2154" s="33" t="s">
        <v>3473</v>
      </c>
      <c r="S2154">
        <v>37</v>
      </c>
      <c r="T2154" s="1" t="s">
        <v>13920</v>
      </c>
      <c r="U2154" s="1" t="str">
        <f>HYPERLINK("http://ictvonline.org/taxonomy/p/taxonomy-history?taxnode_id=202105534","ICTVonline=202105534")</f>
        <v>ICTVonline=202105534</v>
      </c>
    </row>
    <row r="2155" spans="1:21" x14ac:dyDescent="0.2">
      <c r="A2155" s="3">
        <v>2154</v>
      </c>
      <c r="B2155" s="1" t="s">
        <v>4875</v>
      </c>
      <c r="D2155" s="1" t="s">
        <v>4876</v>
      </c>
      <c r="F2155" s="1" t="s">
        <v>4880</v>
      </c>
      <c r="H2155" s="1" t="s">
        <v>4881</v>
      </c>
      <c r="M2155" s="1" t="s">
        <v>3544</v>
      </c>
      <c r="N2155" s="1" t="s">
        <v>2614</v>
      </c>
      <c r="P2155" s="1" t="s">
        <v>10846</v>
      </c>
      <c r="Q2155" s="30" t="s">
        <v>2565</v>
      </c>
      <c r="R2155" s="33" t="s">
        <v>3473</v>
      </c>
      <c r="S2155">
        <v>37</v>
      </c>
      <c r="T2155" s="1" t="s">
        <v>13920</v>
      </c>
      <c r="U2155" s="1" t="str">
        <f>HYPERLINK("http://ictvonline.org/taxonomy/p/taxonomy-history?taxnode_id=202105531","ICTVonline=202105531")</f>
        <v>ICTVonline=202105531</v>
      </c>
    </row>
    <row r="2156" spans="1:21" x14ac:dyDescent="0.2">
      <c r="A2156" s="3">
        <v>2155</v>
      </c>
      <c r="B2156" s="1" t="s">
        <v>4875</v>
      </c>
      <c r="D2156" s="1" t="s">
        <v>4876</v>
      </c>
      <c r="F2156" s="1" t="s">
        <v>4880</v>
      </c>
      <c r="H2156" s="1" t="s">
        <v>4881</v>
      </c>
      <c r="M2156" s="1" t="s">
        <v>3544</v>
      </c>
      <c r="N2156" s="1" t="s">
        <v>2614</v>
      </c>
      <c r="P2156" s="1" t="s">
        <v>10847</v>
      </c>
      <c r="Q2156" s="30" t="s">
        <v>2565</v>
      </c>
      <c r="R2156" s="33" t="s">
        <v>3472</v>
      </c>
      <c r="S2156">
        <v>37</v>
      </c>
      <c r="T2156" s="1" t="s">
        <v>13920</v>
      </c>
      <c r="U2156" s="1" t="str">
        <f>HYPERLINK("http://ictvonline.org/taxonomy/p/taxonomy-history?taxnode_id=202112775","ICTVonline=202112775")</f>
        <v>ICTVonline=202112775</v>
      </c>
    </row>
    <row r="2157" spans="1:21" x14ac:dyDescent="0.2">
      <c r="A2157" s="3">
        <v>2156</v>
      </c>
      <c r="B2157" s="1" t="s">
        <v>4875</v>
      </c>
      <c r="D2157" s="1" t="s">
        <v>4876</v>
      </c>
      <c r="F2157" s="1" t="s">
        <v>4880</v>
      </c>
      <c r="H2157" s="1" t="s">
        <v>4881</v>
      </c>
      <c r="M2157" s="1" t="s">
        <v>3544</v>
      </c>
      <c r="N2157" s="1" t="s">
        <v>2614</v>
      </c>
      <c r="P2157" s="1" t="s">
        <v>10848</v>
      </c>
      <c r="Q2157" s="30" t="s">
        <v>2565</v>
      </c>
      <c r="R2157" s="33" t="s">
        <v>3472</v>
      </c>
      <c r="S2157">
        <v>37</v>
      </c>
      <c r="T2157" s="1" t="s">
        <v>13920</v>
      </c>
      <c r="U2157" s="1" t="str">
        <f>HYPERLINK("http://ictvonline.org/taxonomy/p/taxonomy-history?taxnode_id=202112781","ICTVonline=202112781")</f>
        <v>ICTVonline=202112781</v>
      </c>
    </row>
    <row r="2158" spans="1:21" x14ac:dyDescent="0.2">
      <c r="A2158" s="3">
        <v>2157</v>
      </c>
      <c r="B2158" s="1" t="s">
        <v>4875</v>
      </c>
      <c r="D2158" s="1" t="s">
        <v>4876</v>
      </c>
      <c r="F2158" s="1" t="s">
        <v>4880</v>
      </c>
      <c r="H2158" s="1" t="s">
        <v>4881</v>
      </c>
      <c r="M2158" s="1" t="s">
        <v>3544</v>
      </c>
      <c r="N2158" s="1" t="s">
        <v>2614</v>
      </c>
      <c r="P2158" s="1" t="s">
        <v>10849</v>
      </c>
      <c r="Q2158" s="30" t="s">
        <v>2565</v>
      </c>
      <c r="R2158" s="33" t="s">
        <v>3473</v>
      </c>
      <c r="S2158">
        <v>37</v>
      </c>
      <c r="T2158" s="1" t="s">
        <v>13920</v>
      </c>
      <c r="U2158" s="1" t="str">
        <f>HYPERLINK("http://ictvonline.org/taxonomy/p/taxonomy-history?taxnode_id=202100889","ICTVonline=202100889")</f>
        <v>ICTVonline=202100889</v>
      </c>
    </row>
    <row r="2159" spans="1:21" x14ac:dyDescent="0.2">
      <c r="A2159" s="3">
        <v>2158</v>
      </c>
      <c r="B2159" s="1" t="s">
        <v>4875</v>
      </c>
      <c r="D2159" s="1" t="s">
        <v>4876</v>
      </c>
      <c r="F2159" s="1" t="s">
        <v>4880</v>
      </c>
      <c r="H2159" s="1" t="s">
        <v>4881</v>
      </c>
      <c r="M2159" s="1" t="s">
        <v>3544</v>
      </c>
      <c r="N2159" s="1" t="s">
        <v>2614</v>
      </c>
      <c r="P2159" s="1" t="s">
        <v>10850</v>
      </c>
      <c r="Q2159" s="30" t="s">
        <v>2565</v>
      </c>
      <c r="R2159" s="33" t="s">
        <v>3473</v>
      </c>
      <c r="S2159">
        <v>37</v>
      </c>
      <c r="T2159" s="1" t="s">
        <v>13920</v>
      </c>
      <c r="U2159" s="1" t="str">
        <f>HYPERLINK("http://ictvonline.org/taxonomy/p/taxonomy-history?taxnode_id=202105535","ICTVonline=202105535")</f>
        <v>ICTVonline=202105535</v>
      </c>
    </row>
    <row r="2160" spans="1:21" x14ac:dyDescent="0.2">
      <c r="A2160" s="3">
        <v>2159</v>
      </c>
      <c r="B2160" s="1" t="s">
        <v>4875</v>
      </c>
      <c r="D2160" s="1" t="s">
        <v>4876</v>
      </c>
      <c r="F2160" s="1" t="s">
        <v>4880</v>
      </c>
      <c r="H2160" s="1" t="s">
        <v>4881</v>
      </c>
      <c r="M2160" s="1" t="s">
        <v>3544</v>
      </c>
      <c r="N2160" s="1" t="s">
        <v>2614</v>
      </c>
      <c r="P2160" s="1" t="s">
        <v>10851</v>
      </c>
      <c r="Q2160" s="30" t="s">
        <v>2565</v>
      </c>
      <c r="R2160" s="33" t="s">
        <v>3472</v>
      </c>
      <c r="S2160">
        <v>37</v>
      </c>
      <c r="T2160" s="1" t="s">
        <v>13920</v>
      </c>
      <c r="U2160" s="1" t="str">
        <f>HYPERLINK("http://ictvonline.org/taxonomy/p/taxonomy-history?taxnode_id=202112782","ICTVonline=202112782")</f>
        <v>ICTVonline=202112782</v>
      </c>
    </row>
    <row r="2161" spans="1:21" x14ac:dyDescent="0.2">
      <c r="A2161" s="3">
        <v>2160</v>
      </c>
      <c r="B2161" s="1" t="s">
        <v>4875</v>
      </c>
      <c r="D2161" s="1" t="s">
        <v>4876</v>
      </c>
      <c r="F2161" s="1" t="s">
        <v>4880</v>
      </c>
      <c r="H2161" s="1" t="s">
        <v>4881</v>
      </c>
      <c r="M2161" s="1" t="s">
        <v>3544</v>
      </c>
      <c r="N2161" s="1" t="s">
        <v>2614</v>
      </c>
      <c r="P2161" s="1" t="s">
        <v>10852</v>
      </c>
      <c r="Q2161" s="30" t="s">
        <v>2565</v>
      </c>
      <c r="R2161" s="33" t="s">
        <v>3473</v>
      </c>
      <c r="S2161">
        <v>37</v>
      </c>
      <c r="T2161" s="1" t="s">
        <v>13920</v>
      </c>
      <c r="U2161" s="1" t="str">
        <f>HYPERLINK("http://ictvonline.org/taxonomy/p/taxonomy-history?taxnode_id=202105532","ICTVonline=202105532")</f>
        <v>ICTVonline=202105532</v>
      </c>
    </row>
    <row r="2162" spans="1:21" x14ac:dyDescent="0.2">
      <c r="A2162" s="3">
        <v>2161</v>
      </c>
      <c r="B2162" s="1" t="s">
        <v>4875</v>
      </c>
      <c r="D2162" s="1" t="s">
        <v>4876</v>
      </c>
      <c r="F2162" s="1" t="s">
        <v>4880</v>
      </c>
      <c r="H2162" s="1" t="s">
        <v>4881</v>
      </c>
      <c r="M2162" s="1" t="s">
        <v>3545</v>
      </c>
      <c r="N2162" s="1" t="s">
        <v>3546</v>
      </c>
      <c r="P2162" s="1" t="s">
        <v>10853</v>
      </c>
      <c r="Q2162" s="30" t="s">
        <v>2565</v>
      </c>
      <c r="R2162" s="33" t="s">
        <v>3473</v>
      </c>
      <c r="S2162">
        <v>37</v>
      </c>
      <c r="T2162" s="1" t="s">
        <v>13878</v>
      </c>
      <c r="U2162" s="1" t="str">
        <f>HYPERLINK("http://ictvonline.org/taxonomy/p/taxonomy-history?taxnode_id=202105498","ICTVonline=202105498")</f>
        <v>ICTVonline=202105498</v>
      </c>
    </row>
    <row r="2163" spans="1:21" x14ac:dyDescent="0.2">
      <c r="A2163" s="3">
        <v>2162</v>
      </c>
      <c r="B2163" s="1" t="s">
        <v>4875</v>
      </c>
      <c r="D2163" s="1" t="s">
        <v>4876</v>
      </c>
      <c r="F2163" s="1" t="s">
        <v>4880</v>
      </c>
      <c r="H2163" s="1" t="s">
        <v>4881</v>
      </c>
      <c r="M2163" s="1" t="s">
        <v>3545</v>
      </c>
      <c r="N2163" s="1" t="s">
        <v>3546</v>
      </c>
      <c r="P2163" s="1" t="s">
        <v>10854</v>
      </c>
      <c r="Q2163" s="30" t="s">
        <v>2565</v>
      </c>
      <c r="R2163" s="33" t="s">
        <v>3473</v>
      </c>
      <c r="S2163">
        <v>37</v>
      </c>
      <c r="T2163" s="1" t="s">
        <v>13878</v>
      </c>
      <c r="U2163" s="1" t="str">
        <f>HYPERLINK("http://ictvonline.org/taxonomy/p/taxonomy-history?taxnode_id=202105499","ICTVonline=202105499")</f>
        <v>ICTVonline=202105499</v>
      </c>
    </row>
    <row r="2164" spans="1:21" x14ac:dyDescent="0.2">
      <c r="A2164" s="3">
        <v>2163</v>
      </c>
      <c r="B2164" s="1" t="s">
        <v>4875</v>
      </c>
      <c r="D2164" s="1" t="s">
        <v>4876</v>
      </c>
      <c r="F2164" s="1" t="s">
        <v>4880</v>
      </c>
      <c r="H2164" s="1" t="s">
        <v>4881</v>
      </c>
      <c r="M2164" s="1" t="s">
        <v>3545</v>
      </c>
      <c r="N2164" s="1" t="s">
        <v>3547</v>
      </c>
      <c r="P2164" s="1" t="s">
        <v>10855</v>
      </c>
      <c r="Q2164" s="30" t="s">
        <v>2565</v>
      </c>
      <c r="R2164" s="33" t="s">
        <v>3473</v>
      </c>
      <c r="S2164">
        <v>37</v>
      </c>
      <c r="T2164" s="1" t="s">
        <v>13878</v>
      </c>
      <c r="U2164" s="1" t="str">
        <f>HYPERLINK("http://ictvonline.org/taxonomy/p/taxonomy-history?taxnode_id=202105501","ICTVonline=202105501")</f>
        <v>ICTVonline=202105501</v>
      </c>
    </row>
    <row r="2165" spans="1:21" x14ac:dyDescent="0.2">
      <c r="A2165" s="3">
        <v>2164</v>
      </c>
      <c r="B2165" s="1" t="s">
        <v>4875</v>
      </c>
      <c r="D2165" s="1" t="s">
        <v>4876</v>
      </c>
      <c r="F2165" s="1" t="s">
        <v>4880</v>
      </c>
      <c r="H2165" s="1" t="s">
        <v>4881</v>
      </c>
      <c r="M2165" s="1" t="s">
        <v>3545</v>
      </c>
      <c r="N2165" s="1" t="s">
        <v>3547</v>
      </c>
      <c r="P2165" s="1" t="s">
        <v>10856</v>
      </c>
      <c r="Q2165" s="30" t="s">
        <v>2565</v>
      </c>
      <c r="R2165" s="33" t="s">
        <v>3473</v>
      </c>
      <c r="S2165">
        <v>37</v>
      </c>
      <c r="T2165" s="1" t="s">
        <v>13878</v>
      </c>
      <c r="U2165" s="1" t="str">
        <f>HYPERLINK("http://ictvonline.org/taxonomy/p/taxonomy-history?taxnode_id=202105503","ICTVonline=202105503")</f>
        <v>ICTVonline=202105503</v>
      </c>
    </row>
    <row r="2166" spans="1:21" x14ac:dyDescent="0.2">
      <c r="A2166" s="3">
        <v>2165</v>
      </c>
      <c r="B2166" s="1" t="s">
        <v>4875</v>
      </c>
      <c r="D2166" s="1" t="s">
        <v>4876</v>
      </c>
      <c r="F2166" s="1" t="s">
        <v>4880</v>
      </c>
      <c r="H2166" s="1" t="s">
        <v>4881</v>
      </c>
      <c r="M2166" s="1" t="s">
        <v>3545</v>
      </c>
      <c r="N2166" s="1" t="s">
        <v>3547</v>
      </c>
      <c r="P2166" s="1" t="s">
        <v>10857</v>
      </c>
      <c r="Q2166" s="30" t="s">
        <v>2565</v>
      </c>
      <c r="R2166" s="33" t="s">
        <v>3473</v>
      </c>
      <c r="S2166">
        <v>37</v>
      </c>
      <c r="T2166" s="1" t="s">
        <v>13878</v>
      </c>
      <c r="U2166" s="1" t="str">
        <f>HYPERLINK("http://ictvonline.org/taxonomy/p/taxonomy-history?taxnode_id=202105502","ICTVonline=202105502")</f>
        <v>ICTVonline=202105502</v>
      </c>
    </row>
    <row r="2167" spans="1:21" x14ac:dyDescent="0.2">
      <c r="A2167" s="3">
        <v>2166</v>
      </c>
      <c r="B2167" s="1" t="s">
        <v>4875</v>
      </c>
      <c r="D2167" s="1" t="s">
        <v>4876</v>
      </c>
      <c r="F2167" s="1" t="s">
        <v>4880</v>
      </c>
      <c r="H2167" s="1" t="s">
        <v>4881</v>
      </c>
      <c r="M2167" s="1" t="s">
        <v>3117</v>
      </c>
      <c r="N2167" s="1" t="s">
        <v>4508</v>
      </c>
      <c r="P2167" s="1" t="s">
        <v>10858</v>
      </c>
      <c r="Q2167" s="30" t="s">
        <v>2565</v>
      </c>
      <c r="R2167" s="33" t="s">
        <v>3473</v>
      </c>
      <c r="S2167">
        <v>37</v>
      </c>
      <c r="T2167" s="1" t="s">
        <v>13878</v>
      </c>
      <c r="U2167" s="1" t="str">
        <f>HYPERLINK("http://ictvonline.org/taxonomy/p/taxonomy-history?taxnode_id=202107010","ICTVonline=202107010")</f>
        <v>ICTVonline=202107010</v>
      </c>
    </row>
    <row r="2168" spans="1:21" x14ac:dyDescent="0.2">
      <c r="A2168" s="3">
        <v>2167</v>
      </c>
      <c r="B2168" s="1" t="s">
        <v>4875</v>
      </c>
      <c r="D2168" s="1" t="s">
        <v>4876</v>
      </c>
      <c r="F2168" s="1" t="s">
        <v>4880</v>
      </c>
      <c r="H2168" s="1" t="s">
        <v>4881</v>
      </c>
      <c r="M2168" s="1" t="s">
        <v>3117</v>
      </c>
      <c r="N2168" s="1" t="s">
        <v>4508</v>
      </c>
      <c r="P2168" s="1" t="s">
        <v>10859</v>
      </c>
      <c r="Q2168" s="30" t="s">
        <v>2565</v>
      </c>
      <c r="R2168" s="33" t="s">
        <v>3473</v>
      </c>
      <c r="S2168">
        <v>37</v>
      </c>
      <c r="T2168" s="1" t="s">
        <v>13878</v>
      </c>
      <c r="U2168" s="1" t="str">
        <f>HYPERLINK("http://ictvonline.org/taxonomy/p/taxonomy-history?taxnode_id=202100208","ICTVonline=202100208")</f>
        <v>ICTVonline=202100208</v>
      </c>
    </row>
    <row r="2169" spans="1:21" x14ac:dyDescent="0.2">
      <c r="A2169" s="3">
        <v>2168</v>
      </c>
      <c r="B2169" s="1" t="s">
        <v>4875</v>
      </c>
      <c r="D2169" s="1" t="s">
        <v>4876</v>
      </c>
      <c r="F2169" s="1" t="s">
        <v>4880</v>
      </c>
      <c r="H2169" s="1" t="s">
        <v>4881</v>
      </c>
      <c r="M2169" s="1" t="s">
        <v>3117</v>
      </c>
      <c r="N2169" s="1" t="s">
        <v>4508</v>
      </c>
      <c r="P2169" s="1" t="s">
        <v>10860</v>
      </c>
      <c r="Q2169" s="30" t="s">
        <v>2565</v>
      </c>
      <c r="R2169" s="33" t="s">
        <v>3473</v>
      </c>
      <c r="S2169">
        <v>37</v>
      </c>
      <c r="T2169" s="1" t="s">
        <v>13878</v>
      </c>
      <c r="U2169" s="1" t="str">
        <f>HYPERLINK("http://ictvonline.org/taxonomy/p/taxonomy-history?taxnode_id=202107009","ICTVonline=202107009")</f>
        <v>ICTVonline=202107009</v>
      </c>
    </row>
    <row r="2170" spans="1:21" x14ac:dyDescent="0.2">
      <c r="A2170" s="3">
        <v>2169</v>
      </c>
      <c r="B2170" s="1" t="s">
        <v>4875</v>
      </c>
      <c r="D2170" s="1" t="s">
        <v>4876</v>
      </c>
      <c r="F2170" s="1" t="s">
        <v>4880</v>
      </c>
      <c r="H2170" s="1" t="s">
        <v>4881</v>
      </c>
      <c r="M2170" s="1" t="s">
        <v>3117</v>
      </c>
      <c r="N2170" s="1" t="s">
        <v>4508</v>
      </c>
      <c r="P2170" s="1" t="s">
        <v>10861</v>
      </c>
      <c r="Q2170" s="30" t="s">
        <v>2565</v>
      </c>
      <c r="R2170" s="33" t="s">
        <v>3473</v>
      </c>
      <c r="S2170">
        <v>37</v>
      </c>
      <c r="T2170" s="1" t="s">
        <v>13878</v>
      </c>
      <c r="U2170" s="1" t="str">
        <f>HYPERLINK("http://ictvonline.org/taxonomy/p/taxonomy-history?taxnode_id=202107007","ICTVonline=202107007")</f>
        <v>ICTVonline=202107007</v>
      </c>
    </row>
    <row r="2171" spans="1:21" x14ac:dyDescent="0.2">
      <c r="A2171" s="3">
        <v>2170</v>
      </c>
      <c r="B2171" s="1" t="s">
        <v>4875</v>
      </c>
      <c r="D2171" s="1" t="s">
        <v>4876</v>
      </c>
      <c r="F2171" s="1" t="s">
        <v>4880</v>
      </c>
      <c r="H2171" s="1" t="s">
        <v>4881</v>
      </c>
      <c r="M2171" s="1" t="s">
        <v>3117</v>
      </c>
      <c r="N2171" s="1" t="s">
        <v>4508</v>
      </c>
      <c r="P2171" s="1" t="s">
        <v>10862</v>
      </c>
      <c r="Q2171" s="30" t="s">
        <v>2565</v>
      </c>
      <c r="R2171" s="33" t="s">
        <v>3473</v>
      </c>
      <c r="S2171">
        <v>37</v>
      </c>
      <c r="T2171" s="1" t="s">
        <v>13878</v>
      </c>
      <c r="U2171" s="1" t="str">
        <f>HYPERLINK("http://ictvonline.org/taxonomy/p/taxonomy-history?taxnode_id=202107006","ICTVonline=202107006")</f>
        <v>ICTVonline=202107006</v>
      </c>
    </row>
    <row r="2172" spans="1:21" x14ac:dyDescent="0.2">
      <c r="A2172" s="3">
        <v>2171</v>
      </c>
      <c r="B2172" s="1" t="s">
        <v>4875</v>
      </c>
      <c r="D2172" s="1" t="s">
        <v>4876</v>
      </c>
      <c r="F2172" s="1" t="s">
        <v>4880</v>
      </c>
      <c r="H2172" s="1" t="s">
        <v>4881</v>
      </c>
      <c r="M2172" s="1" t="s">
        <v>3117</v>
      </c>
      <c r="N2172" s="1" t="s">
        <v>4508</v>
      </c>
      <c r="P2172" s="1" t="s">
        <v>10863</v>
      </c>
      <c r="Q2172" s="30" t="s">
        <v>2565</v>
      </c>
      <c r="R2172" s="33" t="s">
        <v>3473</v>
      </c>
      <c r="S2172">
        <v>37</v>
      </c>
      <c r="T2172" s="1" t="s">
        <v>13878</v>
      </c>
      <c r="U2172" s="1" t="str">
        <f>HYPERLINK("http://ictvonline.org/taxonomy/p/taxonomy-history?taxnode_id=202100209","ICTVonline=202100209")</f>
        <v>ICTVonline=202100209</v>
      </c>
    </row>
    <row r="2173" spans="1:21" x14ac:dyDescent="0.2">
      <c r="A2173" s="3">
        <v>2172</v>
      </c>
      <c r="B2173" s="1" t="s">
        <v>4875</v>
      </c>
      <c r="D2173" s="1" t="s">
        <v>4876</v>
      </c>
      <c r="F2173" s="1" t="s">
        <v>4880</v>
      </c>
      <c r="H2173" s="1" t="s">
        <v>4881</v>
      </c>
      <c r="M2173" s="1" t="s">
        <v>3117</v>
      </c>
      <c r="N2173" s="1" t="s">
        <v>4508</v>
      </c>
      <c r="P2173" s="1" t="s">
        <v>10864</v>
      </c>
      <c r="Q2173" s="30" t="s">
        <v>2565</v>
      </c>
      <c r="R2173" s="33" t="s">
        <v>3473</v>
      </c>
      <c r="S2173">
        <v>37</v>
      </c>
      <c r="T2173" s="1" t="s">
        <v>13878</v>
      </c>
      <c r="U2173" s="1" t="str">
        <f>HYPERLINK("http://ictvonline.org/taxonomy/p/taxonomy-history?taxnode_id=202100215","ICTVonline=202100215")</f>
        <v>ICTVonline=202100215</v>
      </c>
    </row>
    <row r="2174" spans="1:21" x14ac:dyDescent="0.2">
      <c r="A2174" s="3">
        <v>2173</v>
      </c>
      <c r="B2174" s="1" t="s">
        <v>4875</v>
      </c>
      <c r="D2174" s="1" t="s">
        <v>4876</v>
      </c>
      <c r="F2174" s="1" t="s">
        <v>4880</v>
      </c>
      <c r="H2174" s="1" t="s">
        <v>4881</v>
      </c>
      <c r="M2174" s="1" t="s">
        <v>3117</v>
      </c>
      <c r="N2174" s="1" t="s">
        <v>4508</v>
      </c>
      <c r="P2174" s="1" t="s">
        <v>10865</v>
      </c>
      <c r="Q2174" s="30" t="s">
        <v>2565</v>
      </c>
      <c r="R2174" s="33" t="s">
        <v>3473</v>
      </c>
      <c r="S2174">
        <v>37</v>
      </c>
      <c r="T2174" s="1" t="s">
        <v>13878</v>
      </c>
      <c r="U2174" s="1" t="str">
        <f>HYPERLINK("http://ictvonline.org/taxonomy/p/taxonomy-history?taxnode_id=202100210","ICTVonline=202100210")</f>
        <v>ICTVonline=202100210</v>
      </c>
    </row>
    <row r="2175" spans="1:21" x14ac:dyDescent="0.2">
      <c r="A2175" s="3">
        <v>2174</v>
      </c>
      <c r="B2175" s="1" t="s">
        <v>4875</v>
      </c>
      <c r="D2175" s="1" t="s">
        <v>4876</v>
      </c>
      <c r="F2175" s="1" t="s">
        <v>4880</v>
      </c>
      <c r="H2175" s="1" t="s">
        <v>4881</v>
      </c>
      <c r="M2175" s="1" t="s">
        <v>3117</v>
      </c>
      <c r="N2175" s="1" t="s">
        <v>4508</v>
      </c>
      <c r="P2175" s="1" t="s">
        <v>10866</v>
      </c>
      <c r="Q2175" s="30" t="s">
        <v>2565</v>
      </c>
      <c r="R2175" s="33" t="s">
        <v>3473</v>
      </c>
      <c r="S2175">
        <v>37</v>
      </c>
      <c r="T2175" s="1" t="s">
        <v>13878</v>
      </c>
      <c r="U2175" s="1" t="str">
        <f>HYPERLINK("http://ictvonline.org/taxonomy/p/taxonomy-history?taxnode_id=202100211","ICTVonline=202100211")</f>
        <v>ICTVonline=202100211</v>
      </c>
    </row>
    <row r="2176" spans="1:21" x14ac:dyDescent="0.2">
      <c r="A2176" s="3">
        <v>2175</v>
      </c>
      <c r="B2176" s="1" t="s">
        <v>4875</v>
      </c>
      <c r="D2176" s="1" t="s">
        <v>4876</v>
      </c>
      <c r="F2176" s="1" t="s">
        <v>4880</v>
      </c>
      <c r="H2176" s="1" t="s">
        <v>4881</v>
      </c>
      <c r="M2176" s="1" t="s">
        <v>3117</v>
      </c>
      <c r="N2176" s="1" t="s">
        <v>4508</v>
      </c>
      <c r="P2176" s="1" t="s">
        <v>10867</v>
      </c>
      <c r="Q2176" s="30" t="s">
        <v>2565</v>
      </c>
      <c r="R2176" s="33" t="s">
        <v>3473</v>
      </c>
      <c r="S2176">
        <v>37</v>
      </c>
      <c r="T2176" s="1" t="s">
        <v>13878</v>
      </c>
      <c r="U2176" s="1" t="str">
        <f>HYPERLINK("http://ictvonline.org/taxonomy/p/taxonomy-history?taxnode_id=202100217","ICTVonline=202100217")</f>
        <v>ICTVonline=202100217</v>
      </c>
    </row>
    <row r="2177" spans="1:21" x14ac:dyDescent="0.2">
      <c r="A2177" s="3">
        <v>2176</v>
      </c>
      <c r="B2177" s="1" t="s">
        <v>4875</v>
      </c>
      <c r="D2177" s="1" t="s">
        <v>4876</v>
      </c>
      <c r="F2177" s="1" t="s">
        <v>4880</v>
      </c>
      <c r="H2177" s="1" t="s">
        <v>4881</v>
      </c>
      <c r="M2177" s="1" t="s">
        <v>3117</v>
      </c>
      <c r="N2177" s="1" t="s">
        <v>4508</v>
      </c>
      <c r="P2177" s="1" t="s">
        <v>10868</v>
      </c>
      <c r="Q2177" s="30" t="s">
        <v>2565</v>
      </c>
      <c r="R2177" s="33" t="s">
        <v>3473</v>
      </c>
      <c r="S2177">
        <v>37</v>
      </c>
      <c r="T2177" s="1" t="s">
        <v>13878</v>
      </c>
      <c r="U2177" s="1" t="str">
        <f>HYPERLINK("http://ictvonline.org/taxonomy/p/taxonomy-history?taxnode_id=202107008","ICTVonline=202107008")</f>
        <v>ICTVonline=202107008</v>
      </c>
    </row>
    <row r="2178" spans="1:21" x14ac:dyDescent="0.2">
      <c r="A2178" s="3">
        <v>2177</v>
      </c>
      <c r="B2178" s="1" t="s">
        <v>4875</v>
      </c>
      <c r="D2178" s="1" t="s">
        <v>4876</v>
      </c>
      <c r="F2178" s="1" t="s">
        <v>4880</v>
      </c>
      <c r="H2178" s="1" t="s">
        <v>4881</v>
      </c>
      <c r="M2178" s="1" t="s">
        <v>3117</v>
      </c>
      <c r="N2178" s="1" t="s">
        <v>4508</v>
      </c>
      <c r="P2178" s="1" t="s">
        <v>10869</v>
      </c>
      <c r="Q2178" s="30" t="s">
        <v>2565</v>
      </c>
      <c r="R2178" s="33" t="s">
        <v>3473</v>
      </c>
      <c r="S2178">
        <v>37</v>
      </c>
      <c r="T2178" s="1" t="s">
        <v>13878</v>
      </c>
      <c r="U2178" s="1" t="str">
        <f>HYPERLINK("http://ictvonline.org/taxonomy/p/taxonomy-history?taxnode_id=202106902","ICTVonline=202106902")</f>
        <v>ICTVonline=202106902</v>
      </c>
    </row>
    <row r="2179" spans="1:21" x14ac:dyDescent="0.2">
      <c r="A2179" s="3">
        <v>2178</v>
      </c>
      <c r="B2179" s="1" t="s">
        <v>4875</v>
      </c>
      <c r="D2179" s="1" t="s">
        <v>4876</v>
      </c>
      <c r="F2179" s="1" t="s">
        <v>4880</v>
      </c>
      <c r="H2179" s="1" t="s">
        <v>4881</v>
      </c>
      <c r="M2179" s="1" t="s">
        <v>3117</v>
      </c>
      <c r="N2179" s="1" t="s">
        <v>4508</v>
      </c>
      <c r="P2179" s="1" t="s">
        <v>10870</v>
      </c>
      <c r="Q2179" s="30" t="s">
        <v>2565</v>
      </c>
      <c r="R2179" s="33" t="s">
        <v>3473</v>
      </c>
      <c r="S2179">
        <v>37</v>
      </c>
      <c r="T2179" s="1" t="s">
        <v>13878</v>
      </c>
      <c r="U2179" s="1" t="str">
        <f>HYPERLINK("http://ictvonline.org/taxonomy/p/taxonomy-history?taxnode_id=202100212","ICTVonline=202100212")</f>
        <v>ICTVonline=202100212</v>
      </c>
    </row>
    <row r="2180" spans="1:21" x14ac:dyDescent="0.2">
      <c r="A2180" s="3">
        <v>2179</v>
      </c>
      <c r="B2180" s="1" t="s">
        <v>4875</v>
      </c>
      <c r="D2180" s="1" t="s">
        <v>4876</v>
      </c>
      <c r="F2180" s="1" t="s">
        <v>4880</v>
      </c>
      <c r="H2180" s="1" t="s">
        <v>4881</v>
      </c>
      <c r="M2180" s="1" t="s">
        <v>3117</v>
      </c>
      <c r="N2180" s="1" t="s">
        <v>4508</v>
      </c>
      <c r="P2180" s="1" t="s">
        <v>10871</v>
      </c>
      <c r="Q2180" s="30" t="s">
        <v>2565</v>
      </c>
      <c r="R2180" s="33" t="s">
        <v>3473</v>
      </c>
      <c r="S2180">
        <v>37</v>
      </c>
      <c r="T2180" s="1" t="s">
        <v>13878</v>
      </c>
      <c r="U2180" s="1" t="str">
        <f>HYPERLINK("http://ictvonline.org/taxonomy/p/taxonomy-history?taxnode_id=202100218","ICTVonline=202100218")</f>
        <v>ICTVonline=202100218</v>
      </c>
    </row>
    <row r="2181" spans="1:21" x14ac:dyDescent="0.2">
      <c r="A2181" s="3">
        <v>2180</v>
      </c>
      <c r="B2181" s="1" t="s">
        <v>4875</v>
      </c>
      <c r="D2181" s="1" t="s">
        <v>4876</v>
      </c>
      <c r="F2181" s="1" t="s">
        <v>4880</v>
      </c>
      <c r="H2181" s="1" t="s">
        <v>4881</v>
      </c>
      <c r="M2181" s="1" t="s">
        <v>3117</v>
      </c>
      <c r="N2181" s="1" t="s">
        <v>4508</v>
      </c>
      <c r="P2181" s="1" t="s">
        <v>10872</v>
      </c>
      <c r="Q2181" s="30" t="s">
        <v>2565</v>
      </c>
      <c r="R2181" s="33" t="s">
        <v>3473</v>
      </c>
      <c r="S2181">
        <v>37</v>
      </c>
      <c r="T2181" s="1" t="s">
        <v>13878</v>
      </c>
      <c r="U2181" s="1" t="str">
        <f>HYPERLINK("http://ictvonline.org/taxonomy/p/taxonomy-history?taxnode_id=202100213","ICTVonline=202100213")</f>
        <v>ICTVonline=202100213</v>
      </c>
    </row>
    <row r="2182" spans="1:21" x14ac:dyDescent="0.2">
      <c r="A2182" s="3">
        <v>2181</v>
      </c>
      <c r="B2182" s="1" t="s">
        <v>4875</v>
      </c>
      <c r="D2182" s="1" t="s">
        <v>4876</v>
      </c>
      <c r="F2182" s="1" t="s">
        <v>4880</v>
      </c>
      <c r="H2182" s="1" t="s">
        <v>4881</v>
      </c>
      <c r="M2182" s="1" t="s">
        <v>3117</v>
      </c>
      <c r="N2182" s="1" t="s">
        <v>4508</v>
      </c>
      <c r="P2182" s="1" t="s">
        <v>10873</v>
      </c>
      <c r="Q2182" s="30" t="s">
        <v>2565</v>
      </c>
      <c r="R2182" s="33" t="s">
        <v>3473</v>
      </c>
      <c r="S2182">
        <v>37</v>
      </c>
      <c r="T2182" s="1" t="s">
        <v>13878</v>
      </c>
      <c r="U2182" s="1" t="str">
        <f>HYPERLINK("http://ictvonline.org/taxonomy/p/taxonomy-history?taxnode_id=202100214","ICTVonline=202100214")</f>
        <v>ICTVonline=202100214</v>
      </c>
    </row>
    <row r="2183" spans="1:21" x14ac:dyDescent="0.2">
      <c r="A2183" s="3">
        <v>2182</v>
      </c>
      <c r="B2183" s="1" t="s">
        <v>4875</v>
      </c>
      <c r="D2183" s="1" t="s">
        <v>4876</v>
      </c>
      <c r="F2183" s="1" t="s">
        <v>4880</v>
      </c>
      <c r="H2183" s="1" t="s">
        <v>4881</v>
      </c>
      <c r="M2183" s="1" t="s">
        <v>3117</v>
      </c>
      <c r="N2183" s="1" t="s">
        <v>4509</v>
      </c>
      <c r="P2183" s="1" t="s">
        <v>10874</v>
      </c>
      <c r="Q2183" s="30" t="s">
        <v>2565</v>
      </c>
      <c r="R2183" s="33" t="s">
        <v>3473</v>
      </c>
      <c r="S2183">
        <v>37</v>
      </c>
      <c r="T2183" s="1" t="s">
        <v>13878</v>
      </c>
      <c r="U2183" s="1" t="str">
        <f>HYPERLINK("http://ictvonline.org/taxonomy/p/taxonomy-history?taxnode_id=202100205","ICTVonline=202100205")</f>
        <v>ICTVonline=202100205</v>
      </c>
    </row>
    <row r="2184" spans="1:21" x14ac:dyDescent="0.2">
      <c r="A2184" s="3">
        <v>2183</v>
      </c>
      <c r="B2184" s="1" t="s">
        <v>4875</v>
      </c>
      <c r="D2184" s="1" t="s">
        <v>4876</v>
      </c>
      <c r="F2184" s="1" t="s">
        <v>4880</v>
      </c>
      <c r="H2184" s="1" t="s">
        <v>4881</v>
      </c>
      <c r="M2184" s="1" t="s">
        <v>3117</v>
      </c>
      <c r="N2184" s="1" t="s">
        <v>4509</v>
      </c>
      <c r="P2184" s="1" t="s">
        <v>10875</v>
      </c>
      <c r="Q2184" s="30" t="s">
        <v>2565</v>
      </c>
      <c r="R2184" s="33" t="s">
        <v>3473</v>
      </c>
      <c r="S2184">
        <v>37</v>
      </c>
      <c r="T2184" s="1" t="s">
        <v>13878</v>
      </c>
      <c r="U2184" s="1" t="str">
        <f>HYPERLINK("http://ictvonline.org/taxonomy/p/taxonomy-history?taxnode_id=202100206","ICTVonline=202100206")</f>
        <v>ICTVonline=202100206</v>
      </c>
    </row>
    <row r="2185" spans="1:21" x14ac:dyDescent="0.2">
      <c r="A2185" s="3">
        <v>2184</v>
      </c>
      <c r="B2185" s="1" t="s">
        <v>4875</v>
      </c>
      <c r="D2185" s="1" t="s">
        <v>4876</v>
      </c>
      <c r="F2185" s="1" t="s">
        <v>4880</v>
      </c>
      <c r="H2185" s="1" t="s">
        <v>4881</v>
      </c>
      <c r="M2185" s="1" t="s">
        <v>3117</v>
      </c>
      <c r="N2185" s="1" t="s">
        <v>3180</v>
      </c>
      <c r="P2185" s="1" t="s">
        <v>10876</v>
      </c>
      <c r="Q2185" s="30" t="s">
        <v>2565</v>
      </c>
      <c r="R2185" s="33" t="s">
        <v>3473</v>
      </c>
      <c r="S2185">
        <v>37</v>
      </c>
      <c r="T2185" s="1" t="s">
        <v>13878</v>
      </c>
      <c r="U2185" s="1" t="str">
        <f>HYPERLINK("http://ictvonline.org/taxonomy/p/taxonomy-history?taxnode_id=202100220","ICTVonline=202100220")</f>
        <v>ICTVonline=202100220</v>
      </c>
    </row>
    <row r="2186" spans="1:21" x14ac:dyDescent="0.2">
      <c r="A2186" s="3">
        <v>2185</v>
      </c>
      <c r="B2186" s="1" t="s">
        <v>4875</v>
      </c>
      <c r="D2186" s="1" t="s">
        <v>4876</v>
      </c>
      <c r="F2186" s="1" t="s">
        <v>4880</v>
      </c>
      <c r="H2186" s="1" t="s">
        <v>4881</v>
      </c>
      <c r="M2186" s="1" t="s">
        <v>3117</v>
      </c>
      <c r="N2186" s="1" t="s">
        <v>3180</v>
      </c>
      <c r="P2186" s="1" t="s">
        <v>10877</v>
      </c>
      <c r="Q2186" s="30" t="s">
        <v>2565</v>
      </c>
      <c r="R2186" s="33" t="s">
        <v>3473</v>
      </c>
      <c r="S2186">
        <v>37</v>
      </c>
      <c r="T2186" s="1" t="s">
        <v>13878</v>
      </c>
      <c r="U2186" s="1" t="str">
        <f>HYPERLINK("http://ictvonline.org/taxonomy/p/taxonomy-history?taxnode_id=202100221","ICTVonline=202100221")</f>
        <v>ICTVonline=202100221</v>
      </c>
    </row>
    <row r="2187" spans="1:21" x14ac:dyDescent="0.2">
      <c r="A2187" s="3">
        <v>2186</v>
      </c>
      <c r="B2187" s="1" t="s">
        <v>4875</v>
      </c>
      <c r="D2187" s="1" t="s">
        <v>4876</v>
      </c>
      <c r="F2187" s="1" t="s">
        <v>4880</v>
      </c>
      <c r="H2187" s="1" t="s">
        <v>4881</v>
      </c>
      <c r="M2187" s="1" t="s">
        <v>3117</v>
      </c>
      <c r="N2187" s="1" t="s">
        <v>3180</v>
      </c>
      <c r="P2187" s="1" t="s">
        <v>10878</v>
      </c>
      <c r="Q2187" s="30" t="s">
        <v>2565</v>
      </c>
      <c r="R2187" s="33" t="s">
        <v>3473</v>
      </c>
      <c r="S2187">
        <v>37</v>
      </c>
      <c r="T2187" s="1" t="s">
        <v>13878</v>
      </c>
      <c r="U2187" s="1" t="str">
        <f>HYPERLINK("http://ictvonline.org/taxonomy/p/taxonomy-history?taxnode_id=202107011","ICTVonline=202107011")</f>
        <v>ICTVonline=202107011</v>
      </c>
    </row>
    <row r="2188" spans="1:21" x14ac:dyDescent="0.2">
      <c r="A2188" s="3">
        <v>2187</v>
      </c>
      <c r="B2188" s="1" t="s">
        <v>4875</v>
      </c>
      <c r="D2188" s="1" t="s">
        <v>4876</v>
      </c>
      <c r="F2188" s="1" t="s">
        <v>4880</v>
      </c>
      <c r="H2188" s="1" t="s">
        <v>4881</v>
      </c>
      <c r="M2188" s="1" t="s">
        <v>3117</v>
      </c>
      <c r="N2188" s="1" t="s">
        <v>3180</v>
      </c>
      <c r="P2188" s="1" t="s">
        <v>10879</v>
      </c>
      <c r="Q2188" s="30" t="s">
        <v>2565</v>
      </c>
      <c r="R2188" s="33" t="s">
        <v>3473</v>
      </c>
      <c r="S2188">
        <v>37</v>
      </c>
      <c r="T2188" s="1" t="s">
        <v>13878</v>
      </c>
      <c r="U2188" s="1" t="str">
        <f>HYPERLINK("http://ictvonline.org/taxonomy/p/taxonomy-history?taxnode_id=202107012","ICTVonline=202107012")</f>
        <v>ICTVonline=202107012</v>
      </c>
    </row>
    <row r="2189" spans="1:21" x14ac:dyDescent="0.2">
      <c r="A2189" s="3">
        <v>2188</v>
      </c>
      <c r="B2189" s="1" t="s">
        <v>4875</v>
      </c>
      <c r="D2189" s="1" t="s">
        <v>4876</v>
      </c>
      <c r="F2189" s="1" t="s">
        <v>4880</v>
      </c>
      <c r="H2189" s="1" t="s">
        <v>4881</v>
      </c>
      <c r="M2189" s="1" t="s">
        <v>3117</v>
      </c>
      <c r="N2189" s="1" t="s">
        <v>3180</v>
      </c>
      <c r="P2189" s="1" t="s">
        <v>10880</v>
      </c>
      <c r="Q2189" s="30" t="s">
        <v>2565</v>
      </c>
      <c r="R2189" s="33" t="s">
        <v>3473</v>
      </c>
      <c r="S2189">
        <v>37</v>
      </c>
      <c r="T2189" s="1" t="s">
        <v>13878</v>
      </c>
      <c r="U2189" s="1" t="str">
        <f>HYPERLINK("http://ictvonline.org/taxonomy/p/taxonomy-history?taxnode_id=202107013","ICTVonline=202107013")</f>
        <v>ICTVonline=202107013</v>
      </c>
    </row>
    <row r="2190" spans="1:21" x14ac:dyDescent="0.2">
      <c r="A2190" s="3">
        <v>2189</v>
      </c>
      <c r="B2190" s="1" t="s">
        <v>4875</v>
      </c>
      <c r="D2190" s="1" t="s">
        <v>4876</v>
      </c>
      <c r="F2190" s="1" t="s">
        <v>4880</v>
      </c>
      <c r="H2190" s="1" t="s">
        <v>4881</v>
      </c>
      <c r="M2190" s="1" t="s">
        <v>3117</v>
      </c>
      <c r="N2190" s="1" t="s">
        <v>3181</v>
      </c>
      <c r="P2190" s="1" t="s">
        <v>10881</v>
      </c>
      <c r="Q2190" s="30" t="s">
        <v>2565</v>
      </c>
      <c r="R2190" s="33" t="s">
        <v>3473</v>
      </c>
      <c r="S2190">
        <v>37</v>
      </c>
      <c r="T2190" s="1" t="s">
        <v>13878</v>
      </c>
      <c r="U2190" s="1" t="str">
        <f>HYPERLINK("http://ictvonline.org/taxonomy/p/taxonomy-history?taxnode_id=202100223","ICTVonline=202100223")</f>
        <v>ICTVonline=202100223</v>
      </c>
    </row>
    <row r="2191" spans="1:21" x14ac:dyDescent="0.2">
      <c r="A2191" s="3">
        <v>2190</v>
      </c>
      <c r="B2191" s="1" t="s">
        <v>4875</v>
      </c>
      <c r="D2191" s="1" t="s">
        <v>4876</v>
      </c>
      <c r="F2191" s="1" t="s">
        <v>4880</v>
      </c>
      <c r="H2191" s="1" t="s">
        <v>4881</v>
      </c>
      <c r="M2191" s="1" t="s">
        <v>3117</v>
      </c>
      <c r="N2191" s="1" t="s">
        <v>3181</v>
      </c>
      <c r="P2191" s="1" t="s">
        <v>10882</v>
      </c>
      <c r="Q2191" s="30" t="s">
        <v>2565</v>
      </c>
      <c r="R2191" s="33" t="s">
        <v>3473</v>
      </c>
      <c r="S2191">
        <v>37</v>
      </c>
      <c r="T2191" s="1" t="s">
        <v>13878</v>
      </c>
      <c r="U2191" s="1" t="str">
        <f>HYPERLINK("http://ictvonline.org/taxonomy/p/taxonomy-history?taxnode_id=202100224","ICTVonline=202100224")</f>
        <v>ICTVonline=202100224</v>
      </c>
    </row>
    <row r="2192" spans="1:21" x14ac:dyDescent="0.2">
      <c r="A2192" s="3">
        <v>2191</v>
      </c>
      <c r="B2192" s="1" t="s">
        <v>4875</v>
      </c>
      <c r="D2192" s="1" t="s">
        <v>4876</v>
      </c>
      <c r="F2192" s="1" t="s">
        <v>4880</v>
      </c>
      <c r="H2192" s="1" t="s">
        <v>4881</v>
      </c>
      <c r="M2192" s="1" t="s">
        <v>3126</v>
      </c>
      <c r="N2192" s="1" t="s">
        <v>2608</v>
      </c>
      <c r="P2192" s="1" t="s">
        <v>10883</v>
      </c>
      <c r="Q2192" s="30" t="s">
        <v>2565</v>
      </c>
      <c r="R2192" s="33" t="s">
        <v>3473</v>
      </c>
      <c r="S2192">
        <v>37</v>
      </c>
      <c r="T2192" s="1" t="s">
        <v>13921</v>
      </c>
      <c r="U2192" s="1" t="str">
        <f>HYPERLINK("http://ictvonline.org/taxonomy/p/taxonomy-history?taxnode_id=202100794","ICTVonline=202100794")</f>
        <v>ICTVonline=202100794</v>
      </c>
    </row>
    <row r="2193" spans="1:21" x14ac:dyDescent="0.2">
      <c r="A2193" s="3">
        <v>2192</v>
      </c>
      <c r="B2193" s="1" t="s">
        <v>4875</v>
      </c>
      <c r="D2193" s="1" t="s">
        <v>4876</v>
      </c>
      <c r="F2193" s="1" t="s">
        <v>4880</v>
      </c>
      <c r="H2193" s="1" t="s">
        <v>4881</v>
      </c>
      <c r="M2193" s="1" t="s">
        <v>3126</v>
      </c>
      <c r="N2193" s="1" t="s">
        <v>3127</v>
      </c>
      <c r="P2193" s="1" t="s">
        <v>10884</v>
      </c>
      <c r="Q2193" s="30" t="s">
        <v>2565</v>
      </c>
      <c r="R2193" s="33" t="s">
        <v>3472</v>
      </c>
      <c r="S2193">
        <v>37</v>
      </c>
      <c r="T2193" s="1" t="s">
        <v>13921</v>
      </c>
      <c r="U2193" s="1" t="str">
        <f>HYPERLINK("http://ictvonline.org/taxonomy/p/taxonomy-history?taxnode_id=202112819","ICTVonline=202112819")</f>
        <v>ICTVonline=202112819</v>
      </c>
    </row>
    <row r="2194" spans="1:21" x14ac:dyDescent="0.2">
      <c r="A2194" s="3">
        <v>2193</v>
      </c>
      <c r="B2194" s="1" t="s">
        <v>4875</v>
      </c>
      <c r="D2194" s="1" t="s">
        <v>4876</v>
      </c>
      <c r="F2194" s="1" t="s">
        <v>4880</v>
      </c>
      <c r="H2194" s="1" t="s">
        <v>4881</v>
      </c>
      <c r="M2194" s="1" t="s">
        <v>3126</v>
      </c>
      <c r="N2194" s="1" t="s">
        <v>3127</v>
      </c>
      <c r="P2194" s="1" t="s">
        <v>10885</v>
      </c>
      <c r="Q2194" s="30" t="s">
        <v>2565</v>
      </c>
      <c r="R2194" s="33" t="s">
        <v>3472</v>
      </c>
      <c r="S2194">
        <v>37</v>
      </c>
      <c r="T2194" s="1" t="s">
        <v>13921</v>
      </c>
      <c r="U2194" s="1" t="str">
        <f>HYPERLINK("http://ictvonline.org/taxonomy/p/taxonomy-history?taxnode_id=202112820","ICTVonline=202112820")</f>
        <v>ICTVonline=202112820</v>
      </c>
    </row>
    <row r="2195" spans="1:21" x14ac:dyDescent="0.2">
      <c r="A2195" s="3">
        <v>2194</v>
      </c>
      <c r="B2195" s="1" t="s">
        <v>4875</v>
      </c>
      <c r="D2195" s="1" t="s">
        <v>4876</v>
      </c>
      <c r="F2195" s="1" t="s">
        <v>4880</v>
      </c>
      <c r="H2195" s="1" t="s">
        <v>4881</v>
      </c>
      <c r="M2195" s="1" t="s">
        <v>3126</v>
      </c>
      <c r="N2195" s="1" t="s">
        <v>3127</v>
      </c>
      <c r="P2195" s="1" t="s">
        <v>10886</v>
      </c>
      <c r="Q2195" s="30" t="s">
        <v>2565</v>
      </c>
      <c r="R2195" s="33" t="s">
        <v>3472</v>
      </c>
      <c r="S2195">
        <v>37</v>
      </c>
      <c r="T2195" s="1" t="s">
        <v>13921</v>
      </c>
      <c r="U2195" s="1" t="str">
        <f>HYPERLINK("http://ictvonline.org/taxonomy/p/taxonomy-history?taxnode_id=202112821","ICTVonline=202112821")</f>
        <v>ICTVonline=202112821</v>
      </c>
    </row>
    <row r="2196" spans="1:21" x14ac:dyDescent="0.2">
      <c r="A2196" s="3">
        <v>2195</v>
      </c>
      <c r="B2196" s="1" t="s">
        <v>4875</v>
      </c>
      <c r="D2196" s="1" t="s">
        <v>4876</v>
      </c>
      <c r="F2196" s="1" t="s">
        <v>4880</v>
      </c>
      <c r="H2196" s="1" t="s">
        <v>4881</v>
      </c>
      <c r="M2196" s="1" t="s">
        <v>3126</v>
      </c>
      <c r="N2196" s="1" t="s">
        <v>3127</v>
      </c>
      <c r="P2196" s="1" t="s">
        <v>10887</v>
      </c>
      <c r="Q2196" s="30" t="s">
        <v>2565</v>
      </c>
      <c r="R2196" s="33" t="s">
        <v>3473</v>
      </c>
      <c r="S2196">
        <v>37</v>
      </c>
      <c r="T2196" s="1" t="s">
        <v>13878</v>
      </c>
      <c r="U2196" s="1" t="str">
        <f>HYPERLINK("http://ictvonline.org/taxonomy/p/taxonomy-history?taxnode_id=202100796","ICTVonline=202100796")</f>
        <v>ICTVonline=202100796</v>
      </c>
    </row>
    <row r="2197" spans="1:21" x14ac:dyDescent="0.2">
      <c r="A2197" s="3">
        <v>2196</v>
      </c>
      <c r="B2197" s="1" t="s">
        <v>4875</v>
      </c>
      <c r="D2197" s="1" t="s">
        <v>4876</v>
      </c>
      <c r="F2197" s="1" t="s">
        <v>4880</v>
      </c>
      <c r="H2197" s="1" t="s">
        <v>4881</v>
      </c>
      <c r="M2197" s="1" t="s">
        <v>3126</v>
      </c>
      <c r="N2197" s="1" t="s">
        <v>3127</v>
      </c>
      <c r="P2197" s="1" t="s">
        <v>10888</v>
      </c>
      <c r="Q2197" s="30" t="s">
        <v>2565</v>
      </c>
      <c r="R2197" s="33" t="s">
        <v>3473</v>
      </c>
      <c r="S2197">
        <v>37</v>
      </c>
      <c r="T2197" s="1" t="s">
        <v>13878</v>
      </c>
      <c r="U2197" s="1" t="str">
        <f>HYPERLINK("http://ictvonline.org/taxonomy/p/taxonomy-history?taxnode_id=202100797","ICTVonline=202100797")</f>
        <v>ICTVonline=202100797</v>
      </c>
    </row>
    <row r="2198" spans="1:21" x14ac:dyDescent="0.2">
      <c r="A2198" s="3">
        <v>2197</v>
      </c>
      <c r="B2198" s="1" t="s">
        <v>4875</v>
      </c>
      <c r="D2198" s="1" t="s">
        <v>4876</v>
      </c>
      <c r="F2198" s="1" t="s">
        <v>4880</v>
      </c>
      <c r="H2198" s="1" t="s">
        <v>4881</v>
      </c>
      <c r="M2198" s="1" t="s">
        <v>3126</v>
      </c>
      <c r="N2198" s="1" t="s">
        <v>3127</v>
      </c>
      <c r="P2198" s="1" t="s">
        <v>10889</v>
      </c>
      <c r="Q2198" s="30" t="s">
        <v>2565</v>
      </c>
      <c r="R2198" s="33" t="s">
        <v>3472</v>
      </c>
      <c r="S2198">
        <v>37</v>
      </c>
      <c r="T2198" s="1" t="s">
        <v>13921</v>
      </c>
      <c r="U2198" s="1" t="str">
        <f>HYPERLINK("http://ictvonline.org/taxonomy/p/taxonomy-history?taxnode_id=202112822","ICTVonline=202112822")</f>
        <v>ICTVonline=202112822</v>
      </c>
    </row>
    <row r="2199" spans="1:21" x14ac:dyDescent="0.2">
      <c r="A2199" s="3">
        <v>2198</v>
      </c>
      <c r="B2199" s="1" t="s">
        <v>4875</v>
      </c>
      <c r="D2199" s="1" t="s">
        <v>4876</v>
      </c>
      <c r="F2199" s="1" t="s">
        <v>4880</v>
      </c>
      <c r="H2199" s="1" t="s">
        <v>4881</v>
      </c>
      <c r="M2199" s="1" t="s">
        <v>3126</v>
      </c>
      <c r="N2199" s="1" t="s">
        <v>3127</v>
      </c>
      <c r="P2199" s="1" t="s">
        <v>10890</v>
      </c>
      <c r="Q2199" s="30" t="s">
        <v>2565</v>
      </c>
      <c r="R2199" s="33" t="s">
        <v>3473</v>
      </c>
      <c r="S2199">
        <v>37</v>
      </c>
      <c r="T2199" s="1" t="s">
        <v>13878</v>
      </c>
      <c r="U2199" s="1" t="str">
        <f>HYPERLINK("http://ictvonline.org/taxonomy/p/taxonomy-history?taxnode_id=202100798","ICTVonline=202100798")</f>
        <v>ICTVonline=202100798</v>
      </c>
    </row>
    <row r="2200" spans="1:21" x14ac:dyDescent="0.2">
      <c r="A2200" s="3">
        <v>2199</v>
      </c>
      <c r="B2200" s="1" t="s">
        <v>4875</v>
      </c>
      <c r="D2200" s="1" t="s">
        <v>4876</v>
      </c>
      <c r="F2200" s="1" t="s">
        <v>4880</v>
      </c>
      <c r="H2200" s="1" t="s">
        <v>4881</v>
      </c>
      <c r="M2200" s="1" t="s">
        <v>3126</v>
      </c>
      <c r="N2200" s="1" t="s">
        <v>3127</v>
      </c>
      <c r="P2200" s="1" t="s">
        <v>10891</v>
      </c>
      <c r="Q2200" s="30" t="s">
        <v>2565</v>
      </c>
      <c r="R2200" s="33" t="s">
        <v>3472</v>
      </c>
      <c r="S2200">
        <v>37</v>
      </c>
      <c r="T2200" s="1" t="s">
        <v>13921</v>
      </c>
      <c r="U2200" s="1" t="str">
        <f>HYPERLINK("http://ictvonline.org/taxonomy/p/taxonomy-history?taxnode_id=202112823","ICTVonline=202112823")</f>
        <v>ICTVonline=202112823</v>
      </c>
    </row>
    <row r="2201" spans="1:21" x14ac:dyDescent="0.2">
      <c r="A2201" s="3">
        <v>2200</v>
      </c>
      <c r="B2201" s="1" t="s">
        <v>4875</v>
      </c>
      <c r="D2201" s="1" t="s">
        <v>4876</v>
      </c>
      <c r="F2201" s="1" t="s">
        <v>4880</v>
      </c>
      <c r="H2201" s="1" t="s">
        <v>4881</v>
      </c>
      <c r="M2201" s="1" t="s">
        <v>3126</v>
      </c>
      <c r="N2201" s="1" t="s">
        <v>3127</v>
      </c>
      <c r="P2201" s="1" t="s">
        <v>10892</v>
      </c>
      <c r="Q2201" s="30" t="s">
        <v>2565</v>
      </c>
      <c r="R2201" s="33" t="s">
        <v>3473</v>
      </c>
      <c r="S2201">
        <v>37</v>
      </c>
      <c r="T2201" s="1" t="s">
        <v>13878</v>
      </c>
      <c r="U2201" s="1" t="str">
        <f>HYPERLINK("http://ictvonline.org/taxonomy/p/taxonomy-history?taxnode_id=202100799","ICTVonline=202100799")</f>
        <v>ICTVonline=202100799</v>
      </c>
    </row>
    <row r="2202" spans="1:21" x14ac:dyDescent="0.2">
      <c r="A2202" s="3">
        <v>2201</v>
      </c>
      <c r="B2202" s="1" t="s">
        <v>4875</v>
      </c>
      <c r="D2202" s="1" t="s">
        <v>4876</v>
      </c>
      <c r="F2202" s="1" t="s">
        <v>4880</v>
      </c>
      <c r="H2202" s="1" t="s">
        <v>4881</v>
      </c>
      <c r="M2202" s="1" t="s">
        <v>3126</v>
      </c>
      <c r="N2202" s="1" t="s">
        <v>3127</v>
      </c>
      <c r="P2202" s="1" t="s">
        <v>10893</v>
      </c>
      <c r="Q2202" s="30" t="s">
        <v>2565</v>
      </c>
      <c r="R2202" s="33" t="s">
        <v>3472</v>
      </c>
      <c r="S2202">
        <v>37</v>
      </c>
      <c r="T2202" s="1" t="s">
        <v>13921</v>
      </c>
      <c r="U2202" s="1" t="str">
        <f>HYPERLINK("http://ictvonline.org/taxonomy/p/taxonomy-history?taxnode_id=202112824","ICTVonline=202112824")</f>
        <v>ICTVonline=202112824</v>
      </c>
    </row>
    <row r="2203" spans="1:21" x14ac:dyDescent="0.2">
      <c r="A2203" s="3">
        <v>2202</v>
      </c>
      <c r="B2203" s="1" t="s">
        <v>4875</v>
      </c>
      <c r="D2203" s="1" t="s">
        <v>4876</v>
      </c>
      <c r="F2203" s="1" t="s">
        <v>4880</v>
      </c>
      <c r="H2203" s="1" t="s">
        <v>4881</v>
      </c>
      <c r="M2203" s="1" t="s">
        <v>3126</v>
      </c>
      <c r="N2203" s="1" t="s">
        <v>3127</v>
      </c>
      <c r="P2203" s="1" t="s">
        <v>10894</v>
      </c>
      <c r="Q2203" s="30" t="s">
        <v>2565</v>
      </c>
      <c r="R2203" s="33" t="s">
        <v>3472</v>
      </c>
      <c r="S2203">
        <v>37</v>
      </c>
      <c r="T2203" s="1" t="s">
        <v>13921</v>
      </c>
      <c r="U2203" s="1" t="str">
        <f>HYPERLINK("http://ictvonline.org/taxonomy/p/taxonomy-history?taxnode_id=202112825","ICTVonline=202112825")</f>
        <v>ICTVonline=202112825</v>
      </c>
    </row>
    <row r="2204" spans="1:21" x14ac:dyDescent="0.2">
      <c r="A2204" s="3">
        <v>2203</v>
      </c>
      <c r="B2204" s="1" t="s">
        <v>4875</v>
      </c>
      <c r="D2204" s="1" t="s">
        <v>4876</v>
      </c>
      <c r="F2204" s="1" t="s">
        <v>4880</v>
      </c>
      <c r="H2204" s="1" t="s">
        <v>4881</v>
      </c>
      <c r="M2204" s="1" t="s">
        <v>3126</v>
      </c>
      <c r="N2204" s="1" t="s">
        <v>3127</v>
      </c>
      <c r="P2204" s="1" t="s">
        <v>10895</v>
      </c>
      <c r="Q2204" s="30" t="s">
        <v>2565</v>
      </c>
      <c r="R2204" s="33" t="s">
        <v>3472</v>
      </c>
      <c r="S2204">
        <v>37</v>
      </c>
      <c r="T2204" s="1" t="s">
        <v>13921</v>
      </c>
      <c r="U2204" s="1" t="str">
        <f>HYPERLINK("http://ictvonline.org/taxonomy/p/taxonomy-history?taxnode_id=202112826","ICTVonline=202112826")</f>
        <v>ICTVonline=202112826</v>
      </c>
    </row>
    <row r="2205" spans="1:21" x14ac:dyDescent="0.2">
      <c r="A2205" s="3">
        <v>2204</v>
      </c>
      <c r="B2205" s="1" t="s">
        <v>4875</v>
      </c>
      <c r="D2205" s="1" t="s">
        <v>4876</v>
      </c>
      <c r="F2205" s="1" t="s">
        <v>4880</v>
      </c>
      <c r="H2205" s="1" t="s">
        <v>4881</v>
      </c>
      <c r="M2205" s="1" t="s">
        <v>3126</v>
      </c>
      <c r="N2205" s="1" t="s">
        <v>3127</v>
      </c>
      <c r="P2205" s="1" t="s">
        <v>10896</v>
      </c>
      <c r="Q2205" s="30" t="s">
        <v>2565</v>
      </c>
      <c r="R2205" s="33" t="s">
        <v>3472</v>
      </c>
      <c r="S2205">
        <v>37</v>
      </c>
      <c r="T2205" s="1" t="s">
        <v>13921</v>
      </c>
      <c r="U2205" s="1" t="str">
        <f>HYPERLINK("http://ictvonline.org/taxonomy/p/taxonomy-history?taxnode_id=202112827","ICTVonline=202112827")</f>
        <v>ICTVonline=202112827</v>
      </c>
    </row>
    <row r="2206" spans="1:21" x14ac:dyDescent="0.2">
      <c r="A2206" s="3">
        <v>2205</v>
      </c>
      <c r="B2206" s="1" t="s">
        <v>4875</v>
      </c>
      <c r="D2206" s="1" t="s">
        <v>4876</v>
      </c>
      <c r="F2206" s="1" t="s">
        <v>4880</v>
      </c>
      <c r="H2206" s="1" t="s">
        <v>4881</v>
      </c>
      <c r="M2206" s="1" t="s">
        <v>3126</v>
      </c>
      <c r="N2206" s="1" t="s">
        <v>3127</v>
      </c>
      <c r="P2206" s="1" t="s">
        <v>10897</v>
      </c>
      <c r="Q2206" s="30" t="s">
        <v>2565</v>
      </c>
      <c r="R2206" s="33" t="s">
        <v>3473</v>
      </c>
      <c r="S2206">
        <v>37</v>
      </c>
      <c r="T2206" s="1" t="s">
        <v>13878</v>
      </c>
      <c r="U2206" s="1" t="str">
        <f>HYPERLINK("http://ictvonline.org/taxonomy/p/taxonomy-history?taxnode_id=202100800","ICTVonline=202100800")</f>
        <v>ICTVonline=202100800</v>
      </c>
    </row>
    <row r="2207" spans="1:21" x14ac:dyDescent="0.2">
      <c r="A2207" s="3">
        <v>2206</v>
      </c>
      <c r="B2207" s="1" t="s">
        <v>4875</v>
      </c>
      <c r="D2207" s="1" t="s">
        <v>4876</v>
      </c>
      <c r="F2207" s="1" t="s">
        <v>4880</v>
      </c>
      <c r="H2207" s="1" t="s">
        <v>4881</v>
      </c>
      <c r="M2207" s="1" t="s">
        <v>3126</v>
      </c>
      <c r="N2207" s="1" t="s">
        <v>3127</v>
      </c>
      <c r="P2207" s="1" t="s">
        <v>10898</v>
      </c>
      <c r="Q2207" s="30" t="s">
        <v>2565</v>
      </c>
      <c r="R2207" s="33" t="s">
        <v>3472</v>
      </c>
      <c r="S2207">
        <v>37</v>
      </c>
      <c r="T2207" s="1" t="s">
        <v>13921</v>
      </c>
      <c r="U2207" s="1" t="str">
        <f>HYPERLINK("http://ictvonline.org/taxonomy/p/taxonomy-history?taxnode_id=202112828","ICTVonline=202112828")</f>
        <v>ICTVonline=202112828</v>
      </c>
    </row>
    <row r="2208" spans="1:21" x14ac:dyDescent="0.2">
      <c r="A2208" s="3">
        <v>2207</v>
      </c>
      <c r="B2208" s="1" t="s">
        <v>4875</v>
      </c>
      <c r="D2208" s="1" t="s">
        <v>4876</v>
      </c>
      <c r="F2208" s="1" t="s">
        <v>4880</v>
      </c>
      <c r="H2208" s="1" t="s">
        <v>4881</v>
      </c>
      <c r="M2208" s="1" t="s">
        <v>3126</v>
      </c>
      <c r="N2208" s="1" t="s">
        <v>3127</v>
      </c>
      <c r="P2208" s="1" t="s">
        <v>10899</v>
      </c>
      <c r="Q2208" s="30" t="s">
        <v>2565</v>
      </c>
      <c r="R2208" s="33" t="s">
        <v>3472</v>
      </c>
      <c r="S2208">
        <v>37</v>
      </c>
      <c r="T2208" s="1" t="s">
        <v>13921</v>
      </c>
      <c r="U2208" s="1" t="str">
        <f>HYPERLINK("http://ictvonline.org/taxonomy/p/taxonomy-history?taxnode_id=202112829","ICTVonline=202112829")</f>
        <v>ICTVonline=202112829</v>
      </c>
    </row>
    <row r="2209" spans="1:21" x14ac:dyDescent="0.2">
      <c r="A2209" s="3">
        <v>2208</v>
      </c>
      <c r="B2209" s="1" t="s">
        <v>4875</v>
      </c>
      <c r="D2209" s="1" t="s">
        <v>4876</v>
      </c>
      <c r="F2209" s="1" t="s">
        <v>4880</v>
      </c>
      <c r="H2209" s="1" t="s">
        <v>4881</v>
      </c>
      <c r="M2209" s="1" t="s">
        <v>3126</v>
      </c>
      <c r="N2209" s="1" t="s">
        <v>3192</v>
      </c>
      <c r="P2209" s="1" t="s">
        <v>10900</v>
      </c>
      <c r="Q2209" s="30" t="s">
        <v>2565</v>
      </c>
      <c r="R2209" s="33" t="s">
        <v>3473</v>
      </c>
      <c r="S2209">
        <v>37</v>
      </c>
      <c r="T2209" s="1" t="s">
        <v>13878</v>
      </c>
      <c r="U2209" s="1" t="str">
        <f>HYPERLINK("http://ictvonline.org/taxonomy/p/taxonomy-history?taxnode_id=202100802","ICTVonline=202100802")</f>
        <v>ICTVonline=202100802</v>
      </c>
    </row>
    <row r="2210" spans="1:21" x14ac:dyDescent="0.2">
      <c r="A2210" s="3">
        <v>2209</v>
      </c>
      <c r="B2210" s="1" t="s">
        <v>4875</v>
      </c>
      <c r="D2210" s="1" t="s">
        <v>4876</v>
      </c>
      <c r="F2210" s="1" t="s">
        <v>4880</v>
      </c>
      <c r="H2210" s="1" t="s">
        <v>4881</v>
      </c>
      <c r="M2210" s="1" t="s">
        <v>3126</v>
      </c>
      <c r="N2210" s="1" t="s">
        <v>3192</v>
      </c>
      <c r="P2210" s="1" t="s">
        <v>10901</v>
      </c>
      <c r="Q2210" s="30" t="s">
        <v>2565</v>
      </c>
      <c r="R2210" s="33" t="s">
        <v>3472</v>
      </c>
      <c r="S2210">
        <v>37</v>
      </c>
      <c r="T2210" s="1" t="s">
        <v>13921</v>
      </c>
      <c r="U2210" s="1" t="str">
        <f>HYPERLINK("http://ictvonline.org/taxonomy/p/taxonomy-history?taxnode_id=202112830","ICTVonline=202112830")</f>
        <v>ICTVonline=202112830</v>
      </c>
    </row>
    <row r="2211" spans="1:21" x14ac:dyDescent="0.2">
      <c r="A2211" s="3">
        <v>2210</v>
      </c>
      <c r="B2211" s="1" t="s">
        <v>4875</v>
      </c>
      <c r="D2211" s="1" t="s">
        <v>4876</v>
      </c>
      <c r="F2211" s="1" t="s">
        <v>4880</v>
      </c>
      <c r="H2211" s="1" t="s">
        <v>4881</v>
      </c>
      <c r="M2211" s="1" t="s">
        <v>3126</v>
      </c>
      <c r="N2211" s="1" t="s">
        <v>10902</v>
      </c>
      <c r="P2211" s="1" t="s">
        <v>10903</v>
      </c>
      <c r="Q2211" s="30" t="s">
        <v>2565</v>
      </c>
      <c r="R2211" s="33" t="s">
        <v>3472</v>
      </c>
      <c r="S2211">
        <v>37</v>
      </c>
      <c r="T2211" s="1" t="s">
        <v>13921</v>
      </c>
      <c r="U2211" s="1" t="str">
        <f>HYPERLINK("http://ictvonline.org/taxonomy/p/taxonomy-history?taxnode_id=202112834","ICTVonline=202112834")</f>
        <v>ICTVonline=202112834</v>
      </c>
    </row>
    <row r="2212" spans="1:21" x14ac:dyDescent="0.2">
      <c r="A2212" s="3">
        <v>2211</v>
      </c>
      <c r="B2212" s="1" t="s">
        <v>4875</v>
      </c>
      <c r="D2212" s="1" t="s">
        <v>4876</v>
      </c>
      <c r="F2212" s="1" t="s">
        <v>4880</v>
      </c>
      <c r="H2212" s="1" t="s">
        <v>4881</v>
      </c>
      <c r="M2212" s="1" t="s">
        <v>3126</v>
      </c>
      <c r="N2212" s="1" t="s">
        <v>4747</v>
      </c>
      <c r="P2212" s="1" t="s">
        <v>4748</v>
      </c>
      <c r="Q2212" s="30" t="s">
        <v>2565</v>
      </c>
      <c r="R2212" s="33" t="s">
        <v>3474</v>
      </c>
      <c r="S2212">
        <v>37</v>
      </c>
      <c r="T2212" s="1" t="s">
        <v>13922</v>
      </c>
      <c r="U2212" s="1" t="str">
        <f>HYPERLINK("http://ictvonline.org/taxonomy/p/taxonomy-history?taxnode_id=202106722","ICTVonline=202106722")</f>
        <v>ICTVonline=202106722</v>
      </c>
    </row>
    <row r="2213" spans="1:21" x14ac:dyDescent="0.2">
      <c r="A2213" s="3">
        <v>2212</v>
      </c>
      <c r="B2213" s="1" t="s">
        <v>4875</v>
      </c>
      <c r="D2213" s="1" t="s">
        <v>4876</v>
      </c>
      <c r="F2213" s="1" t="s">
        <v>4880</v>
      </c>
      <c r="H2213" s="1" t="s">
        <v>4881</v>
      </c>
      <c r="M2213" s="1" t="s">
        <v>3126</v>
      </c>
      <c r="N2213" s="1" t="s">
        <v>10904</v>
      </c>
      <c r="P2213" s="1" t="s">
        <v>10905</v>
      </c>
      <c r="Q2213" s="30" t="s">
        <v>2565</v>
      </c>
      <c r="R2213" s="33" t="s">
        <v>3472</v>
      </c>
      <c r="S2213">
        <v>37</v>
      </c>
      <c r="T2213" s="1" t="s">
        <v>13921</v>
      </c>
      <c r="U2213" s="1" t="str">
        <f>HYPERLINK("http://ictvonline.org/taxonomy/p/taxonomy-history?taxnode_id=202112832","ICTVonline=202112832")</f>
        <v>ICTVonline=202112832</v>
      </c>
    </row>
    <row r="2214" spans="1:21" x14ac:dyDescent="0.2">
      <c r="A2214" s="3">
        <v>2213</v>
      </c>
      <c r="B2214" s="1" t="s">
        <v>4875</v>
      </c>
      <c r="D2214" s="1" t="s">
        <v>4876</v>
      </c>
      <c r="F2214" s="1" t="s">
        <v>4880</v>
      </c>
      <c r="H2214" s="1" t="s">
        <v>4881</v>
      </c>
      <c r="M2214" s="1" t="s">
        <v>6151</v>
      </c>
      <c r="N2214" s="1" t="s">
        <v>6152</v>
      </c>
      <c r="P2214" s="1" t="s">
        <v>10906</v>
      </c>
      <c r="Q2214" s="30" t="s">
        <v>2565</v>
      </c>
      <c r="R2214" s="33" t="s">
        <v>3473</v>
      </c>
      <c r="S2214">
        <v>37</v>
      </c>
      <c r="T2214" s="1" t="s">
        <v>13878</v>
      </c>
      <c r="U2214" s="1" t="str">
        <f>HYPERLINK("http://ictvonline.org/taxonomy/p/taxonomy-history?taxnode_id=202111642","ICTVonline=202111642")</f>
        <v>ICTVonline=202111642</v>
      </c>
    </row>
    <row r="2215" spans="1:21" x14ac:dyDescent="0.2">
      <c r="A2215" s="3">
        <v>2214</v>
      </c>
      <c r="B2215" s="1" t="s">
        <v>4875</v>
      </c>
      <c r="D2215" s="1" t="s">
        <v>4876</v>
      </c>
      <c r="F2215" s="1" t="s">
        <v>4880</v>
      </c>
      <c r="H2215" s="1" t="s">
        <v>4881</v>
      </c>
      <c r="M2215" s="1" t="s">
        <v>6151</v>
      </c>
      <c r="N2215" s="1" t="s">
        <v>4711</v>
      </c>
      <c r="P2215" s="1" t="s">
        <v>10907</v>
      </c>
      <c r="Q2215" s="30" t="s">
        <v>2565</v>
      </c>
      <c r="R2215" s="33" t="s">
        <v>3473</v>
      </c>
      <c r="S2215">
        <v>37</v>
      </c>
      <c r="T2215" s="1" t="s">
        <v>13878</v>
      </c>
      <c r="U2215" s="1" t="str">
        <f>HYPERLINK("http://ictvonline.org/taxonomy/p/taxonomy-history?taxnode_id=202101092","ICTVonline=202101092")</f>
        <v>ICTVonline=202101092</v>
      </c>
    </row>
    <row r="2216" spans="1:21" x14ac:dyDescent="0.2">
      <c r="A2216" s="3">
        <v>2215</v>
      </c>
      <c r="B2216" s="1" t="s">
        <v>4875</v>
      </c>
      <c r="D2216" s="1" t="s">
        <v>4876</v>
      </c>
      <c r="F2216" s="1" t="s">
        <v>4880</v>
      </c>
      <c r="H2216" s="1" t="s">
        <v>4881</v>
      </c>
      <c r="M2216" s="1" t="s">
        <v>6151</v>
      </c>
      <c r="N2216" s="1" t="s">
        <v>4711</v>
      </c>
      <c r="P2216" s="1" t="s">
        <v>10908</v>
      </c>
      <c r="Q2216" s="30" t="s">
        <v>2565</v>
      </c>
      <c r="R2216" s="33" t="s">
        <v>3473</v>
      </c>
      <c r="S2216">
        <v>37</v>
      </c>
      <c r="T2216" s="1" t="s">
        <v>13878</v>
      </c>
      <c r="U2216" s="1" t="str">
        <f>HYPERLINK("http://ictvonline.org/taxonomy/p/taxonomy-history?taxnode_id=202101093","ICTVonline=202101093")</f>
        <v>ICTVonline=202101093</v>
      </c>
    </row>
    <row r="2217" spans="1:21" x14ac:dyDescent="0.2">
      <c r="A2217" s="3">
        <v>2216</v>
      </c>
      <c r="B2217" s="1" t="s">
        <v>4875</v>
      </c>
      <c r="D2217" s="1" t="s">
        <v>4876</v>
      </c>
      <c r="F2217" s="1" t="s">
        <v>4880</v>
      </c>
      <c r="H2217" s="1" t="s">
        <v>4881</v>
      </c>
      <c r="M2217" s="1" t="s">
        <v>6151</v>
      </c>
      <c r="N2217" s="1" t="s">
        <v>2642</v>
      </c>
      <c r="P2217" s="1" t="s">
        <v>10909</v>
      </c>
      <c r="Q2217" s="30" t="s">
        <v>2565</v>
      </c>
      <c r="R2217" s="33" t="s">
        <v>3473</v>
      </c>
      <c r="S2217">
        <v>37</v>
      </c>
      <c r="T2217" s="1" t="s">
        <v>13878</v>
      </c>
      <c r="U2217" s="1" t="str">
        <f>HYPERLINK("http://ictvonline.org/taxonomy/p/taxonomy-history?taxnode_id=202101088","ICTVonline=202101088")</f>
        <v>ICTVonline=202101088</v>
      </c>
    </row>
    <row r="2218" spans="1:21" x14ac:dyDescent="0.2">
      <c r="A2218" s="3">
        <v>2217</v>
      </c>
      <c r="B2218" s="1" t="s">
        <v>4875</v>
      </c>
      <c r="D2218" s="1" t="s">
        <v>4876</v>
      </c>
      <c r="F2218" s="1" t="s">
        <v>4880</v>
      </c>
      <c r="H2218" s="1" t="s">
        <v>4881</v>
      </c>
      <c r="M2218" s="1" t="s">
        <v>6151</v>
      </c>
      <c r="N2218" s="1" t="s">
        <v>2642</v>
      </c>
      <c r="P2218" s="1" t="s">
        <v>10910</v>
      </c>
      <c r="Q2218" s="30" t="s">
        <v>2565</v>
      </c>
      <c r="R2218" s="33" t="s">
        <v>3473</v>
      </c>
      <c r="S2218">
        <v>37</v>
      </c>
      <c r="T2218" s="1" t="s">
        <v>13878</v>
      </c>
      <c r="U2218" s="1" t="str">
        <f>HYPERLINK("http://ictvonline.org/taxonomy/p/taxonomy-history?taxnode_id=202101089","ICTVonline=202101089")</f>
        <v>ICTVonline=202101089</v>
      </c>
    </row>
    <row r="2219" spans="1:21" x14ac:dyDescent="0.2">
      <c r="A2219" s="3">
        <v>2218</v>
      </c>
      <c r="B2219" s="1" t="s">
        <v>4875</v>
      </c>
      <c r="D2219" s="1" t="s">
        <v>4876</v>
      </c>
      <c r="F2219" s="1" t="s">
        <v>4880</v>
      </c>
      <c r="H2219" s="1" t="s">
        <v>4881</v>
      </c>
      <c r="M2219" s="1" t="s">
        <v>6151</v>
      </c>
      <c r="N2219" s="1" t="s">
        <v>2642</v>
      </c>
      <c r="P2219" s="1" t="s">
        <v>10911</v>
      </c>
      <c r="Q2219" s="30" t="s">
        <v>2565</v>
      </c>
      <c r="R2219" s="33" t="s">
        <v>3473</v>
      </c>
      <c r="S2219">
        <v>37</v>
      </c>
      <c r="T2219" s="1" t="s">
        <v>13878</v>
      </c>
      <c r="U2219" s="1" t="str">
        <f>HYPERLINK("http://ictvonline.org/taxonomy/p/taxonomy-history?taxnode_id=202101090","ICTVonline=202101090")</f>
        <v>ICTVonline=202101090</v>
      </c>
    </row>
    <row r="2220" spans="1:21" x14ac:dyDescent="0.2">
      <c r="A2220" s="3">
        <v>2219</v>
      </c>
      <c r="B2220" s="1" t="s">
        <v>4875</v>
      </c>
      <c r="D2220" s="1" t="s">
        <v>4876</v>
      </c>
      <c r="F2220" s="1" t="s">
        <v>4880</v>
      </c>
      <c r="H2220" s="1" t="s">
        <v>4881</v>
      </c>
      <c r="M2220" s="1" t="s">
        <v>6151</v>
      </c>
      <c r="N2220" s="1" t="s">
        <v>2642</v>
      </c>
      <c r="P2220" s="1" t="s">
        <v>10912</v>
      </c>
      <c r="Q2220" s="30" t="s">
        <v>2565</v>
      </c>
      <c r="R2220" s="33" t="s">
        <v>3473</v>
      </c>
      <c r="S2220">
        <v>37</v>
      </c>
      <c r="T2220" s="1" t="s">
        <v>13878</v>
      </c>
      <c r="U2220" s="1" t="str">
        <f>HYPERLINK("http://ictvonline.org/taxonomy/p/taxonomy-history?taxnode_id=202101087","ICTVonline=202101087")</f>
        <v>ICTVonline=202101087</v>
      </c>
    </row>
    <row r="2221" spans="1:21" x14ac:dyDescent="0.2">
      <c r="A2221" s="3">
        <v>2220</v>
      </c>
      <c r="B2221" s="1" t="s">
        <v>4875</v>
      </c>
      <c r="D2221" s="1" t="s">
        <v>4876</v>
      </c>
      <c r="F2221" s="1" t="s">
        <v>4880</v>
      </c>
      <c r="H2221" s="1" t="s">
        <v>4881</v>
      </c>
      <c r="M2221" s="1" t="s">
        <v>6151</v>
      </c>
      <c r="N2221" s="1" t="s">
        <v>2642</v>
      </c>
      <c r="P2221" s="1" t="s">
        <v>10913</v>
      </c>
      <c r="Q2221" s="30" t="s">
        <v>2565</v>
      </c>
      <c r="R2221" s="33" t="s">
        <v>3473</v>
      </c>
      <c r="S2221">
        <v>37</v>
      </c>
      <c r="T2221" s="1" t="s">
        <v>13878</v>
      </c>
      <c r="U2221" s="1" t="str">
        <f>HYPERLINK("http://ictvonline.org/taxonomy/p/taxonomy-history?taxnode_id=202107077","ICTVonline=202107077")</f>
        <v>ICTVonline=202107077</v>
      </c>
    </row>
    <row r="2222" spans="1:21" x14ac:dyDescent="0.2">
      <c r="A2222" s="3">
        <v>2221</v>
      </c>
      <c r="B2222" s="1" t="s">
        <v>4875</v>
      </c>
      <c r="D2222" s="1" t="s">
        <v>4876</v>
      </c>
      <c r="F2222" s="1" t="s">
        <v>4880</v>
      </c>
      <c r="H2222" s="1" t="s">
        <v>4881</v>
      </c>
      <c r="M2222" s="1" t="s">
        <v>6151</v>
      </c>
      <c r="N2222" s="1" t="s">
        <v>2649</v>
      </c>
      <c r="P2222" s="1" t="s">
        <v>10914</v>
      </c>
      <c r="Q2222" s="30" t="s">
        <v>2565</v>
      </c>
      <c r="R2222" s="33" t="s">
        <v>3473</v>
      </c>
      <c r="S2222">
        <v>37</v>
      </c>
      <c r="T2222" s="1" t="s">
        <v>13878</v>
      </c>
      <c r="U2222" s="1" t="str">
        <f>HYPERLINK("http://ictvonline.org/taxonomy/p/taxonomy-history?taxnode_id=202101261","ICTVonline=202101261")</f>
        <v>ICTVonline=202101261</v>
      </c>
    </row>
    <row r="2223" spans="1:21" x14ac:dyDescent="0.2">
      <c r="A2223" s="3">
        <v>2222</v>
      </c>
      <c r="B2223" s="1" t="s">
        <v>4875</v>
      </c>
      <c r="D2223" s="1" t="s">
        <v>4876</v>
      </c>
      <c r="F2223" s="1" t="s">
        <v>4880</v>
      </c>
      <c r="H2223" s="1" t="s">
        <v>4881</v>
      </c>
      <c r="M2223" s="1" t="s">
        <v>6151</v>
      </c>
      <c r="N2223" s="1" t="s">
        <v>2649</v>
      </c>
      <c r="P2223" s="1" t="s">
        <v>10915</v>
      </c>
      <c r="Q2223" s="30" t="s">
        <v>2565</v>
      </c>
      <c r="R2223" s="33" t="s">
        <v>3473</v>
      </c>
      <c r="S2223">
        <v>37</v>
      </c>
      <c r="T2223" s="1" t="s">
        <v>13878</v>
      </c>
      <c r="U2223" s="1" t="str">
        <f>HYPERLINK("http://ictvonline.org/taxonomy/p/taxonomy-history?taxnode_id=202101262","ICTVonline=202101262")</f>
        <v>ICTVonline=202101262</v>
      </c>
    </row>
    <row r="2224" spans="1:21" x14ac:dyDescent="0.2">
      <c r="A2224" s="3">
        <v>2223</v>
      </c>
      <c r="B2224" s="1" t="s">
        <v>4875</v>
      </c>
      <c r="D2224" s="1" t="s">
        <v>4876</v>
      </c>
      <c r="F2224" s="1" t="s">
        <v>4880</v>
      </c>
      <c r="H2224" s="1" t="s">
        <v>4881</v>
      </c>
      <c r="M2224" s="1" t="s">
        <v>10916</v>
      </c>
      <c r="N2224" s="1" t="s">
        <v>10917</v>
      </c>
      <c r="P2224" s="1" t="s">
        <v>10918</v>
      </c>
      <c r="Q2224" s="30" t="s">
        <v>2565</v>
      </c>
      <c r="R2224" s="33" t="s">
        <v>3472</v>
      </c>
      <c r="S2224">
        <v>37</v>
      </c>
      <c r="T2224" s="1" t="s">
        <v>13923</v>
      </c>
      <c r="U2224" s="1" t="str">
        <f>HYPERLINK("http://ictvonline.org/taxonomy/p/taxonomy-history?taxnode_id=202112904","ICTVonline=202112904")</f>
        <v>ICTVonline=202112904</v>
      </c>
    </row>
    <row r="2225" spans="1:21" x14ac:dyDescent="0.2">
      <c r="A2225" s="3">
        <v>2224</v>
      </c>
      <c r="B2225" s="1" t="s">
        <v>4875</v>
      </c>
      <c r="D2225" s="1" t="s">
        <v>4876</v>
      </c>
      <c r="F2225" s="1" t="s">
        <v>4880</v>
      </c>
      <c r="H2225" s="1" t="s">
        <v>4881</v>
      </c>
      <c r="M2225" s="1" t="s">
        <v>10916</v>
      </c>
      <c r="N2225" s="1" t="s">
        <v>10919</v>
      </c>
      <c r="P2225" s="1" t="s">
        <v>10920</v>
      </c>
      <c r="Q2225" s="30" t="s">
        <v>2565</v>
      </c>
      <c r="R2225" s="33" t="s">
        <v>3472</v>
      </c>
      <c r="S2225">
        <v>37</v>
      </c>
      <c r="T2225" s="1" t="s">
        <v>13923</v>
      </c>
      <c r="U2225" s="1" t="str">
        <f>HYPERLINK("http://ictvonline.org/taxonomy/p/taxonomy-history?taxnode_id=202112906","ICTVonline=202112906")</f>
        <v>ICTVonline=202112906</v>
      </c>
    </row>
    <row r="2226" spans="1:21" x14ac:dyDescent="0.2">
      <c r="A2226" s="3">
        <v>2225</v>
      </c>
      <c r="B2226" s="1" t="s">
        <v>4875</v>
      </c>
      <c r="D2226" s="1" t="s">
        <v>4876</v>
      </c>
      <c r="F2226" s="1" t="s">
        <v>4880</v>
      </c>
      <c r="H2226" s="1" t="s">
        <v>4881</v>
      </c>
      <c r="M2226" s="1" t="s">
        <v>10916</v>
      </c>
      <c r="N2226" s="1" t="s">
        <v>4678</v>
      </c>
      <c r="P2226" s="1" t="s">
        <v>10921</v>
      </c>
      <c r="Q2226" s="30" t="s">
        <v>2565</v>
      </c>
      <c r="R2226" s="33" t="s">
        <v>3473</v>
      </c>
      <c r="S2226">
        <v>37</v>
      </c>
      <c r="T2226" s="1" t="s">
        <v>13878</v>
      </c>
      <c r="U2226" s="1" t="str">
        <f>HYPERLINK("http://ictvonline.org/taxonomy/p/taxonomy-history?taxnode_id=202106632","ICTVonline=202106632")</f>
        <v>ICTVonline=202106632</v>
      </c>
    </row>
    <row r="2227" spans="1:21" x14ac:dyDescent="0.2">
      <c r="A2227" s="3">
        <v>2226</v>
      </c>
      <c r="B2227" s="1" t="s">
        <v>4875</v>
      </c>
      <c r="D2227" s="1" t="s">
        <v>4876</v>
      </c>
      <c r="F2227" s="1" t="s">
        <v>4880</v>
      </c>
      <c r="H2227" s="1" t="s">
        <v>4881</v>
      </c>
      <c r="M2227" s="1" t="s">
        <v>10916</v>
      </c>
      <c r="N2227" s="1" t="s">
        <v>10922</v>
      </c>
      <c r="P2227" s="1" t="s">
        <v>10923</v>
      </c>
      <c r="Q2227" s="30" t="s">
        <v>2565</v>
      </c>
      <c r="R2227" s="33" t="s">
        <v>3472</v>
      </c>
      <c r="S2227">
        <v>37</v>
      </c>
      <c r="T2227" s="1" t="s">
        <v>13923</v>
      </c>
      <c r="U2227" s="1" t="str">
        <f>HYPERLINK("http://ictvonline.org/taxonomy/p/taxonomy-history?taxnode_id=202112908","ICTVonline=202112908")</f>
        <v>ICTVonline=202112908</v>
      </c>
    </row>
    <row r="2228" spans="1:21" x14ac:dyDescent="0.2">
      <c r="A2228" s="3">
        <v>2227</v>
      </c>
      <c r="B2228" s="1" t="s">
        <v>4875</v>
      </c>
      <c r="D2228" s="1" t="s">
        <v>4876</v>
      </c>
      <c r="F2228" s="1" t="s">
        <v>4880</v>
      </c>
      <c r="H2228" s="1" t="s">
        <v>4881</v>
      </c>
      <c r="M2228" s="1" t="s">
        <v>10916</v>
      </c>
      <c r="N2228" s="1" t="s">
        <v>10924</v>
      </c>
      <c r="P2228" s="1" t="s">
        <v>10925</v>
      </c>
      <c r="Q2228" s="30" t="s">
        <v>2565</v>
      </c>
      <c r="R2228" s="33" t="s">
        <v>3472</v>
      </c>
      <c r="S2228">
        <v>37</v>
      </c>
      <c r="T2228" s="1" t="s">
        <v>13923</v>
      </c>
      <c r="U2228" s="1" t="str">
        <f>HYPERLINK("http://ictvonline.org/taxonomy/p/taxonomy-history?taxnode_id=202112911","ICTVonline=202112911")</f>
        <v>ICTVonline=202112911</v>
      </c>
    </row>
    <row r="2229" spans="1:21" x14ac:dyDescent="0.2">
      <c r="A2229" s="3">
        <v>2228</v>
      </c>
      <c r="B2229" s="1" t="s">
        <v>4875</v>
      </c>
      <c r="D2229" s="1" t="s">
        <v>4876</v>
      </c>
      <c r="F2229" s="1" t="s">
        <v>4880</v>
      </c>
      <c r="H2229" s="1" t="s">
        <v>4881</v>
      </c>
      <c r="M2229" s="1" t="s">
        <v>10916</v>
      </c>
      <c r="N2229" s="1" t="s">
        <v>3217</v>
      </c>
      <c r="P2229" s="1" t="s">
        <v>10926</v>
      </c>
      <c r="Q2229" s="30" t="s">
        <v>2565</v>
      </c>
      <c r="R2229" s="33" t="s">
        <v>3472</v>
      </c>
      <c r="S2229">
        <v>37</v>
      </c>
      <c r="T2229" s="1" t="s">
        <v>13923</v>
      </c>
      <c r="U2229" s="1" t="str">
        <f>HYPERLINK("http://ictvonline.org/taxonomy/p/taxonomy-history?taxnode_id=202112909","ICTVonline=202112909")</f>
        <v>ICTVonline=202112909</v>
      </c>
    </row>
    <row r="2230" spans="1:21" x14ac:dyDescent="0.2">
      <c r="A2230" s="3">
        <v>2229</v>
      </c>
      <c r="B2230" s="1" t="s">
        <v>4875</v>
      </c>
      <c r="D2230" s="1" t="s">
        <v>4876</v>
      </c>
      <c r="F2230" s="1" t="s">
        <v>4880</v>
      </c>
      <c r="H2230" s="1" t="s">
        <v>4881</v>
      </c>
      <c r="M2230" s="1" t="s">
        <v>10916</v>
      </c>
      <c r="N2230" s="1" t="s">
        <v>3217</v>
      </c>
      <c r="P2230" s="1" t="s">
        <v>10927</v>
      </c>
      <c r="Q2230" s="30" t="s">
        <v>2565</v>
      </c>
      <c r="R2230" s="33" t="s">
        <v>3473</v>
      </c>
      <c r="S2230">
        <v>37</v>
      </c>
      <c r="T2230" s="1" t="s">
        <v>13923</v>
      </c>
      <c r="U2230" s="1" t="str">
        <f>HYPERLINK("http://ictvonline.org/taxonomy/p/taxonomy-history?taxnode_id=202101367","ICTVonline=202101367")</f>
        <v>ICTVonline=202101367</v>
      </c>
    </row>
    <row r="2231" spans="1:21" x14ac:dyDescent="0.2">
      <c r="A2231" s="3">
        <v>2230</v>
      </c>
      <c r="B2231" s="1" t="s">
        <v>4875</v>
      </c>
      <c r="D2231" s="1" t="s">
        <v>4876</v>
      </c>
      <c r="F2231" s="1" t="s">
        <v>4880</v>
      </c>
      <c r="H2231" s="1" t="s">
        <v>4881</v>
      </c>
      <c r="M2231" s="1" t="s">
        <v>3188</v>
      </c>
      <c r="N2231" s="1" t="s">
        <v>4593</v>
      </c>
      <c r="P2231" s="1" t="s">
        <v>10928</v>
      </c>
      <c r="Q2231" s="30" t="s">
        <v>2565</v>
      </c>
      <c r="R2231" s="33" t="s">
        <v>3473</v>
      </c>
      <c r="S2231">
        <v>37</v>
      </c>
      <c r="T2231" s="1" t="s">
        <v>13878</v>
      </c>
      <c r="U2231" s="1" t="str">
        <f>HYPERLINK("http://ictvonline.org/taxonomy/p/taxonomy-history?taxnode_id=202100613","ICTVonline=202100613")</f>
        <v>ICTVonline=202100613</v>
      </c>
    </row>
    <row r="2232" spans="1:21" x14ac:dyDescent="0.2">
      <c r="A2232" s="3">
        <v>2231</v>
      </c>
      <c r="B2232" s="1" t="s">
        <v>4875</v>
      </c>
      <c r="D2232" s="1" t="s">
        <v>4876</v>
      </c>
      <c r="F2232" s="1" t="s">
        <v>4880</v>
      </c>
      <c r="H2232" s="1" t="s">
        <v>4881</v>
      </c>
      <c r="M2232" s="1" t="s">
        <v>3188</v>
      </c>
      <c r="N2232" s="1" t="s">
        <v>4593</v>
      </c>
      <c r="P2232" s="1" t="s">
        <v>10929</v>
      </c>
      <c r="Q2232" s="30" t="s">
        <v>2565</v>
      </c>
      <c r="R2232" s="33" t="s">
        <v>3473</v>
      </c>
      <c r="S2232">
        <v>37</v>
      </c>
      <c r="T2232" s="1" t="s">
        <v>13878</v>
      </c>
      <c r="U2232" s="1" t="str">
        <f>HYPERLINK("http://ictvonline.org/taxonomy/p/taxonomy-history?taxnode_id=202100614","ICTVonline=202100614")</f>
        <v>ICTVonline=202100614</v>
      </c>
    </row>
    <row r="2233" spans="1:21" x14ac:dyDescent="0.2">
      <c r="A2233" s="3">
        <v>2232</v>
      </c>
      <c r="B2233" s="1" t="s">
        <v>4875</v>
      </c>
      <c r="D2233" s="1" t="s">
        <v>4876</v>
      </c>
      <c r="F2233" s="1" t="s">
        <v>4880</v>
      </c>
      <c r="H2233" s="1" t="s">
        <v>4881</v>
      </c>
      <c r="M2233" s="1" t="s">
        <v>3188</v>
      </c>
      <c r="N2233" s="1" t="s">
        <v>4594</v>
      </c>
      <c r="P2233" s="1" t="s">
        <v>10930</v>
      </c>
      <c r="Q2233" s="30" t="s">
        <v>2565</v>
      </c>
      <c r="R2233" s="33" t="s">
        <v>3473</v>
      </c>
      <c r="S2233">
        <v>37</v>
      </c>
      <c r="T2233" s="1" t="s">
        <v>13878</v>
      </c>
      <c r="U2233" s="1" t="str">
        <f>HYPERLINK("http://ictvonline.org/taxonomy/p/taxonomy-history?taxnode_id=202111846","ICTVonline=202111846")</f>
        <v>ICTVonline=202111846</v>
      </c>
    </row>
    <row r="2234" spans="1:21" x14ac:dyDescent="0.2">
      <c r="A2234" s="3">
        <v>2233</v>
      </c>
      <c r="B2234" s="1" t="s">
        <v>4875</v>
      </c>
      <c r="D2234" s="1" t="s">
        <v>4876</v>
      </c>
      <c r="F2234" s="1" t="s">
        <v>4880</v>
      </c>
      <c r="H2234" s="1" t="s">
        <v>4881</v>
      </c>
      <c r="M2234" s="1" t="s">
        <v>3188</v>
      </c>
      <c r="N2234" s="1" t="s">
        <v>4594</v>
      </c>
      <c r="P2234" s="1" t="s">
        <v>10931</v>
      </c>
      <c r="Q2234" s="30" t="s">
        <v>2565</v>
      </c>
      <c r="R2234" s="33" t="s">
        <v>3473</v>
      </c>
      <c r="S2234">
        <v>37</v>
      </c>
      <c r="T2234" s="1" t="s">
        <v>13878</v>
      </c>
      <c r="U2234" s="1" t="str">
        <f>HYPERLINK("http://ictvonline.org/taxonomy/p/taxonomy-history?taxnode_id=202111845","ICTVonline=202111845")</f>
        <v>ICTVonline=202111845</v>
      </c>
    </row>
    <row r="2235" spans="1:21" x14ac:dyDescent="0.2">
      <c r="A2235" s="3">
        <v>2234</v>
      </c>
      <c r="B2235" s="1" t="s">
        <v>4875</v>
      </c>
      <c r="D2235" s="1" t="s">
        <v>4876</v>
      </c>
      <c r="F2235" s="1" t="s">
        <v>4880</v>
      </c>
      <c r="H2235" s="1" t="s">
        <v>4881</v>
      </c>
      <c r="M2235" s="1" t="s">
        <v>3188</v>
      </c>
      <c r="N2235" s="1" t="s">
        <v>4594</v>
      </c>
      <c r="P2235" s="1" t="s">
        <v>10932</v>
      </c>
      <c r="Q2235" s="30" t="s">
        <v>2565</v>
      </c>
      <c r="R2235" s="33" t="s">
        <v>3473</v>
      </c>
      <c r="S2235">
        <v>37</v>
      </c>
      <c r="T2235" s="1" t="s">
        <v>13878</v>
      </c>
      <c r="U2235" s="1" t="str">
        <f>HYPERLINK("http://ictvonline.org/taxonomy/p/taxonomy-history?taxnode_id=202100616","ICTVonline=202100616")</f>
        <v>ICTVonline=202100616</v>
      </c>
    </row>
    <row r="2236" spans="1:21" x14ac:dyDescent="0.2">
      <c r="A2236" s="3">
        <v>2235</v>
      </c>
      <c r="B2236" s="1" t="s">
        <v>4875</v>
      </c>
      <c r="D2236" s="1" t="s">
        <v>4876</v>
      </c>
      <c r="F2236" s="1" t="s">
        <v>4880</v>
      </c>
      <c r="H2236" s="1" t="s">
        <v>4881</v>
      </c>
      <c r="M2236" s="1" t="s">
        <v>3188</v>
      </c>
      <c r="N2236" s="1" t="s">
        <v>4594</v>
      </c>
      <c r="P2236" s="1" t="s">
        <v>10933</v>
      </c>
      <c r="Q2236" s="30" t="s">
        <v>2565</v>
      </c>
      <c r="R2236" s="33" t="s">
        <v>3473</v>
      </c>
      <c r="S2236">
        <v>37</v>
      </c>
      <c r="T2236" s="1" t="s">
        <v>13878</v>
      </c>
      <c r="U2236" s="1" t="str">
        <f>HYPERLINK("http://ictvonline.org/taxonomy/p/taxonomy-history?taxnode_id=202100617","ICTVonline=202100617")</f>
        <v>ICTVonline=202100617</v>
      </c>
    </row>
    <row r="2237" spans="1:21" x14ac:dyDescent="0.2">
      <c r="A2237" s="3">
        <v>2236</v>
      </c>
      <c r="B2237" s="1" t="s">
        <v>4875</v>
      </c>
      <c r="D2237" s="1" t="s">
        <v>4876</v>
      </c>
      <c r="F2237" s="1" t="s">
        <v>4880</v>
      </c>
      <c r="H2237" s="1" t="s">
        <v>4881</v>
      </c>
      <c r="M2237" s="1" t="s">
        <v>3188</v>
      </c>
      <c r="N2237" s="1" t="s">
        <v>4594</v>
      </c>
      <c r="P2237" s="1" t="s">
        <v>10934</v>
      </c>
      <c r="Q2237" s="30" t="s">
        <v>2565</v>
      </c>
      <c r="R2237" s="33" t="s">
        <v>3473</v>
      </c>
      <c r="S2237">
        <v>37</v>
      </c>
      <c r="T2237" s="1" t="s">
        <v>13878</v>
      </c>
      <c r="U2237" s="1" t="str">
        <f>HYPERLINK("http://ictvonline.org/taxonomy/p/taxonomy-history?taxnode_id=202100618","ICTVonline=202100618")</f>
        <v>ICTVonline=202100618</v>
      </c>
    </row>
    <row r="2238" spans="1:21" x14ac:dyDescent="0.2">
      <c r="A2238" s="3">
        <v>2237</v>
      </c>
      <c r="B2238" s="1" t="s">
        <v>4875</v>
      </c>
      <c r="D2238" s="1" t="s">
        <v>4876</v>
      </c>
      <c r="F2238" s="1" t="s">
        <v>4880</v>
      </c>
      <c r="H2238" s="1" t="s">
        <v>4881</v>
      </c>
      <c r="M2238" s="1" t="s">
        <v>3188</v>
      </c>
      <c r="N2238" s="1" t="s">
        <v>4594</v>
      </c>
      <c r="P2238" s="1" t="s">
        <v>10935</v>
      </c>
      <c r="Q2238" s="30" t="s">
        <v>2565</v>
      </c>
      <c r="R2238" s="33" t="s">
        <v>3473</v>
      </c>
      <c r="S2238">
        <v>37</v>
      </c>
      <c r="T2238" s="1" t="s">
        <v>13878</v>
      </c>
      <c r="U2238" s="1" t="str">
        <f>HYPERLINK("http://ictvonline.org/taxonomy/p/taxonomy-history?taxnode_id=202100619","ICTVonline=202100619")</f>
        <v>ICTVonline=202100619</v>
      </c>
    </row>
    <row r="2239" spans="1:21" x14ac:dyDescent="0.2">
      <c r="A2239" s="3">
        <v>2238</v>
      </c>
      <c r="B2239" s="1" t="s">
        <v>4875</v>
      </c>
      <c r="D2239" s="1" t="s">
        <v>4876</v>
      </c>
      <c r="F2239" s="1" t="s">
        <v>4880</v>
      </c>
      <c r="H2239" s="1" t="s">
        <v>4881</v>
      </c>
      <c r="M2239" s="1" t="s">
        <v>3188</v>
      </c>
      <c r="N2239" s="1" t="s">
        <v>4595</v>
      </c>
      <c r="P2239" s="1" t="s">
        <v>10936</v>
      </c>
      <c r="Q2239" s="30" t="s">
        <v>2565</v>
      </c>
      <c r="R2239" s="33" t="s">
        <v>3473</v>
      </c>
      <c r="S2239">
        <v>37</v>
      </c>
      <c r="T2239" s="1" t="s">
        <v>13878</v>
      </c>
      <c r="U2239" s="1" t="str">
        <f>HYPERLINK("http://ictvonline.org/taxonomy/p/taxonomy-history?taxnode_id=202111849","ICTVonline=202111849")</f>
        <v>ICTVonline=202111849</v>
      </c>
    </row>
    <row r="2240" spans="1:21" x14ac:dyDescent="0.2">
      <c r="A2240" s="3">
        <v>2239</v>
      </c>
      <c r="B2240" s="1" t="s">
        <v>4875</v>
      </c>
      <c r="D2240" s="1" t="s">
        <v>4876</v>
      </c>
      <c r="F2240" s="1" t="s">
        <v>4880</v>
      </c>
      <c r="H2240" s="1" t="s">
        <v>4881</v>
      </c>
      <c r="M2240" s="1" t="s">
        <v>3188</v>
      </c>
      <c r="N2240" s="1" t="s">
        <v>4595</v>
      </c>
      <c r="P2240" s="1" t="s">
        <v>10937</v>
      </c>
      <c r="Q2240" s="30" t="s">
        <v>2565</v>
      </c>
      <c r="R2240" s="33" t="s">
        <v>3473</v>
      </c>
      <c r="S2240">
        <v>37</v>
      </c>
      <c r="T2240" s="1" t="s">
        <v>13878</v>
      </c>
      <c r="U2240" s="1" t="str">
        <f>HYPERLINK("http://ictvonline.org/taxonomy/p/taxonomy-history?taxnode_id=202111850","ICTVonline=202111850")</f>
        <v>ICTVonline=202111850</v>
      </c>
    </row>
    <row r="2241" spans="1:21" x14ac:dyDescent="0.2">
      <c r="A2241" s="3">
        <v>2240</v>
      </c>
      <c r="B2241" s="1" t="s">
        <v>4875</v>
      </c>
      <c r="D2241" s="1" t="s">
        <v>4876</v>
      </c>
      <c r="F2241" s="1" t="s">
        <v>4880</v>
      </c>
      <c r="H2241" s="1" t="s">
        <v>4881</v>
      </c>
      <c r="M2241" s="1" t="s">
        <v>3188</v>
      </c>
      <c r="N2241" s="1" t="s">
        <v>4595</v>
      </c>
      <c r="P2241" s="1" t="s">
        <v>10938</v>
      </c>
      <c r="Q2241" s="30" t="s">
        <v>2565</v>
      </c>
      <c r="R2241" s="33" t="s">
        <v>3473</v>
      </c>
      <c r="S2241">
        <v>37</v>
      </c>
      <c r="T2241" s="1" t="s">
        <v>13878</v>
      </c>
      <c r="U2241" s="1" t="str">
        <f>HYPERLINK("http://ictvonline.org/taxonomy/p/taxonomy-history?taxnode_id=202111853","ICTVonline=202111853")</f>
        <v>ICTVonline=202111853</v>
      </c>
    </row>
    <row r="2242" spans="1:21" x14ac:dyDescent="0.2">
      <c r="A2242" s="3">
        <v>2241</v>
      </c>
      <c r="B2242" s="1" t="s">
        <v>4875</v>
      </c>
      <c r="D2242" s="1" t="s">
        <v>4876</v>
      </c>
      <c r="F2242" s="1" t="s">
        <v>4880</v>
      </c>
      <c r="H2242" s="1" t="s">
        <v>4881</v>
      </c>
      <c r="M2242" s="1" t="s">
        <v>3188</v>
      </c>
      <c r="N2242" s="1" t="s">
        <v>4595</v>
      </c>
      <c r="P2242" s="1" t="s">
        <v>10939</v>
      </c>
      <c r="Q2242" s="30" t="s">
        <v>2565</v>
      </c>
      <c r="R2242" s="33" t="s">
        <v>3473</v>
      </c>
      <c r="S2242">
        <v>37</v>
      </c>
      <c r="T2242" s="1" t="s">
        <v>13878</v>
      </c>
      <c r="U2242" s="1" t="str">
        <f>HYPERLINK("http://ictvonline.org/taxonomy/p/taxonomy-history?taxnode_id=202100611","ICTVonline=202100611")</f>
        <v>ICTVonline=202100611</v>
      </c>
    </row>
    <row r="2243" spans="1:21" x14ac:dyDescent="0.2">
      <c r="A2243" s="3">
        <v>2242</v>
      </c>
      <c r="B2243" s="1" t="s">
        <v>4875</v>
      </c>
      <c r="D2243" s="1" t="s">
        <v>4876</v>
      </c>
      <c r="F2243" s="1" t="s">
        <v>4880</v>
      </c>
      <c r="H2243" s="1" t="s">
        <v>4881</v>
      </c>
      <c r="M2243" s="1" t="s">
        <v>3188</v>
      </c>
      <c r="N2243" s="1" t="s">
        <v>4595</v>
      </c>
      <c r="P2243" s="1" t="s">
        <v>10940</v>
      </c>
      <c r="Q2243" s="30" t="s">
        <v>2565</v>
      </c>
      <c r="R2243" s="33" t="s">
        <v>3473</v>
      </c>
      <c r="S2243">
        <v>37</v>
      </c>
      <c r="T2243" s="1" t="s">
        <v>13878</v>
      </c>
      <c r="U2243" s="1" t="str">
        <f>HYPERLINK("http://ictvonline.org/taxonomy/p/taxonomy-history?taxnode_id=202100609","ICTVonline=202100609")</f>
        <v>ICTVonline=202100609</v>
      </c>
    </row>
    <row r="2244" spans="1:21" x14ac:dyDescent="0.2">
      <c r="A2244" s="3">
        <v>2243</v>
      </c>
      <c r="B2244" s="1" t="s">
        <v>4875</v>
      </c>
      <c r="D2244" s="1" t="s">
        <v>4876</v>
      </c>
      <c r="F2244" s="1" t="s">
        <v>4880</v>
      </c>
      <c r="H2244" s="1" t="s">
        <v>4881</v>
      </c>
      <c r="M2244" s="1" t="s">
        <v>3188</v>
      </c>
      <c r="N2244" s="1" t="s">
        <v>4595</v>
      </c>
      <c r="P2244" s="1" t="s">
        <v>10941</v>
      </c>
      <c r="Q2244" s="30" t="s">
        <v>2565</v>
      </c>
      <c r="R2244" s="33" t="s">
        <v>3473</v>
      </c>
      <c r="S2244">
        <v>37</v>
      </c>
      <c r="T2244" s="1" t="s">
        <v>13878</v>
      </c>
      <c r="U2244" s="1" t="str">
        <f>HYPERLINK("http://ictvonline.org/taxonomy/p/taxonomy-history?taxnode_id=202111854","ICTVonline=202111854")</f>
        <v>ICTVonline=202111854</v>
      </c>
    </row>
    <row r="2245" spans="1:21" x14ac:dyDescent="0.2">
      <c r="A2245" s="3">
        <v>2244</v>
      </c>
      <c r="B2245" s="1" t="s">
        <v>4875</v>
      </c>
      <c r="D2245" s="1" t="s">
        <v>4876</v>
      </c>
      <c r="F2245" s="1" t="s">
        <v>4880</v>
      </c>
      <c r="H2245" s="1" t="s">
        <v>4881</v>
      </c>
      <c r="M2245" s="1" t="s">
        <v>3188</v>
      </c>
      <c r="N2245" s="1" t="s">
        <v>4595</v>
      </c>
      <c r="P2245" s="1" t="s">
        <v>10942</v>
      </c>
      <c r="Q2245" s="30" t="s">
        <v>2565</v>
      </c>
      <c r="R2245" s="33" t="s">
        <v>3473</v>
      </c>
      <c r="S2245">
        <v>37</v>
      </c>
      <c r="T2245" s="1" t="s">
        <v>13878</v>
      </c>
      <c r="U2245" s="1" t="str">
        <f>HYPERLINK("http://ictvonline.org/taxonomy/p/taxonomy-history?taxnode_id=202100610","ICTVonline=202100610")</f>
        <v>ICTVonline=202100610</v>
      </c>
    </row>
    <row r="2246" spans="1:21" x14ac:dyDescent="0.2">
      <c r="A2246" s="3">
        <v>2245</v>
      </c>
      <c r="B2246" s="1" t="s">
        <v>4875</v>
      </c>
      <c r="D2246" s="1" t="s">
        <v>4876</v>
      </c>
      <c r="F2246" s="1" t="s">
        <v>4880</v>
      </c>
      <c r="H2246" s="1" t="s">
        <v>4881</v>
      </c>
      <c r="M2246" s="1" t="s">
        <v>3188</v>
      </c>
      <c r="N2246" s="1" t="s">
        <v>4595</v>
      </c>
      <c r="P2246" s="1" t="s">
        <v>10943</v>
      </c>
      <c r="Q2246" s="30" t="s">
        <v>2565</v>
      </c>
      <c r="R2246" s="33" t="s">
        <v>3473</v>
      </c>
      <c r="S2246">
        <v>37</v>
      </c>
      <c r="T2246" s="1" t="s">
        <v>13878</v>
      </c>
      <c r="U2246" s="1" t="str">
        <f>HYPERLINK("http://ictvonline.org/taxonomy/p/taxonomy-history?taxnode_id=202111848","ICTVonline=202111848")</f>
        <v>ICTVonline=202111848</v>
      </c>
    </row>
    <row r="2247" spans="1:21" x14ac:dyDescent="0.2">
      <c r="A2247" s="3">
        <v>2246</v>
      </c>
      <c r="B2247" s="1" t="s">
        <v>4875</v>
      </c>
      <c r="D2247" s="1" t="s">
        <v>4876</v>
      </c>
      <c r="F2247" s="1" t="s">
        <v>4880</v>
      </c>
      <c r="H2247" s="1" t="s">
        <v>4881</v>
      </c>
      <c r="M2247" s="1" t="s">
        <v>3188</v>
      </c>
      <c r="N2247" s="1" t="s">
        <v>4595</v>
      </c>
      <c r="P2247" s="1" t="s">
        <v>10944</v>
      </c>
      <c r="Q2247" s="30" t="s">
        <v>2565</v>
      </c>
      <c r="R2247" s="33" t="s">
        <v>3473</v>
      </c>
      <c r="S2247">
        <v>37</v>
      </c>
      <c r="T2247" s="1" t="s">
        <v>13878</v>
      </c>
      <c r="U2247" s="1" t="str">
        <f>HYPERLINK("http://ictvonline.org/taxonomy/p/taxonomy-history?taxnode_id=202111851","ICTVonline=202111851")</f>
        <v>ICTVonline=202111851</v>
      </c>
    </row>
    <row r="2248" spans="1:21" x14ac:dyDescent="0.2">
      <c r="A2248" s="3">
        <v>2247</v>
      </c>
      <c r="B2248" s="1" t="s">
        <v>4875</v>
      </c>
      <c r="D2248" s="1" t="s">
        <v>4876</v>
      </c>
      <c r="F2248" s="1" t="s">
        <v>4880</v>
      </c>
      <c r="H2248" s="1" t="s">
        <v>4881</v>
      </c>
      <c r="M2248" s="1" t="s">
        <v>3188</v>
      </c>
      <c r="N2248" s="1" t="s">
        <v>4595</v>
      </c>
      <c r="P2248" s="1" t="s">
        <v>10945</v>
      </c>
      <c r="Q2248" s="30" t="s">
        <v>2565</v>
      </c>
      <c r="R2248" s="33" t="s">
        <v>3473</v>
      </c>
      <c r="S2248">
        <v>37</v>
      </c>
      <c r="T2248" s="1" t="s">
        <v>13878</v>
      </c>
      <c r="U2248" s="1" t="str">
        <f>HYPERLINK("http://ictvonline.org/taxonomy/p/taxonomy-history?taxnode_id=202111847","ICTVonline=202111847")</f>
        <v>ICTVonline=202111847</v>
      </c>
    </row>
    <row r="2249" spans="1:21" x14ac:dyDescent="0.2">
      <c r="A2249" s="3">
        <v>2248</v>
      </c>
      <c r="B2249" s="1" t="s">
        <v>4875</v>
      </c>
      <c r="D2249" s="1" t="s">
        <v>4876</v>
      </c>
      <c r="F2249" s="1" t="s">
        <v>4880</v>
      </c>
      <c r="H2249" s="1" t="s">
        <v>4881</v>
      </c>
      <c r="M2249" s="1" t="s">
        <v>3188</v>
      </c>
      <c r="N2249" s="1" t="s">
        <v>4595</v>
      </c>
      <c r="P2249" s="1" t="s">
        <v>10946</v>
      </c>
      <c r="Q2249" s="30" t="s">
        <v>2565</v>
      </c>
      <c r="R2249" s="33" t="s">
        <v>3473</v>
      </c>
      <c r="S2249">
        <v>37</v>
      </c>
      <c r="T2249" s="1" t="s">
        <v>13878</v>
      </c>
      <c r="U2249" s="1" t="str">
        <f>HYPERLINK("http://ictvonline.org/taxonomy/p/taxonomy-history?taxnode_id=202100607","ICTVonline=202100607")</f>
        <v>ICTVonline=202100607</v>
      </c>
    </row>
    <row r="2250" spans="1:21" x14ac:dyDescent="0.2">
      <c r="A2250" s="3">
        <v>2249</v>
      </c>
      <c r="B2250" s="1" t="s">
        <v>4875</v>
      </c>
      <c r="D2250" s="1" t="s">
        <v>4876</v>
      </c>
      <c r="F2250" s="1" t="s">
        <v>4880</v>
      </c>
      <c r="H2250" s="1" t="s">
        <v>4881</v>
      </c>
      <c r="M2250" s="1" t="s">
        <v>3188</v>
      </c>
      <c r="N2250" s="1" t="s">
        <v>4595</v>
      </c>
      <c r="P2250" s="1" t="s">
        <v>10947</v>
      </c>
      <c r="Q2250" s="30" t="s">
        <v>2565</v>
      </c>
      <c r="R2250" s="33" t="s">
        <v>3473</v>
      </c>
      <c r="S2250">
        <v>37</v>
      </c>
      <c r="T2250" s="1" t="s">
        <v>13878</v>
      </c>
      <c r="U2250" s="1" t="str">
        <f>HYPERLINK("http://ictvonline.org/taxonomy/p/taxonomy-history?taxnode_id=202100608","ICTVonline=202100608")</f>
        <v>ICTVonline=202100608</v>
      </c>
    </row>
    <row r="2251" spans="1:21" x14ac:dyDescent="0.2">
      <c r="A2251" s="3">
        <v>2250</v>
      </c>
      <c r="B2251" s="1" t="s">
        <v>4875</v>
      </c>
      <c r="D2251" s="1" t="s">
        <v>4876</v>
      </c>
      <c r="F2251" s="1" t="s">
        <v>4880</v>
      </c>
      <c r="H2251" s="1" t="s">
        <v>4881</v>
      </c>
      <c r="M2251" s="1" t="s">
        <v>3188</v>
      </c>
      <c r="N2251" s="1" t="s">
        <v>4595</v>
      </c>
      <c r="P2251" s="1" t="s">
        <v>10948</v>
      </c>
      <c r="Q2251" s="30" t="s">
        <v>2565</v>
      </c>
      <c r="R2251" s="33" t="s">
        <v>3473</v>
      </c>
      <c r="S2251">
        <v>37</v>
      </c>
      <c r="T2251" s="1" t="s">
        <v>13878</v>
      </c>
      <c r="U2251" s="1" t="str">
        <f>HYPERLINK("http://ictvonline.org/taxonomy/p/taxonomy-history?taxnode_id=202111852","ICTVonline=202111852")</f>
        <v>ICTVonline=202111852</v>
      </c>
    </row>
    <row r="2252" spans="1:21" x14ac:dyDescent="0.2">
      <c r="A2252" s="3">
        <v>2251</v>
      </c>
      <c r="B2252" s="1" t="s">
        <v>4875</v>
      </c>
      <c r="D2252" s="1" t="s">
        <v>4876</v>
      </c>
      <c r="F2252" s="1" t="s">
        <v>4880</v>
      </c>
      <c r="H2252" s="1" t="s">
        <v>4881</v>
      </c>
      <c r="M2252" s="1" t="s">
        <v>6153</v>
      </c>
      <c r="N2252" s="1" t="s">
        <v>6154</v>
      </c>
      <c r="P2252" s="1" t="s">
        <v>10949</v>
      </c>
      <c r="Q2252" s="30" t="s">
        <v>2565</v>
      </c>
      <c r="R2252" s="33" t="s">
        <v>3473</v>
      </c>
      <c r="S2252">
        <v>37</v>
      </c>
      <c r="T2252" s="1" t="s">
        <v>13878</v>
      </c>
      <c r="U2252" s="1" t="str">
        <f>HYPERLINK("http://ictvonline.org/taxonomy/p/taxonomy-history?taxnode_id=202111866","ICTVonline=202111866")</f>
        <v>ICTVonline=202111866</v>
      </c>
    </row>
    <row r="2253" spans="1:21" x14ac:dyDescent="0.2">
      <c r="A2253" s="3">
        <v>2252</v>
      </c>
      <c r="B2253" s="1" t="s">
        <v>4875</v>
      </c>
      <c r="D2253" s="1" t="s">
        <v>4876</v>
      </c>
      <c r="F2253" s="1" t="s">
        <v>4880</v>
      </c>
      <c r="H2253" s="1" t="s">
        <v>4881</v>
      </c>
      <c r="M2253" s="1" t="s">
        <v>6153</v>
      </c>
      <c r="N2253" s="1" t="s">
        <v>6155</v>
      </c>
      <c r="P2253" s="1" t="s">
        <v>10950</v>
      </c>
      <c r="Q2253" s="30" t="s">
        <v>2565</v>
      </c>
      <c r="R2253" s="33" t="s">
        <v>3473</v>
      </c>
      <c r="S2253">
        <v>37</v>
      </c>
      <c r="T2253" s="1" t="s">
        <v>13878</v>
      </c>
      <c r="U2253" s="1" t="str">
        <f>HYPERLINK("http://ictvonline.org/taxonomy/p/taxonomy-history?taxnode_id=202111864","ICTVonline=202111864")</f>
        <v>ICTVonline=202111864</v>
      </c>
    </row>
    <row r="2254" spans="1:21" x14ac:dyDescent="0.2">
      <c r="A2254" s="3">
        <v>2253</v>
      </c>
      <c r="B2254" s="1" t="s">
        <v>4875</v>
      </c>
      <c r="D2254" s="1" t="s">
        <v>4876</v>
      </c>
      <c r="F2254" s="1" t="s">
        <v>4880</v>
      </c>
      <c r="H2254" s="1" t="s">
        <v>4881</v>
      </c>
      <c r="M2254" s="1" t="s">
        <v>10951</v>
      </c>
      <c r="N2254" s="1" t="s">
        <v>10952</v>
      </c>
      <c r="P2254" s="1" t="s">
        <v>10953</v>
      </c>
      <c r="Q2254" s="30" t="s">
        <v>2565</v>
      </c>
      <c r="R2254" s="33" t="s">
        <v>3472</v>
      </c>
      <c r="S2254">
        <v>37</v>
      </c>
      <c r="T2254" s="1" t="s">
        <v>13924</v>
      </c>
      <c r="U2254" s="1" t="str">
        <f>HYPERLINK("http://ictvonline.org/taxonomy/p/taxonomy-history?taxnode_id=202113660","ICTVonline=202113660")</f>
        <v>ICTVonline=202113660</v>
      </c>
    </row>
    <row r="2255" spans="1:21" x14ac:dyDescent="0.2">
      <c r="A2255" s="3">
        <v>2254</v>
      </c>
      <c r="B2255" s="1" t="s">
        <v>4875</v>
      </c>
      <c r="D2255" s="1" t="s">
        <v>4876</v>
      </c>
      <c r="F2255" s="1" t="s">
        <v>4880</v>
      </c>
      <c r="H2255" s="1" t="s">
        <v>4881</v>
      </c>
      <c r="M2255" s="1" t="s">
        <v>10951</v>
      </c>
      <c r="N2255" s="1" t="s">
        <v>10952</v>
      </c>
      <c r="P2255" s="1" t="s">
        <v>10954</v>
      </c>
      <c r="Q2255" s="30" t="s">
        <v>2565</v>
      </c>
      <c r="R2255" s="33" t="s">
        <v>3472</v>
      </c>
      <c r="S2255">
        <v>37</v>
      </c>
      <c r="T2255" s="1" t="s">
        <v>13924</v>
      </c>
      <c r="U2255" s="1" t="str">
        <f>HYPERLINK("http://ictvonline.org/taxonomy/p/taxonomy-history?taxnode_id=202113658","ICTVonline=202113658")</f>
        <v>ICTVonline=202113658</v>
      </c>
    </row>
    <row r="2256" spans="1:21" x14ac:dyDescent="0.2">
      <c r="A2256" s="3">
        <v>2255</v>
      </c>
      <c r="B2256" s="1" t="s">
        <v>4875</v>
      </c>
      <c r="D2256" s="1" t="s">
        <v>4876</v>
      </c>
      <c r="F2256" s="1" t="s">
        <v>4880</v>
      </c>
      <c r="H2256" s="1" t="s">
        <v>4881</v>
      </c>
      <c r="M2256" s="1" t="s">
        <v>10951</v>
      </c>
      <c r="N2256" s="1" t="s">
        <v>10952</v>
      </c>
      <c r="P2256" s="1" t="s">
        <v>10955</v>
      </c>
      <c r="Q2256" s="30" t="s">
        <v>2565</v>
      </c>
      <c r="R2256" s="33" t="s">
        <v>3472</v>
      </c>
      <c r="S2256">
        <v>37</v>
      </c>
      <c r="T2256" s="1" t="s">
        <v>13924</v>
      </c>
      <c r="U2256" s="1" t="str">
        <f>HYPERLINK("http://ictvonline.org/taxonomy/p/taxonomy-history?taxnode_id=202113661","ICTVonline=202113661")</f>
        <v>ICTVonline=202113661</v>
      </c>
    </row>
    <row r="2257" spans="1:21" x14ac:dyDescent="0.2">
      <c r="A2257" s="3">
        <v>2256</v>
      </c>
      <c r="B2257" s="1" t="s">
        <v>4875</v>
      </c>
      <c r="D2257" s="1" t="s">
        <v>4876</v>
      </c>
      <c r="F2257" s="1" t="s">
        <v>4880</v>
      </c>
      <c r="H2257" s="1" t="s">
        <v>4881</v>
      </c>
      <c r="M2257" s="1" t="s">
        <v>10951</v>
      </c>
      <c r="N2257" s="1" t="s">
        <v>10952</v>
      </c>
      <c r="P2257" s="1" t="s">
        <v>10956</v>
      </c>
      <c r="Q2257" s="30" t="s">
        <v>2565</v>
      </c>
      <c r="R2257" s="33" t="s">
        <v>3472</v>
      </c>
      <c r="S2257">
        <v>37</v>
      </c>
      <c r="T2257" s="1" t="s">
        <v>13924</v>
      </c>
      <c r="U2257" s="1" t="str">
        <f>HYPERLINK("http://ictvonline.org/taxonomy/p/taxonomy-history?taxnode_id=202113662","ICTVonline=202113662")</f>
        <v>ICTVonline=202113662</v>
      </c>
    </row>
    <row r="2258" spans="1:21" x14ac:dyDescent="0.2">
      <c r="A2258" s="3">
        <v>2257</v>
      </c>
      <c r="B2258" s="1" t="s">
        <v>4875</v>
      </c>
      <c r="D2258" s="1" t="s">
        <v>4876</v>
      </c>
      <c r="F2258" s="1" t="s">
        <v>4880</v>
      </c>
      <c r="H2258" s="1" t="s">
        <v>4881</v>
      </c>
      <c r="M2258" s="1" t="s">
        <v>10951</v>
      </c>
      <c r="N2258" s="1" t="s">
        <v>10952</v>
      </c>
      <c r="P2258" s="1" t="s">
        <v>10957</v>
      </c>
      <c r="Q2258" s="30" t="s">
        <v>2565</v>
      </c>
      <c r="R2258" s="33" t="s">
        <v>3472</v>
      </c>
      <c r="S2258">
        <v>37</v>
      </c>
      <c r="T2258" s="1" t="s">
        <v>13924</v>
      </c>
      <c r="U2258" s="1" t="str">
        <f>HYPERLINK("http://ictvonline.org/taxonomy/p/taxonomy-history?taxnode_id=202113657","ICTVonline=202113657")</f>
        <v>ICTVonline=202113657</v>
      </c>
    </row>
    <row r="2259" spans="1:21" x14ac:dyDescent="0.2">
      <c r="A2259" s="3">
        <v>2258</v>
      </c>
      <c r="B2259" s="1" t="s">
        <v>4875</v>
      </c>
      <c r="D2259" s="1" t="s">
        <v>4876</v>
      </c>
      <c r="F2259" s="1" t="s">
        <v>4880</v>
      </c>
      <c r="H2259" s="1" t="s">
        <v>4881</v>
      </c>
      <c r="M2259" s="1" t="s">
        <v>10951</v>
      </c>
      <c r="N2259" s="1" t="s">
        <v>10952</v>
      </c>
      <c r="P2259" s="1" t="s">
        <v>10958</v>
      </c>
      <c r="Q2259" s="30" t="s">
        <v>2565</v>
      </c>
      <c r="R2259" s="33" t="s">
        <v>3472</v>
      </c>
      <c r="S2259">
        <v>37</v>
      </c>
      <c r="T2259" s="1" t="s">
        <v>13924</v>
      </c>
      <c r="U2259" s="1" t="str">
        <f>HYPERLINK("http://ictvonline.org/taxonomy/p/taxonomy-history?taxnode_id=202113659","ICTVonline=202113659")</f>
        <v>ICTVonline=202113659</v>
      </c>
    </row>
    <row r="2260" spans="1:21" x14ac:dyDescent="0.2">
      <c r="A2260" s="3">
        <v>2259</v>
      </c>
      <c r="B2260" s="1" t="s">
        <v>4875</v>
      </c>
      <c r="D2260" s="1" t="s">
        <v>4876</v>
      </c>
      <c r="F2260" s="1" t="s">
        <v>4880</v>
      </c>
      <c r="H2260" s="1" t="s">
        <v>4881</v>
      </c>
      <c r="M2260" s="1" t="s">
        <v>10951</v>
      </c>
      <c r="N2260" s="1" t="s">
        <v>5130</v>
      </c>
      <c r="P2260" s="1" t="s">
        <v>5131</v>
      </c>
      <c r="Q2260" s="30" t="s">
        <v>2565</v>
      </c>
      <c r="R2260" s="33" t="s">
        <v>3474</v>
      </c>
      <c r="S2260">
        <v>37</v>
      </c>
      <c r="T2260" s="1" t="s">
        <v>13924</v>
      </c>
      <c r="U2260" s="1" t="str">
        <f>HYPERLINK("http://ictvonline.org/taxonomy/p/taxonomy-history?taxnode_id=202107991","ICTVonline=202107991")</f>
        <v>ICTVonline=202107991</v>
      </c>
    </row>
    <row r="2261" spans="1:21" x14ac:dyDescent="0.2">
      <c r="A2261" s="3">
        <v>2260</v>
      </c>
      <c r="B2261" s="1" t="s">
        <v>4875</v>
      </c>
      <c r="D2261" s="1" t="s">
        <v>4876</v>
      </c>
      <c r="F2261" s="1" t="s">
        <v>4880</v>
      </c>
      <c r="H2261" s="1" t="s">
        <v>4881</v>
      </c>
      <c r="M2261" s="1" t="s">
        <v>10951</v>
      </c>
      <c r="N2261" s="1" t="s">
        <v>5130</v>
      </c>
      <c r="P2261" s="1" t="s">
        <v>5132</v>
      </c>
      <c r="Q2261" s="30" t="s">
        <v>2565</v>
      </c>
      <c r="R2261" s="33" t="s">
        <v>3474</v>
      </c>
      <c r="S2261">
        <v>37</v>
      </c>
      <c r="T2261" s="1" t="s">
        <v>13924</v>
      </c>
      <c r="U2261" s="1" t="str">
        <f>HYPERLINK("http://ictvonline.org/taxonomy/p/taxonomy-history?taxnode_id=202107989","ICTVonline=202107989")</f>
        <v>ICTVonline=202107989</v>
      </c>
    </row>
    <row r="2262" spans="1:21" x14ac:dyDescent="0.2">
      <c r="A2262" s="3">
        <v>2261</v>
      </c>
      <c r="B2262" s="1" t="s">
        <v>4875</v>
      </c>
      <c r="D2262" s="1" t="s">
        <v>4876</v>
      </c>
      <c r="F2262" s="1" t="s">
        <v>4880</v>
      </c>
      <c r="H2262" s="1" t="s">
        <v>4881</v>
      </c>
      <c r="M2262" s="1" t="s">
        <v>10951</v>
      </c>
      <c r="N2262" s="1" t="s">
        <v>5130</v>
      </c>
      <c r="P2262" s="1" t="s">
        <v>5133</v>
      </c>
      <c r="Q2262" s="30" t="s">
        <v>2565</v>
      </c>
      <c r="R2262" s="33" t="s">
        <v>3474</v>
      </c>
      <c r="S2262">
        <v>37</v>
      </c>
      <c r="T2262" s="1" t="s">
        <v>13924</v>
      </c>
      <c r="U2262" s="1" t="str">
        <f>HYPERLINK("http://ictvonline.org/taxonomy/p/taxonomy-history?taxnode_id=202107987","ICTVonline=202107987")</f>
        <v>ICTVonline=202107987</v>
      </c>
    </row>
    <row r="2263" spans="1:21" x14ac:dyDescent="0.2">
      <c r="A2263" s="3">
        <v>2262</v>
      </c>
      <c r="B2263" s="1" t="s">
        <v>4875</v>
      </c>
      <c r="D2263" s="1" t="s">
        <v>4876</v>
      </c>
      <c r="F2263" s="1" t="s">
        <v>4880</v>
      </c>
      <c r="H2263" s="1" t="s">
        <v>4881</v>
      </c>
      <c r="M2263" s="1" t="s">
        <v>10951</v>
      </c>
      <c r="N2263" s="1" t="s">
        <v>5130</v>
      </c>
      <c r="P2263" s="1" t="s">
        <v>5134</v>
      </c>
      <c r="Q2263" s="30" t="s">
        <v>2565</v>
      </c>
      <c r="R2263" s="33" t="s">
        <v>3474</v>
      </c>
      <c r="S2263">
        <v>37</v>
      </c>
      <c r="T2263" s="1" t="s">
        <v>13924</v>
      </c>
      <c r="U2263" s="1" t="str">
        <f>HYPERLINK("http://ictvonline.org/taxonomy/p/taxonomy-history?taxnode_id=202107988","ICTVonline=202107988")</f>
        <v>ICTVonline=202107988</v>
      </c>
    </row>
    <row r="2264" spans="1:21" x14ac:dyDescent="0.2">
      <c r="A2264" s="3">
        <v>2263</v>
      </c>
      <c r="B2264" s="1" t="s">
        <v>4875</v>
      </c>
      <c r="D2264" s="1" t="s">
        <v>4876</v>
      </c>
      <c r="F2264" s="1" t="s">
        <v>4880</v>
      </c>
      <c r="H2264" s="1" t="s">
        <v>4881</v>
      </c>
      <c r="M2264" s="1" t="s">
        <v>10951</v>
      </c>
      <c r="N2264" s="1" t="s">
        <v>5130</v>
      </c>
      <c r="P2264" s="1" t="s">
        <v>5135</v>
      </c>
      <c r="Q2264" s="30" t="s">
        <v>2565</v>
      </c>
      <c r="R2264" s="33" t="s">
        <v>3474</v>
      </c>
      <c r="S2264">
        <v>37</v>
      </c>
      <c r="T2264" s="1" t="s">
        <v>13924</v>
      </c>
      <c r="U2264" s="1" t="str">
        <f>HYPERLINK("http://ictvonline.org/taxonomy/p/taxonomy-history?taxnode_id=202107990","ICTVonline=202107990")</f>
        <v>ICTVonline=202107990</v>
      </c>
    </row>
    <row r="2265" spans="1:21" x14ac:dyDescent="0.2">
      <c r="A2265" s="3">
        <v>2264</v>
      </c>
      <c r="B2265" s="1" t="s">
        <v>4875</v>
      </c>
      <c r="D2265" s="1" t="s">
        <v>4876</v>
      </c>
      <c r="F2265" s="1" t="s">
        <v>4880</v>
      </c>
      <c r="H2265" s="1" t="s">
        <v>4881</v>
      </c>
      <c r="M2265" s="1" t="s">
        <v>10951</v>
      </c>
      <c r="N2265" s="1" t="s">
        <v>5130</v>
      </c>
      <c r="P2265" s="1" t="s">
        <v>10959</v>
      </c>
      <c r="Q2265" s="30" t="s">
        <v>2565</v>
      </c>
      <c r="R2265" s="33" t="s">
        <v>3472</v>
      </c>
      <c r="S2265">
        <v>37</v>
      </c>
      <c r="T2265" s="1" t="s">
        <v>13924</v>
      </c>
      <c r="U2265" s="1" t="str">
        <f>HYPERLINK("http://ictvonline.org/taxonomy/p/taxonomy-history?taxnode_id=202113649","ICTVonline=202113649")</f>
        <v>ICTVonline=202113649</v>
      </c>
    </row>
    <row r="2266" spans="1:21" x14ac:dyDescent="0.2">
      <c r="A2266" s="3">
        <v>2265</v>
      </c>
      <c r="B2266" s="1" t="s">
        <v>4875</v>
      </c>
      <c r="D2266" s="1" t="s">
        <v>4876</v>
      </c>
      <c r="F2266" s="1" t="s">
        <v>4880</v>
      </c>
      <c r="H2266" s="1" t="s">
        <v>4881</v>
      </c>
      <c r="M2266" s="1" t="s">
        <v>10951</v>
      </c>
      <c r="N2266" s="1" t="s">
        <v>5130</v>
      </c>
      <c r="P2266" s="1" t="s">
        <v>10960</v>
      </c>
      <c r="Q2266" s="30" t="s">
        <v>2565</v>
      </c>
      <c r="R2266" s="33" t="s">
        <v>3472</v>
      </c>
      <c r="S2266">
        <v>37</v>
      </c>
      <c r="T2266" s="1" t="s">
        <v>13924</v>
      </c>
      <c r="U2266" s="1" t="str">
        <f>HYPERLINK("http://ictvonline.org/taxonomy/p/taxonomy-history?taxnode_id=202113650","ICTVonline=202113650")</f>
        <v>ICTVonline=202113650</v>
      </c>
    </row>
    <row r="2267" spans="1:21" x14ac:dyDescent="0.2">
      <c r="A2267" s="3">
        <v>2266</v>
      </c>
      <c r="B2267" s="1" t="s">
        <v>4875</v>
      </c>
      <c r="D2267" s="1" t="s">
        <v>4876</v>
      </c>
      <c r="F2267" s="1" t="s">
        <v>4880</v>
      </c>
      <c r="H2267" s="1" t="s">
        <v>4881</v>
      </c>
      <c r="M2267" s="1" t="s">
        <v>10951</v>
      </c>
      <c r="N2267" s="1" t="s">
        <v>5130</v>
      </c>
      <c r="P2267" s="1" t="s">
        <v>10961</v>
      </c>
      <c r="Q2267" s="30" t="s">
        <v>2565</v>
      </c>
      <c r="R2267" s="33" t="s">
        <v>3472</v>
      </c>
      <c r="S2267">
        <v>37</v>
      </c>
      <c r="T2267" s="1" t="s">
        <v>13924</v>
      </c>
      <c r="U2267" s="1" t="str">
        <f>HYPERLINK("http://ictvonline.org/taxonomy/p/taxonomy-history?taxnode_id=202113651","ICTVonline=202113651")</f>
        <v>ICTVonline=202113651</v>
      </c>
    </row>
    <row r="2268" spans="1:21" x14ac:dyDescent="0.2">
      <c r="A2268" s="3">
        <v>2267</v>
      </c>
      <c r="B2268" s="1" t="s">
        <v>4875</v>
      </c>
      <c r="D2268" s="1" t="s">
        <v>4876</v>
      </c>
      <c r="F2268" s="1" t="s">
        <v>4880</v>
      </c>
      <c r="H2268" s="1" t="s">
        <v>4881</v>
      </c>
      <c r="M2268" s="1" t="s">
        <v>10951</v>
      </c>
      <c r="N2268" s="1" t="s">
        <v>5130</v>
      </c>
      <c r="P2268" s="1" t="s">
        <v>10962</v>
      </c>
      <c r="Q2268" s="30" t="s">
        <v>2565</v>
      </c>
      <c r="R2268" s="33" t="s">
        <v>3472</v>
      </c>
      <c r="S2268">
        <v>37</v>
      </c>
      <c r="T2268" s="1" t="s">
        <v>13924</v>
      </c>
      <c r="U2268" s="1" t="str">
        <f>HYPERLINK("http://ictvonline.org/taxonomy/p/taxonomy-history?taxnode_id=202113652","ICTVonline=202113652")</f>
        <v>ICTVonline=202113652</v>
      </c>
    </row>
    <row r="2269" spans="1:21" x14ac:dyDescent="0.2">
      <c r="A2269" s="3">
        <v>2268</v>
      </c>
      <c r="B2269" s="1" t="s">
        <v>4875</v>
      </c>
      <c r="D2269" s="1" t="s">
        <v>4876</v>
      </c>
      <c r="F2269" s="1" t="s">
        <v>4880</v>
      </c>
      <c r="H2269" s="1" t="s">
        <v>4881</v>
      </c>
      <c r="M2269" s="1" t="s">
        <v>10951</v>
      </c>
      <c r="N2269" s="1" t="s">
        <v>5130</v>
      </c>
      <c r="P2269" s="1" t="s">
        <v>10963</v>
      </c>
      <c r="Q2269" s="30" t="s">
        <v>2565</v>
      </c>
      <c r="R2269" s="33" t="s">
        <v>3472</v>
      </c>
      <c r="S2269">
        <v>37</v>
      </c>
      <c r="T2269" s="1" t="s">
        <v>13924</v>
      </c>
      <c r="U2269" s="1" t="str">
        <f>HYPERLINK("http://ictvonline.org/taxonomy/p/taxonomy-history?taxnode_id=202113655","ICTVonline=202113655")</f>
        <v>ICTVonline=202113655</v>
      </c>
    </row>
    <row r="2270" spans="1:21" x14ac:dyDescent="0.2">
      <c r="A2270" s="3">
        <v>2269</v>
      </c>
      <c r="B2270" s="1" t="s">
        <v>4875</v>
      </c>
      <c r="D2270" s="1" t="s">
        <v>4876</v>
      </c>
      <c r="F2270" s="1" t="s">
        <v>4880</v>
      </c>
      <c r="H2270" s="1" t="s">
        <v>4881</v>
      </c>
      <c r="M2270" s="1" t="s">
        <v>10951</v>
      </c>
      <c r="N2270" s="1" t="s">
        <v>5130</v>
      </c>
      <c r="P2270" s="1" t="s">
        <v>10964</v>
      </c>
      <c r="Q2270" s="30" t="s">
        <v>2565</v>
      </c>
      <c r="R2270" s="33" t="s">
        <v>3472</v>
      </c>
      <c r="S2270">
        <v>37</v>
      </c>
      <c r="T2270" s="1" t="s">
        <v>13924</v>
      </c>
      <c r="U2270" s="1" t="str">
        <f>HYPERLINK("http://ictvonline.org/taxonomy/p/taxonomy-history?taxnode_id=202113648","ICTVonline=202113648")</f>
        <v>ICTVonline=202113648</v>
      </c>
    </row>
    <row r="2271" spans="1:21" x14ac:dyDescent="0.2">
      <c r="A2271" s="3">
        <v>2270</v>
      </c>
      <c r="B2271" s="1" t="s">
        <v>4875</v>
      </c>
      <c r="D2271" s="1" t="s">
        <v>4876</v>
      </c>
      <c r="F2271" s="1" t="s">
        <v>4880</v>
      </c>
      <c r="H2271" s="1" t="s">
        <v>4881</v>
      </c>
      <c r="M2271" s="1" t="s">
        <v>10951</v>
      </c>
      <c r="N2271" s="1" t="s">
        <v>5130</v>
      </c>
      <c r="P2271" s="1" t="s">
        <v>10965</v>
      </c>
      <c r="Q2271" s="30" t="s">
        <v>2565</v>
      </c>
      <c r="R2271" s="33" t="s">
        <v>3472</v>
      </c>
      <c r="S2271">
        <v>37</v>
      </c>
      <c r="T2271" s="1" t="s">
        <v>13924</v>
      </c>
      <c r="U2271" s="1" t="str">
        <f>HYPERLINK("http://ictvonline.org/taxonomy/p/taxonomy-history?taxnode_id=202113653","ICTVonline=202113653")</f>
        <v>ICTVonline=202113653</v>
      </c>
    </row>
    <row r="2272" spans="1:21" x14ac:dyDescent="0.2">
      <c r="A2272" s="3">
        <v>2271</v>
      </c>
      <c r="B2272" s="1" t="s">
        <v>4875</v>
      </c>
      <c r="D2272" s="1" t="s">
        <v>4876</v>
      </c>
      <c r="F2272" s="1" t="s">
        <v>4880</v>
      </c>
      <c r="H2272" s="1" t="s">
        <v>4881</v>
      </c>
      <c r="M2272" s="1" t="s">
        <v>10951</v>
      </c>
      <c r="N2272" s="1" t="s">
        <v>5130</v>
      </c>
      <c r="P2272" s="1" t="s">
        <v>10966</v>
      </c>
      <c r="Q2272" s="30" t="s">
        <v>2565</v>
      </c>
      <c r="R2272" s="33" t="s">
        <v>3472</v>
      </c>
      <c r="S2272">
        <v>37</v>
      </c>
      <c r="T2272" s="1" t="s">
        <v>13924</v>
      </c>
      <c r="U2272" s="1" t="str">
        <f>HYPERLINK("http://ictvonline.org/taxonomy/p/taxonomy-history?taxnode_id=202113654","ICTVonline=202113654")</f>
        <v>ICTVonline=202113654</v>
      </c>
    </row>
    <row r="2273" spans="1:21" x14ac:dyDescent="0.2">
      <c r="A2273" s="3">
        <v>2272</v>
      </c>
      <c r="B2273" s="1" t="s">
        <v>4875</v>
      </c>
      <c r="D2273" s="1" t="s">
        <v>4876</v>
      </c>
      <c r="F2273" s="1" t="s">
        <v>4880</v>
      </c>
      <c r="H2273" s="1" t="s">
        <v>4881</v>
      </c>
      <c r="M2273" s="1" t="s">
        <v>6156</v>
      </c>
      <c r="N2273" s="1" t="s">
        <v>6157</v>
      </c>
      <c r="P2273" s="1" t="s">
        <v>10967</v>
      </c>
      <c r="Q2273" s="30" t="s">
        <v>2565</v>
      </c>
      <c r="R2273" s="33" t="s">
        <v>3473</v>
      </c>
      <c r="S2273">
        <v>37</v>
      </c>
      <c r="T2273" s="1" t="s">
        <v>13878</v>
      </c>
      <c r="U2273" s="1" t="str">
        <f>HYPERLINK("http://ictvonline.org/taxonomy/p/taxonomy-history?taxnode_id=202112034","ICTVonline=202112034")</f>
        <v>ICTVonline=202112034</v>
      </c>
    </row>
    <row r="2274" spans="1:21" x14ac:dyDescent="0.2">
      <c r="A2274" s="3">
        <v>2273</v>
      </c>
      <c r="B2274" s="1" t="s">
        <v>4875</v>
      </c>
      <c r="D2274" s="1" t="s">
        <v>4876</v>
      </c>
      <c r="F2274" s="1" t="s">
        <v>4880</v>
      </c>
      <c r="H2274" s="1" t="s">
        <v>4881</v>
      </c>
      <c r="M2274" s="1" t="s">
        <v>6156</v>
      </c>
      <c r="N2274" s="1" t="s">
        <v>6158</v>
      </c>
      <c r="P2274" s="1" t="s">
        <v>10968</v>
      </c>
      <c r="Q2274" s="30" t="s">
        <v>2565</v>
      </c>
      <c r="R2274" s="33" t="s">
        <v>3473</v>
      </c>
      <c r="S2274">
        <v>37</v>
      </c>
      <c r="T2274" s="1" t="s">
        <v>13878</v>
      </c>
      <c r="U2274" s="1" t="str">
        <f>HYPERLINK("http://ictvonline.org/taxonomy/p/taxonomy-history?taxnode_id=202112031","ICTVonline=202112031")</f>
        <v>ICTVonline=202112031</v>
      </c>
    </row>
    <row r="2275" spans="1:21" x14ac:dyDescent="0.2">
      <c r="A2275" s="3">
        <v>2274</v>
      </c>
      <c r="B2275" s="1" t="s">
        <v>4875</v>
      </c>
      <c r="D2275" s="1" t="s">
        <v>4876</v>
      </c>
      <c r="F2275" s="1" t="s">
        <v>4880</v>
      </c>
      <c r="H2275" s="1" t="s">
        <v>4881</v>
      </c>
      <c r="M2275" s="1" t="s">
        <v>6156</v>
      </c>
      <c r="N2275" s="1" t="s">
        <v>6158</v>
      </c>
      <c r="P2275" s="1" t="s">
        <v>10969</v>
      </c>
      <c r="Q2275" s="30" t="s">
        <v>2565</v>
      </c>
      <c r="R2275" s="33" t="s">
        <v>3473</v>
      </c>
      <c r="S2275">
        <v>37</v>
      </c>
      <c r="T2275" s="1" t="s">
        <v>13878</v>
      </c>
      <c r="U2275" s="1" t="str">
        <f>HYPERLINK("http://ictvonline.org/taxonomy/p/taxonomy-history?taxnode_id=202112032","ICTVonline=202112032")</f>
        <v>ICTVonline=202112032</v>
      </c>
    </row>
    <row r="2276" spans="1:21" x14ac:dyDescent="0.2">
      <c r="A2276" s="3">
        <v>2275</v>
      </c>
      <c r="B2276" s="1" t="s">
        <v>4875</v>
      </c>
      <c r="D2276" s="1" t="s">
        <v>4876</v>
      </c>
      <c r="F2276" s="1" t="s">
        <v>4880</v>
      </c>
      <c r="H2276" s="1" t="s">
        <v>4881</v>
      </c>
      <c r="M2276" s="1" t="s">
        <v>5173</v>
      </c>
      <c r="N2276" s="1" t="s">
        <v>5174</v>
      </c>
      <c r="P2276" s="1" t="s">
        <v>10970</v>
      </c>
      <c r="Q2276" s="30" t="s">
        <v>2565</v>
      </c>
      <c r="R2276" s="33" t="s">
        <v>3473</v>
      </c>
      <c r="S2276">
        <v>37</v>
      </c>
      <c r="T2276" s="1" t="s">
        <v>13878</v>
      </c>
      <c r="U2276" s="1" t="str">
        <f>HYPERLINK("http://ictvonline.org/taxonomy/p/taxonomy-history?taxnode_id=202107824","ICTVonline=202107824")</f>
        <v>ICTVonline=202107824</v>
      </c>
    </row>
    <row r="2277" spans="1:21" x14ac:dyDescent="0.2">
      <c r="A2277" s="3">
        <v>2276</v>
      </c>
      <c r="B2277" s="1" t="s">
        <v>4875</v>
      </c>
      <c r="D2277" s="1" t="s">
        <v>4876</v>
      </c>
      <c r="F2277" s="1" t="s">
        <v>4880</v>
      </c>
      <c r="H2277" s="1" t="s">
        <v>4881</v>
      </c>
      <c r="M2277" s="1" t="s">
        <v>5173</v>
      </c>
      <c r="N2277" s="1" t="s">
        <v>5175</v>
      </c>
      <c r="P2277" s="1" t="s">
        <v>10971</v>
      </c>
      <c r="Q2277" s="30" t="s">
        <v>2565</v>
      </c>
      <c r="R2277" s="33" t="s">
        <v>3473</v>
      </c>
      <c r="S2277">
        <v>37</v>
      </c>
      <c r="T2277" s="1" t="s">
        <v>13878</v>
      </c>
      <c r="U2277" s="1" t="str">
        <f>HYPERLINK("http://ictvonline.org/taxonomy/p/taxonomy-history?taxnode_id=202107829","ICTVonline=202107829")</f>
        <v>ICTVonline=202107829</v>
      </c>
    </row>
    <row r="2278" spans="1:21" x14ac:dyDescent="0.2">
      <c r="A2278" s="3">
        <v>2277</v>
      </c>
      <c r="B2278" s="1" t="s">
        <v>4875</v>
      </c>
      <c r="D2278" s="1" t="s">
        <v>4876</v>
      </c>
      <c r="F2278" s="1" t="s">
        <v>4880</v>
      </c>
      <c r="H2278" s="1" t="s">
        <v>4881</v>
      </c>
      <c r="M2278" s="1" t="s">
        <v>5173</v>
      </c>
      <c r="N2278" s="1" t="s">
        <v>5175</v>
      </c>
      <c r="P2278" s="1" t="s">
        <v>10972</v>
      </c>
      <c r="Q2278" s="30" t="s">
        <v>2565</v>
      </c>
      <c r="R2278" s="33" t="s">
        <v>3473</v>
      </c>
      <c r="S2278">
        <v>37</v>
      </c>
      <c r="T2278" s="1" t="s">
        <v>13878</v>
      </c>
      <c r="U2278" s="1" t="str">
        <f>HYPERLINK("http://ictvonline.org/taxonomy/p/taxonomy-history?taxnode_id=202107830","ICTVonline=202107830")</f>
        <v>ICTVonline=202107830</v>
      </c>
    </row>
    <row r="2279" spans="1:21" x14ac:dyDescent="0.2">
      <c r="A2279" s="3">
        <v>2278</v>
      </c>
      <c r="B2279" s="1" t="s">
        <v>4875</v>
      </c>
      <c r="D2279" s="1" t="s">
        <v>4876</v>
      </c>
      <c r="F2279" s="1" t="s">
        <v>4880</v>
      </c>
      <c r="H2279" s="1" t="s">
        <v>4881</v>
      </c>
      <c r="M2279" s="1" t="s">
        <v>5173</v>
      </c>
      <c r="N2279" s="1" t="s">
        <v>5175</v>
      </c>
      <c r="P2279" s="1" t="s">
        <v>10973</v>
      </c>
      <c r="Q2279" s="30" t="s">
        <v>2565</v>
      </c>
      <c r="R2279" s="33" t="s">
        <v>3473</v>
      </c>
      <c r="S2279">
        <v>37</v>
      </c>
      <c r="T2279" s="1" t="s">
        <v>13878</v>
      </c>
      <c r="U2279" s="1" t="str">
        <f>HYPERLINK("http://ictvonline.org/taxonomy/p/taxonomy-history?taxnode_id=202107831","ICTVonline=202107831")</f>
        <v>ICTVonline=202107831</v>
      </c>
    </row>
    <row r="2280" spans="1:21" x14ac:dyDescent="0.2">
      <c r="A2280" s="3">
        <v>2279</v>
      </c>
      <c r="B2280" s="1" t="s">
        <v>4875</v>
      </c>
      <c r="D2280" s="1" t="s">
        <v>4876</v>
      </c>
      <c r="F2280" s="1" t="s">
        <v>4880</v>
      </c>
      <c r="H2280" s="1" t="s">
        <v>4881</v>
      </c>
      <c r="M2280" s="1" t="s">
        <v>5173</v>
      </c>
      <c r="N2280" s="1" t="s">
        <v>5176</v>
      </c>
      <c r="P2280" s="1" t="s">
        <v>10974</v>
      </c>
      <c r="Q2280" s="30" t="s">
        <v>2565</v>
      </c>
      <c r="R2280" s="33" t="s">
        <v>3473</v>
      </c>
      <c r="S2280">
        <v>37</v>
      </c>
      <c r="T2280" s="1" t="s">
        <v>13878</v>
      </c>
      <c r="U2280" s="1" t="str">
        <f>HYPERLINK("http://ictvonline.org/taxonomy/p/taxonomy-history?taxnode_id=202107826","ICTVonline=202107826")</f>
        <v>ICTVonline=202107826</v>
      </c>
    </row>
    <row r="2281" spans="1:21" x14ac:dyDescent="0.2">
      <c r="A2281" s="3">
        <v>2280</v>
      </c>
      <c r="B2281" s="1" t="s">
        <v>4875</v>
      </c>
      <c r="D2281" s="1" t="s">
        <v>4876</v>
      </c>
      <c r="F2281" s="1" t="s">
        <v>4880</v>
      </c>
      <c r="H2281" s="1" t="s">
        <v>4881</v>
      </c>
      <c r="M2281" s="1" t="s">
        <v>5173</v>
      </c>
      <c r="N2281" s="1" t="s">
        <v>5176</v>
      </c>
      <c r="P2281" s="1" t="s">
        <v>10975</v>
      </c>
      <c r="Q2281" s="30" t="s">
        <v>2565</v>
      </c>
      <c r="R2281" s="33" t="s">
        <v>3473</v>
      </c>
      <c r="S2281">
        <v>37</v>
      </c>
      <c r="T2281" s="1" t="s">
        <v>13878</v>
      </c>
      <c r="U2281" s="1" t="str">
        <f>HYPERLINK("http://ictvonline.org/taxonomy/p/taxonomy-history?taxnode_id=202107827","ICTVonline=202107827")</f>
        <v>ICTVonline=202107827</v>
      </c>
    </row>
    <row r="2282" spans="1:21" x14ac:dyDescent="0.2">
      <c r="A2282" s="3">
        <v>2281</v>
      </c>
      <c r="B2282" s="1" t="s">
        <v>4875</v>
      </c>
      <c r="D2282" s="1" t="s">
        <v>4876</v>
      </c>
      <c r="F2282" s="1" t="s">
        <v>4880</v>
      </c>
      <c r="H2282" s="1" t="s">
        <v>4881</v>
      </c>
      <c r="M2282" s="1" t="s">
        <v>5173</v>
      </c>
      <c r="N2282" s="1" t="s">
        <v>5177</v>
      </c>
      <c r="P2282" s="1" t="s">
        <v>10976</v>
      </c>
      <c r="Q2282" s="30" t="s">
        <v>2565</v>
      </c>
      <c r="R2282" s="33" t="s">
        <v>3473</v>
      </c>
      <c r="S2282">
        <v>37</v>
      </c>
      <c r="T2282" s="1" t="s">
        <v>13878</v>
      </c>
      <c r="U2282" s="1" t="str">
        <f>HYPERLINK("http://ictvonline.org/taxonomy/p/taxonomy-history?taxnode_id=202107833","ICTVonline=202107833")</f>
        <v>ICTVonline=202107833</v>
      </c>
    </row>
    <row r="2283" spans="1:21" x14ac:dyDescent="0.2">
      <c r="A2283" s="3">
        <v>2282</v>
      </c>
      <c r="B2283" s="1" t="s">
        <v>4875</v>
      </c>
      <c r="D2283" s="1" t="s">
        <v>4876</v>
      </c>
      <c r="F2283" s="1" t="s">
        <v>4880</v>
      </c>
      <c r="H2283" s="1" t="s">
        <v>4881</v>
      </c>
      <c r="M2283" s="1" t="s">
        <v>5173</v>
      </c>
      <c r="N2283" s="1" t="s">
        <v>5177</v>
      </c>
      <c r="P2283" s="1" t="s">
        <v>10977</v>
      </c>
      <c r="Q2283" s="30" t="s">
        <v>2565</v>
      </c>
      <c r="R2283" s="33" t="s">
        <v>3473</v>
      </c>
      <c r="S2283">
        <v>37</v>
      </c>
      <c r="T2283" s="1" t="s">
        <v>13878</v>
      </c>
      <c r="U2283" s="1" t="str">
        <f>HYPERLINK("http://ictvonline.org/taxonomy/p/taxonomy-history?taxnode_id=202107835","ICTVonline=202107835")</f>
        <v>ICTVonline=202107835</v>
      </c>
    </row>
    <row r="2284" spans="1:21" x14ac:dyDescent="0.2">
      <c r="A2284" s="3">
        <v>2283</v>
      </c>
      <c r="B2284" s="1" t="s">
        <v>4875</v>
      </c>
      <c r="D2284" s="1" t="s">
        <v>4876</v>
      </c>
      <c r="F2284" s="1" t="s">
        <v>4880</v>
      </c>
      <c r="H2284" s="1" t="s">
        <v>4881</v>
      </c>
      <c r="M2284" s="1" t="s">
        <v>5173</v>
      </c>
      <c r="N2284" s="1" t="s">
        <v>5177</v>
      </c>
      <c r="P2284" s="1" t="s">
        <v>10978</v>
      </c>
      <c r="Q2284" s="30" t="s">
        <v>2565</v>
      </c>
      <c r="R2284" s="33" t="s">
        <v>3473</v>
      </c>
      <c r="S2284">
        <v>37</v>
      </c>
      <c r="T2284" s="1" t="s">
        <v>13878</v>
      </c>
      <c r="U2284" s="1" t="str">
        <f>HYPERLINK("http://ictvonline.org/taxonomy/p/taxonomy-history?taxnode_id=202107834","ICTVonline=202107834")</f>
        <v>ICTVonline=202107834</v>
      </c>
    </row>
    <row r="2285" spans="1:21" x14ac:dyDescent="0.2">
      <c r="A2285" s="3">
        <v>2284</v>
      </c>
      <c r="B2285" s="1" t="s">
        <v>4875</v>
      </c>
      <c r="D2285" s="1" t="s">
        <v>4876</v>
      </c>
      <c r="F2285" s="1" t="s">
        <v>4880</v>
      </c>
      <c r="H2285" s="1" t="s">
        <v>4881</v>
      </c>
      <c r="M2285" s="1" t="s">
        <v>2582</v>
      </c>
      <c r="N2285" s="1" t="s">
        <v>4525</v>
      </c>
      <c r="P2285" s="1" t="s">
        <v>10979</v>
      </c>
      <c r="Q2285" s="30" t="s">
        <v>2565</v>
      </c>
      <c r="R2285" s="33" t="s">
        <v>3473</v>
      </c>
      <c r="S2285">
        <v>37</v>
      </c>
      <c r="T2285" s="1" t="s">
        <v>13878</v>
      </c>
      <c r="U2285" s="1" t="str">
        <f>HYPERLINK("http://ictvonline.org/taxonomy/p/taxonomy-history?taxnode_id=202107080","ICTVonline=202107080")</f>
        <v>ICTVonline=202107080</v>
      </c>
    </row>
    <row r="2286" spans="1:21" x14ac:dyDescent="0.2">
      <c r="A2286" s="3">
        <v>2285</v>
      </c>
      <c r="B2286" s="1" t="s">
        <v>4875</v>
      </c>
      <c r="D2286" s="1" t="s">
        <v>4876</v>
      </c>
      <c r="F2286" s="1" t="s">
        <v>4880</v>
      </c>
      <c r="H2286" s="1" t="s">
        <v>4881</v>
      </c>
      <c r="M2286" s="1" t="s">
        <v>2582</v>
      </c>
      <c r="N2286" s="1" t="s">
        <v>4526</v>
      </c>
      <c r="P2286" s="1" t="s">
        <v>10980</v>
      </c>
      <c r="Q2286" s="30" t="s">
        <v>2565</v>
      </c>
      <c r="R2286" s="33" t="s">
        <v>3473</v>
      </c>
      <c r="S2286">
        <v>37</v>
      </c>
      <c r="T2286" s="1" t="s">
        <v>13878</v>
      </c>
      <c r="U2286" s="1" t="str">
        <f>HYPERLINK("http://ictvonline.org/taxonomy/p/taxonomy-history?taxnode_id=202100347","ICTVonline=202100347")</f>
        <v>ICTVonline=202100347</v>
      </c>
    </row>
    <row r="2287" spans="1:21" x14ac:dyDescent="0.2">
      <c r="A2287" s="3">
        <v>2286</v>
      </c>
      <c r="B2287" s="1" t="s">
        <v>4875</v>
      </c>
      <c r="D2287" s="1" t="s">
        <v>4876</v>
      </c>
      <c r="F2287" s="1" t="s">
        <v>4880</v>
      </c>
      <c r="H2287" s="1" t="s">
        <v>4881</v>
      </c>
      <c r="M2287" s="1" t="s">
        <v>2582</v>
      </c>
      <c r="N2287" s="1" t="s">
        <v>4526</v>
      </c>
      <c r="P2287" s="1" t="s">
        <v>10981</v>
      </c>
      <c r="Q2287" s="30" t="s">
        <v>2565</v>
      </c>
      <c r="R2287" s="33" t="s">
        <v>3473</v>
      </c>
      <c r="S2287">
        <v>37</v>
      </c>
      <c r="T2287" s="1" t="s">
        <v>13878</v>
      </c>
      <c r="U2287" s="1" t="str">
        <f>HYPERLINK("http://ictvonline.org/taxonomy/p/taxonomy-history?taxnode_id=202100348","ICTVonline=202100348")</f>
        <v>ICTVonline=202100348</v>
      </c>
    </row>
    <row r="2288" spans="1:21" x14ac:dyDescent="0.2">
      <c r="A2288" s="3">
        <v>2287</v>
      </c>
      <c r="B2288" s="1" t="s">
        <v>4875</v>
      </c>
      <c r="D2288" s="1" t="s">
        <v>4876</v>
      </c>
      <c r="F2288" s="1" t="s">
        <v>4880</v>
      </c>
      <c r="H2288" s="1" t="s">
        <v>4881</v>
      </c>
      <c r="M2288" s="1" t="s">
        <v>2582</v>
      </c>
      <c r="N2288" s="1" t="s">
        <v>4526</v>
      </c>
      <c r="P2288" s="1" t="s">
        <v>10982</v>
      </c>
      <c r="Q2288" s="30" t="s">
        <v>2565</v>
      </c>
      <c r="R2288" s="33" t="s">
        <v>3473</v>
      </c>
      <c r="S2288">
        <v>37</v>
      </c>
      <c r="T2288" s="1" t="s">
        <v>13878</v>
      </c>
      <c r="U2288" s="1" t="str">
        <f>HYPERLINK("http://ictvonline.org/taxonomy/p/taxonomy-history?taxnode_id=202100349","ICTVonline=202100349")</f>
        <v>ICTVonline=202100349</v>
      </c>
    </row>
    <row r="2289" spans="1:21" x14ac:dyDescent="0.2">
      <c r="A2289" s="3">
        <v>2288</v>
      </c>
      <c r="B2289" s="1" t="s">
        <v>4875</v>
      </c>
      <c r="D2289" s="1" t="s">
        <v>4876</v>
      </c>
      <c r="F2289" s="1" t="s">
        <v>4880</v>
      </c>
      <c r="H2289" s="1" t="s">
        <v>4881</v>
      </c>
      <c r="M2289" s="1" t="s">
        <v>2582</v>
      </c>
      <c r="N2289" s="1" t="s">
        <v>4526</v>
      </c>
      <c r="P2289" s="1" t="s">
        <v>10983</v>
      </c>
      <c r="Q2289" s="30" t="s">
        <v>2565</v>
      </c>
      <c r="R2289" s="33" t="s">
        <v>3473</v>
      </c>
      <c r="S2289">
        <v>37</v>
      </c>
      <c r="T2289" s="1" t="s">
        <v>13878</v>
      </c>
      <c r="U2289" s="1" t="str">
        <f>HYPERLINK("http://ictvonline.org/taxonomy/p/taxonomy-history?taxnode_id=202100350","ICTVonline=202100350")</f>
        <v>ICTVonline=202100350</v>
      </c>
    </row>
    <row r="2290" spans="1:21" x14ac:dyDescent="0.2">
      <c r="A2290" s="3">
        <v>2289</v>
      </c>
      <c r="B2290" s="1" t="s">
        <v>4875</v>
      </c>
      <c r="D2290" s="1" t="s">
        <v>4876</v>
      </c>
      <c r="F2290" s="1" t="s">
        <v>4880</v>
      </c>
      <c r="H2290" s="1" t="s">
        <v>4881</v>
      </c>
      <c r="M2290" s="1" t="s">
        <v>2582</v>
      </c>
      <c r="N2290" s="1" t="s">
        <v>4526</v>
      </c>
      <c r="P2290" s="1" t="s">
        <v>10984</v>
      </c>
      <c r="Q2290" s="30" t="s">
        <v>2565</v>
      </c>
      <c r="R2290" s="33" t="s">
        <v>3473</v>
      </c>
      <c r="S2290">
        <v>37</v>
      </c>
      <c r="T2290" s="1" t="s">
        <v>13878</v>
      </c>
      <c r="U2290" s="1" t="str">
        <f>HYPERLINK("http://ictvonline.org/taxonomy/p/taxonomy-history?taxnode_id=202100351","ICTVonline=202100351")</f>
        <v>ICTVonline=202100351</v>
      </c>
    </row>
    <row r="2291" spans="1:21" x14ac:dyDescent="0.2">
      <c r="A2291" s="3">
        <v>2290</v>
      </c>
      <c r="B2291" s="1" t="s">
        <v>4875</v>
      </c>
      <c r="D2291" s="1" t="s">
        <v>4876</v>
      </c>
      <c r="F2291" s="1" t="s">
        <v>4880</v>
      </c>
      <c r="H2291" s="1" t="s">
        <v>4881</v>
      </c>
      <c r="M2291" s="1" t="s">
        <v>2582</v>
      </c>
      <c r="N2291" s="1" t="s">
        <v>6007</v>
      </c>
      <c r="P2291" s="1" t="s">
        <v>10985</v>
      </c>
      <c r="Q2291" s="30" t="s">
        <v>2565</v>
      </c>
      <c r="R2291" s="33" t="s">
        <v>3473</v>
      </c>
      <c r="S2291">
        <v>37</v>
      </c>
      <c r="T2291" s="1" t="s">
        <v>13878</v>
      </c>
      <c r="U2291" s="1" t="str">
        <f>HYPERLINK("http://ictvonline.org/taxonomy/p/taxonomy-history?taxnode_id=202110105","ICTVonline=202110105")</f>
        <v>ICTVonline=202110105</v>
      </c>
    </row>
    <row r="2292" spans="1:21" x14ac:dyDescent="0.2">
      <c r="A2292" s="3">
        <v>2291</v>
      </c>
      <c r="B2292" s="1" t="s">
        <v>4875</v>
      </c>
      <c r="D2292" s="1" t="s">
        <v>4876</v>
      </c>
      <c r="F2292" s="1" t="s">
        <v>4880</v>
      </c>
      <c r="H2292" s="1" t="s">
        <v>4881</v>
      </c>
      <c r="M2292" s="1" t="s">
        <v>2582</v>
      </c>
      <c r="N2292" s="1" t="s">
        <v>6007</v>
      </c>
      <c r="P2292" s="1" t="s">
        <v>10986</v>
      </c>
      <c r="Q2292" s="30" t="s">
        <v>2565</v>
      </c>
      <c r="R2292" s="33" t="s">
        <v>3473</v>
      </c>
      <c r="S2292">
        <v>37</v>
      </c>
      <c r="T2292" s="1" t="s">
        <v>13878</v>
      </c>
      <c r="U2292" s="1" t="str">
        <f>HYPERLINK("http://ictvonline.org/taxonomy/p/taxonomy-history?taxnode_id=202110106","ICTVonline=202110106")</f>
        <v>ICTVonline=202110106</v>
      </c>
    </row>
    <row r="2293" spans="1:21" x14ac:dyDescent="0.2">
      <c r="A2293" s="3">
        <v>2292</v>
      </c>
      <c r="B2293" s="1" t="s">
        <v>4875</v>
      </c>
      <c r="D2293" s="1" t="s">
        <v>4876</v>
      </c>
      <c r="F2293" s="1" t="s">
        <v>4880</v>
      </c>
      <c r="H2293" s="1" t="s">
        <v>4881</v>
      </c>
      <c r="M2293" s="1" t="s">
        <v>2582</v>
      </c>
      <c r="N2293" s="1" t="s">
        <v>6008</v>
      </c>
      <c r="P2293" s="1" t="s">
        <v>10987</v>
      </c>
      <c r="Q2293" s="30" t="s">
        <v>2565</v>
      </c>
      <c r="R2293" s="33" t="s">
        <v>3473</v>
      </c>
      <c r="S2293">
        <v>37</v>
      </c>
      <c r="T2293" s="1" t="s">
        <v>13878</v>
      </c>
      <c r="U2293" s="1" t="str">
        <f>HYPERLINK("http://ictvonline.org/taxonomy/p/taxonomy-history?taxnode_id=202111550","ICTVonline=202111550")</f>
        <v>ICTVonline=202111550</v>
      </c>
    </row>
    <row r="2294" spans="1:21" x14ac:dyDescent="0.2">
      <c r="A2294" s="3">
        <v>2293</v>
      </c>
      <c r="B2294" s="1" t="s">
        <v>4875</v>
      </c>
      <c r="D2294" s="1" t="s">
        <v>4876</v>
      </c>
      <c r="F2294" s="1" t="s">
        <v>4880</v>
      </c>
      <c r="H2294" s="1" t="s">
        <v>4881</v>
      </c>
      <c r="M2294" s="1" t="s">
        <v>2582</v>
      </c>
      <c r="N2294" s="1" t="s">
        <v>6008</v>
      </c>
      <c r="P2294" s="1" t="s">
        <v>10988</v>
      </c>
      <c r="Q2294" s="30" t="s">
        <v>2565</v>
      </c>
      <c r="R2294" s="33" t="s">
        <v>3473</v>
      </c>
      <c r="S2294">
        <v>37</v>
      </c>
      <c r="T2294" s="1" t="s">
        <v>13878</v>
      </c>
      <c r="U2294" s="1" t="str">
        <f>HYPERLINK("http://ictvonline.org/taxonomy/p/taxonomy-history?taxnode_id=202111551","ICTVonline=202111551")</f>
        <v>ICTVonline=202111551</v>
      </c>
    </row>
    <row r="2295" spans="1:21" x14ac:dyDescent="0.2">
      <c r="A2295" s="3">
        <v>2294</v>
      </c>
      <c r="B2295" s="1" t="s">
        <v>4875</v>
      </c>
      <c r="D2295" s="1" t="s">
        <v>4876</v>
      </c>
      <c r="F2295" s="1" t="s">
        <v>4880</v>
      </c>
      <c r="H2295" s="1" t="s">
        <v>4881</v>
      </c>
      <c r="M2295" s="1" t="s">
        <v>2582</v>
      </c>
      <c r="N2295" s="1" t="s">
        <v>6008</v>
      </c>
      <c r="P2295" s="1" t="s">
        <v>10989</v>
      </c>
      <c r="Q2295" s="30" t="s">
        <v>2565</v>
      </c>
      <c r="R2295" s="33" t="s">
        <v>3473</v>
      </c>
      <c r="S2295">
        <v>37</v>
      </c>
      <c r="T2295" s="1" t="s">
        <v>13878</v>
      </c>
      <c r="U2295" s="1" t="str">
        <f>HYPERLINK("http://ictvonline.org/taxonomy/p/taxonomy-history?taxnode_id=202111554","ICTVonline=202111554")</f>
        <v>ICTVonline=202111554</v>
      </c>
    </row>
    <row r="2296" spans="1:21" x14ac:dyDescent="0.2">
      <c r="A2296" s="3">
        <v>2295</v>
      </c>
      <c r="B2296" s="1" t="s">
        <v>4875</v>
      </c>
      <c r="D2296" s="1" t="s">
        <v>4876</v>
      </c>
      <c r="F2296" s="1" t="s">
        <v>4880</v>
      </c>
      <c r="H2296" s="1" t="s">
        <v>4881</v>
      </c>
      <c r="M2296" s="1" t="s">
        <v>2582</v>
      </c>
      <c r="N2296" s="1" t="s">
        <v>6008</v>
      </c>
      <c r="P2296" s="1" t="s">
        <v>10990</v>
      </c>
      <c r="Q2296" s="30" t="s">
        <v>2565</v>
      </c>
      <c r="R2296" s="33" t="s">
        <v>3473</v>
      </c>
      <c r="S2296">
        <v>37</v>
      </c>
      <c r="T2296" s="1" t="s">
        <v>13878</v>
      </c>
      <c r="U2296" s="1" t="str">
        <f>HYPERLINK("http://ictvonline.org/taxonomy/p/taxonomy-history?taxnode_id=202111553","ICTVonline=202111553")</f>
        <v>ICTVonline=202111553</v>
      </c>
    </row>
    <row r="2297" spans="1:21" x14ac:dyDescent="0.2">
      <c r="A2297" s="3">
        <v>2296</v>
      </c>
      <c r="B2297" s="1" t="s">
        <v>4875</v>
      </c>
      <c r="D2297" s="1" t="s">
        <v>4876</v>
      </c>
      <c r="F2297" s="1" t="s">
        <v>4880</v>
      </c>
      <c r="H2297" s="1" t="s">
        <v>4881</v>
      </c>
      <c r="M2297" s="1" t="s">
        <v>2582</v>
      </c>
      <c r="N2297" s="1" t="s">
        <v>6008</v>
      </c>
      <c r="P2297" s="1" t="s">
        <v>10991</v>
      </c>
      <c r="Q2297" s="30" t="s">
        <v>2565</v>
      </c>
      <c r="R2297" s="33" t="s">
        <v>3473</v>
      </c>
      <c r="S2297">
        <v>37</v>
      </c>
      <c r="T2297" s="1" t="s">
        <v>13878</v>
      </c>
      <c r="U2297" s="1" t="str">
        <f>HYPERLINK("http://ictvonline.org/taxonomy/p/taxonomy-history?taxnode_id=202111549","ICTVonline=202111549")</f>
        <v>ICTVonline=202111549</v>
      </c>
    </row>
    <row r="2298" spans="1:21" x14ac:dyDescent="0.2">
      <c r="A2298" s="3">
        <v>2297</v>
      </c>
      <c r="B2298" s="1" t="s">
        <v>4875</v>
      </c>
      <c r="D2298" s="1" t="s">
        <v>4876</v>
      </c>
      <c r="F2298" s="1" t="s">
        <v>4880</v>
      </c>
      <c r="H2298" s="1" t="s">
        <v>4881</v>
      </c>
      <c r="M2298" s="1" t="s">
        <v>2582</v>
      </c>
      <c r="N2298" s="1" t="s">
        <v>6008</v>
      </c>
      <c r="P2298" s="1" t="s">
        <v>10992</v>
      </c>
      <c r="Q2298" s="30" t="s">
        <v>2565</v>
      </c>
      <c r="R2298" s="33" t="s">
        <v>3473</v>
      </c>
      <c r="S2298">
        <v>37</v>
      </c>
      <c r="T2298" s="1" t="s">
        <v>13878</v>
      </c>
      <c r="U2298" s="1" t="str">
        <f>HYPERLINK("http://ictvonline.org/taxonomy/p/taxonomy-history?taxnode_id=202111552","ICTVonline=202111552")</f>
        <v>ICTVonline=202111552</v>
      </c>
    </row>
    <row r="2299" spans="1:21" x14ac:dyDescent="0.2">
      <c r="A2299" s="3">
        <v>2298</v>
      </c>
      <c r="B2299" s="1" t="s">
        <v>4875</v>
      </c>
      <c r="D2299" s="1" t="s">
        <v>4876</v>
      </c>
      <c r="F2299" s="1" t="s">
        <v>4880</v>
      </c>
      <c r="H2299" s="1" t="s">
        <v>4881</v>
      </c>
      <c r="M2299" s="1" t="s">
        <v>2582</v>
      </c>
      <c r="N2299" s="1" t="s">
        <v>4527</v>
      </c>
      <c r="P2299" s="1" t="s">
        <v>10993</v>
      </c>
      <c r="Q2299" s="30" t="s">
        <v>2565</v>
      </c>
      <c r="R2299" s="33" t="s">
        <v>3473</v>
      </c>
      <c r="S2299">
        <v>37</v>
      </c>
      <c r="T2299" s="1" t="s">
        <v>13878</v>
      </c>
      <c r="U2299" s="1" t="str">
        <f>HYPERLINK("http://ictvonline.org/taxonomy/p/taxonomy-history?taxnode_id=202100354","ICTVonline=202100354")</f>
        <v>ICTVonline=202100354</v>
      </c>
    </row>
    <row r="2300" spans="1:21" x14ac:dyDescent="0.2">
      <c r="A2300" s="3">
        <v>2299</v>
      </c>
      <c r="B2300" s="1" t="s">
        <v>4875</v>
      </c>
      <c r="D2300" s="1" t="s">
        <v>4876</v>
      </c>
      <c r="F2300" s="1" t="s">
        <v>4880</v>
      </c>
      <c r="H2300" s="1" t="s">
        <v>4881</v>
      </c>
      <c r="M2300" s="1" t="s">
        <v>2582</v>
      </c>
      <c r="N2300" s="1" t="s">
        <v>4527</v>
      </c>
      <c r="P2300" s="1" t="s">
        <v>10994</v>
      </c>
      <c r="Q2300" s="30" t="s">
        <v>2565</v>
      </c>
      <c r="R2300" s="33" t="s">
        <v>3473</v>
      </c>
      <c r="S2300">
        <v>37</v>
      </c>
      <c r="T2300" s="1" t="s">
        <v>13878</v>
      </c>
      <c r="U2300" s="1" t="str">
        <f>HYPERLINK("http://ictvonline.org/taxonomy/p/taxonomy-history?taxnode_id=202100353","ICTVonline=202100353")</f>
        <v>ICTVonline=202100353</v>
      </c>
    </row>
    <row r="2301" spans="1:21" x14ac:dyDescent="0.2">
      <c r="A2301" s="3">
        <v>2300</v>
      </c>
      <c r="B2301" s="1" t="s">
        <v>4875</v>
      </c>
      <c r="D2301" s="1" t="s">
        <v>4876</v>
      </c>
      <c r="F2301" s="1" t="s">
        <v>4880</v>
      </c>
      <c r="H2301" s="1" t="s">
        <v>4881</v>
      </c>
      <c r="M2301" s="1" t="s">
        <v>2582</v>
      </c>
      <c r="N2301" s="1" t="s">
        <v>4527</v>
      </c>
      <c r="P2301" s="1" t="s">
        <v>10995</v>
      </c>
      <c r="Q2301" s="30" t="s">
        <v>2565</v>
      </c>
      <c r="R2301" s="33" t="s">
        <v>3473</v>
      </c>
      <c r="S2301">
        <v>37</v>
      </c>
      <c r="T2301" s="1" t="s">
        <v>13878</v>
      </c>
      <c r="U2301" s="1" t="str">
        <f>HYPERLINK("http://ictvonline.org/taxonomy/p/taxonomy-history?taxnode_id=202100355","ICTVonline=202100355")</f>
        <v>ICTVonline=202100355</v>
      </c>
    </row>
    <row r="2302" spans="1:21" x14ac:dyDescent="0.2">
      <c r="A2302" s="3">
        <v>2301</v>
      </c>
      <c r="B2302" s="1" t="s">
        <v>4875</v>
      </c>
      <c r="D2302" s="1" t="s">
        <v>4876</v>
      </c>
      <c r="F2302" s="1" t="s">
        <v>4880</v>
      </c>
      <c r="H2302" s="1" t="s">
        <v>4881</v>
      </c>
      <c r="M2302" s="1" t="s">
        <v>2582</v>
      </c>
      <c r="N2302" s="1" t="s">
        <v>4527</v>
      </c>
      <c r="P2302" s="1" t="s">
        <v>10996</v>
      </c>
      <c r="Q2302" s="30" t="s">
        <v>2565</v>
      </c>
      <c r="R2302" s="33" t="s">
        <v>3473</v>
      </c>
      <c r="S2302">
        <v>37</v>
      </c>
      <c r="T2302" s="1" t="s">
        <v>13878</v>
      </c>
      <c r="U2302" s="1" t="str">
        <f>HYPERLINK("http://ictvonline.org/taxonomy/p/taxonomy-history?taxnode_id=202100356","ICTVonline=202100356")</f>
        <v>ICTVonline=202100356</v>
      </c>
    </row>
    <row r="2303" spans="1:21" x14ac:dyDescent="0.2">
      <c r="A2303" s="3">
        <v>2302</v>
      </c>
      <c r="B2303" s="1" t="s">
        <v>4875</v>
      </c>
      <c r="D2303" s="1" t="s">
        <v>4876</v>
      </c>
      <c r="F2303" s="1" t="s">
        <v>4880</v>
      </c>
      <c r="H2303" s="1" t="s">
        <v>4881</v>
      </c>
      <c r="M2303" s="1" t="s">
        <v>2582</v>
      </c>
      <c r="N2303" s="1" t="s">
        <v>4528</v>
      </c>
      <c r="P2303" s="1" t="s">
        <v>10997</v>
      </c>
      <c r="Q2303" s="30" t="s">
        <v>2565</v>
      </c>
      <c r="R2303" s="33" t="s">
        <v>3473</v>
      </c>
      <c r="S2303">
        <v>37</v>
      </c>
      <c r="T2303" s="1" t="s">
        <v>13878</v>
      </c>
      <c r="U2303" s="1" t="str">
        <f>HYPERLINK("http://ictvonline.org/taxonomy/p/taxonomy-history?taxnode_id=202107083","ICTVonline=202107083")</f>
        <v>ICTVonline=202107083</v>
      </c>
    </row>
    <row r="2304" spans="1:21" x14ac:dyDescent="0.2">
      <c r="A2304" s="3">
        <v>2303</v>
      </c>
      <c r="B2304" s="1" t="s">
        <v>4875</v>
      </c>
      <c r="D2304" s="1" t="s">
        <v>4876</v>
      </c>
      <c r="F2304" s="1" t="s">
        <v>4880</v>
      </c>
      <c r="H2304" s="1" t="s">
        <v>4881</v>
      </c>
      <c r="M2304" s="1" t="s">
        <v>2582</v>
      </c>
      <c r="N2304" s="1" t="s">
        <v>4528</v>
      </c>
      <c r="P2304" s="1" t="s">
        <v>10998</v>
      </c>
      <c r="Q2304" s="30" t="s">
        <v>2565</v>
      </c>
      <c r="R2304" s="33" t="s">
        <v>3473</v>
      </c>
      <c r="S2304">
        <v>37</v>
      </c>
      <c r="T2304" s="1" t="s">
        <v>13878</v>
      </c>
      <c r="U2304" s="1" t="str">
        <f>HYPERLINK("http://ictvonline.org/taxonomy/p/taxonomy-history?taxnode_id=202100358","ICTVonline=202100358")</f>
        <v>ICTVonline=202100358</v>
      </c>
    </row>
    <row r="2305" spans="1:21" x14ac:dyDescent="0.2">
      <c r="A2305" s="3">
        <v>2304</v>
      </c>
      <c r="B2305" s="1" t="s">
        <v>4875</v>
      </c>
      <c r="D2305" s="1" t="s">
        <v>4876</v>
      </c>
      <c r="F2305" s="1" t="s">
        <v>4880</v>
      </c>
      <c r="H2305" s="1" t="s">
        <v>4881</v>
      </c>
      <c r="M2305" s="1" t="s">
        <v>2582</v>
      </c>
      <c r="N2305" s="1" t="s">
        <v>4528</v>
      </c>
      <c r="P2305" s="1" t="s">
        <v>10999</v>
      </c>
      <c r="Q2305" s="30" t="s">
        <v>2565</v>
      </c>
      <c r="R2305" s="33" t="s">
        <v>3473</v>
      </c>
      <c r="S2305">
        <v>37</v>
      </c>
      <c r="T2305" s="1" t="s">
        <v>13878</v>
      </c>
      <c r="U2305" s="1" t="str">
        <f>HYPERLINK("http://ictvonline.org/taxonomy/p/taxonomy-history?taxnode_id=202100359","ICTVonline=202100359")</f>
        <v>ICTVonline=202100359</v>
      </c>
    </row>
    <row r="2306" spans="1:21" x14ac:dyDescent="0.2">
      <c r="A2306" s="3">
        <v>2305</v>
      </c>
      <c r="B2306" s="1" t="s">
        <v>4875</v>
      </c>
      <c r="D2306" s="1" t="s">
        <v>4876</v>
      </c>
      <c r="F2306" s="1" t="s">
        <v>4880</v>
      </c>
      <c r="H2306" s="1" t="s">
        <v>4881</v>
      </c>
      <c r="M2306" s="1" t="s">
        <v>2582</v>
      </c>
      <c r="N2306" s="1" t="s">
        <v>4528</v>
      </c>
      <c r="P2306" s="1" t="s">
        <v>11000</v>
      </c>
      <c r="Q2306" s="30" t="s">
        <v>2565</v>
      </c>
      <c r="R2306" s="33" t="s">
        <v>3473</v>
      </c>
      <c r="S2306">
        <v>37</v>
      </c>
      <c r="T2306" s="1" t="s">
        <v>13878</v>
      </c>
      <c r="U2306" s="1" t="str">
        <f>HYPERLINK("http://ictvonline.org/taxonomy/p/taxonomy-history?taxnode_id=202100360","ICTVonline=202100360")</f>
        <v>ICTVonline=202100360</v>
      </c>
    </row>
    <row r="2307" spans="1:21" x14ac:dyDescent="0.2">
      <c r="A2307" s="3">
        <v>2306</v>
      </c>
      <c r="B2307" s="1" t="s">
        <v>4875</v>
      </c>
      <c r="D2307" s="1" t="s">
        <v>4876</v>
      </c>
      <c r="F2307" s="1" t="s">
        <v>4880</v>
      </c>
      <c r="H2307" s="1" t="s">
        <v>4881</v>
      </c>
      <c r="M2307" s="1" t="s">
        <v>2582</v>
      </c>
      <c r="N2307" s="1" t="s">
        <v>4528</v>
      </c>
      <c r="P2307" s="1" t="s">
        <v>11001</v>
      </c>
      <c r="Q2307" s="30" t="s">
        <v>2565</v>
      </c>
      <c r="R2307" s="33" t="s">
        <v>3473</v>
      </c>
      <c r="S2307">
        <v>37</v>
      </c>
      <c r="T2307" s="1" t="s">
        <v>13878</v>
      </c>
      <c r="U2307" s="1" t="str">
        <f>HYPERLINK("http://ictvonline.org/taxonomy/p/taxonomy-history?taxnode_id=202107082","ICTVonline=202107082")</f>
        <v>ICTVonline=202107082</v>
      </c>
    </row>
    <row r="2308" spans="1:21" x14ac:dyDescent="0.2">
      <c r="A2308" s="3">
        <v>2307</v>
      </c>
      <c r="B2308" s="1" t="s">
        <v>4875</v>
      </c>
      <c r="D2308" s="1" t="s">
        <v>4876</v>
      </c>
      <c r="F2308" s="1" t="s">
        <v>4880</v>
      </c>
      <c r="H2308" s="1" t="s">
        <v>4881</v>
      </c>
      <c r="M2308" s="1" t="s">
        <v>2582</v>
      </c>
      <c r="N2308" s="1" t="s">
        <v>4528</v>
      </c>
      <c r="P2308" s="1" t="s">
        <v>11002</v>
      </c>
      <c r="Q2308" s="30" t="s">
        <v>2565</v>
      </c>
      <c r="R2308" s="33" t="s">
        <v>3473</v>
      </c>
      <c r="S2308">
        <v>37</v>
      </c>
      <c r="T2308" s="1" t="s">
        <v>13878</v>
      </c>
      <c r="U2308" s="1" t="str">
        <f>HYPERLINK("http://ictvonline.org/taxonomy/p/taxonomy-history?taxnode_id=202107081","ICTVonline=202107081")</f>
        <v>ICTVonline=202107081</v>
      </c>
    </row>
    <row r="2309" spans="1:21" x14ac:dyDescent="0.2">
      <c r="A2309" s="3">
        <v>2308</v>
      </c>
      <c r="B2309" s="1" t="s">
        <v>4875</v>
      </c>
      <c r="D2309" s="1" t="s">
        <v>4876</v>
      </c>
      <c r="F2309" s="1" t="s">
        <v>4880</v>
      </c>
      <c r="H2309" s="1" t="s">
        <v>4881</v>
      </c>
      <c r="M2309" s="1" t="s">
        <v>2582</v>
      </c>
      <c r="N2309" s="1" t="s">
        <v>4528</v>
      </c>
      <c r="P2309" s="1" t="s">
        <v>11003</v>
      </c>
      <c r="Q2309" s="30" t="s">
        <v>2565</v>
      </c>
      <c r="R2309" s="33" t="s">
        <v>3473</v>
      </c>
      <c r="S2309">
        <v>37</v>
      </c>
      <c r="T2309" s="1" t="s">
        <v>13878</v>
      </c>
      <c r="U2309" s="1" t="str">
        <f>HYPERLINK("http://ictvonline.org/taxonomy/p/taxonomy-history?taxnode_id=202100361","ICTVonline=202100361")</f>
        <v>ICTVonline=202100361</v>
      </c>
    </row>
    <row r="2310" spans="1:21" x14ac:dyDescent="0.2">
      <c r="A2310" s="3">
        <v>2309</v>
      </c>
      <c r="B2310" s="1" t="s">
        <v>4875</v>
      </c>
      <c r="D2310" s="1" t="s">
        <v>4876</v>
      </c>
      <c r="F2310" s="1" t="s">
        <v>4880</v>
      </c>
      <c r="H2310" s="1" t="s">
        <v>4881</v>
      </c>
      <c r="M2310" s="1" t="s">
        <v>2582</v>
      </c>
      <c r="N2310" s="1" t="s">
        <v>4528</v>
      </c>
      <c r="P2310" s="1" t="s">
        <v>11004</v>
      </c>
      <c r="Q2310" s="30" t="s">
        <v>2565</v>
      </c>
      <c r="R2310" s="33" t="s">
        <v>3473</v>
      </c>
      <c r="S2310">
        <v>37</v>
      </c>
      <c r="T2310" s="1" t="s">
        <v>13878</v>
      </c>
      <c r="U2310" s="1" t="str">
        <f>HYPERLINK("http://ictvonline.org/taxonomy/p/taxonomy-history?taxnode_id=202107084","ICTVonline=202107084")</f>
        <v>ICTVonline=202107084</v>
      </c>
    </row>
    <row r="2311" spans="1:21" x14ac:dyDescent="0.2">
      <c r="A2311" s="3">
        <v>2310</v>
      </c>
      <c r="B2311" s="1" t="s">
        <v>4875</v>
      </c>
      <c r="D2311" s="1" t="s">
        <v>4876</v>
      </c>
      <c r="F2311" s="1" t="s">
        <v>4880</v>
      </c>
      <c r="H2311" s="1" t="s">
        <v>4881</v>
      </c>
      <c r="M2311" s="1" t="s">
        <v>11005</v>
      </c>
      <c r="N2311" s="1" t="s">
        <v>11006</v>
      </c>
      <c r="P2311" s="1" t="s">
        <v>11007</v>
      </c>
      <c r="Q2311" s="30" t="s">
        <v>2565</v>
      </c>
      <c r="R2311" s="33" t="s">
        <v>3472</v>
      </c>
      <c r="S2311">
        <v>37</v>
      </c>
      <c r="T2311" s="1" t="s">
        <v>13925</v>
      </c>
      <c r="U2311" s="1" t="str">
        <f>HYPERLINK("http://ictvonline.org/taxonomy/p/taxonomy-history?taxnode_id=202112732","ICTVonline=202112732")</f>
        <v>ICTVonline=202112732</v>
      </c>
    </row>
    <row r="2312" spans="1:21" x14ac:dyDescent="0.2">
      <c r="A2312" s="3">
        <v>2311</v>
      </c>
      <c r="B2312" s="1" t="s">
        <v>4875</v>
      </c>
      <c r="D2312" s="1" t="s">
        <v>4876</v>
      </c>
      <c r="F2312" s="1" t="s">
        <v>4880</v>
      </c>
      <c r="H2312" s="1" t="s">
        <v>4881</v>
      </c>
      <c r="M2312" s="1" t="s">
        <v>11005</v>
      </c>
      <c r="N2312" s="1" t="s">
        <v>11006</v>
      </c>
      <c r="P2312" s="1" t="s">
        <v>11008</v>
      </c>
      <c r="Q2312" s="30" t="s">
        <v>2565</v>
      </c>
      <c r="R2312" s="33" t="s">
        <v>3472</v>
      </c>
      <c r="S2312">
        <v>37</v>
      </c>
      <c r="T2312" s="1" t="s">
        <v>13925</v>
      </c>
      <c r="U2312" s="1" t="str">
        <f>HYPERLINK("http://ictvonline.org/taxonomy/p/taxonomy-history?taxnode_id=202112733","ICTVonline=202112733")</f>
        <v>ICTVonline=202112733</v>
      </c>
    </row>
    <row r="2313" spans="1:21" x14ac:dyDescent="0.2">
      <c r="A2313" s="3">
        <v>2312</v>
      </c>
      <c r="B2313" s="1" t="s">
        <v>4875</v>
      </c>
      <c r="D2313" s="1" t="s">
        <v>4876</v>
      </c>
      <c r="F2313" s="1" t="s">
        <v>4880</v>
      </c>
      <c r="H2313" s="1" t="s">
        <v>4881</v>
      </c>
      <c r="M2313" s="1" t="s">
        <v>11005</v>
      </c>
      <c r="N2313" s="1" t="s">
        <v>11006</v>
      </c>
      <c r="P2313" s="1" t="s">
        <v>11009</v>
      </c>
      <c r="Q2313" s="30" t="s">
        <v>2565</v>
      </c>
      <c r="R2313" s="33" t="s">
        <v>3472</v>
      </c>
      <c r="S2313">
        <v>37</v>
      </c>
      <c r="T2313" s="1" t="s">
        <v>13925</v>
      </c>
      <c r="U2313" s="1" t="str">
        <f>HYPERLINK("http://ictvonline.org/taxonomy/p/taxonomy-history?taxnode_id=202112734","ICTVonline=202112734")</f>
        <v>ICTVonline=202112734</v>
      </c>
    </row>
    <row r="2314" spans="1:21" x14ac:dyDescent="0.2">
      <c r="A2314" s="3">
        <v>2313</v>
      </c>
      <c r="B2314" s="1" t="s">
        <v>4875</v>
      </c>
      <c r="D2314" s="1" t="s">
        <v>4876</v>
      </c>
      <c r="F2314" s="1" t="s">
        <v>4880</v>
      </c>
      <c r="H2314" s="1" t="s">
        <v>4881</v>
      </c>
      <c r="M2314" s="1" t="s">
        <v>11005</v>
      </c>
      <c r="N2314" s="1" t="s">
        <v>11006</v>
      </c>
      <c r="P2314" s="1" t="s">
        <v>11010</v>
      </c>
      <c r="Q2314" s="30" t="s">
        <v>2565</v>
      </c>
      <c r="R2314" s="33" t="s">
        <v>3472</v>
      </c>
      <c r="S2314">
        <v>37</v>
      </c>
      <c r="T2314" s="1" t="s">
        <v>13925</v>
      </c>
      <c r="U2314" s="1" t="str">
        <f>HYPERLINK("http://ictvonline.org/taxonomy/p/taxonomy-history?taxnode_id=202112735","ICTVonline=202112735")</f>
        <v>ICTVonline=202112735</v>
      </c>
    </row>
    <row r="2315" spans="1:21" x14ac:dyDescent="0.2">
      <c r="A2315" s="3">
        <v>2314</v>
      </c>
      <c r="B2315" s="1" t="s">
        <v>4875</v>
      </c>
      <c r="D2315" s="1" t="s">
        <v>4876</v>
      </c>
      <c r="F2315" s="1" t="s">
        <v>4880</v>
      </c>
      <c r="H2315" s="1" t="s">
        <v>4881</v>
      </c>
      <c r="M2315" s="1" t="s">
        <v>11005</v>
      </c>
      <c r="N2315" s="1" t="s">
        <v>11006</v>
      </c>
      <c r="P2315" s="1" t="s">
        <v>11011</v>
      </c>
      <c r="Q2315" s="30" t="s">
        <v>2565</v>
      </c>
      <c r="R2315" s="33" t="s">
        <v>3472</v>
      </c>
      <c r="S2315">
        <v>37</v>
      </c>
      <c r="T2315" s="1" t="s">
        <v>13925</v>
      </c>
      <c r="U2315" s="1" t="str">
        <f>HYPERLINK("http://ictvonline.org/taxonomy/p/taxonomy-history?taxnode_id=202112736","ICTVonline=202112736")</f>
        <v>ICTVonline=202112736</v>
      </c>
    </row>
    <row r="2316" spans="1:21" x14ac:dyDescent="0.2">
      <c r="A2316" s="3">
        <v>2315</v>
      </c>
      <c r="B2316" s="1" t="s">
        <v>4875</v>
      </c>
      <c r="D2316" s="1" t="s">
        <v>4876</v>
      </c>
      <c r="F2316" s="1" t="s">
        <v>4880</v>
      </c>
      <c r="H2316" s="1" t="s">
        <v>4881</v>
      </c>
      <c r="M2316" s="1" t="s">
        <v>11005</v>
      </c>
      <c r="N2316" s="1" t="s">
        <v>11012</v>
      </c>
      <c r="P2316" s="1" t="s">
        <v>11013</v>
      </c>
      <c r="Q2316" s="30" t="s">
        <v>2565</v>
      </c>
      <c r="R2316" s="33" t="s">
        <v>3472</v>
      </c>
      <c r="S2316">
        <v>37</v>
      </c>
      <c r="T2316" s="1" t="s">
        <v>13925</v>
      </c>
      <c r="U2316" s="1" t="str">
        <f>HYPERLINK("http://ictvonline.org/taxonomy/p/taxonomy-history?taxnode_id=202112702","ICTVonline=202112702")</f>
        <v>ICTVonline=202112702</v>
      </c>
    </row>
    <row r="2317" spans="1:21" x14ac:dyDescent="0.2">
      <c r="A2317" s="3">
        <v>2316</v>
      </c>
      <c r="B2317" s="1" t="s">
        <v>4875</v>
      </c>
      <c r="D2317" s="1" t="s">
        <v>4876</v>
      </c>
      <c r="F2317" s="1" t="s">
        <v>4880</v>
      </c>
      <c r="H2317" s="1" t="s">
        <v>4881</v>
      </c>
      <c r="M2317" s="1" t="s">
        <v>11005</v>
      </c>
      <c r="N2317" s="1" t="s">
        <v>11014</v>
      </c>
      <c r="P2317" s="1" t="s">
        <v>11015</v>
      </c>
      <c r="Q2317" s="30" t="s">
        <v>2565</v>
      </c>
      <c r="R2317" s="33" t="s">
        <v>3472</v>
      </c>
      <c r="S2317">
        <v>37</v>
      </c>
      <c r="T2317" s="1" t="s">
        <v>13925</v>
      </c>
      <c r="U2317" s="1" t="str">
        <f>HYPERLINK("http://ictvonline.org/taxonomy/p/taxonomy-history?taxnode_id=202112738","ICTVonline=202112738")</f>
        <v>ICTVonline=202112738</v>
      </c>
    </row>
    <row r="2318" spans="1:21" x14ac:dyDescent="0.2">
      <c r="A2318" s="3">
        <v>2317</v>
      </c>
      <c r="B2318" s="1" t="s">
        <v>4875</v>
      </c>
      <c r="D2318" s="1" t="s">
        <v>4876</v>
      </c>
      <c r="F2318" s="1" t="s">
        <v>4880</v>
      </c>
      <c r="H2318" s="1" t="s">
        <v>4881</v>
      </c>
      <c r="M2318" s="1" t="s">
        <v>11005</v>
      </c>
      <c r="N2318" s="1" t="s">
        <v>11014</v>
      </c>
      <c r="P2318" s="1" t="s">
        <v>11016</v>
      </c>
      <c r="Q2318" s="30" t="s">
        <v>2565</v>
      </c>
      <c r="R2318" s="33" t="s">
        <v>3472</v>
      </c>
      <c r="S2318">
        <v>37</v>
      </c>
      <c r="T2318" s="1" t="s">
        <v>13925</v>
      </c>
      <c r="U2318" s="1" t="str">
        <f>HYPERLINK("http://ictvonline.org/taxonomy/p/taxonomy-history?taxnode_id=202112739","ICTVonline=202112739")</f>
        <v>ICTVonline=202112739</v>
      </c>
    </row>
    <row r="2319" spans="1:21" x14ac:dyDescent="0.2">
      <c r="A2319" s="3">
        <v>2318</v>
      </c>
      <c r="B2319" s="1" t="s">
        <v>4875</v>
      </c>
      <c r="D2319" s="1" t="s">
        <v>4876</v>
      </c>
      <c r="F2319" s="1" t="s">
        <v>4880</v>
      </c>
      <c r="H2319" s="1" t="s">
        <v>4881</v>
      </c>
      <c r="M2319" s="1" t="s">
        <v>11005</v>
      </c>
      <c r="N2319" s="1" t="s">
        <v>11014</v>
      </c>
      <c r="P2319" s="1" t="s">
        <v>11017</v>
      </c>
      <c r="Q2319" s="30" t="s">
        <v>2565</v>
      </c>
      <c r="R2319" s="33" t="s">
        <v>3472</v>
      </c>
      <c r="S2319">
        <v>37</v>
      </c>
      <c r="T2319" s="1" t="s">
        <v>13925</v>
      </c>
      <c r="U2319" s="1" t="str">
        <f>HYPERLINK("http://ictvonline.org/taxonomy/p/taxonomy-history?taxnode_id=202112740","ICTVonline=202112740")</f>
        <v>ICTVonline=202112740</v>
      </c>
    </row>
    <row r="2320" spans="1:21" x14ac:dyDescent="0.2">
      <c r="A2320" s="3">
        <v>2319</v>
      </c>
      <c r="B2320" s="1" t="s">
        <v>4875</v>
      </c>
      <c r="D2320" s="1" t="s">
        <v>4876</v>
      </c>
      <c r="F2320" s="1" t="s">
        <v>4880</v>
      </c>
      <c r="H2320" s="1" t="s">
        <v>4881</v>
      </c>
      <c r="M2320" s="1" t="s">
        <v>11005</v>
      </c>
      <c r="N2320" s="1" t="s">
        <v>11014</v>
      </c>
      <c r="P2320" s="1" t="s">
        <v>11018</v>
      </c>
      <c r="Q2320" s="30" t="s">
        <v>2565</v>
      </c>
      <c r="R2320" s="33" t="s">
        <v>3472</v>
      </c>
      <c r="S2320">
        <v>37</v>
      </c>
      <c r="T2320" s="1" t="s">
        <v>13925</v>
      </c>
      <c r="U2320" s="1" t="str">
        <f>HYPERLINK("http://ictvonline.org/taxonomy/p/taxonomy-history?taxnode_id=202112741","ICTVonline=202112741")</f>
        <v>ICTVonline=202112741</v>
      </c>
    </row>
    <row r="2321" spans="1:21" x14ac:dyDescent="0.2">
      <c r="A2321" s="3">
        <v>2320</v>
      </c>
      <c r="B2321" s="1" t="s">
        <v>4875</v>
      </c>
      <c r="D2321" s="1" t="s">
        <v>4876</v>
      </c>
      <c r="F2321" s="1" t="s">
        <v>4880</v>
      </c>
      <c r="H2321" s="1" t="s">
        <v>4881</v>
      </c>
      <c r="M2321" s="1" t="s">
        <v>11005</v>
      </c>
      <c r="N2321" s="1" t="s">
        <v>11014</v>
      </c>
      <c r="P2321" s="1" t="s">
        <v>11019</v>
      </c>
      <c r="Q2321" s="30" t="s">
        <v>2565</v>
      </c>
      <c r="R2321" s="33" t="s">
        <v>3473</v>
      </c>
      <c r="S2321">
        <v>37</v>
      </c>
      <c r="T2321" s="1" t="s">
        <v>13925</v>
      </c>
      <c r="U2321" s="1" t="str">
        <f>HYPERLINK("http://ictvonline.org/taxonomy/p/taxonomy-history?taxnode_id=202101343","ICTVonline=202101343")</f>
        <v>ICTVonline=202101343</v>
      </c>
    </row>
    <row r="2322" spans="1:21" x14ac:dyDescent="0.2">
      <c r="A2322" s="3">
        <v>2321</v>
      </c>
      <c r="B2322" s="1" t="s">
        <v>4875</v>
      </c>
      <c r="D2322" s="1" t="s">
        <v>4876</v>
      </c>
      <c r="F2322" s="1" t="s">
        <v>4880</v>
      </c>
      <c r="H2322" s="1" t="s">
        <v>4881</v>
      </c>
      <c r="M2322" s="1" t="s">
        <v>11005</v>
      </c>
      <c r="N2322" s="1" t="s">
        <v>11014</v>
      </c>
      <c r="P2322" s="1" t="s">
        <v>11020</v>
      </c>
      <c r="Q2322" s="30" t="s">
        <v>2565</v>
      </c>
      <c r="R2322" s="33" t="s">
        <v>3473</v>
      </c>
      <c r="S2322">
        <v>37</v>
      </c>
      <c r="T2322" s="1" t="s">
        <v>13925</v>
      </c>
      <c r="U2322" s="1" t="str">
        <f>HYPERLINK("http://ictvonline.org/taxonomy/p/taxonomy-history?taxnode_id=202101344","ICTVonline=202101344")</f>
        <v>ICTVonline=202101344</v>
      </c>
    </row>
    <row r="2323" spans="1:21" x14ac:dyDescent="0.2">
      <c r="A2323" s="3">
        <v>2322</v>
      </c>
      <c r="B2323" s="1" t="s">
        <v>4875</v>
      </c>
      <c r="D2323" s="1" t="s">
        <v>4876</v>
      </c>
      <c r="F2323" s="1" t="s">
        <v>4880</v>
      </c>
      <c r="H2323" s="1" t="s">
        <v>4881</v>
      </c>
      <c r="M2323" s="1" t="s">
        <v>11005</v>
      </c>
      <c r="N2323" s="1" t="s">
        <v>11014</v>
      </c>
      <c r="P2323" s="1" t="s">
        <v>11021</v>
      </c>
      <c r="Q2323" s="30" t="s">
        <v>2565</v>
      </c>
      <c r="R2323" s="33" t="s">
        <v>3472</v>
      </c>
      <c r="S2323">
        <v>37</v>
      </c>
      <c r="T2323" s="1" t="s">
        <v>13925</v>
      </c>
      <c r="U2323" s="1" t="str">
        <f>HYPERLINK("http://ictvonline.org/taxonomy/p/taxonomy-history?taxnode_id=202112742","ICTVonline=202112742")</f>
        <v>ICTVonline=202112742</v>
      </c>
    </row>
    <row r="2324" spans="1:21" x14ac:dyDescent="0.2">
      <c r="A2324" s="3">
        <v>2323</v>
      </c>
      <c r="B2324" s="1" t="s">
        <v>4875</v>
      </c>
      <c r="D2324" s="1" t="s">
        <v>4876</v>
      </c>
      <c r="F2324" s="1" t="s">
        <v>4880</v>
      </c>
      <c r="H2324" s="1" t="s">
        <v>4881</v>
      </c>
      <c r="M2324" s="1" t="s">
        <v>11005</v>
      </c>
      <c r="N2324" s="1" t="s">
        <v>11014</v>
      </c>
      <c r="P2324" s="1" t="s">
        <v>11022</v>
      </c>
      <c r="Q2324" s="30" t="s">
        <v>2565</v>
      </c>
      <c r="R2324" s="33" t="s">
        <v>3472</v>
      </c>
      <c r="S2324">
        <v>37</v>
      </c>
      <c r="T2324" s="1" t="s">
        <v>13925</v>
      </c>
      <c r="U2324" s="1" t="str">
        <f>HYPERLINK("http://ictvonline.org/taxonomy/p/taxonomy-history?taxnode_id=202112743","ICTVonline=202112743")</f>
        <v>ICTVonline=202112743</v>
      </c>
    </row>
    <row r="2325" spans="1:21" x14ac:dyDescent="0.2">
      <c r="A2325" s="3">
        <v>2324</v>
      </c>
      <c r="B2325" s="1" t="s">
        <v>4875</v>
      </c>
      <c r="D2325" s="1" t="s">
        <v>4876</v>
      </c>
      <c r="F2325" s="1" t="s">
        <v>4880</v>
      </c>
      <c r="H2325" s="1" t="s">
        <v>4881</v>
      </c>
      <c r="M2325" s="1" t="s">
        <v>11005</v>
      </c>
      <c r="N2325" s="1" t="s">
        <v>11014</v>
      </c>
      <c r="P2325" s="1" t="s">
        <v>11023</v>
      </c>
      <c r="Q2325" s="30" t="s">
        <v>2565</v>
      </c>
      <c r="R2325" s="33" t="s">
        <v>3472</v>
      </c>
      <c r="S2325">
        <v>37</v>
      </c>
      <c r="T2325" s="1" t="s">
        <v>13925</v>
      </c>
      <c r="U2325" s="1" t="str">
        <f>HYPERLINK("http://ictvonline.org/taxonomy/p/taxonomy-history?taxnode_id=202112744","ICTVonline=202112744")</f>
        <v>ICTVonline=202112744</v>
      </c>
    </row>
    <row r="2326" spans="1:21" x14ac:dyDescent="0.2">
      <c r="A2326" s="3">
        <v>2325</v>
      </c>
      <c r="B2326" s="1" t="s">
        <v>4875</v>
      </c>
      <c r="D2326" s="1" t="s">
        <v>4876</v>
      </c>
      <c r="F2326" s="1" t="s">
        <v>4880</v>
      </c>
      <c r="H2326" s="1" t="s">
        <v>4881</v>
      </c>
      <c r="M2326" s="1" t="s">
        <v>11005</v>
      </c>
      <c r="N2326" s="1" t="s">
        <v>11014</v>
      </c>
      <c r="P2326" s="1" t="s">
        <v>11024</v>
      </c>
      <c r="Q2326" s="30" t="s">
        <v>2565</v>
      </c>
      <c r="R2326" s="33" t="s">
        <v>3472</v>
      </c>
      <c r="S2326">
        <v>37</v>
      </c>
      <c r="T2326" s="1" t="s">
        <v>13925</v>
      </c>
      <c r="U2326" s="1" t="str">
        <f>HYPERLINK("http://ictvonline.org/taxonomy/p/taxonomy-history?taxnode_id=202112745","ICTVonline=202112745")</f>
        <v>ICTVonline=202112745</v>
      </c>
    </row>
    <row r="2327" spans="1:21" x14ac:dyDescent="0.2">
      <c r="A2327" s="3">
        <v>2326</v>
      </c>
      <c r="B2327" s="1" t="s">
        <v>4875</v>
      </c>
      <c r="D2327" s="1" t="s">
        <v>4876</v>
      </c>
      <c r="F2327" s="1" t="s">
        <v>4880</v>
      </c>
      <c r="H2327" s="1" t="s">
        <v>4881</v>
      </c>
      <c r="M2327" s="1" t="s">
        <v>11005</v>
      </c>
      <c r="N2327" s="1" t="s">
        <v>11014</v>
      </c>
      <c r="P2327" s="1" t="s">
        <v>11025</v>
      </c>
      <c r="Q2327" s="30" t="s">
        <v>2565</v>
      </c>
      <c r="R2327" s="33" t="s">
        <v>3473</v>
      </c>
      <c r="S2327">
        <v>37</v>
      </c>
      <c r="T2327" s="1" t="s">
        <v>13925</v>
      </c>
      <c r="U2327" s="1" t="str">
        <f>HYPERLINK("http://ictvonline.org/taxonomy/p/taxonomy-history?taxnode_id=202101345","ICTVonline=202101345")</f>
        <v>ICTVonline=202101345</v>
      </c>
    </row>
    <row r="2328" spans="1:21" x14ac:dyDescent="0.2">
      <c r="A2328" s="3">
        <v>2327</v>
      </c>
      <c r="B2328" s="1" t="s">
        <v>4875</v>
      </c>
      <c r="D2328" s="1" t="s">
        <v>4876</v>
      </c>
      <c r="F2328" s="1" t="s">
        <v>4880</v>
      </c>
      <c r="H2328" s="1" t="s">
        <v>4881</v>
      </c>
      <c r="M2328" s="1" t="s">
        <v>11005</v>
      </c>
      <c r="N2328" s="1" t="s">
        <v>11014</v>
      </c>
      <c r="P2328" s="1" t="s">
        <v>11026</v>
      </c>
      <c r="Q2328" s="30" t="s">
        <v>2565</v>
      </c>
      <c r="R2328" s="33" t="s">
        <v>3472</v>
      </c>
      <c r="S2328">
        <v>37</v>
      </c>
      <c r="T2328" s="1" t="s">
        <v>13925</v>
      </c>
      <c r="U2328" s="1" t="str">
        <f>HYPERLINK("http://ictvonline.org/taxonomy/p/taxonomy-history?taxnode_id=202112746","ICTVonline=202112746")</f>
        <v>ICTVonline=202112746</v>
      </c>
    </row>
    <row r="2329" spans="1:21" x14ac:dyDescent="0.2">
      <c r="A2329" s="3">
        <v>2328</v>
      </c>
      <c r="B2329" s="1" t="s">
        <v>4875</v>
      </c>
      <c r="D2329" s="1" t="s">
        <v>4876</v>
      </c>
      <c r="F2329" s="1" t="s">
        <v>4880</v>
      </c>
      <c r="H2329" s="1" t="s">
        <v>4881</v>
      </c>
      <c r="M2329" s="1" t="s">
        <v>11005</v>
      </c>
      <c r="N2329" s="1" t="s">
        <v>11014</v>
      </c>
      <c r="P2329" s="1" t="s">
        <v>11027</v>
      </c>
      <c r="Q2329" s="30" t="s">
        <v>2565</v>
      </c>
      <c r="R2329" s="33" t="s">
        <v>3473</v>
      </c>
      <c r="S2329">
        <v>37</v>
      </c>
      <c r="T2329" s="1" t="s">
        <v>13925</v>
      </c>
      <c r="U2329" s="1" t="str">
        <f>HYPERLINK("http://ictvonline.org/taxonomy/p/taxonomy-history?taxnode_id=202101347","ICTVonline=202101347")</f>
        <v>ICTVonline=202101347</v>
      </c>
    </row>
    <row r="2330" spans="1:21" x14ac:dyDescent="0.2">
      <c r="A2330" s="3">
        <v>2329</v>
      </c>
      <c r="B2330" s="1" t="s">
        <v>4875</v>
      </c>
      <c r="D2330" s="1" t="s">
        <v>4876</v>
      </c>
      <c r="F2330" s="1" t="s">
        <v>4880</v>
      </c>
      <c r="H2330" s="1" t="s">
        <v>4881</v>
      </c>
      <c r="M2330" s="1" t="s">
        <v>11005</v>
      </c>
      <c r="N2330" s="1" t="s">
        <v>11014</v>
      </c>
      <c r="P2330" s="1" t="s">
        <v>11028</v>
      </c>
      <c r="Q2330" s="30" t="s">
        <v>2565</v>
      </c>
      <c r="R2330" s="33" t="s">
        <v>3472</v>
      </c>
      <c r="S2330">
        <v>37</v>
      </c>
      <c r="T2330" s="1" t="s">
        <v>13925</v>
      </c>
      <c r="U2330" s="1" t="str">
        <f>HYPERLINK("http://ictvonline.org/taxonomy/p/taxonomy-history?taxnode_id=202112747","ICTVonline=202112747")</f>
        <v>ICTVonline=202112747</v>
      </c>
    </row>
    <row r="2331" spans="1:21" x14ac:dyDescent="0.2">
      <c r="A2331" s="3">
        <v>2330</v>
      </c>
      <c r="B2331" s="1" t="s">
        <v>4875</v>
      </c>
      <c r="D2331" s="1" t="s">
        <v>4876</v>
      </c>
      <c r="F2331" s="1" t="s">
        <v>4880</v>
      </c>
      <c r="H2331" s="1" t="s">
        <v>4881</v>
      </c>
      <c r="M2331" s="1" t="s">
        <v>11005</v>
      </c>
      <c r="N2331" s="1" t="s">
        <v>11014</v>
      </c>
      <c r="P2331" s="1" t="s">
        <v>11029</v>
      </c>
      <c r="Q2331" s="30" t="s">
        <v>2565</v>
      </c>
      <c r="R2331" s="33" t="s">
        <v>3472</v>
      </c>
      <c r="S2331">
        <v>37</v>
      </c>
      <c r="T2331" s="1" t="s">
        <v>13925</v>
      </c>
      <c r="U2331" s="1" t="str">
        <f>HYPERLINK("http://ictvonline.org/taxonomy/p/taxonomy-history?taxnode_id=202112748","ICTVonline=202112748")</f>
        <v>ICTVonline=202112748</v>
      </c>
    </row>
    <row r="2332" spans="1:21" x14ac:dyDescent="0.2">
      <c r="A2332" s="3">
        <v>2331</v>
      </c>
      <c r="B2332" s="1" t="s">
        <v>4875</v>
      </c>
      <c r="D2332" s="1" t="s">
        <v>4876</v>
      </c>
      <c r="F2332" s="1" t="s">
        <v>4880</v>
      </c>
      <c r="H2332" s="1" t="s">
        <v>4881</v>
      </c>
      <c r="M2332" s="1" t="s">
        <v>11005</v>
      </c>
      <c r="N2332" s="1" t="s">
        <v>11014</v>
      </c>
      <c r="P2332" s="1" t="s">
        <v>11030</v>
      </c>
      <c r="Q2332" s="30" t="s">
        <v>2565</v>
      </c>
      <c r="R2332" s="33" t="s">
        <v>3472</v>
      </c>
      <c r="S2332">
        <v>37</v>
      </c>
      <c r="T2332" s="1" t="s">
        <v>13925</v>
      </c>
      <c r="U2332" s="1" t="str">
        <f>HYPERLINK("http://ictvonline.org/taxonomy/p/taxonomy-history?taxnode_id=202112749","ICTVonline=202112749")</f>
        <v>ICTVonline=202112749</v>
      </c>
    </row>
    <row r="2333" spans="1:21" x14ac:dyDescent="0.2">
      <c r="A2333" s="3">
        <v>2332</v>
      </c>
      <c r="B2333" s="1" t="s">
        <v>4875</v>
      </c>
      <c r="D2333" s="1" t="s">
        <v>4876</v>
      </c>
      <c r="F2333" s="1" t="s">
        <v>4880</v>
      </c>
      <c r="H2333" s="1" t="s">
        <v>4881</v>
      </c>
      <c r="M2333" s="1" t="s">
        <v>11005</v>
      </c>
      <c r="N2333" s="1" t="s">
        <v>11014</v>
      </c>
      <c r="P2333" s="1" t="s">
        <v>11031</v>
      </c>
      <c r="Q2333" s="30" t="s">
        <v>2565</v>
      </c>
      <c r="R2333" s="33" t="s">
        <v>3472</v>
      </c>
      <c r="S2333">
        <v>37</v>
      </c>
      <c r="T2333" s="1" t="s">
        <v>13925</v>
      </c>
      <c r="U2333" s="1" t="str">
        <f>HYPERLINK("http://ictvonline.org/taxonomy/p/taxonomy-history?taxnode_id=202112750","ICTVonline=202112750")</f>
        <v>ICTVonline=202112750</v>
      </c>
    </row>
    <row r="2334" spans="1:21" x14ac:dyDescent="0.2">
      <c r="A2334" s="3">
        <v>2333</v>
      </c>
      <c r="B2334" s="1" t="s">
        <v>4875</v>
      </c>
      <c r="D2334" s="1" t="s">
        <v>4876</v>
      </c>
      <c r="F2334" s="1" t="s">
        <v>4880</v>
      </c>
      <c r="H2334" s="1" t="s">
        <v>4881</v>
      </c>
      <c r="M2334" s="1" t="s">
        <v>11005</v>
      </c>
      <c r="N2334" s="1" t="s">
        <v>11014</v>
      </c>
      <c r="P2334" s="1" t="s">
        <v>11032</v>
      </c>
      <c r="Q2334" s="30" t="s">
        <v>2565</v>
      </c>
      <c r="R2334" s="33" t="s">
        <v>3472</v>
      </c>
      <c r="S2334">
        <v>37</v>
      </c>
      <c r="T2334" s="1" t="s">
        <v>13925</v>
      </c>
      <c r="U2334" s="1" t="str">
        <f>HYPERLINK("http://ictvonline.org/taxonomy/p/taxonomy-history?taxnode_id=202112751","ICTVonline=202112751")</f>
        <v>ICTVonline=202112751</v>
      </c>
    </row>
    <row r="2335" spans="1:21" x14ac:dyDescent="0.2">
      <c r="A2335" s="3">
        <v>2334</v>
      </c>
      <c r="B2335" s="1" t="s">
        <v>4875</v>
      </c>
      <c r="D2335" s="1" t="s">
        <v>4876</v>
      </c>
      <c r="F2335" s="1" t="s">
        <v>4880</v>
      </c>
      <c r="H2335" s="1" t="s">
        <v>4881</v>
      </c>
      <c r="M2335" s="1" t="s">
        <v>11005</v>
      </c>
      <c r="N2335" s="1" t="s">
        <v>11014</v>
      </c>
      <c r="P2335" s="1" t="s">
        <v>11033</v>
      </c>
      <c r="Q2335" s="30" t="s">
        <v>2565</v>
      </c>
      <c r="R2335" s="33" t="s">
        <v>3472</v>
      </c>
      <c r="S2335">
        <v>37</v>
      </c>
      <c r="T2335" s="1" t="s">
        <v>13925</v>
      </c>
      <c r="U2335" s="1" t="str">
        <f>HYPERLINK("http://ictvonline.org/taxonomy/p/taxonomy-history?taxnode_id=202112752","ICTVonline=202112752")</f>
        <v>ICTVonline=202112752</v>
      </c>
    </row>
    <row r="2336" spans="1:21" x14ac:dyDescent="0.2">
      <c r="A2336" s="3">
        <v>2335</v>
      </c>
      <c r="B2336" s="1" t="s">
        <v>4875</v>
      </c>
      <c r="D2336" s="1" t="s">
        <v>4876</v>
      </c>
      <c r="F2336" s="1" t="s">
        <v>4880</v>
      </c>
      <c r="H2336" s="1" t="s">
        <v>4881</v>
      </c>
      <c r="M2336" s="1" t="s">
        <v>11005</v>
      </c>
      <c r="N2336" s="1" t="s">
        <v>11014</v>
      </c>
      <c r="P2336" s="1" t="s">
        <v>11034</v>
      </c>
      <c r="Q2336" s="30" t="s">
        <v>2565</v>
      </c>
      <c r="R2336" s="33" t="s">
        <v>3472</v>
      </c>
      <c r="S2336">
        <v>37</v>
      </c>
      <c r="T2336" s="1" t="s">
        <v>13925</v>
      </c>
      <c r="U2336" s="1" t="str">
        <f>HYPERLINK("http://ictvonline.org/taxonomy/p/taxonomy-history?taxnode_id=202112753","ICTVonline=202112753")</f>
        <v>ICTVonline=202112753</v>
      </c>
    </row>
    <row r="2337" spans="1:21" x14ac:dyDescent="0.2">
      <c r="A2337" s="3">
        <v>2336</v>
      </c>
      <c r="B2337" s="1" t="s">
        <v>4875</v>
      </c>
      <c r="D2337" s="1" t="s">
        <v>4876</v>
      </c>
      <c r="F2337" s="1" t="s">
        <v>4880</v>
      </c>
      <c r="H2337" s="1" t="s">
        <v>4881</v>
      </c>
      <c r="M2337" s="1" t="s">
        <v>11005</v>
      </c>
      <c r="N2337" s="1" t="s">
        <v>11014</v>
      </c>
      <c r="P2337" s="1" t="s">
        <v>11035</v>
      </c>
      <c r="Q2337" s="30" t="s">
        <v>2565</v>
      </c>
      <c r="R2337" s="33" t="s">
        <v>3472</v>
      </c>
      <c r="S2337">
        <v>37</v>
      </c>
      <c r="T2337" s="1" t="s">
        <v>13925</v>
      </c>
      <c r="U2337" s="1" t="str">
        <f>HYPERLINK("http://ictvonline.org/taxonomy/p/taxonomy-history?taxnode_id=202112754","ICTVonline=202112754")</f>
        <v>ICTVonline=202112754</v>
      </c>
    </row>
    <row r="2338" spans="1:21" x14ac:dyDescent="0.2">
      <c r="A2338" s="3">
        <v>2337</v>
      </c>
      <c r="B2338" s="1" t="s">
        <v>4875</v>
      </c>
      <c r="D2338" s="1" t="s">
        <v>4876</v>
      </c>
      <c r="F2338" s="1" t="s">
        <v>4880</v>
      </c>
      <c r="H2338" s="1" t="s">
        <v>4881</v>
      </c>
      <c r="M2338" s="1" t="s">
        <v>11005</v>
      </c>
      <c r="N2338" s="1" t="s">
        <v>11014</v>
      </c>
      <c r="P2338" s="1" t="s">
        <v>11036</v>
      </c>
      <c r="Q2338" s="30" t="s">
        <v>2565</v>
      </c>
      <c r="R2338" s="33" t="s">
        <v>3472</v>
      </c>
      <c r="S2338">
        <v>37</v>
      </c>
      <c r="T2338" s="1" t="s">
        <v>13925</v>
      </c>
      <c r="U2338" s="1" t="str">
        <f>HYPERLINK("http://ictvonline.org/taxonomy/p/taxonomy-history?taxnode_id=202112755","ICTVonline=202112755")</f>
        <v>ICTVonline=202112755</v>
      </c>
    </row>
    <row r="2339" spans="1:21" x14ac:dyDescent="0.2">
      <c r="A2339" s="3">
        <v>2338</v>
      </c>
      <c r="B2339" s="1" t="s">
        <v>4875</v>
      </c>
      <c r="D2339" s="1" t="s">
        <v>4876</v>
      </c>
      <c r="F2339" s="1" t="s">
        <v>4880</v>
      </c>
      <c r="H2339" s="1" t="s">
        <v>4881</v>
      </c>
      <c r="M2339" s="1" t="s">
        <v>11005</v>
      </c>
      <c r="N2339" s="1" t="s">
        <v>11014</v>
      </c>
      <c r="P2339" s="1" t="s">
        <v>11037</v>
      </c>
      <c r="Q2339" s="30" t="s">
        <v>2565</v>
      </c>
      <c r="R2339" s="33" t="s">
        <v>3472</v>
      </c>
      <c r="S2339">
        <v>37</v>
      </c>
      <c r="T2339" s="1" t="s">
        <v>13925</v>
      </c>
      <c r="U2339" s="1" t="str">
        <f>HYPERLINK("http://ictvonline.org/taxonomy/p/taxonomy-history?taxnode_id=202112756","ICTVonline=202112756")</f>
        <v>ICTVonline=202112756</v>
      </c>
    </row>
    <row r="2340" spans="1:21" x14ac:dyDescent="0.2">
      <c r="A2340" s="3">
        <v>2339</v>
      </c>
      <c r="B2340" s="1" t="s">
        <v>4875</v>
      </c>
      <c r="D2340" s="1" t="s">
        <v>4876</v>
      </c>
      <c r="F2340" s="1" t="s">
        <v>4880</v>
      </c>
      <c r="H2340" s="1" t="s">
        <v>4881</v>
      </c>
      <c r="M2340" s="1" t="s">
        <v>11005</v>
      </c>
      <c r="N2340" s="1" t="s">
        <v>11014</v>
      </c>
      <c r="P2340" s="1" t="s">
        <v>11038</v>
      </c>
      <c r="Q2340" s="30" t="s">
        <v>2565</v>
      </c>
      <c r="R2340" s="33" t="s">
        <v>3472</v>
      </c>
      <c r="S2340">
        <v>37</v>
      </c>
      <c r="T2340" s="1" t="s">
        <v>13925</v>
      </c>
      <c r="U2340" s="1" t="str">
        <f>HYPERLINK("http://ictvonline.org/taxonomy/p/taxonomy-history?taxnode_id=202112757","ICTVonline=202112757")</f>
        <v>ICTVonline=202112757</v>
      </c>
    </row>
    <row r="2341" spans="1:21" x14ac:dyDescent="0.2">
      <c r="A2341" s="3">
        <v>2340</v>
      </c>
      <c r="B2341" s="1" t="s">
        <v>4875</v>
      </c>
      <c r="D2341" s="1" t="s">
        <v>4876</v>
      </c>
      <c r="F2341" s="1" t="s">
        <v>4880</v>
      </c>
      <c r="H2341" s="1" t="s">
        <v>4881</v>
      </c>
      <c r="M2341" s="1" t="s">
        <v>11005</v>
      </c>
      <c r="N2341" s="1" t="s">
        <v>11014</v>
      </c>
      <c r="P2341" s="1" t="s">
        <v>11039</v>
      </c>
      <c r="Q2341" s="30" t="s">
        <v>2565</v>
      </c>
      <c r="R2341" s="33" t="s">
        <v>3472</v>
      </c>
      <c r="S2341">
        <v>37</v>
      </c>
      <c r="T2341" s="1" t="s">
        <v>13925</v>
      </c>
      <c r="U2341" s="1" t="str">
        <f>HYPERLINK("http://ictvonline.org/taxonomy/p/taxonomy-history?taxnode_id=202112758","ICTVonline=202112758")</f>
        <v>ICTVonline=202112758</v>
      </c>
    </row>
    <row r="2342" spans="1:21" x14ac:dyDescent="0.2">
      <c r="A2342" s="3">
        <v>2341</v>
      </c>
      <c r="B2342" s="1" t="s">
        <v>4875</v>
      </c>
      <c r="D2342" s="1" t="s">
        <v>4876</v>
      </c>
      <c r="F2342" s="1" t="s">
        <v>4880</v>
      </c>
      <c r="H2342" s="1" t="s">
        <v>4881</v>
      </c>
      <c r="M2342" s="1" t="s">
        <v>11005</v>
      </c>
      <c r="N2342" s="1" t="s">
        <v>11014</v>
      </c>
      <c r="P2342" s="1" t="s">
        <v>11040</v>
      </c>
      <c r="Q2342" s="30" t="s">
        <v>2565</v>
      </c>
      <c r="R2342" s="33" t="s">
        <v>3472</v>
      </c>
      <c r="S2342">
        <v>37</v>
      </c>
      <c r="T2342" s="1" t="s">
        <v>13925</v>
      </c>
      <c r="U2342" s="1" t="str">
        <f>HYPERLINK("http://ictvonline.org/taxonomy/p/taxonomy-history?taxnode_id=202112759","ICTVonline=202112759")</f>
        <v>ICTVonline=202112759</v>
      </c>
    </row>
    <row r="2343" spans="1:21" x14ac:dyDescent="0.2">
      <c r="A2343" s="3">
        <v>2342</v>
      </c>
      <c r="B2343" s="1" t="s">
        <v>4875</v>
      </c>
      <c r="D2343" s="1" t="s">
        <v>4876</v>
      </c>
      <c r="F2343" s="1" t="s">
        <v>4880</v>
      </c>
      <c r="H2343" s="1" t="s">
        <v>4881</v>
      </c>
      <c r="M2343" s="1" t="s">
        <v>11005</v>
      </c>
      <c r="N2343" s="1" t="s">
        <v>11014</v>
      </c>
      <c r="P2343" s="1" t="s">
        <v>11041</v>
      </c>
      <c r="Q2343" s="30" t="s">
        <v>2565</v>
      </c>
      <c r="R2343" s="33" t="s">
        <v>3472</v>
      </c>
      <c r="S2343">
        <v>37</v>
      </c>
      <c r="T2343" s="1" t="s">
        <v>13925</v>
      </c>
      <c r="U2343" s="1" t="str">
        <f>HYPERLINK("http://ictvonline.org/taxonomy/p/taxonomy-history?taxnode_id=202112760","ICTVonline=202112760")</f>
        <v>ICTVonline=202112760</v>
      </c>
    </row>
    <row r="2344" spans="1:21" x14ac:dyDescent="0.2">
      <c r="A2344" s="3">
        <v>2343</v>
      </c>
      <c r="B2344" s="1" t="s">
        <v>4875</v>
      </c>
      <c r="D2344" s="1" t="s">
        <v>4876</v>
      </c>
      <c r="F2344" s="1" t="s">
        <v>4880</v>
      </c>
      <c r="H2344" s="1" t="s">
        <v>4881</v>
      </c>
      <c r="M2344" s="1" t="s">
        <v>11005</v>
      </c>
      <c r="N2344" s="1" t="s">
        <v>11014</v>
      </c>
      <c r="P2344" s="1" t="s">
        <v>11042</v>
      </c>
      <c r="Q2344" s="30" t="s">
        <v>2565</v>
      </c>
      <c r="R2344" s="33" t="s">
        <v>3472</v>
      </c>
      <c r="S2344">
        <v>37</v>
      </c>
      <c r="T2344" s="1" t="s">
        <v>13925</v>
      </c>
      <c r="U2344" s="1" t="str">
        <f>HYPERLINK("http://ictvonline.org/taxonomy/p/taxonomy-history?taxnode_id=202112761","ICTVonline=202112761")</f>
        <v>ICTVonline=202112761</v>
      </c>
    </row>
    <row r="2345" spans="1:21" x14ac:dyDescent="0.2">
      <c r="A2345" s="3">
        <v>2344</v>
      </c>
      <c r="B2345" s="1" t="s">
        <v>4875</v>
      </c>
      <c r="D2345" s="1" t="s">
        <v>4876</v>
      </c>
      <c r="F2345" s="1" t="s">
        <v>4880</v>
      </c>
      <c r="H2345" s="1" t="s">
        <v>4881</v>
      </c>
      <c r="M2345" s="1" t="s">
        <v>11005</v>
      </c>
      <c r="N2345" s="1" t="s">
        <v>11043</v>
      </c>
      <c r="P2345" s="1" t="s">
        <v>11044</v>
      </c>
      <c r="Q2345" s="30" t="s">
        <v>2565</v>
      </c>
      <c r="R2345" s="33" t="s">
        <v>3472</v>
      </c>
      <c r="S2345">
        <v>37</v>
      </c>
      <c r="T2345" s="1" t="s">
        <v>13925</v>
      </c>
      <c r="U2345" s="1" t="str">
        <f>HYPERLINK("http://ictvonline.org/taxonomy/p/taxonomy-history?taxnode_id=202112706","ICTVonline=202112706")</f>
        <v>ICTVonline=202112706</v>
      </c>
    </row>
    <row r="2346" spans="1:21" x14ac:dyDescent="0.2">
      <c r="A2346" s="3">
        <v>2345</v>
      </c>
      <c r="B2346" s="1" t="s">
        <v>4875</v>
      </c>
      <c r="D2346" s="1" t="s">
        <v>4876</v>
      </c>
      <c r="F2346" s="1" t="s">
        <v>4880</v>
      </c>
      <c r="H2346" s="1" t="s">
        <v>4881</v>
      </c>
      <c r="M2346" s="1" t="s">
        <v>11005</v>
      </c>
      <c r="N2346" s="1" t="s">
        <v>11043</v>
      </c>
      <c r="P2346" s="1" t="s">
        <v>11045</v>
      </c>
      <c r="Q2346" s="30" t="s">
        <v>2565</v>
      </c>
      <c r="R2346" s="33" t="s">
        <v>3472</v>
      </c>
      <c r="S2346">
        <v>37</v>
      </c>
      <c r="T2346" s="1" t="s">
        <v>13925</v>
      </c>
      <c r="U2346" s="1" t="str">
        <f>HYPERLINK("http://ictvonline.org/taxonomy/p/taxonomy-history?taxnode_id=202112704","ICTVonline=202112704")</f>
        <v>ICTVonline=202112704</v>
      </c>
    </row>
    <row r="2347" spans="1:21" x14ac:dyDescent="0.2">
      <c r="A2347" s="3">
        <v>2346</v>
      </c>
      <c r="B2347" s="1" t="s">
        <v>4875</v>
      </c>
      <c r="D2347" s="1" t="s">
        <v>4876</v>
      </c>
      <c r="F2347" s="1" t="s">
        <v>4880</v>
      </c>
      <c r="H2347" s="1" t="s">
        <v>4881</v>
      </c>
      <c r="M2347" s="1" t="s">
        <v>11005</v>
      </c>
      <c r="N2347" s="1" t="s">
        <v>11043</v>
      </c>
      <c r="P2347" s="1" t="s">
        <v>11046</v>
      </c>
      <c r="Q2347" s="30" t="s">
        <v>2565</v>
      </c>
      <c r="R2347" s="33" t="s">
        <v>3472</v>
      </c>
      <c r="S2347">
        <v>37</v>
      </c>
      <c r="T2347" s="1" t="s">
        <v>13925</v>
      </c>
      <c r="U2347" s="1" t="str">
        <f>HYPERLINK("http://ictvonline.org/taxonomy/p/taxonomy-history?taxnode_id=202112705","ICTVonline=202112705")</f>
        <v>ICTVonline=202112705</v>
      </c>
    </row>
    <row r="2348" spans="1:21" x14ac:dyDescent="0.2">
      <c r="A2348" s="3">
        <v>2347</v>
      </c>
      <c r="B2348" s="1" t="s">
        <v>4875</v>
      </c>
      <c r="D2348" s="1" t="s">
        <v>4876</v>
      </c>
      <c r="F2348" s="1" t="s">
        <v>4880</v>
      </c>
      <c r="H2348" s="1" t="s">
        <v>4881</v>
      </c>
      <c r="M2348" s="1" t="s">
        <v>11005</v>
      </c>
      <c r="N2348" s="1" t="s">
        <v>11043</v>
      </c>
      <c r="P2348" s="1" t="s">
        <v>11047</v>
      </c>
      <c r="Q2348" s="30" t="s">
        <v>2565</v>
      </c>
      <c r="R2348" s="33" t="s">
        <v>3472</v>
      </c>
      <c r="S2348">
        <v>37</v>
      </c>
      <c r="T2348" s="1" t="s">
        <v>13925</v>
      </c>
      <c r="U2348" s="1" t="str">
        <f>HYPERLINK("http://ictvonline.org/taxonomy/p/taxonomy-history?taxnode_id=202112708","ICTVonline=202112708")</f>
        <v>ICTVonline=202112708</v>
      </c>
    </row>
    <row r="2349" spans="1:21" x14ac:dyDescent="0.2">
      <c r="A2349" s="3">
        <v>2348</v>
      </c>
      <c r="B2349" s="1" t="s">
        <v>4875</v>
      </c>
      <c r="D2349" s="1" t="s">
        <v>4876</v>
      </c>
      <c r="F2349" s="1" t="s">
        <v>4880</v>
      </c>
      <c r="H2349" s="1" t="s">
        <v>4881</v>
      </c>
      <c r="M2349" s="1" t="s">
        <v>11005</v>
      </c>
      <c r="N2349" s="1" t="s">
        <v>11043</v>
      </c>
      <c r="P2349" s="1" t="s">
        <v>11048</v>
      </c>
      <c r="Q2349" s="30" t="s">
        <v>2565</v>
      </c>
      <c r="R2349" s="33" t="s">
        <v>3472</v>
      </c>
      <c r="S2349">
        <v>37</v>
      </c>
      <c r="T2349" s="1" t="s">
        <v>13925</v>
      </c>
      <c r="U2349" s="1" t="str">
        <f>HYPERLINK("http://ictvonline.org/taxonomy/p/taxonomy-history?taxnode_id=202112707","ICTVonline=202112707")</f>
        <v>ICTVonline=202112707</v>
      </c>
    </row>
    <row r="2350" spans="1:21" x14ac:dyDescent="0.2">
      <c r="A2350" s="3">
        <v>2349</v>
      </c>
      <c r="B2350" s="1" t="s">
        <v>4875</v>
      </c>
      <c r="D2350" s="1" t="s">
        <v>4876</v>
      </c>
      <c r="F2350" s="1" t="s">
        <v>4880</v>
      </c>
      <c r="H2350" s="1" t="s">
        <v>4881</v>
      </c>
      <c r="M2350" s="1" t="s">
        <v>11005</v>
      </c>
      <c r="N2350" s="1" t="s">
        <v>11049</v>
      </c>
      <c r="P2350" s="1" t="s">
        <v>11050</v>
      </c>
      <c r="Q2350" s="30" t="s">
        <v>2565</v>
      </c>
      <c r="R2350" s="33" t="s">
        <v>3472</v>
      </c>
      <c r="S2350">
        <v>37</v>
      </c>
      <c r="T2350" s="1" t="s">
        <v>13925</v>
      </c>
      <c r="U2350" s="1" t="str">
        <f>HYPERLINK("http://ictvonline.org/taxonomy/p/taxonomy-history?taxnode_id=202112729","ICTVonline=202112729")</f>
        <v>ICTVonline=202112729</v>
      </c>
    </row>
    <row r="2351" spans="1:21" x14ac:dyDescent="0.2">
      <c r="A2351" s="3">
        <v>2350</v>
      </c>
      <c r="B2351" s="1" t="s">
        <v>4875</v>
      </c>
      <c r="D2351" s="1" t="s">
        <v>4876</v>
      </c>
      <c r="F2351" s="1" t="s">
        <v>4880</v>
      </c>
      <c r="H2351" s="1" t="s">
        <v>4881</v>
      </c>
      <c r="M2351" s="1" t="s">
        <v>11005</v>
      </c>
      <c r="N2351" s="1" t="s">
        <v>11049</v>
      </c>
      <c r="P2351" s="1" t="s">
        <v>11051</v>
      </c>
      <c r="Q2351" s="30" t="s">
        <v>2565</v>
      </c>
      <c r="R2351" s="33" t="s">
        <v>3472</v>
      </c>
      <c r="S2351">
        <v>37</v>
      </c>
      <c r="T2351" s="1" t="s">
        <v>13925</v>
      </c>
      <c r="U2351" s="1" t="str">
        <f>HYPERLINK("http://ictvonline.org/taxonomy/p/taxonomy-history?taxnode_id=202112728","ICTVonline=202112728")</f>
        <v>ICTVonline=202112728</v>
      </c>
    </row>
    <row r="2352" spans="1:21" x14ac:dyDescent="0.2">
      <c r="A2352" s="3">
        <v>2351</v>
      </c>
      <c r="B2352" s="1" t="s">
        <v>4875</v>
      </c>
      <c r="D2352" s="1" t="s">
        <v>4876</v>
      </c>
      <c r="F2352" s="1" t="s">
        <v>4880</v>
      </c>
      <c r="H2352" s="1" t="s">
        <v>4881</v>
      </c>
      <c r="M2352" s="1" t="s">
        <v>11005</v>
      </c>
      <c r="N2352" s="1" t="s">
        <v>11049</v>
      </c>
      <c r="P2352" s="1" t="s">
        <v>11052</v>
      </c>
      <c r="Q2352" s="30" t="s">
        <v>2565</v>
      </c>
      <c r="R2352" s="33" t="s">
        <v>3473</v>
      </c>
      <c r="S2352">
        <v>37</v>
      </c>
      <c r="T2352" s="1" t="s">
        <v>13925</v>
      </c>
      <c r="U2352" s="1" t="str">
        <f>HYPERLINK("http://ictvonline.org/taxonomy/p/taxonomy-history?taxnode_id=202101349","ICTVonline=202101349")</f>
        <v>ICTVonline=202101349</v>
      </c>
    </row>
    <row r="2353" spans="1:21" x14ac:dyDescent="0.2">
      <c r="A2353" s="3">
        <v>2352</v>
      </c>
      <c r="B2353" s="1" t="s">
        <v>4875</v>
      </c>
      <c r="D2353" s="1" t="s">
        <v>4876</v>
      </c>
      <c r="F2353" s="1" t="s">
        <v>4880</v>
      </c>
      <c r="H2353" s="1" t="s">
        <v>4881</v>
      </c>
      <c r="M2353" s="1" t="s">
        <v>11005</v>
      </c>
      <c r="N2353" s="1" t="s">
        <v>11049</v>
      </c>
      <c r="P2353" s="1" t="s">
        <v>11053</v>
      </c>
      <c r="Q2353" s="30" t="s">
        <v>2565</v>
      </c>
      <c r="R2353" s="33" t="s">
        <v>3473</v>
      </c>
      <c r="S2353">
        <v>37</v>
      </c>
      <c r="T2353" s="1" t="s">
        <v>13925</v>
      </c>
      <c r="U2353" s="1" t="str">
        <f>HYPERLINK("http://ictvonline.org/taxonomy/p/taxonomy-history?taxnode_id=202101350","ICTVonline=202101350")</f>
        <v>ICTVonline=202101350</v>
      </c>
    </row>
    <row r="2354" spans="1:21" x14ac:dyDescent="0.2">
      <c r="A2354" s="3">
        <v>2353</v>
      </c>
      <c r="B2354" s="1" t="s">
        <v>4875</v>
      </c>
      <c r="D2354" s="1" t="s">
        <v>4876</v>
      </c>
      <c r="F2354" s="1" t="s">
        <v>4880</v>
      </c>
      <c r="H2354" s="1" t="s">
        <v>4881</v>
      </c>
      <c r="M2354" s="1" t="s">
        <v>11005</v>
      </c>
      <c r="N2354" s="1" t="s">
        <v>11049</v>
      </c>
      <c r="P2354" s="1" t="s">
        <v>11054</v>
      </c>
      <c r="Q2354" s="30" t="s">
        <v>2565</v>
      </c>
      <c r="R2354" s="33" t="s">
        <v>3472</v>
      </c>
      <c r="S2354">
        <v>37</v>
      </c>
      <c r="T2354" s="1" t="s">
        <v>13925</v>
      </c>
      <c r="U2354" s="1" t="str">
        <f>HYPERLINK("http://ictvonline.org/taxonomy/p/taxonomy-history?taxnode_id=202112730","ICTVonline=202112730")</f>
        <v>ICTVonline=202112730</v>
      </c>
    </row>
    <row r="2355" spans="1:21" x14ac:dyDescent="0.2">
      <c r="A2355" s="3">
        <v>2354</v>
      </c>
      <c r="B2355" s="1" t="s">
        <v>4875</v>
      </c>
      <c r="D2355" s="1" t="s">
        <v>4876</v>
      </c>
      <c r="F2355" s="1" t="s">
        <v>4880</v>
      </c>
      <c r="H2355" s="1" t="s">
        <v>4881</v>
      </c>
      <c r="M2355" s="1" t="s">
        <v>11005</v>
      </c>
      <c r="N2355" s="1" t="s">
        <v>11055</v>
      </c>
      <c r="P2355" s="1" t="s">
        <v>11056</v>
      </c>
      <c r="Q2355" s="30" t="s">
        <v>2565</v>
      </c>
      <c r="R2355" s="33" t="s">
        <v>3472</v>
      </c>
      <c r="S2355">
        <v>37</v>
      </c>
      <c r="T2355" s="1" t="s">
        <v>13925</v>
      </c>
      <c r="U2355" s="1" t="str">
        <f>HYPERLINK("http://ictvonline.org/taxonomy/p/taxonomy-history?taxnode_id=202112711","ICTVonline=202112711")</f>
        <v>ICTVonline=202112711</v>
      </c>
    </row>
    <row r="2356" spans="1:21" x14ac:dyDescent="0.2">
      <c r="A2356" s="3">
        <v>2355</v>
      </c>
      <c r="B2356" s="1" t="s">
        <v>4875</v>
      </c>
      <c r="D2356" s="1" t="s">
        <v>4876</v>
      </c>
      <c r="F2356" s="1" t="s">
        <v>4880</v>
      </c>
      <c r="H2356" s="1" t="s">
        <v>4881</v>
      </c>
      <c r="M2356" s="1" t="s">
        <v>11005</v>
      </c>
      <c r="N2356" s="1" t="s">
        <v>11055</v>
      </c>
      <c r="P2356" s="1" t="s">
        <v>11057</v>
      </c>
      <c r="Q2356" s="30" t="s">
        <v>2565</v>
      </c>
      <c r="R2356" s="33" t="s">
        <v>3472</v>
      </c>
      <c r="S2356">
        <v>37</v>
      </c>
      <c r="T2356" s="1" t="s">
        <v>13925</v>
      </c>
      <c r="U2356" s="1" t="str">
        <f>HYPERLINK("http://ictvonline.org/taxonomy/p/taxonomy-history?taxnode_id=202112712","ICTVonline=202112712")</f>
        <v>ICTVonline=202112712</v>
      </c>
    </row>
    <row r="2357" spans="1:21" x14ac:dyDescent="0.2">
      <c r="A2357" s="3">
        <v>2356</v>
      </c>
      <c r="B2357" s="1" t="s">
        <v>4875</v>
      </c>
      <c r="D2357" s="1" t="s">
        <v>4876</v>
      </c>
      <c r="F2357" s="1" t="s">
        <v>4880</v>
      </c>
      <c r="H2357" s="1" t="s">
        <v>4881</v>
      </c>
      <c r="M2357" s="1" t="s">
        <v>11005</v>
      </c>
      <c r="N2357" s="1" t="s">
        <v>11055</v>
      </c>
      <c r="P2357" s="1" t="s">
        <v>11058</v>
      </c>
      <c r="Q2357" s="30" t="s">
        <v>2565</v>
      </c>
      <c r="R2357" s="33" t="s">
        <v>3472</v>
      </c>
      <c r="S2357">
        <v>37</v>
      </c>
      <c r="T2357" s="1" t="s">
        <v>13925</v>
      </c>
      <c r="U2357" s="1" t="str">
        <f>HYPERLINK("http://ictvonline.org/taxonomy/p/taxonomy-history?taxnode_id=202112710","ICTVonline=202112710")</f>
        <v>ICTVonline=202112710</v>
      </c>
    </row>
    <row r="2358" spans="1:21" x14ac:dyDescent="0.2">
      <c r="A2358" s="3">
        <v>2357</v>
      </c>
      <c r="B2358" s="1" t="s">
        <v>4875</v>
      </c>
      <c r="D2358" s="1" t="s">
        <v>4876</v>
      </c>
      <c r="F2358" s="1" t="s">
        <v>4880</v>
      </c>
      <c r="H2358" s="1" t="s">
        <v>4881</v>
      </c>
      <c r="M2358" s="1" t="s">
        <v>11005</v>
      </c>
      <c r="N2358" s="1" t="s">
        <v>11055</v>
      </c>
      <c r="P2358" s="1" t="s">
        <v>11059</v>
      </c>
      <c r="Q2358" s="30" t="s">
        <v>2565</v>
      </c>
      <c r="R2358" s="33" t="s">
        <v>3473</v>
      </c>
      <c r="S2358">
        <v>37</v>
      </c>
      <c r="T2358" s="1" t="s">
        <v>13925</v>
      </c>
      <c r="U2358" s="1" t="str">
        <f>HYPERLINK("http://ictvonline.org/taxonomy/p/taxonomy-history?taxnode_id=202101348","ICTVonline=202101348")</f>
        <v>ICTVonline=202101348</v>
      </c>
    </row>
    <row r="2359" spans="1:21" x14ac:dyDescent="0.2">
      <c r="A2359" s="3">
        <v>2358</v>
      </c>
      <c r="B2359" s="1" t="s">
        <v>4875</v>
      </c>
      <c r="D2359" s="1" t="s">
        <v>4876</v>
      </c>
      <c r="F2359" s="1" t="s">
        <v>4880</v>
      </c>
      <c r="H2359" s="1" t="s">
        <v>4881</v>
      </c>
      <c r="M2359" s="1" t="s">
        <v>11005</v>
      </c>
      <c r="N2359" s="1" t="s">
        <v>11055</v>
      </c>
      <c r="P2359" s="1" t="s">
        <v>11060</v>
      </c>
      <c r="Q2359" s="30" t="s">
        <v>2565</v>
      </c>
      <c r="R2359" s="33" t="s">
        <v>3472</v>
      </c>
      <c r="S2359">
        <v>37</v>
      </c>
      <c r="T2359" s="1" t="s">
        <v>13925</v>
      </c>
      <c r="U2359" s="1" t="str">
        <f>HYPERLINK("http://ictvonline.org/taxonomy/p/taxonomy-history?taxnode_id=202112713","ICTVonline=202112713")</f>
        <v>ICTVonline=202112713</v>
      </c>
    </row>
    <row r="2360" spans="1:21" x14ac:dyDescent="0.2">
      <c r="A2360" s="3">
        <v>2359</v>
      </c>
      <c r="B2360" s="1" t="s">
        <v>4875</v>
      </c>
      <c r="D2360" s="1" t="s">
        <v>4876</v>
      </c>
      <c r="F2360" s="1" t="s">
        <v>4880</v>
      </c>
      <c r="H2360" s="1" t="s">
        <v>4881</v>
      </c>
      <c r="M2360" s="1" t="s">
        <v>11005</v>
      </c>
      <c r="N2360" s="1" t="s">
        <v>11055</v>
      </c>
      <c r="P2360" s="1" t="s">
        <v>11061</v>
      </c>
      <c r="Q2360" s="30" t="s">
        <v>2565</v>
      </c>
      <c r="R2360" s="33" t="s">
        <v>3472</v>
      </c>
      <c r="S2360">
        <v>37</v>
      </c>
      <c r="T2360" s="1" t="s">
        <v>13925</v>
      </c>
      <c r="U2360" s="1" t="str">
        <f>HYPERLINK("http://ictvonline.org/taxonomy/p/taxonomy-history?taxnode_id=202112714","ICTVonline=202112714")</f>
        <v>ICTVonline=202112714</v>
      </c>
    </row>
    <row r="2361" spans="1:21" x14ac:dyDescent="0.2">
      <c r="A2361" s="3">
        <v>2360</v>
      </c>
      <c r="B2361" s="1" t="s">
        <v>4875</v>
      </c>
      <c r="D2361" s="1" t="s">
        <v>4876</v>
      </c>
      <c r="F2361" s="1" t="s">
        <v>4880</v>
      </c>
      <c r="H2361" s="1" t="s">
        <v>4881</v>
      </c>
      <c r="M2361" s="1" t="s">
        <v>11005</v>
      </c>
      <c r="N2361" s="1" t="s">
        <v>11055</v>
      </c>
      <c r="P2361" s="1" t="s">
        <v>11062</v>
      </c>
      <c r="Q2361" s="30" t="s">
        <v>2565</v>
      </c>
      <c r="R2361" s="33" t="s">
        <v>3472</v>
      </c>
      <c r="S2361">
        <v>37</v>
      </c>
      <c r="T2361" s="1" t="s">
        <v>13925</v>
      </c>
      <c r="U2361" s="1" t="str">
        <f>HYPERLINK("http://ictvonline.org/taxonomy/p/taxonomy-history?taxnode_id=202112715","ICTVonline=202112715")</f>
        <v>ICTVonline=202112715</v>
      </c>
    </row>
    <row r="2362" spans="1:21" x14ac:dyDescent="0.2">
      <c r="A2362" s="3">
        <v>2361</v>
      </c>
      <c r="B2362" s="1" t="s">
        <v>4875</v>
      </c>
      <c r="D2362" s="1" t="s">
        <v>4876</v>
      </c>
      <c r="F2362" s="1" t="s">
        <v>4880</v>
      </c>
      <c r="H2362" s="1" t="s">
        <v>4881</v>
      </c>
      <c r="M2362" s="1" t="s">
        <v>11005</v>
      </c>
      <c r="N2362" s="1" t="s">
        <v>11055</v>
      </c>
      <c r="P2362" s="1" t="s">
        <v>11063</v>
      </c>
      <c r="Q2362" s="30" t="s">
        <v>2565</v>
      </c>
      <c r="R2362" s="33" t="s">
        <v>3472</v>
      </c>
      <c r="S2362">
        <v>37</v>
      </c>
      <c r="T2362" s="1" t="s">
        <v>13925</v>
      </c>
      <c r="U2362" s="1" t="str">
        <f>HYPERLINK("http://ictvonline.org/taxonomy/p/taxonomy-history?taxnode_id=202112716","ICTVonline=202112716")</f>
        <v>ICTVonline=202112716</v>
      </c>
    </row>
    <row r="2363" spans="1:21" x14ac:dyDescent="0.2">
      <c r="A2363" s="3">
        <v>2362</v>
      </c>
      <c r="B2363" s="1" t="s">
        <v>4875</v>
      </c>
      <c r="D2363" s="1" t="s">
        <v>4876</v>
      </c>
      <c r="F2363" s="1" t="s">
        <v>4880</v>
      </c>
      <c r="H2363" s="1" t="s">
        <v>4881</v>
      </c>
      <c r="M2363" s="1" t="s">
        <v>11005</v>
      </c>
      <c r="N2363" s="1" t="s">
        <v>11055</v>
      </c>
      <c r="P2363" s="1" t="s">
        <v>11064</v>
      </c>
      <c r="Q2363" s="30" t="s">
        <v>2565</v>
      </c>
      <c r="R2363" s="33" t="s">
        <v>3472</v>
      </c>
      <c r="S2363">
        <v>37</v>
      </c>
      <c r="T2363" s="1" t="s">
        <v>13925</v>
      </c>
      <c r="U2363" s="1" t="str">
        <f>HYPERLINK("http://ictvonline.org/taxonomy/p/taxonomy-history?taxnode_id=202112717","ICTVonline=202112717")</f>
        <v>ICTVonline=202112717</v>
      </c>
    </row>
    <row r="2364" spans="1:21" x14ac:dyDescent="0.2">
      <c r="A2364" s="3">
        <v>2363</v>
      </c>
      <c r="B2364" s="1" t="s">
        <v>4875</v>
      </c>
      <c r="D2364" s="1" t="s">
        <v>4876</v>
      </c>
      <c r="F2364" s="1" t="s">
        <v>4880</v>
      </c>
      <c r="H2364" s="1" t="s">
        <v>4881</v>
      </c>
      <c r="M2364" s="1" t="s">
        <v>11005</v>
      </c>
      <c r="N2364" s="1" t="s">
        <v>4744</v>
      </c>
      <c r="P2364" s="1" t="s">
        <v>4745</v>
      </c>
      <c r="Q2364" s="30" t="s">
        <v>2565</v>
      </c>
      <c r="R2364" s="33" t="s">
        <v>3474</v>
      </c>
      <c r="S2364">
        <v>37</v>
      </c>
      <c r="T2364" s="1" t="s">
        <v>13926</v>
      </c>
      <c r="U2364" s="1" t="str">
        <f>HYPERLINK("http://ictvonline.org/taxonomy/p/taxonomy-history?taxnode_id=202101346","ICTVonline=202101346")</f>
        <v>ICTVonline=202101346</v>
      </c>
    </row>
    <row r="2365" spans="1:21" x14ac:dyDescent="0.2">
      <c r="A2365" s="3">
        <v>2364</v>
      </c>
      <c r="B2365" s="1" t="s">
        <v>4875</v>
      </c>
      <c r="D2365" s="1" t="s">
        <v>4876</v>
      </c>
      <c r="F2365" s="1" t="s">
        <v>4880</v>
      </c>
      <c r="H2365" s="1" t="s">
        <v>4881</v>
      </c>
      <c r="M2365" s="1" t="s">
        <v>11005</v>
      </c>
      <c r="N2365" s="1" t="s">
        <v>4744</v>
      </c>
      <c r="P2365" s="1" t="s">
        <v>2653</v>
      </c>
      <c r="Q2365" s="30" t="s">
        <v>2565</v>
      </c>
      <c r="R2365" s="33" t="s">
        <v>3474</v>
      </c>
      <c r="S2365">
        <v>37</v>
      </c>
      <c r="T2365" s="1" t="s">
        <v>13926</v>
      </c>
      <c r="U2365" s="1" t="str">
        <f>HYPERLINK("http://ictvonline.org/taxonomy/p/taxonomy-history?taxnode_id=202101351","ICTVonline=202101351")</f>
        <v>ICTVonline=202101351</v>
      </c>
    </row>
    <row r="2366" spans="1:21" x14ac:dyDescent="0.2">
      <c r="A2366" s="3">
        <v>2365</v>
      </c>
      <c r="B2366" s="1" t="s">
        <v>4875</v>
      </c>
      <c r="D2366" s="1" t="s">
        <v>4876</v>
      </c>
      <c r="F2366" s="1" t="s">
        <v>4880</v>
      </c>
      <c r="H2366" s="1" t="s">
        <v>4881</v>
      </c>
      <c r="M2366" s="1" t="s">
        <v>11005</v>
      </c>
      <c r="N2366" s="1" t="s">
        <v>4744</v>
      </c>
      <c r="P2366" s="1" t="s">
        <v>11065</v>
      </c>
      <c r="Q2366" s="30" t="s">
        <v>2565</v>
      </c>
      <c r="R2366" s="33" t="s">
        <v>3472</v>
      </c>
      <c r="S2366">
        <v>37</v>
      </c>
      <c r="T2366" s="1" t="s">
        <v>13925</v>
      </c>
      <c r="U2366" s="1" t="str">
        <f>HYPERLINK("http://ictvonline.org/taxonomy/p/taxonomy-history?taxnode_id=202112718","ICTVonline=202112718")</f>
        <v>ICTVonline=202112718</v>
      </c>
    </row>
    <row r="2367" spans="1:21" x14ac:dyDescent="0.2">
      <c r="A2367" s="3">
        <v>2366</v>
      </c>
      <c r="B2367" s="1" t="s">
        <v>4875</v>
      </c>
      <c r="D2367" s="1" t="s">
        <v>4876</v>
      </c>
      <c r="F2367" s="1" t="s">
        <v>4880</v>
      </c>
      <c r="H2367" s="1" t="s">
        <v>4881</v>
      </c>
      <c r="M2367" s="1" t="s">
        <v>11005</v>
      </c>
      <c r="N2367" s="1" t="s">
        <v>4744</v>
      </c>
      <c r="P2367" s="1" t="s">
        <v>11066</v>
      </c>
      <c r="Q2367" s="30" t="s">
        <v>2565</v>
      </c>
      <c r="R2367" s="33" t="s">
        <v>3472</v>
      </c>
      <c r="S2367">
        <v>37</v>
      </c>
      <c r="T2367" s="1" t="s">
        <v>13925</v>
      </c>
      <c r="U2367" s="1" t="str">
        <f>HYPERLINK("http://ictvonline.org/taxonomy/p/taxonomy-history?taxnode_id=202112719","ICTVonline=202112719")</f>
        <v>ICTVonline=202112719</v>
      </c>
    </row>
    <row r="2368" spans="1:21" x14ac:dyDescent="0.2">
      <c r="A2368" s="3">
        <v>2367</v>
      </c>
      <c r="B2368" s="1" t="s">
        <v>4875</v>
      </c>
      <c r="D2368" s="1" t="s">
        <v>4876</v>
      </c>
      <c r="F2368" s="1" t="s">
        <v>4880</v>
      </c>
      <c r="H2368" s="1" t="s">
        <v>4881</v>
      </c>
      <c r="M2368" s="1" t="s">
        <v>11005</v>
      </c>
      <c r="N2368" s="1" t="s">
        <v>4744</v>
      </c>
      <c r="P2368" s="1" t="s">
        <v>11067</v>
      </c>
      <c r="Q2368" s="30" t="s">
        <v>2565</v>
      </c>
      <c r="R2368" s="33" t="s">
        <v>3472</v>
      </c>
      <c r="S2368">
        <v>37</v>
      </c>
      <c r="T2368" s="1" t="s">
        <v>13925</v>
      </c>
      <c r="U2368" s="1" t="str">
        <f>HYPERLINK("http://ictvonline.org/taxonomy/p/taxonomy-history?taxnode_id=202112720","ICTVonline=202112720")</f>
        <v>ICTVonline=202112720</v>
      </c>
    </row>
    <row r="2369" spans="1:21" x14ac:dyDescent="0.2">
      <c r="A2369" s="3">
        <v>2368</v>
      </c>
      <c r="B2369" s="1" t="s">
        <v>4875</v>
      </c>
      <c r="D2369" s="1" t="s">
        <v>4876</v>
      </c>
      <c r="F2369" s="1" t="s">
        <v>4880</v>
      </c>
      <c r="H2369" s="1" t="s">
        <v>4881</v>
      </c>
      <c r="M2369" s="1" t="s">
        <v>11005</v>
      </c>
      <c r="N2369" s="1" t="s">
        <v>11068</v>
      </c>
      <c r="P2369" s="1" t="s">
        <v>11069</v>
      </c>
      <c r="Q2369" s="30" t="s">
        <v>2565</v>
      </c>
      <c r="R2369" s="33" t="s">
        <v>3472</v>
      </c>
      <c r="S2369">
        <v>37</v>
      </c>
      <c r="T2369" s="1" t="s">
        <v>13925</v>
      </c>
      <c r="U2369" s="1" t="str">
        <f>HYPERLINK("http://ictvonline.org/taxonomy/p/taxonomy-history?taxnode_id=202112723","ICTVonline=202112723")</f>
        <v>ICTVonline=202112723</v>
      </c>
    </row>
    <row r="2370" spans="1:21" x14ac:dyDescent="0.2">
      <c r="A2370" s="3">
        <v>2369</v>
      </c>
      <c r="B2370" s="1" t="s">
        <v>4875</v>
      </c>
      <c r="D2370" s="1" t="s">
        <v>4876</v>
      </c>
      <c r="F2370" s="1" t="s">
        <v>4880</v>
      </c>
      <c r="H2370" s="1" t="s">
        <v>4881</v>
      </c>
      <c r="M2370" s="1" t="s">
        <v>11005</v>
      </c>
      <c r="N2370" s="1" t="s">
        <v>11068</v>
      </c>
      <c r="P2370" s="1" t="s">
        <v>11070</v>
      </c>
      <c r="Q2370" s="30" t="s">
        <v>2565</v>
      </c>
      <c r="R2370" s="33" t="s">
        <v>3472</v>
      </c>
      <c r="S2370">
        <v>37</v>
      </c>
      <c r="T2370" s="1" t="s">
        <v>13925</v>
      </c>
      <c r="U2370" s="1" t="str">
        <f>HYPERLINK("http://ictvonline.org/taxonomy/p/taxonomy-history?taxnode_id=202112724","ICTVonline=202112724")</f>
        <v>ICTVonline=202112724</v>
      </c>
    </row>
    <row r="2371" spans="1:21" x14ac:dyDescent="0.2">
      <c r="A2371" s="3">
        <v>2370</v>
      </c>
      <c r="B2371" s="1" t="s">
        <v>4875</v>
      </c>
      <c r="D2371" s="1" t="s">
        <v>4876</v>
      </c>
      <c r="F2371" s="1" t="s">
        <v>4880</v>
      </c>
      <c r="H2371" s="1" t="s">
        <v>4881</v>
      </c>
      <c r="M2371" s="1" t="s">
        <v>11005</v>
      </c>
      <c r="N2371" s="1" t="s">
        <v>11068</v>
      </c>
      <c r="P2371" s="1" t="s">
        <v>11071</v>
      </c>
      <c r="Q2371" s="30" t="s">
        <v>2565</v>
      </c>
      <c r="R2371" s="33" t="s">
        <v>3472</v>
      </c>
      <c r="S2371">
        <v>37</v>
      </c>
      <c r="T2371" s="1" t="s">
        <v>13925</v>
      </c>
      <c r="U2371" s="1" t="str">
        <f>HYPERLINK("http://ictvonline.org/taxonomy/p/taxonomy-history?taxnode_id=202112725","ICTVonline=202112725")</f>
        <v>ICTVonline=202112725</v>
      </c>
    </row>
    <row r="2372" spans="1:21" x14ac:dyDescent="0.2">
      <c r="A2372" s="3">
        <v>2371</v>
      </c>
      <c r="B2372" s="1" t="s">
        <v>4875</v>
      </c>
      <c r="D2372" s="1" t="s">
        <v>4876</v>
      </c>
      <c r="F2372" s="1" t="s">
        <v>4880</v>
      </c>
      <c r="H2372" s="1" t="s">
        <v>4881</v>
      </c>
      <c r="M2372" s="1" t="s">
        <v>11005</v>
      </c>
      <c r="N2372" s="1" t="s">
        <v>11068</v>
      </c>
      <c r="P2372" s="1" t="s">
        <v>11072</v>
      </c>
      <c r="Q2372" s="30" t="s">
        <v>2565</v>
      </c>
      <c r="R2372" s="33" t="s">
        <v>3472</v>
      </c>
      <c r="S2372">
        <v>37</v>
      </c>
      <c r="T2372" s="1" t="s">
        <v>13925</v>
      </c>
      <c r="U2372" s="1" t="str">
        <f>HYPERLINK("http://ictvonline.org/taxonomy/p/taxonomy-history?taxnode_id=202112722","ICTVonline=202112722")</f>
        <v>ICTVonline=202112722</v>
      </c>
    </row>
    <row r="2373" spans="1:21" x14ac:dyDescent="0.2">
      <c r="A2373" s="3">
        <v>2372</v>
      </c>
      <c r="B2373" s="1" t="s">
        <v>4875</v>
      </c>
      <c r="D2373" s="1" t="s">
        <v>4876</v>
      </c>
      <c r="F2373" s="1" t="s">
        <v>4880</v>
      </c>
      <c r="H2373" s="1" t="s">
        <v>4881</v>
      </c>
      <c r="M2373" s="1" t="s">
        <v>11005</v>
      </c>
      <c r="N2373" s="1" t="s">
        <v>11068</v>
      </c>
      <c r="P2373" s="1" t="s">
        <v>11073</v>
      </c>
      <c r="Q2373" s="30" t="s">
        <v>2565</v>
      </c>
      <c r="R2373" s="33" t="s">
        <v>3472</v>
      </c>
      <c r="S2373">
        <v>37</v>
      </c>
      <c r="T2373" s="1" t="s">
        <v>13925</v>
      </c>
      <c r="U2373" s="1" t="str">
        <f>HYPERLINK("http://ictvonline.org/taxonomy/p/taxonomy-history?taxnode_id=202112726","ICTVonline=202112726")</f>
        <v>ICTVonline=202112726</v>
      </c>
    </row>
    <row r="2374" spans="1:21" x14ac:dyDescent="0.2">
      <c r="A2374" s="3">
        <v>2373</v>
      </c>
      <c r="B2374" s="1" t="s">
        <v>4875</v>
      </c>
      <c r="D2374" s="1" t="s">
        <v>4876</v>
      </c>
      <c r="F2374" s="1" t="s">
        <v>4880</v>
      </c>
      <c r="H2374" s="1" t="s">
        <v>4881</v>
      </c>
      <c r="N2374" s="1" t="s">
        <v>5178</v>
      </c>
      <c r="P2374" s="1" t="s">
        <v>11074</v>
      </c>
      <c r="Q2374" s="30" t="s">
        <v>2565</v>
      </c>
      <c r="R2374" s="33" t="s">
        <v>3473</v>
      </c>
      <c r="S2374">
        <v>37</v>
      </c>
      <c r="T2374" s="1" t="s">
        <v>13878</v>
      </c>
      <c r="U2374" s="1" t="str">
        <f>HYPERLINK("http://ictvonline.org/taxonomy/p/taxonomy-history?taxnode_id=202107712","ICTVonline=202107712")</f>
        <v>ICTVonline=202107712</v>
      </c>
    </row>
    <row r="2375" spans="1:21" x14ac:dyDescent="0.2">
      <c r="A2375" s="3">
        <v>2374</v>
      </c>
      <c r="B2375" s="1" t="s">
        <v>4875</v>
      </c>
      <c r="D2375" s="1" t="s">
        <v>4876</v>
      </c>
      <c r="F2375" s="1" t="s">
        <v>4880</v>
      </c>
      <c r="H2375" s="1" t="s">
        <v>4881</v>
      </c>
      <c r="N2375" s="1" t="s">
        <v>3184</v>
      </c>
      <c r="P2375" s="1" t="s">
        <v>11075</v>
      </c>
      <c r="Q2375" s="30" t="s">
        <v>2565</v>
      </c>
      <c r="R2375" s="33" t="s">
        <v>3473</v>
      </c>
      <c r="S2375">
        <v>37</v>
      </c>
      <c r="T2375" s="1" t="s">
        <v>13878</v>
      </c>
      <c r="U2375" s="1" t="str">
        <f>HYPERLINK("http://ictvonline.org/taxonomy/p/taxonomy-history?taxnode_id=202100364","ICTVonline=202100364")</f>
        <v>ICTVonline=202100364</v>
      </c>
    </row>
    <row r="2376" spans="1:21" x14ac:dyDescent="0.2">
      <c r="A2376" s="3">
        <v>2375</v>
      </c>
      <c r="B2376" s="1" t="s">
        <v>4875</v>
      </c>
      <c r="D2376" s="1" t="s">
        <v>4876</v>
      </c>
      <c r="F2376" s="1" t="s">
        <v>4880</v>
      </c>
      <c r="H2376" s="1" t="s">
        <v>4881</v>
      </c>
      <c r="N2376" s="1" t="s">
        <v>3184</v>
      </c>
      <c r="P2376" s="1" t="s">
        <v>11076</v>
      </c>
      <c r="Q2376" s="30" t="s">
        <v>2565</v>
      </c>
      <c r="R2376" s="33" t="s">
        <v>3473</v>
      </c>
      <c r="S2376">
        <v>37</v>
      </c>
      <c r="T2376" s="1" t="s">
        <v>13878</v>
      </c>
      <c r="U2376" s="1" t="str">
        <f>HYPERLINK("http://ictvonline.org/taxonomy/p/taxonomy-history?taxnode_id=202100365","ICTVonline=202100365")</f>
        <v>ICTVonline=202100365</v>
      </c>
    </row>
    <row r="2377" spans="1:21" x14ac:dyDescent="0.2">
      <c r="A2377" s="3">
        <v>2376</v>
      </c>
      <c r="B2377" s="1" t="s">
        <v>4875</v>
      </c>
      <c r="D2377" s="1" t="s">
        <v>4876</v>
      </c>
      <c r="F2377" s="1" t="s">
        <v>4880</v>
      </c>
      <c r="H2377" s="1" t="s">
        <v>4881</v>
      </c>
      <c r="N2377" s="1" t="s">
        <v>6159</v>
      </c>
      <c r="P2377" s="1" t="s">
        <v>11077</v>
      </c>
      <c r="Q2377" s="30" t="s">
        <v>2565</v>
      </c>
      <c r="R2377" s="33" t="s">
        <v>3473</v>
      </c>
      <c r="S2377">
        <v>37</v>
      </c>
      <c r="T2377" s="1" t="s">
        <v>13878</v>
      </c>
      <c r="U2377" s="1" t="str">
        <f>HYPERLINK("http://ictvonline.org/taxonomy/p/taxonomy-history?taxnode_id=202109142","ICTVonline=202109142")</f>
        <v>ICTVonline=202109142</v>
      </c>
    </row>
    <row r="2378" spans="1:21" x14ac:dyDescent="0.2">
      <c r="A2378" s="3">
        <v>2377</v>
      </c>
      <c r="B2378" s="1" t="s">
        <v>4875</v>
      </c>
      <c r="D2378" s="1" t="s">
        <v>4876</v>
      </c>
      <c r="F2378" s="1" t="s">
        <v>4880</v>
      </c>
      <c r="H2378" s="1" t="s">
        <v>4881</v>
      </c>
      <c r="N2378" s="1" t="s">
        <v>4529</v>
      </c>
      <c r="P2378" s="1" t="s">
        <v>11078</v>
      </c>
      <c r="Q2378" s="30" t="s">
        <v>2565</v>
      </c>
      <c r="R2378" s="33" t="s">
        <v>3473</v>
      </c>
      <c r="S2378">
        <v>37</v>
      </c>
      <c r="T2378" s="1" t="s">
        <v>13878</v>
      </c>
      <c r="U2378" s="1" t="str">
        <f>HYPERLINK("http://ictvonline.org/taxonomy/p/taxonomy-history?taxnode_id=202100371","ICTVonline=202100371")</f>
        <v>ICTVonline=202100371</v>
      </c>
    </row>
    <row r="2379" spans="1:21" x14ac:dyDescent="0.2">
      <c r="A2379" s="3">
        <v>2378</v>
      </c>
      <c r="B2379" s="1" t="s">
        <v>4875</v>
      </c>
      <c r="D2379" s="1" t="s">
        <v>4876</v>
      </c>
      <c r="F2379" s="1" t="s">
        <v>4880</v>
      </c>
      <c r="H2379" s="1" t="s">
        <v>4881</v>
      </c>
      <c r="N2379" s="1" t="s">
        <v>4529</v>
      </c>
      <c r="P2379" s="1" t="s">
        <v>11079</v>
      </c>
      <c r="Q2379" s="30" t="s">
        <v>2565</v>
      </c>
      <c r="R2379" s="33" t="s">
        <v>3473</v>
      </c>
      <c r="S2379">
        <v>37</v>
      </c>
      <c r="T2379" s="1" t="s">
        <v>13878</v>
      </c>
      <c r="U2379" s="1" t="str">
        <f>HYPERLINK("http://ictvonline.org/taxonomy/p/taxonomy-history?taxnode_id=202106995","ICTVonline=202106995")</f>
        <v>ICTVonline=202106995</v>
      </c>
    </row>
    <row r="2380" spans="1:21" x14ac:dyDescent="0.2">
      <c r="A2380" s="3">
        <v>2379</v>
      </c>
      <c r="B2380" s="1" t="s">
        <v>4875</v>
      </c>
      <c r="D2380" s="1" t="s">
        <v>4876</v>
      </c>
      <c r="F2380" s="1" t="s">
        <v>4880</v>
      </c>
      <c r="H2380" s="1" t="s">
        <v>4881</v>
      </c>
      <c r="N2380" s="1" t="s">
        <v>4529</v>
      </c>
      <c r="P2380" s="1" t="s">
        <v>11080</v>
      </c>
      <c r="Q2380" s="30" t="s">
        <v>2565</v>
      </c>
      <c r="R2380" s="33" t="s">
        <v>3473</v>
      </c>
      <c r="S2380">
        <v>37</v>
      </c>
      <c r="T2380" s="1" t="s">
        <v>13878</v>
      </c>
      <c r="U2380" s="1" t="str">
        <f>HYPERLINK("http://ictvonline.org/taxonomy/p/taxonomy-history?taxnode_id=202100372","ICTVonline=202100372")</f>
        <v>ICTVonline=202100372</v>
      </c>
    </row>
    <row r="2381" spans="1:21" x14ac:dyDescent="0.2">
      <c r="A2381" s="3">
        <v>2380</v>
      </c>
      <c r="B2381" s="1" t="s">
        <v>4875</v>
      </c>
      <c r="D2381" s="1" t="s">
        <v>4876</v>
      </c>
      <c r="F2381" s="1" t="s">
        <v>4880</v>
      </c>
      <c r="H2381" s="1" t="s">
        <v>4881</v>
      </c>
      <c r="N2381" s="1" t="s">
        <v>4529</v>
      </c>
      <c r="P2381" s="1" t="s">
        <v>11081</v>
      </c>
      <c r="Q2381" s="30" t="s">
        <v>2565</v>
      </c>
      <c r="R2381" s="33" t="s">
        <v>3473</v>
      </c>
      <c r="S2381">
        <v>37</v>
      </c>
      <c r="T2381" s="1" t="s">
        <v>13878</v>
      </c>
      <c r="U2381" s="1" t="str">
        <f>HYPERLINK("http://ictvonline.org/taxonomy/p/taxonomy-history?taxnode_id=202100373","ICTVonline=202100373")</f>
        <v>ICTVonline=202100373</v>
      </c>
    </row>
    <row r="2382" spans="1:21" x14ac:dyDescent="0.2">
      <c r="A2382" s="3">
        <v>2381</v>
      </c>
      <c r="B2382" s="1" t="s">
        <v>4875</v>
      </c>
      <c r="D2382" s="1" t="s">
        <v>4876</v>
      </c>
      <c r="F2382" s="1" t="s">
        <v>4880</v>
      </c>
      <c r="H2382" s="1" t="s">
        <v>4881</v>
      </c>
      <c r="N2382" s="1" t="s">
        <v>4529</v>
      </c>
      <c r="P2382" s="1" t="s">
        <v>11082</v>
      </c>
      <c r="Q2382" s="30" t="s">
        <v>2565</v>
      </c>
      <c r="R2382" s="33" t="s">
        <v>3473</v>
      </c>
      <c r="S2382">
        <v>37</v>
      </c>
      <c r="T2382" s="1" t="s">
        <v>13878</v>
      </c>
      <c r="U2382" s="1" t="str">
        <f>HYPERLINK("http://ictvonline.org/taxonomy/p/taxonomy-history?taxnode_id=202100374","ICTVonline=202100374")</f>
        <v>ICTVonline=202100374</v>
      </c>
    </row>
    <row r="2383" spans="1:21" x14ac:dyDescent="0.2">
      <c r="A2383" s="3">
        <v>2382</v>
      </c>
      <c r="B2383" s="1" t="s">
        <v>4875</v>
      </c>
      <c r="D2383" s="1" t="s">
        <v>4876</v>
      </c>
      <c r="F2383" s="1" t="s">
        <v>4880</v>
      </c>
      <c r="H2383" s="1" t="s">
        <v>4881</v>
      </c>
      <c r="N2383" s="1" t="s">
        <v>4529</v>
      </c>
      <c r="P2383" s="1" t="s">
        <v>11083</v>
      </c>
      <c r="Q2383" s="30" t="s">
        <v>2565</v>
      </c>
      <c r="R2383" s="33" t="s">
        <v>3473</v>
      </c>
      <c r="S2383">
        <v>37</v>
      </c>
      <c r="T2383" s="1" t="s">
        <v>13878</v>
      </c>
      <c r="U2383" s="1" t="str">
        <f>HYPERLINK("http://ictvonline.org/taxonomy/p/taxonomy-history?taxnode_id=202100375","ICTVonline=202100375")</f>
        <v>ICTVonline=202100375</v>
      </c>
    </row>
    <row r="2384" spans="1:21" x14ac:dyDescent="0.2">
      <c r="A2384" s="3">
        <v>2383</v>
      </c>
      <c r="B2384" s="1" t="s">
        <v>4875</v>
      </c>
      <c r="D2384" s="1" t="s">
        <v>4876</v>
      </c>
      <c r="F2384" s="1" t="s">
        <v>4880</v>
      </c>
      <c r="H2384" s="1" t="s">
        <v>4881</v>
      </c>
      <c r="N2384" s="1" t="s">
        <v>6160</v>
      </c>
      <c r="P2384" s="1" t="s">
        <v>11084</v>
      </c>
      <c r="Q2384" s="30" t="s">
        <v>2565</v>
      </c>
      <c r="R2384" s="33" t="s">
        <v>3473</v>
      </c>
      <c r="S2384">
        <v>37</v>
      </c>
      <c r="T2384" s="1" t="s">
        <v>13878</v>
      </c>
      <c r="U2384" s="1" t="str">
        <f>HYPERLINK("http://ictvonline.org/taxonomy/p/taxonomy-history?taxnode_id=202109360","ICTVonline=202109360")</f>
        <v>ICTVonline=202109360</v>
      </c>
    </row>
    <row r="2385" spans="1:21" x14ac:dyDescent="0.2">
      <c r="A2385" s="3">
        <v>2384</v>
      </c>
      <c r="B2385" s="1" t="s">
        <v>4875</v>
      </c>
      <c r="D2385" s="1" t="s">
        <v>4876</v>
      </c>
      <c r="F2385" s="1" t="s">
        <v>4880</v>
      </c>
      <c r="H2385" s="1" t="s">
        <v>4881</v>
      </c>
      <c r="N2385" s="1" t="s">
        <v>6160</v>
      </c>
      <c r="P2385" s="1" t="s">
        <v>11085</v>
      </c>
      <c r="Q2385" s="30" t="s">
        <v>2565</v>
      </c>
      <c r="R2385" s="33" t="s">
        <v>3473</v>
      </c>
      <c r="S2385">
        <v>37</v>
      </c>
      <c r="T2385" s="1" t="s">
        <v>13878</v>
      </c>
      <c r="U2385" s="1" t="str">
        <f>HYPERLINK("http://ictvonline.org/taxonomy/p/taxonomy-history?taxnode_id=202109361","ICTVonline=202109361")</f>
        <v>ICTVonline=202109361</v>
      </c>
    </row>
    <row r="2386" spans="1:21" x14ac:dyDescent="0.2">
      <c r="A2386" s="3">
        <v>2385</v>
      </c>
      <c r="B2386" s="1" t="s">
        <v>4875</v>
      </c>
      <c r="D2386" s="1" t="s">
        <v>4876</v>
      </c>
      <c r="F2386" s="1" t="s">
        <v>4880</v>
      </c>
      <c r="H2386" s="1" t="s">
        <v>4881</v>
      </c>
      <c r="N2386" s="1" t="s">
        <v>11086</v>
      </c>
      <c r="P2386" s="1" t="s">
        <v>11087</v>
      </c>
      <c r="Q2386" s="30" t="s">
        <v>2565</v>
      </c>
      <c r="R2386" s="33" t="s">
        <v>3472</v>
      </c>
      <c r="S2386">
        <v>37</v>
      </c>
      <c r="T2386" s="1" t="s">
        <v>13927</v>
      </c>
      <c r="U2386" s="1" t="str">
        <f>HYPERLINK("http://ictvonline.org/taxonomy/p/taxonomy-history?taxnode_id=202113631","ICTVonline=202113631")</f>
        <v>ICTVonline=202113631</v>
      </c>
    </row>
    <row r="2387" spans="1:21" x14ac:dyDescent="0.2">
      <c r="A2387" s="3">
        <v>2386</v>
      </c>
      <c r="B2387" s="1" t="s">
        <v>4875</v>
      </c>
      <c r="D2387" s="1" t="s">
        <v>4876</v>
      </c>
      <c r="F2387" s="1" t="s">
        <v>4880</v>
      </c>
      <c r="H2387" s="1" t="s">
        <v>4881</v>
      </c>
      <c r="N2387" s="1" t="s">
        <v>6161</v>
      </c>
      <c r="P2387" s="1" t="s">
        <v>11088</v>
      </c>
      <c r="Q2387" s="30" t="s">
        <v>2565</v>
      </c>
      <c r="R2387" s="33" t="s">
        <v>3473</v>
      </c>
      <c r="S2387">
        <v>37</v>
      </c>
      <c r="T2387" s="1" t="s">
        <v>13878</v>
      </c>
      <c r="U2387" s="1" t="str">
        <f>HYPERLINK("http://ictvonline.org/taxonomy/p/taxonomy-history?taxnode_id=202109159","ICTVonline=202109159")</f>
        <v>ICTVonline=202109159</v>
      </c>
    </row>
    <row r="2388" spans="1:21" x14ac:dyDescent="0.2">
      <c r="A2388" s="3">
        <v>2387</v>
      </c>
      <c r="B2388" s="1" t="s">
        <v>4875</v>
      </c>
      <c r="D2388" s="1" t="s">
        <v>4876</v>
      </c>
      <c r="F2388" s="1" t="s">
        <v>4880</v>
      </c>
      <c r="H2388" s="1" t="s">
        <v>4881</v>
      </c>
      <c r="N2388" s="1" t="s">
        <v>4530</v>
      </c>
      <c r="P2388" s="1" t="s">
        <v>11089</v>
      </c>
      <c r="Q2388" s="30" t="s">
        <v>2565</v>
      </c>
      <c r="R2388" s="33" t="s">
        <v>3473</v>
      </c>
      <c r="S2388">
        <v>37</v>
      </c>
      <c r="T2388" s="1" t="s">
        <v>13878</v>
      </c>
      <c r="U2388" s="1" t="str">
        <f>HYPERLINK("http://ictvonline.org/taxonomy/p/taxonomy-history?taxnode_id=202106654","ICTVonline=202106654")</f>
        <v>ICTVonline=202106654</v>
      </c>
    </row>
    <row r="2389" spans="1:21" x14ac:dyDescent="0.2">
      <c r="A2389" s="3">
        <v>2388</v>
      </c>
      <c r="B2389" s="1" t="s">
        <v>4875</v>
      </c>
      <c r="D2389" s="1" t="s">
        <v>4876</v>
      </c>
      <c r="F2389" s="1" t="s">
        <v>4880</v>
      </c>
      <c r="H2389" s="1" t="s">
        <v>4881</v>
      </c>
      <c r="N2389" s="1" t="s">
        <v>4530</v>
      </c>
      <c r="P2389" s="1" t="s">
        <v>11090</v>
      </c>
      <c r="Q2389" s="30" t="s">
        <v>2565</v>
      </c>
      <c r="R2389" s="33" t="s">
        <v>3473</v>
      </c>
      <c r="S2389">
        <v>37</v>
      </c>
      <c r="T2389" s="1" t="s">
        <v>13878</v>
      </c>
      <c r="U2389" s="1" t="str">
        <f>HYPERLINK("http://ictvonline.org/taxonomy/p/taxonomy-history?taxnode_id=202106655","ICTVonline=202106655")</f>
        <v>ICTVonline=202106655</v>
      </c>
    </row>
    <row r="2390" spans="1:21" x14ac:dyDescent="0.2">
      <c r="A2390" s="3">
        <v>2389</v>
      </c>
      <c r="B2390" s="1" t="s">
        <v>4875</v>
      </c>
      <c r="D2390" s="1" t="s">
        <v>4876</v>
      </c>
      <c r="F2390" s="1" t="s">
        <v>4880</v>
      </c>
      <c r="H2390" s="1" t="s">
        <v>4881</v>
      </c>
      <c r="N2390" s="1" t="s">
        <v>6162</v>
      </c>
      <c r="P2390" s="1" t="s">
        <v>11091</v>
      </c>
      <c r="Q2390" s="30" t="s">
        <v>2565</v>
      </c>
      <c r="R2390" s="33" t="s">
        <v>3473</v>
      </c>
      <c r="S2390">
        <v>37</v>
      </c>
      <c r="T2390" s="1" t="s">
        <v>13878</v>
      </c>
      <c r="U2390" s="1" t="str">
        <f>HYPERLINK("http://ictvonline.org/taxonomy/p/taxonomy-history?taxnode_id=202109353","ICTVonline=202109353")</f>
        <v>ICTVonline=202109353</v>
      </c>
    </row>
    <row r="2391" spans="1:21" x14ac:dyDescent="0.2">
      <c r="A2391" s="3">
        <v>2390</v>
      </c>
      <c r="B2391" s="1" t="s">
        <v>4875</v>
      </c>
      <c r="D2391" s="1" t="s">
        <v>4876</v>
      </c>
      <c r="F2391" s="1" t="s">
        <v>4880</v>
      </c>
      <c r="H2391" s="1" t="s">
        <v>4881</v>
      </c>
      <c r="N2391" s="1" t="s">
        <v>5094</v>
      </c>
      <c r="P2391" s="1" t="s">
        <v>11092</v>
      </c>
      <c r="Q2391" s="30" t="s">
        <v>2565</v>
      </c>
      <c r="R2391" s="33" t="s">
        <v>3473</v>
      </c>
      <c r="S2391">
        <v>37</v>
      </c>
      <c r="T2391" s="1" t="s">
        <v>13878</v>
      </c>
      <c r="U2391" s="1" t="str">
        <f>HYPERLINK("http://ictvonline.org/taxonomy/p/taxonomy-history?taxnode_id=202107921","ICTVonline=202107921")</f>
        <v>ICTVonline=202107921</v>
      </c>
    </row>
    <row r="2392" spans="1:21" x14ac:dyDescent="0.2">
      <c r="A2392" s="3">
        <v>2391</v>
      </c>
      <c r="B2392" s="1" t="s">
        <v>4875</v>
      </c>
      <c r="D2392" s="1" t="s">
        <v>4876</v>
      </c>
      <c r="F2392" s="1" t="s">
        <v>4880</v>
      </c>
      <c r="H2392" s="1" t="s">
        <v>4881</v>
      </c>
      <c r="N2392" s="1" t="s">
        <v>5094</v>
      </c>
      <c r="P2392" s="1" t="s">
        <v>11093</v>
      </c>
      <c r="Q2392" s="30" t="s">
        <v>2565</v>
      </c>
      <c r="R2392" s="33" t="s">
        <v>3473</v>
      </c>
      <c r="S2392">
        <v>37</v>
      </c>
      <c r="T2392" s="1" t="s">
        <v>13878</v>
      </c>
      <c r="U2392" s="1" t="str">
        <f>HYPERLINK("http://ictvonline.org/taxonomy/p/taxonomy-history?taxnode_id=202107920","ICTVonline=202107920")</f>
        <v>ICTVonline=202107920</v>
      </c>
    </row>
    <row r="2393" spans="1:21" x14ac:dyDescent="0.2">
      <c r="A2393" s="3">
        <v>2392</v>
      </c>
      <c r="B2393" s="1" t="s">
        <v>4875</v>
      </c>
      <c r="D2393" s="1" t="s">
        <v>4876</v>
      </c>
      <c r="F2393" s="1" t="s">
        <v>4880</v>
      </c>
      <c r="H2393" s="1" t="s">
        <v>4881</v>
      </c>
      <c r="N2393" s="1" t="s">
        <v>3196</v>
      </c>
      <c r="P2393" s="1" t="s">
        <v>11094</v>
      </c>
      <c r="Q2393" s="30" t="s">
        <v>2565</v>
      </c>
      <c r="R2393" s="33" t="s">
        <v>3473</v>
      </c>
      <c r="S2393">
        <v>37</v>
      </c>
      <c r="T2393" s="1" t="s">
        <v>13878</v>
      </c>
      <c r="U2393" s="1" t="str">
        <f>HYPERLINK("http://ictvonline.org/taxonomy/p/taxonomy-history?taxnode_id=202100843","ICTVonline=202100843")</f>
        <v>ICTVonline=202100843</v>
      </c>
    </row>
    <row r="2394" spans="1:21" x14ac:dyDescent="0.2">
      <c r="A2394" s="3">
        <v>2393</v>
      </c>
      <c r="B2394" s="1" t="s">
        <v>4875</v>
      </c>
      <c r="D2394" s="1" t="s">
        <v>4876</v>
      </c>
      <c r="F2394" s="1" t="s">
        <v>4880</v>
      </c>
      <c r="H2394" s="1" t="s">
        <v>4881</v>
      </c>
      <c r="N2394" s="1" t="s">
        <v>3196</v>
      </c>
      <c r="P2394" s="1" t="s">
        <v>11095</v>
      </c>
      <c r="Q2394" s="30" t="s">
        <v>2565</v>
      </c>
      <c r="R2394" s="33" t="s">
        <v>3473</v>
      </c>
      <c r="S2394">
        <v>37</v>
      </c>
      <c r="T2394" s="1" t="s">
        <v>13878</v>
      </c>
      <c r="U2394" s="1" t="str">
        <f>HYPERLINK("http://ictvonline.org/taxonomy/p/taxonomy-history?taxnode_id=202106757","ICTVonline=202106757")</f>
        <v>ICTVonline=202106757</v>
      </c>
    </row>
    <row r="2395" spans="1:21" x14ac:dyDescent="0.2">
      <c r="A2395" s="3">
        <v>2394</v>
      </c>
      <c r="B2395" s="1" t="s">
        <v>4875</v>
      </c>
      <c r="D2395" s="1" t="s">
        <v>4876</v>
      </c>
      <c r="F2395" s="1" t="s">
        <v>4880</v>
      </c>
      <c r="H2395" s="1" t="s">
        <v>4881</v>
      </c>
      <c r="N2395" s="1" t="s">
        <v>5095</v>
      </c>
      <c r="P2395" s="1" t="s">
        <v>11096</v>
      </c>
      <c r="Q2395" s="30" t="s">
        <v>2565</v>
      </c>
      <c r="R2395" s="33" t="s">
        <v>3473</v>
      </c>
      <c r="S2395">
        <v>37</v>
      </c>
      <c r="T2395" s="1" t="s">
        <v>13878</v>
      </c>
      <c r="U2395" s="1" t="str">
        <f>HYPERLINK("http://ictvonline.org/taxonomy/p/taxonomy-history?taxnode_id=202107910","ICTVonline=202107910")</f>
        <v>ICTVonline=202107910</v>
      </c>
    </row>
    <row r="2396" spans="1:21" x14ac:dyDescent="0.2">
      <c r="A2396" s="3">
        <v>2395</v>
      </c>
      <c r="B2396" s="1" t="s">
        <v>4875</v>
      </c>
      <c r="D2396" s="1" t="s">
        <v>4876</v>
      </c>
      <c r="F2396" s="1" t="s">
        <v>4880</v>
      </c>
      <c r="H2396" s="1" t="s">
        <v>4881</v>
      </c>
      <c r="N2396" s="1" t="s">
        <v>3548</v>
      </c>
      <c r="P2396" s="1" t="s">
        <v>11097</v>
      </c>
      <c r="Q2396" s="30" t="s">
        <v>2565</v>
      </c>
      <c r="R2396" s="33" t="s">
        <v>3473</v>
      </c>
      <c r="S2396">
        <v>37</v>
      </c>
      <c r="T2396" s="1" t="s">
        <v>13878</v>
      </c>
      <c r="U2396" s="1" t="str">
        <f>HYPERLINK("http://ictvonline.org/taxonomy/p/taxonomy-history?taxnode_id=202105538","ICTVonline=202105538")</f>
        <v>ICTVonline=202105538</v>
      </c>
    </row>
    <row r="2397" spans="1:21" x14ac:dyDescent="0.2">
      <c r="A2397" s="3">
        <v>2396</v>
      </c>
      <c r="B2397" s="1" t="s">
        <v>4875</v>
      </c>
      <c r="D2397" s="1" t="s">
        <v>4876</v>
      </c>
      <c r="F2397" s="1" t="s">
        <v>4880</v>
      </c>
      <c r="H2397" s="1" t="s">
        <v>4881</v>
      </c>
      <c r="N2397" s="1" t="s">
        <v>3548</v>
      </c>
      <c r="P2397" s="1" t="s">
        <v>11098</v>
      </c>
      <c r="Q2397" s="30" t="s">
        <v>2565</v>
      </c>
      <c r="R2397" s="33" t="s">
        <v>3473</v>
      </c>
      <c r="S2397">
        <v>37</v>
      </c>
      <c r="T2397" s="1" t="s">
        <v>13878</v>
      </c>
      <c r="U2397" s="1" t="str">
        <f>HYPERLINK("http://ictvonline.org/taxonomy/p/taxonomy-history?taxnode_id=202105539","ICTVonline=202105539")</f>
        <v>ICTVonline=202105539</v>
      </c>
    </row>
    <row r="2398" spans="1:21" x14ac:dyDescent="0.2">
      <c r="A2398" s="3">
        <v>2397</v>
      </c>
      <c r="B2398" s="1" t="s">
        <v>4875</v>
      </c>
      <c r="D2398" s="1" t="s">
        <v>4876</v>
      </c>
      <c r="F2398" s="1" t="s">
        <v>4880</v>
      </c>
      <c r="H2398" s="1" t="s">
        <v>4881</v>
      </c>
      <c r="N2398" s="1" t="s">
        <v>5179</v>
      </c>
      <c r="P2398" s="1" t="s">
        <v>11099</v>
      </c>
      <c r="Q2398" s="30" t="s">
        <v>2565</v>
      </c>
      <c r="R2398" s="33" t="s">
        <v>3473</v>
      </c>
      <c r="S2398">
        <v>37</v>
      </c>
      <c r="T2398" s="1" t="s">
        <v>13878</v>
      </c>
      <c r="U2398" s="1" t="str">
        <f>HYPERLINK("http://ictvonline.org/taxonomy/p/taxonomy-history?taxnode_id=202107734","ICTVonline=202107734")</f>
        <v>ICTVonline=202107734</v>
      </c>
    </row>
    <row r="2399" spans="1:21" x14ac:dyDescent="0.2">
      <c r="A2399" s="3">
        <v>2398</v>
      </c>
      <c r="B2399" s="1" t="s">
        <v>4875</v>
      </c>
      <c r="D2399" s="1" t="s">
        <v>4876</v>
      </c>
      <c r="F2399" s="1" t="s">
        <v>4880</v>
      </c>
      <c r="H2399" s="1" t="s">
        <v>4881</v>
      </c>
      <c r="N2399" s="1" t="s">
        <v>2606</v>
      </c>
      <c r="P2399" s="1" t="s">
        <v>11100</v>
      </c>
      <c r="Q2399" s="30" t="s">
        <v>2565</v>
      </c>
      <c r="R2399" s="33" t="s">
        <v>3473</v>
      </c>
      <c r="S2399">
        <v>37</v>
      </c>
      <c r="T2399" s="1" t="s">
        <v>13878</v>
      </c>
      <c r="U2399" s="1" t="str">
        <f>HYPERLINK("http://ictvonline.org/taxonomy/p/taxonomy-history?taxnode_id=202100845","ICTVonline=202100845")</f>
        <v>ICTVonline=202100845</v>
      </c>
    </row>
    <row r="2400" spans="1:21" x14ac:dyDescent="0.2">
      <c r="A2400" s="3">
        <v>2399</v>
      </c>
      <c r="B2400" s="1" t="s">
        <v>4875</v>
      </c>
      <c r="D2400" s="1" t="s">
        <v>4876</v>
      </c>
      <c r="F2400" s="1" t="s">
        <v>4880</v>
      </c>
      <c r="H2400" s="1" t="s">
        <v>4881</v>
      </c>
      <c r="N2400" s="1" t="s">
        <v>2606</v>
      </c>
      <c r="P2400" s="1" t="s">
        <v>11101</v>
      </c>
      <c r="Q2400" s="30" t="s">
        <v>2565</v>
      </c>
      <c r="R2400" s="33" t="s">
        <v>3473</v>
      </c>
      <c r="S2400">
        <v>37</v>
      </c>
      <c r="T2400" s="1" t="s">
        <v>13878</v>
      </c>
      <c r="U2400" s="1" t="str">
        <f>HYPERLINK("http://ictvonline.org/taxonomy/p/taxonomy-history?taxnode_id=202100846","ICTVonline=202100846")</f>
        <v>ICTVonline=202100846</v>
      </c>
    </row>
    <row r="2401" spans="1:21" x14ac:dyDescent="0.2">
      <c r="A2401" s="3">
        <v>2400</v>
      </c>
      <c r="B2401" s="1" t="s">
        <v>4875</v>
      </c>
      <c r="D2401" s="1" t="s">
        <v>4876</v>
      </c>
      <c r="F2401" s="1" t="s">
        <v>4880</v>
      </c>
      <c r="H2401" s="1" t="s">
        <v>4881</v>
      </c>
      <c r="N2401" s="1" t="s">
        <v>2606</v>
      </c>
      <c r="P2401" s="1" t="s">
        <v>11102</v>
      </c>
      <c r="Q2401" s="30" t="s">
        <v>2565</v>
      </c>
      <c r="R2401" s="33" t="s">
        <v>3473</v>
      </c>
      <c r="S2401">
        <v>37</v>
      </c>
      <c r="T2401" s="1" t="s">
        <v>13878</v>
      </c>
      <c r="U2401" s="1" t="str">
        <f>HYPERLINK("http://ictvonline.org/taxonomy/p/taxonomy-history?taxnode_id=202100847","ICTVonline=202100847")</f>
        <v>ICTVonline=202100847</v>
      </c>
    </row>
    <row r="2402" spans="1:21" x14ac:dyDescent="0.2">
      <c r="A2402" s="3">
        <v>2401</v>
      </c>
      <c r="B2402" s="1" t="s">
        <v>4875</v>
      </c>
      <c r="D2402" s="1" t="s">
        <v>4876</v>
      </c>
      <c r="F2402" s="1" t="s">
        <v>4880</v>
      </c>
      <c r="H2402" s="1" t="s">
        <v>4881</v>
      </c>
      <c r="N2402" s="1" t="s">
        <v>2606</v>
      </c>
      <c r="P2402" s="1" t="s">
        <v>11103</v>
      </c>
      <c r="Q2402" s="30" t="s">
        <v>2565</v>
      </c>
      <c r="R2402" s="33" t="s">
        <v>3473</v>
      </c>
      <c r="S2402">
        <v>37</v>
      </c>
      <c r="T2402" s="1" t="s">
        <v>13878</v>
      </c>
      <c r="U2402" s="1" t="str">
        <f>HYPERLINK("http://ictvonline.org/taxonomy/p/taxonomy-history?taxnode_id=202100848","ICTVonline=202100848")</f>
        <v>ICTVonline=202100848</v>
      </c>
    </row>
    <row r="2403" spans="1:21" x14ac:dyDescent="0.2">
      <c r="A2403" s="3">
        <v>2402</v>
      </c>
      <c r="B2403" s="1" t="s">
        <v>4875</v>
      </c>
      <c r="D2403" s="1" t="s">
        <v>4876</v>
      </c>
      <c r="F2403" s="1" t="s">
        <v>4880</v>
      </c>
      <c r="H2403" s="1" t="s">
        <v>4881</v>
      </c>
      <c r="N2403" s="1" t="s">
        <v>2606</v>
      </c>
      <c r="P2403" s="1" t="s">
        <v>11104</v>
      </c>
      <c r="Q2403" s="30" t="s">
        <v>2565</v>
      </c>
      <c r="R2403" s="33" t="s">
        <v>3473</v>
      </c>
      <c r="S2403">
        <v>37</v>
      </c>
      <c r="T2403" s="1" t="s">
        <v>13878</v>
      </c>
      <c r="U2403" s="1" t="str">
        <f>HYPERLINK("http://ictvonline.org/taxonomy/p/taxonomy-history?taxnode_id=202100849","ICTVonline=202100849")</f>
        <v>ICTVonline=202100849</v>
      </c>
    </row>
    <row r="2404" spans="1:21" x14ac:dyDescent="0.2">
      <c r="A2404" s="3">
        <v>2403</v>
      </c>
      <c r="B2404" s="1" t="s">
        <v>4875</v>
      </c>
      <c r="D2404" s="1" t="s">
        <v>4876</v>
      </c>
      <c r="F2404" s="1" t="s">
        <v>4880</v>
      </c>
      <c r="H2404" s="1" t="s">
        <v>4881</v>
      </c>
      <c r="N2404" s="1" t="s">
        <v>2606</v>
      </c>
      <c r="P2404" s="1" t="s">
        <v>11105</v>
      </c>
      <c r="Q2404" s="30" t="s">
        <v>2565</v>
      </c>
      <c r="R2404" s="33" t="s">
        <v>3473</v>
      </c>
      <c r="S2404">
        <v>37</v>
      </c>
      <c r="T2404" s="1" t="s">
        <v>13878</v>
      </c>
      <c r="U2404" s="1" t="str">
        <f>HYPERLINK("http://ictvonline.org/taxonomy/p/taxonomy-history?taxnode_id=202100850","ICTVonline=202100850")</f>
        <v>ICTVonline=202100850</v>
      </c>
    </row>
    <row r="2405" spans="1:21" x14ac:dyDescent="0.2">
      <c r="A2405" s="3">
        <v>2404</v>
      </c>
      <c r="B2405" s="1" t="s">
        <v>4875</v>
      </c>
      <c r="D2405" s="1" t="s">
        <v>4876</v>
      </c>
      <c r="F2405" s="1" t="s">
        <v>4880</v>
      </c>
      <c r="H2405" s="1" t="s">
        <v>4881</v>
      </c>
      <c r="N2405" s="1" t="s">
        <v>2606</v>
      </c>
      <c r="P2405" s="1" t="s">
        <v>11106</v>
      </c>
      <c r="Q2405" s="30" t="s">
        <v>2565</v>
      </c>
      <c r="R2405" s="33" t="s">
        <v>3473</v>
      </c>
      <c r="S2405">
        <v>37</v>
      </c>
      <c r="T2405" s="1" t="s">
        <v>13878</v>
      </c>
      <c r="U2405" s="1" t="str">
        <f>HYPERLINK("http://ictvonline.org/taxonomy/p/taxonomy-history?taxnode_id=202100851","ICTVonline=202100851")</f>
        <v>ICTVonline=202100851</v>
      </c>
    </row>
    <row r="2406" spans="1:21" x14ac:dyDescent="0.2">
      <c r="A2406" s="3">
        <v>2405</v>
      </c>
      <c r="B2406" s="1" t="s">
        <v>4875</v>
      </c>
      <c r="D2406" s="1" t="s">
        <v>4876</v>
      </c>
      <c r="F2406" s="1" t="s">
        <v>4880</v>
      </c>
      <c r="H2406" s="1" t="s">
        <v>4881</v>
      </c>
      <c r="N2406" s="1" t="s">
        <v>2606</v>
      </c>
      <c r="P2406" s="1" t="s">
        <v>11107</v>
      </c>
      <c r="Q2406" s="30" t="s">
        <v>2565</v>
      </c>
      <c r="R2406" s="33" t="s">
        <v>3473</v>
      </c>
      <c r="S2406">
        <v>37</v>
      </c>
      <c r="T2406" s="1" t="s">
        <v>13878</v>
      </c>
      <c r="U2406" s="1" t="str">
        <f>HYPERLINK("http://ictvonline.org/taxonomy/p/taxonomy-history?taxnode_id=202100852","ICTVonline=202100852")</f>
        <v>ICTVonline=202100852</v>
      </c>
    </row>
    <row r="2407" spans="1:21" x14ac:dyDescent="0.2">
      <c r="A2407" s="3">
        <v>2406</v>
      </c>
      <c r="B2407" s="1" t="s">
        <v>4875</v>
      </c>
      <c r="D2407" s="1" t="s">
        <v>4876</v>
      </c>
      <c r="F2407" s="1" t="s">
        <v>4880</v>
      </c>
      <c r="H2407" s="1" t="s">
        <v>4881</v>
      </c>
      <c r="N2407" s="1" t="s">
        <v>6054</v>
      </c>
      <c r="P2407" s="1" t="s">
        <v>11108</v>
      </c>
      <c r="Q2407" s="30" t="s">
        <v>2565</v>
      </c>
      <c r="R2407" s="33" t="s">
        <v>3473</v>
      </c>
      <c r="S2407">
        <v>37</v>
      </c>
      <c r="T2407" s="1" t="s">
        <v>13878</v>
      </c>
      <c r="U2407" s="1" t="str">
        <f>HYPERLINK("http://ictvonline.org/taxonomy/p/taxonomy-history?taxnode_id=202109250","ICTVonline=202109250")</f>
        <v>ICTVonline=202109250</v>
      </c>
    </row>
    <row r="2408" spans="1:21" x14ac:dyDescent="0.2">
      <c r="A2408" s="3">
        <v>2407</v>
      </c>
      <c r="B2408" s="1" t="s">
        <v>4875</v>
      </c>
      <c r="D2408" s="1" t="s">
        <v>4876</v>
      </c>
      <c r="F2408" s="1" t="s">
        <v>4880</v>
      </c>
      <c r="H2408" s="1" t="s">
        <v>4881</v>
      </c>
      <c r="N2408" s="1" t="s">
        <v>6054</v>
      </c>
      <c r="P2408" s="1" t="s">
        <v>11109</v>
      </c>
      <c r="Q2408" s="30" t="s">
        <v>2565</v>
      </c>
      <c r="R2408" s="33" t="s">
        <v>3473</v>
      </c>
      <c r="S2408">
        <v>37</v>
      </c>
      <c r="T2408" s="1" t="s">
        <v>13878</v>
      </c>
      <c r="U2408" s="1" t="str">
        <f>HYPERLINK("http://ictvonline.org/taxonomy/p/taxonomy-history?taxnode_id=202109251","ICTVonline=202109251")</f>
        <v>ICTVonline=202109251</v>
      </c>
    </row>
    <row r="2409" spans="1:21" x14ac:dyDescent="0.2">
      <c r="A2409" s="3">
        <v>2408</v>
      </c>
      <c r="B2409" s="1" t="s">
        <v>4875</v>
      </c>
      <c r="D2409" s="1" t="s">
        <v>4876</v>
      </c>
      <c r="F2409" s="1" t="s">
        <v>4880</v>
      </c>
      <c r="H2409" s="1" t="s">
        <v>4881</v>
      </c>
      <c r="N2409" s="1" t="s">
        <v>6163</v>
      </c>
      <c r="P2409" s="1" t="s">
        <v>11110</v>
      </c>
      <c r="Q2409" s="30" t="s">
        <v>2565</v>
      </c>
      <c r="R2409" s="33" t="s">
        <v>3473</v>
      </c>
      <c r="S2409">
        <v>37</v>
      </c>
      <c r="T2409" s="1" t="s">
        <v>13878</v>
      </c>
      <c r="U2409" s="1" t="str">
        <f>HYPERLINK("http://ictvonline.org/taxonomy/p/taxonomy-history?taxnode_id=202109262","ICTVonline=202109262")</f>
        <v>ICTVonline=202109262</v>
      </c>
    </row>
    <row r="2410" spans="1:21" x14ac:dyDescent="0.2">
      <c r="A2410" s="3">
        <v>2409</v>
      </c>
      <c r="B2410" s="1" t="s">
        <v>4875</v>
      </c>
      <c r="D2410" s="1" t="s">
        <v>4876</v>
      </c>
      <c r="F2410" s="1" t="s">
        <v>4880</v>
      </c>
      <c r="H2410" s="1" t="s">
        <v>4881</v>
      </c>
      <c r="N2410" s="1" t="s">
        <v>6163</v>
      </c>
      <c r="P2410" s="1" t="s">
        <v>11111</v>
      </c>
      <c r="Q2410" s="30" t="s">
        <v>2565</v>
      </c>
      <c r="R2410" s="33" t="s">
        <v>3473</v>
      </c>
      <c r="S2410">
        <v>37</v>
      </c>
      <c r="T2410" s="1" t="s">
        <v>13878</v>
      </c>
      <c r="U2410" s="1" t="str">
        <f>HYPERLINK("http://ictvonline.org/taxonomy/p/taxonomy-history?taxnode_id=202109263","ICTVonline=202109263")</f>
        <v>ICTVonline=202109263</v>
      </c>
    </row>
    <row r="2411" spans="1:21" x14ac:dyDescent="0.2">
      <c r="A2411" s="3">
        <v>2410</v>
      </c>
      <c r="B2411" s="1" t="s">
        <v>4875</v>
      </c>
      <c r="D2411" s="1" t="s">
        <v>4876</v>
      </c>
      <c r="F2411" s="1" t="s">
        <v>4880</v>
      </c>
      <c r="H2411" s="1" t="s">
        <v>4881</v>
      </c>
      <c r="N2411" s="1" t="s">
        <v>11112</v>
      </c>
      <c r="P2411" s="1" t="s">
        <v>11113</v>
      </c>
      <c r="Q2411" s="30" t="s">
        <v>2565</v>
      </c>
      <c r="R2411" s="33" t="s">
        <v>3472</v>
      </c>
      <c r="S2411">
        <v>37</v>
      </c>
      <c r="T2411" s="1" t="s">
        <v>13928</v>
      </c>
      <c r="U2411" s="1" t="str">
        <f>HYPERLINK("http://ictvonline.org/taxonomy/p/taxonomy-history?taxnode_id=202113125","ICTVonline=202113125")</f>
        <v>ICTVonline=202113125</v>
      </c>
    </row>
    <row r="2412" spans="1:21" x14ac:dyDescent="0.2">
      <c r="A2412" s="3">
        <v>2411</v>
      </c>
      <c r="B2412" s="1" t="s">
        <v>4875</v>
      </c>
      <c r="D2412" s="1" t="s">
        <v>4876</v>
      </c>
      <c r="F2412" s="1" t="s">
        <v>4880</v>
      </c>
      <c r="H2412" s="1" t="s">
        <v>4881</v>
      </c>
      <c r="N2412" s="1" t="s">
        <v>5097</v>
      </c>
      <c r="P2412" s="1" t="s">
        <v>11114</v>
      </c>
      <c r="Q2412" s="30" t="s">
        <v>2565</v>
      </c>
      <c r="R2412" s="33" t="s">
        <v>3473</v>
      </c>
      <c r="S2412">
        <v>37</v>
      </c>
      <c r="T2412" s="1" t="s">
        <v>13878</v>
      </c>
      <c r="U2412" s="1" t="str">
        <f>HYPERLINK("http://ictvonline.org/taxonomy/p/taxonomy-history?taxnode_id=202107764","ICTVonline=202107764")</f>
        <v>ICTVonline=202107764</v>
      </c>
    </row>
    <row r="2413" spans="1:21" x14ac:dyDescent="0.2">
      <c r="A2413" s="3">
        <v>2412</v>
      </c>
      <c r="B2413" s="1" t="s">
        <v>4875</v>
      </c>
      <c r="D2413" s="1" t="s">
        <v>4876</v>
      </c>
      <c r="F2413" s="1" t="s">
        <v>4880</v>
      </c>
      <c r="H2413" s="1" t="s">
        <v>4881</v>
      </c>
      <c r="N2413" s="1" t="s">
        <v>5180</v>
      </c>
      <c r="P2413" s="1" t="s">
        <v>11115</v>
      </c>
      <c r="Q2413" s="30" t="s">
        <v>2565</v>
      </c>
      <c r="R2413" s="33" t="s">
        <v>3473</v>
      </c>
      <c r="S2413">
        <v>37</v>
      </c>
      <c r="T2413" s="1" t="s">
        <v>13878</v>
      </c>
      <c r="U2413" s="1" t="str">
        <f>HYPERLINK("http://ictvonline.org/taxonomy/p/taxonomy-history?taxnode_id=202107736","ICTVonline=202107736")</f>
        <v>ICTVonline=202107736</v>
      </c>
    </row>
    <row r="2414" spans="1:21" x14ac:dyDescent="0.2">
      <c r="A2414" s="3">
        <v>2413</v>
      </c>
      <c r="B2414" s="1" t="s">
        <v>4875</v>
      </c>
      <c r="D2414" s="1" t="s">
        <v>4876</v>
      </c>
      <c r="F2414" s="1" t="s">
        <v>4880</v>
      </c>
      <c r="H2414" s="1" t="s">
        <v>4881</v>
      </c>
      <c r="N2414" s="1" t="s">
        <v>5181</v>
      </c>
      <c r="P2414" s="1" t="s">
        <v>11116</v>
      </c>
      <c r="Q2414" s="30" t="s">
        <v>2565</v>
      </c>
      <c r="R2414" s="33" t="s">
        <v>3473</v>
      </c>
      <c r="S2414">
        <v>37</v>
      </c>
      <c r="T2414" s="1" t="s">
        <v>13878</v>
      </c>
      <c r="U2414" s="1" t="str">
        <f>HYPERLINK("http://ictvonline.org/taxonomy/p/taxonomy-history?taxnode_id=202108701","ICTVonline=202108701")</f>
        <v>ICTVonline=202108701</v>
      </c>
    </row>
    <row r="2415" spans="1:21" x14ac:dyDescent="0.2">
      <c r="A2415" s="3">
        <v>2414</v>
      </c>
      <c r="B2415" s="1" t="s">
        <v>4875</v>
      </c>
      <c r="D2415" s="1" t="s">
        <v>4876</v>
      </c>
      <c r="F2415" s="1" t="s">
        <v>4880</v>
      </c>
      <c r="H2415" s="1" t="s">
        <v>4881</v>
      </c>
      <c r="N2415" s="1" t="s">
        <v>6164</v>
      </c>
      <c r="P2415" s="1" t="s">
        <v>11117</v>
      </c>
      <c r="Q2415" s="30" t="s">
        <v>2565</v>
      </c>
      <c r="R2415" s="33" t="s">
        <v>3473</v>
      </c>
      <c r="S2415">
        <v>37</v>
      </c>
      <c r="T2415" s="1" t="s">
        <v>13878</v>
      </c>
      <c r="U2415" s="1" t="str">
        <f>HYPERLINK("http://ictvonline.org/taxonomy/p/taxonomy-history?taxnode_id=202109291","ICTVonline=202109291")</f>
        <v>ICTVonline=202109291</v>
      </c>
    </row>
    <row r="2416" spans="1:21" x14ac:dyDescent="0.2">
      <c r="A2416" s="3">
        <v>2415</v>
      </c>
      <c r="B2416" s="1" t="s">
        <v>4875</v>
      </c>
      <c r="D2416" s="1" t="s">
        <v>4876</v>
      </c>
      <c r="F2416" s="1" t="s">
        <v>4880</v>
      </c>
      <c r="H2416" s="1" t="s">
        <v>4881</v>
      </c>
      <c r="N2416" s="1" t="s">
        <v>11118</v>
      </c>
      <c r="P2416" s="1" t="s">
        <v>11119</v>
      </c>
      <c r="Q2416" s="30" t="s">
        <v>2565</v>
      </c>
      <c r="R2416" s="33" t="s">
        <v>3472</v>
      </c>
      <c r="S2416">
        <v>37</v>
      </c>
      <c r="T2416" s="1" t="s">
        <v>13929</v>
      </c>
      <c r="U2416" s="1" t="str">
        <f>HYPERLINK("http://ictvonline.org/taxonomy/p/taxonomy-history?taxnode_id=202113127","ICTVonline=202113127")</f>
        <v>ICTVonline=202113127</v>
      </c>
    </row>
    <row r="2417" spans="1:21" x14ac:dyDescent="0.2">
      <c r="A2417" s="3">
        <v>2416</v>
      </c>
      <c r="B2417" s="1" t="s">
        <v>4875</v>
      </c>
      <c r="D2417" s="1" t="s">
        <v>4876</v>
      </c>
      <c r="F2417" s="1" t="s">
        <v>4880</v>
      </c>
      <c r="H2417" s="1" t="s">
        <v>4881</v>
      </c>
      <c r="N2417" s="1" t="s">
        <v>5182</v>
      </c>
      <c r="P2417" s="1" t="s">
        <v>11120</v>
      </c>
      <c r="Q2417" s="30" t="s">
        <v>2565</v>
      </c>
      <c r="R2417" s="33" t="s">
        <v>3473</v>
      </c>
      <c r="S2417">
        <v>37</v>
      </c>
      <c r="T2417" s="1" t="s">
        <v>13878</v>
      </c>
      <c r="U2417" s="1" t="str">
        <f>HYPERLINK("http://ictvonline.org/taxonomy/p/taxonomy-history?taxnode_id=202107723","ICTVonline=202107723")</f>
        <v>ICTVonline=202107723</v>
      </c>
    </row>
    <row r="2418" spans="1:21" x14ac:dyDescent="0.2">
      <c r="A2418" s="3">
        <v>2417</v>
      </c>
      <c r="B2418" s="1" t="s">
        <v>4875</v>
      </c>
      <c r="D2418" s="1" t="s">
        <v>4876</v>
      </c>
      <c r="F2418" s="1" t="s">
        <v>4880</v>
      </c>
      <c r="H2418" s="1" t="s">
        <v>4881</v>
      </c>
      <c r="N2418" s="1" t="s">
        <v>6165</v>
      </c>
      <c r="P2418" s="1" t="s">
        <v>11121</v>
      </c>
      <c r="Q2418" s="30" t="s">
        <v>2565</v>
      </c>
      <c r="R2418" s="33" t="s">
        <v>3473</v>
      </c>
      <c r="S2418">
        <v>37</v>
      </c>
      <c r="T2418" s="1" t="s">
        <v>13878</v>
      </c>
      <c r="U2418" s="1" t="str">
        <f>HYPERLINK("http://ictvonline.org/taxonomy/p/taxonomy-history?taxnode_id=202110191","ICTVonline=202110191")</f>
        <v>ICTVonline=202110191</v>
      </c>
    </row>
    <row r="2419" spans="1:21" x14ac:dyDescent="0.2">
      <c r="A2419" s="3">
        <v>2418</v>
      </c>
      <c r="B2419" s="1" t="s">
        <v>4875</v>
      </c>
      <c r="D2419" s="1" t="s">
        <v>4876</v>
      </c>
      <c r="F2419" s="1" t="s">
        <v>4880</v>
      </c>
      <c r="H2419" s="1" t="s">
        <v>4881</v>
      </c>
      <c r="N2419" s="1" t="s">
        <v>4532</v>
      </c>
      <c r="P2419" s="1" t="s">
        <v>11122</v>
      </c>
      <c r="Q2419" s="30" t="s">
        <v>2565</v>
      </c>
      <c r="R2419" s="33" t="s">
        <v>3473</v>
      </c>
      <c r="S2419">
        <v>37</v>
      </c>
      <c r="T2419" s="1" t="s">
        <v>13878</v>
      </c>
      <c r="U2419" s="1" t="str">
        <f>HYPERLINK("http://ictvonline.org/taxonomy/p/taxonomy-history?taxnode_id=202106660","ICTVonline=202106660")</f>
        <v>ICTVonline=202106660</v>
      </c>
    </row>
    <row r="2420" spans="1:21" x14ac:dyDescent="0.2">
      <c r="A2420" s="3">
        <v>2419</v>
      </c>
      <c r="B2420" s="1" t="s">
        <v>4875</v>
      </c>
      <c r="D2420" s="1" t="s">
        <v>4876</v>
      </c>
      <c r="F2420" s="1" t="s">
        <v>4880</v>
      </c>
      <c r="H2420" s="1" t="s">
        <v>4881</v>
      </c>
      <c r="N2420" s="1" t="s">
        <v>4532</v>
      </c>
      <c r="P2420" s="1" t="s">
        <v>11123</v>
      </c>
      <c r="Q2420" s="30" t="s">
        <v>2565</v>
      </c>
      <c r="R2420" s="33" t="s">
        <v>3473</v>
      </c>
      <c r="S2420">
        <v>37</v>
      </c>
      <c r="T2420" s="1" t="s">
        <v>13878</v>
      </c>
      <c r="U2420" s="1" t="str">
        <f>HYPERLINK("http://ictvonline.org/taxonomy/p/taxonomy-history?taxnode_id=202106659","ICTVonline=202106659")</f>
        <v>ICTVonline=202106659</v>
      </c>
    </row>
    <row r="2421" spans="1:21" x14ac:dyDescent="0.2">
      <c r="A2421" s="3">
        <v>2420</v>
      </c>
      <c r="B2421" s="1" t="s">
        <v>4875</v>
      </c>
      <c r="D2421" s="1" t="s">
        <v>4876</v>
      </c>
      <c r="F2421" s="1" t="s">
        <v>4880</v>
      </c>
      <c r="H2421" s="1" t="s">
        <v>4881</v>
      </c>
      <c r="N2421" s="1" t="s">
        <v>6055</v>
      </c>
      <c r="P2421" s="1" t="s">
        <v>11124</v>
      </c>
      <c r="Q2421" s="30" t="s">
        <v>2565</v>
      </c>
      <c r="R2421" s="33" t="s">
        <v>3473</v>
      </c>
      <c r="S2421">
        <v>37</v>
      </c>
      <c r="T2421" s="1" t="s">
        <v>13878</v>
      </c>
      <c r="U2421" s="1" t="str">
        <f>HYPERLINK("http://ictvonline.org/taxonomy/p/taxonomy-history?taxnode_id=202109373","ICTVonline=202109373")</f>
        <v>ICTVonline=202109373</v>
      </c>
    </row>
    <row r="2422" spans="1:21" x14ac:dyDescent="0.2">
      <c r="A2422" s="3">
        <v>2421</v>
      </c>
      <c r="B2422" s="1" t="s">
        <v>4875</v>
      </c>
      <c r="D2422" s="1" t="s">
        <v>4876</v>
      </c>
      <c r="F2422" s="1" t="s">
        <v>4880</v>
      </c>
      <c r="H2422" s="1" t="s">
        <v>4881</v>
      </c>
      <c r="N2422" s="1" t="s">
        <v>3549</v>
      </c>
      <c r="P2422" s="1" t="s">
        <v>11125</v>
      </c>
      <c r="Q2422" s="30" t="s">
        <v>2565</v>
      </c>
      <c r="R2422" s="33" t="s">
        <v>3473</v>
      </c>
      <c r="S2422">
        <v>37</v>
      </c>
      <c r="T2422" s="1" t="s">
        <v>13878</v>
      </c>
      <c r="U2422" s="1" t="str">
        <f>HYPERLINK("http://ictvonline.org/taxonomy/p/taxonomy-history?taxnode_id=202105541","ICTVonline=202105541")</f>
        <v>ICTVonline=202105541</v>
      </c>
    </row>
    <row r="2423" spans="1:21" x14ac:dyDescent="0.2">
      <c r="A2423" s="3">
        <v>2422</v>
      </c>
      <c r="B2423" s="1" t="s">
        <v>4875</v>
      </c>
      <c r="D2423" s="1" t="s">
        <v>4876</v>
      </c>
      <c r="F2423" s="1" t="s">
        <v>4880</v>
      </c>
      <c r="H2423" s="1" t="s">
        <v>4881</v>
      </c>
      <c r="N2423" s="1" t="s">
        <v>5183</v>
      </c>
      <c r="P2423" s="1" t="s">
        <v>11126</v>
      </c>
      <c r="Q2423" s="30" t="s">
        <v>2565</v>
      </c>
      <c r="R2423" s="33" t="s">
        <v>3473</v>
      </c>
      <c r="S2423">
        <v>37</v>
      </c>
      <c r="T2423" s="1" t="s">
        <v>13878</v>
      </c>
      <c r="U2423" s="1" t="str">
        <f>HYPERLINK("http://ictvonline.org/taxonomy/p/taxonomy-history?taxnode_id=202107725","ICTVonline=202107725")</f>
        <v>ICTVonline=202107725</v>
      </c>
    </row>
    <row r="2424" spans="1:21" x14ac:dyDescent="0.2">
      <c r="A2424" s="3">
        <v>2423</v>
      </c>
      <c r="B2424" s="1" t="s">
        <v>4875</v>
      </c>
      <c r="D2424" s="1" t="s">
        <v>4876</v>
      </c>
      <c r="F2424" s="1" t="s">
        <v>4880</v>
      </c>
      <c r="H2424" s="1" t="s">
        <v>4881</v>
      </c>
      <c r="N2424" s="1" t="s">
        <v>6166</v>
      </c>
      <c r="P2424" s="1" t="s">
        <v>11127</v>
      </c>
      <c r="Q2424" s="30" t="s">
        <v>2565</v>
      </c>
      <c r="R2424" s="33" t="s">
        <v>3473</v>
      </c>
      <c r="S2424">
        <v>37</v>
      </c>
      <c r="T2424" s="1" t="s">
        <v>13878</v>
      </c>
      <c r="U2424" s="1" t="str">
        <f>HYPERLINK("http://ictvonline.org/taxonomy/p/taxonomy-history?taxnode_id=202109386","ICTVonline=202109386")</f>
        <v>ICTVonline=202109386</v>
      </c>
    </row>
    <row r="2425" spans="1:21" x14ac:dyDescent="0.2">
      <c r="A2425" s="3">
        <v>2424</v>
      </c>
      <c r="B2425" s="1" t="s">
        <v>4875</v>
      </c>
      <c r="D2425" s="1" t="s">
        <v>4876</v>
      </c>
      <c r="F2425" s="1" t="s">
        <v>4880</v>
      </c>
      <c r="H2425" s="1" t="s">
        <v>4881</v>
      </c>
      <c r="N2425" s="1" t="s">
        <v>6166</v>
      </c>
      <c r="P2425" s="1" t="s">
        <v>11128</v>
      </c>
      <c r="Q2425" s="30" t="s">
        <v>2565</v>
      </c>
      <c r="R2425" s="33" t="s">
        <v>3473</v>
      </c>
      <c r="S2425">
        <v>37</v>
      </c>
      <c r="T2425" s="1" t="s">
        <v>13878</v>
      </c>
      <c r="U2425" s="1" t="str">
        <f>HYPERLINK("http://ictvonline.org/taxonomy/p/taxonomy-history?taxnode_id=202109388","ICTVonline=202109388")</f>
        <v>ICTVonline=202109388</v>
      </c>
    </row>
    <row r="2426" spans="1:21" x14ac:dyDescent="0.2">
      <c r="A2426" s="3">
        <v>2425</v>
      </c>
      <c r="B2426" s="1" t="s">
        <v>4875</v>
      </c>
      <c r="D2426" s="1" t="s">
        <v>4876</v>
      </c>
      <c r="F2426" s="1" t="s">
        <v>4880</v>
      </c>
      <c r="H2426" s="1" t="s">
        <v>4881</v>
      </c>
      <c r="N2426" s="1" t="s">
        <v>6166</v>
      </c>
      <c r="P2426" s="1" t="s">
        <v>11129</v>
      </c>
      <c r="Q2426" s="30" t="s">
        <v>2565</v>
      </c>
      <c r="R2426" s="33" t="s">
        <v>3473</v>
      </c>
      <c r="S2426">
        <v>37</v>
      </c>
      <c r="T2426" s="1" t="s">
        <v>13878</v>
      </c>
      <c r="U2426" s="1" t="str">
        <f>HYPERLINK("http://ictvonline.org/taxonomy/p/taxonomy-history?taxnode_id=202109385","ICTVonline=202109385")</f>
        <v>ICTVonline=202109385</v>
      </c>
    </row>
    <row r="2427" spans="1:21" x14ac:dyDescent="0.2">
      <c r="A2427" s="3">
        <v>2426</v>
      </c>
      <c r="B2427" s="1" t="s">
        <v>4875</v>
      </c>
      <c r="D2427" s="1" t="s">
        <v>4876</v>
      </c>
      <c r="F2427" s="1" t="s">
        <v>4880</v>
      </c>
      <c r="H2427" s="1" t="s">
        <v>4881</v>
      </c>
      <c r="N2427" s="1" t="s">
        <v>6166</v>
      </c>
      <c r="P2427" s="1" t="s">
        <v>11130</v>
      </c>
      <c r="Q2427" s="30" t="s">
        <v>2565</v>
      </c>
      <c r="R2427" s="33" t="s">
        <v>3473</v>
      </c>
      <c r="S2427">
        <v>37</v>
      </c>
      <c r="T2427" s="1" t="s">
        <v>13878</v>
      </c>
      <c r="U2427" s="1" t="str">
        <f>HYPERLINK("http://ictvonline.org/taxonomy/p/taxonomy-history?taxnode_id=202109389","ICTVonline=202109389")</f>
        <v>ICTVonline=202109389</v>
      </c>
    </row>
    <row r="2428" spans="1:21" x14ac:dyDescent="0.2">
      <c r="A2428" s="3">
        <v>2427</v>
      </c>
      <c r="B2428" s="1" t="s">
        <v>4875</v>
      </c>
      <c r="D2428" s="1" t="s">
        <v>4876</v>
      </c>
      <c r="F2428" s="1" t="s">
        <v>4880</v>
      </c>
      <c r="H2428" s="1" t="s">
        <v>4881</v>
      </c>
      <c r="N2428" s="1" t="s">
        <v>6166</v>
      </c>
      <c r="P2428" s="1" t="s">
        <v>11131</v>
      </c>
      <c r="Q2428" s="30" t="s">
        <v>2565</v>
      </c>
      <c r="R2428" s="33" t="s">
        <v>3473</v>
      </c>
      <c r="S2428">
        <v>37</v>
      </c>
      <c r="T2428" s="1" t="s">
        <v>13878</v>
      </c>
      <c r="U2428" s="1" t="str">
        <f>HYPERLINK("http://ictvonline.org/taxonomy/p/taxonomy-history?taxnode_id=202109387","ICTVonline=202109387")</f>
        <v>ICTVonline=202109387</v>
      </c>
    </row>
    <row r="2429" spans="1:21" x14ac:dyDescent="0.2">
      <c r="A2429" s="3">
        <v>2428</v>
      </c>
      <c r="B2429" s="1" t="s">
        <v>4875</v>
      </c>
      <c r="D2429" s="1" t="s">
        <v>4876</v>
      </c>
      <c r="F2429" s="1" t="s">
        <v>4880</v>
      </c>
      <c r="H2429" s="1" t="s">
        <v>4881</v>
      </c>
      <c r="N2429" s="1" t="s">
        <v>6166</v>
      </c>
      <c r="P2429" s="1" t="s">
        <v>11132</v>
      </c>
      <c r="Q2429" s="30" t="s">
        <v>2565</v>
      </c>
      <c r="R2429" s="33" t="s">
        <v>3473</v>
      </c>
      <c r="S2429">
        <v>37</v>
      </c>
      <c r="T2429" s="1" t="s">
        <v>13878</v>
      </c>
      <c r="U2429" s="1" t="str">
        <f>HYPERLINK("http://ictvonline.org/taxonomy/p/taxonomy-history?taxnode_id=202109391","ICTVonline=202109391")</f>
        <v>ICTVonline=202109391</v>
      </c>
    </row>
    <row r="2430" spans="1:21" x14ac:dyDescent="0.2">
      <c r="A2430" s="3">
        <v>2429</v>
      </c>
      <c r="B2430" s="1" t="s">
        <v>4875</v>
      </c>
      <c r="D2430" s="1" t="s">
        <v>4876</v>
      </c>
      <c r="F2430" s="1" t="s">
        <v>4880</v>
      </c>
      <c r="H2430" s="1" t="s">
        <v>4881</v>
      </c>
      <c r="N2430" s="1" t="s">
        <v>6166</v>
      </c>
      <c r="P2430" s="1" t="s">
        <v>11133</v>
      </c>
      <c r="Q2430" s="30" t="s">
        <v>2565</v>
      </c>
      <c r="R2430" s="33" t="s">
        <v>3473</v>
      </c>
      <c r="S2430">
        <v>37</v>
      </c>
      <c r="T2430" s="1" t="s">
        <v>13878</v>
      </c>
      <c r="U2430" s="1" t="str">
        <f>HYPERLINK("http://ictvonline.org/taxonomy/p/taxonomy-history?taxnode_id=202109390","ICTVonline=202109390")</f>
        <v>ICTVonline=202109390</v>
      </c>
    </row>
    <row r="2431" spans="1:21" x14ac:dyDescent="0.2">
      <c r="A2431" s="3">
        <v>2430</v>
      </c>
      <c r="B2431" s="1" t="s">
        <v>4875</v>
      </c>
      <c r="D2431" s="1" t="s">
        <v>4876</v>
      </c>
      <c r="F2431" s="1" t="s">
        <v>4880</v>
      </c>
      <c r="H2431" s="1" t="s">
        <v>4881</v>
      </c>
      <c r="N2431" s="1" t="s">
        <v>5099</v>
      </c>
      <c r="P2431" s="1" t="s">
        <v>11134</v>
      </c>
      <c r="Q2431" s="30" t="s">
        <v>2565</v>
      </c>
      <c r="R2431" s="33" t="s">
        <v>3473</v>
      </c>
      <c r="S2431">
        <v>37</v>
      </c>
      <c r="T2431" s="1" t="s">
        <v>13878</v>
      </c>
      <c r="U2431" s="1" t="str">
        <f>HYPERLINK("http://ictvonline.org/taxonomy/p/taxonomy-history?taxnode_id=202107766","ICTVonline=202107766")</f>
        <v>ICTVonline=202107766</v>
      </c>
    </row>
    <row r="2432" spans="1:21" x14ac:dyDescent="0.2">
      <c r="A2432" s="3">
        <v>2431</v>
      </c>
      <c r="B2432" s="1" t="s">
        <v>4875</v>
      </c>
      <c r="D2432" s="1" t="s">
        <v>4876</v>
      </c>
      <c r="F2432" s="1" t="s">
        <v>4880</v>
      </c>
      <c r="H2432" s="1" t="s">
        <v>4881</v>
      </c>
      <c r="N2432" s="1" t="s">
        <v>5184</v>
      </c>
      <c r="P2432" s="1" t="s">
        <v>11135</v>
      </c>
      <c r="Q2432" s="30" t="s">
        <v>2565</v>
      </c>
      <c r="R2432" s="33" t="s">
        <v>3473</v>
      </c>
      <c r="S2432">
        <v>37</v>
      </c>
      <c r="T2432" s="1" t="s">
        <v>13878</v>
      </c>
      <c r="U2432" s="1" t="str">
        <f>HYPERLINK("http://ictvonline.org/taxonomy/p/taxonomy-history?taxnode_id=202107727","ICTVonline=202107727")</f>
        <v>ICTVonline=202107727</v>
      </c>
    </row>
    <row r="2433" spans="1:21" x14ac:dyDescent="0.2">
      <c r="A2433" s="3">
        <v>2432</v>
      </c>
      <c r="B2433" s="1" t="s">
        <v>4875</v>
      </c>
      <c r="D2433" s="1" t="s">
        <v>4876</v>
      </c>
      <c r="F2433" s="1" t="s">
        <v>4880</v>
      </c>
      <c r="H2433" s="1" t="s">
        <v>4881</v>
      </c>
      <c r="N2433" s="1" t="s">
        <v>5184</v>
      </c>
      <c r="P2433" s="1" t="s">
        <v>11136</v>
      </c>
      <c r="Q2433" s="30" t="s">
        <v>2565</v>
      </c>
      <c r="R2433" s="33" t="s">
        <v>3473</v>
      </c>
      <c r="S2433">
        <v>37</v>
      </c>
      <c r="T2433" s="1" t="s">
        <v>13878</v>
      </c>
      <c r="U2433" s="1" t="str">
        <f>HYPERLINK("http://ictvonline.org/taxonomy/p/taxonomy-history?taxnode_id=202107728","ICTVonline=202107728")</f>
        <v>ICTVonline=202107728</v>
      </c>
    </row>
    <row r="2434" spans="1:21" x14ac:dyDescent="0.2">
      <c r="A2434" s="3">
        <v>2433</v>
      </c>
      <c r="B2434" s="1" t="s">
        <v>4875</v>
      </c>
      <c r="D2434" s="1" t="s">
        <v>4876</v>
      </c>
      <c r="F2434" s="1" t="s">
        <v>4880</v>
      </c>
      <c r="H2434" s="1" t="s">
        <v>4881</v>
      </c>
      <c r="N2434" s="1" t="s">
        <v>5184</v>
      </c>
      <c r="P2434" s="1" t="s">
        <v>11137</v>
      </c>
      <c r="Q2434" s="30" t="s">
        <v>2565</v>
      </c>
      <c r="R2434" s="33" t="s">
        <v>3473</v>
      </c>
      <c r="S2434">
        <v>37</v>
      </c>
      <c r="T2434" s="1" t="s">
        <v>13878</v>
      </c>
      <c r="U2434" s="1" t="str">
        <f>HYPERLINK("http://ictvonline.org/taxonomy/p/taxonomy-history?taxnode_id=202107729","ICTVonline=202107729")</f>
        <v>ICTVonline=202107729</v>
      </c>
    </row>
    <row r="2435" spans="1:21" x14ac:dyDescent="0.2">
      <c r="A2435" s="3">
        <v>2434</v>
      </c>
      <c r="B2435" s="1" t="s">
        <v>4875</v>
      </c>
      <c r="D2435" s="1" t="s">
        <v>4876</v>
      </c>
      <c r="F2435" s="1" t="s">
        <v>4880</v>
      </c>
      <c r="H2435" s="1" t="s">
        <v>4881</v>
      </c>
      <c r="N2435" s="1" t="s">
        <v>6009</v>
      </c>
      <c r="P2435" s="1" t="s">
        <v>11138</v>
      </c>
      <c r="Q2435" s="30" t="s">
        <v>2565</v>
      </c>
      <c r="R2435" s="33" t="s">
        <v>3473</v>
      </c>
      <c r="S2435">
        <v>37</v>
      </c>
      <c r="T2435" s="1" t="s">
        <v>13878</v>
      </c>
      <c r="U2435" s="1" t="str">
        <f>HYPERLINK("http://ictvonline.org/taxonomy/p/taxonomy-history?taxnode_id=202109548","ICTVonline=202109548")</f>
        <v>ICTVonline=202109548</v>
      </c>
    </row>
    <row r="2436" spans="1:21" x14ac:dyDescent="0.2">
      <c r="A2436" s="3">
        <v>2435</v>
      </c>
      <c r="B2436" s="1" t="s">
        <v>4875</v>
      </c>
      <c r="D2436" s="1" t="s">
        <v>4876</v>
      </c>
      <c r="F2436" s="1" t="s">
        <v>4880</v>
      </c>
      <c r="H2436" s="1" t="s">
        <v>4881</v>
      </c>
      <c r="N2436" s="1" t="s">
        <v>11139</v>
      </c>
      <c r="P2436" s="1" t="s">
        <v>11140</v>
      </c>
      <c r="Q2436" s="30" t="s">
        <v>2565</v>
      </c>
      <c r="R2436" s="33" t="s">
        <v>3473</v>
      </c>
      <c r="S2436">
        <v>37</v>
      </c>
      <c r="T2436" s="1" t="s">
        <v>13930</v>
      </c>
      <c r="U2436" s="1" t="str">
        <f>HYPERLINK("http://ictvonline.org/taxonomy/p/taxonomy-history?taxnode_id=202101010","ICTVonline=202101010")</f>
        <v>ICTVonline=202101010</v>
      </c>
    </row>
    <row r="2437" spans="1:21" x14ac:dyDescent="0.2">
      <c r="A2437" s="3">
        <v>2436</v>
      </c>
      <c r="B2437" s="1" t="s">
        <v>4875</v>
      </c>
      <c r="D2437" s="1" t="s">
        <v>4876</v>
      </c>
      <c r="F2437" s="1" t="s">
        <v>4880</v>
      </c>
      <c r="H2437" s="1" t="s">
        <v>4881</v>
      </c>
      <c r="N2437" s="1" t="s">
        <v>11139</v>
      </c>
      <c r="P2437" s="1" t="s">
        <v>11141</v>
      </c>
      <c r="Q2437" s="30" t="s">
        <v>2565</v>
      </c>
      <c r="R2437" s="33" t="s">
        <v>3473</v>
      </c>
      <c r="S2437">
        <v>37</v>
      </c>
      <c r="T2437" s="1" t="s">
        <v>13930</v>
      </c>
      <c r="U2437" s="1" t="str">
        <f>HYPERLINK("http://ictvonline.org/taxonomy/p/taxonomy-history?taxnode_id=202101012","ICTVonline=202101012")</f>
        <v>ICTVonline=202101012</v>
      </c>
    </row>
    <row r="2438" spans="1:21" x14ac:dyDescent="0.2">
      <c r="A2438" s="3">
        <v>2437</v>
      </c>
      <c r="B2438" s="1" t="s">
        <v>4875</v>
      </c>
      <c r="D2438" s="1" t="s">
        <v>4876</v>
      </c>
      <c r="F2438" s="1" t="s">
        <v>4880</v>
      </c>
      <c r="H2438" s="1" t="s">
        <v>4881</v>
      </c>
      <c r="N2438" s="1" t="s">
        <v>11139</v>
      </c>
      <c r="P2438" s="1" t="s">
        <v>11142</v>
      </c>
      <c r="Q2438" s="30" t="s">
        <v>2565</v>
      </c>
      <c r="R2438" s="33" t="s">
        <v>3472</v>
      </c>
      <c r="S2438">
        <v>37</v>
      </c>
      <c r="T2438" s="1" t="s">
        <v>13930</v>
      </c>
      <c r="U2438" s="1" t="str">
        <f>HYPERLINK("http://ictvonline.org/taxonomy/p/taxonomy-history?taxnode_id=202113168","ICTVonline=202113168")</f>
        <v>ICTVonline=202113168</v>
      </c>
    </row>
    <row r="2439" spans="1:21" x14ac:dyDescent="0.2">
      <c r="A2439" s="3">
        <v>2438</v>
      </c>
      <c r="B2439" s="1" t="s">
        <v>4875</v>
      </c>
      <c r="D2439" s="1" t="s">
        <v>4876</v>
      </c>
      <c r="F2439" s="1" t="s">
        <v>4880</v>
      </c>
      <c r="H2439" s="1" t="s">
        <v>4881</v>
      </c>
      <c r="N2439" s="1" t="s">
        <v>11139</v>
      </c>
      <c r="P2439" s="1" t="s">
        <v>11143</v>
      </c>
      <c r="Q2439" s="30" t="s">
        <v>2565</v>
      </c>
      <c r="R2439" s="33" t="s">
        <v>3472</v>
      </c>
      <c r="S2439">
        <v>37</v>
      </c>
      <c r="T2439" s="1" t="s">
        <v>13930</v>
      </c>
      <c r="U2439" s="1" t="str">
        <f>HYPERLINK("http://ictvonline.org/taxonomy/p/taxonomy-history?taxnode_id=202113171","ICTVonline=202113171")</f>
        <v>ICTVonline=202113171</v>
      </c>
    </row>
    <row r="2440" spans="1:21" x14ac:dyDescent="0.2">
      <c r="A2440" s="3">
        <v>2439</v>
      </c>
      <c r="B2440" s="1" t="s">
        <v>4875</v>
      </c>
      <c r="D2440" s="1" t="s">
        <v>4876</v>
      </c>
      <c r="F2440" s="1" t="s">
        <v>4880</v>
      </c>
      <c r="H2440" s="1" t="s">
        <v>4881</v>
      </c>
      <c r="N2440" s="1" t="s">
        <v>11139</v>
      </c>
      <c r="P2440" s="1" t="s">
        <v>11144</v>
      </c>
      <c r="Q2440" s="30" t="s">
        <v>2565</v>
      </c>
      <c r="R2440" s="33" t="s">
        <v>3472</v>
      </c>
      <c r="S2440">
        <v>37</v>
      </c>
      <c r="T2440" s="1" t="s">
        <v>13930</v>
      </c>
      <c r="U2440" s="1" t="str">
        <f>HYPERLINK("http://ictvonline.org/taxonomy/p/taxonomy-history?taxnode_id=202113166","ICTVonline=202113166")</f>
        <v>ICTVonline=202113166</v>
      </c>
    </row>
    <row r="2441" spans="1:21" x14ac:dyDescent="0.2">
      <c r="A2441" s="3">
        <v>2440</v>
      </c>
      <c r="B2441" s="1" t="s">
        <v>4875</v>
      </c>
      <c r="D2441" s="1" t="s">
        <v>4876</v>
      </c>
      <c r="F2441" s="1" t="s">
        <v>4880</v>
      </c>
      <c r="H2441" s="1" t="s">
        <v>4881</v>
      </c>
      <c r="N2441" s="1" t="s">
        <v>11139</v>
      </c>
      <c r="P2441" s="1" t="s">
        <v>11145</v>
      </c>
      <c r="Q2441" s="30" t="s">
        <v>2565</v>
      </c>
      <c r="R2441" s="33" t="s">
        <v>3472</v>
      </c>
      <c r="S2441">
        <v>37</v>
      </c>
      <c r="T2441" s="1" t="s">
        <v>13930</v>
      </c>
      <c r="U2441" s="1" t="str">
        <f>HYPERLINK("http://ictvonline.org/taxonomy/p/taxonomy-history?taxnode_id=202113176","ICTVonline=202113176")</f>
        <v>ICTVonline=202113176</v>
      </c>
    </row>
    <row r="2442" spans="1:21" x14ac:dyDescent="0.2">
      <c r="A2442" s="3">
        <v>2441</v>
      </c>
      <c r="B2442" s="1" t="s">
        <v>4875</v>
      </c>
      <c r="D2442" s="1" t="s">
        <v>4876</v>
      </c>
      <c r="F2442" s="1" t="s">
        <v>4880</v>
      </c>
      <c r="H2442" s="1" t="s">
        <v>4881</v>
      </c>
      <c r="N2442" s="1" t="s">
        <v>11139</v>
      </c>
      <c r="P2442" s="1" t="s">
        <v>11146</v>
      </c>
      <c r="Q2442" s="30" t="s">
        <v>2565</v>
      </c>
      <c r="R2442" s="33" t="s">
        <v>3472</v>
      </c>
      <c r="S2442">
        <v>37</v>
      </c>
      <c r="T2442" s="1" t="s">
        <v>13930</v>
      </c>
      <c r="U2442" s="1" t="str">
        <f>HYPERLINK("http://ictvonline.org/taxonomy/p/taxonomy-history?taxnode_id=202113169","ICTVonline=202113169")</f>
        <v>ICTVonline=202113169</v>
      </c>
    </row>
    <row r="2443" spans="1:21" x14ac:dyDescent="0.2">
      <c r="A2443" s="3">
        <v>2442</v>
      </c>
      <c r="B2443" s="1" t="s">
        <v>4875</v>
      </c>
      <c r="D2443" s="1" t="s">
        <v>4876</v>
      </c>
      <c r="F2443" s="1" t="s">
        <v>4880</v>
      </c>
      <c r="H2443" s="1" t="s">
        <v>4881</v>
      </c>
      <c r="N2443" s="1" t="s">
        <v>11139</v>
      </c>
      <c r="P2443" s="1" t="s">
        <v>11147</v>
      </c>
      <c r="Q2443" s="30" t="s">
        <v>2565</v>
      </c>
      <c r="R2443" s="33" t="s">
        <v>3472</v>
      </c>
      <c r="S2443">
        <v>37</v>
      </c>
      <c r="T2443" s="1" t="s">
        <v>13930</v>
      </c>
      <c r="U2443" s="1" t="str">
        <f>HYPERLINK("http://ictvonline.org/taxonomy/p/taxonomy-history?taxnode_id=202113172","ICTVonline=202113172")</f>
        <v>ICTVonline=202113172</v>
      </c>
    </row>
    <row r="2444" spans="1:21" x14ac:dyDescent="0.2">
      <c r="A2444" s="3">
        <v>2443</v>
      </c>
      <c r="B2444" s="1" t="s">
        <v>4875</v>
      </c>
      <c r="D2444" s="1" t="s">
        <v>4876</v>
      </c>
      <c r="F2444" s="1" t="s">
        <v>4880</v>
      </c>
      <c r="H2444" s="1" t="s">
        <v>4881</v>
      </c>
      <c r="N2444" s="1" t="s">
        <v>11139</v>
      </c>
      <c r="P2444" s="1" t="s">
        <v>11148</v>
      </c>
      <c r="Q2444" s="30" t="s">
        <v>2565</v>
      </c>
      <c r="R2444" s="33" t="s">
        <v>3472</v>
      </c>
      <c r="S2444">
        <v>37</v>
      </c>
      <c r="T2444" s="1" t="s">
        <v>13930</v>
      </c>
      <c r="U2444" s="1" t="str">
        <f>HYPERLINK("http://ictvonline.org/taxonomy/p/taxonomy-history?taxnode_id=202113167","ICTVonline=202113167")</f>
        <v>ICTVonline=202113167</v>
      </c>
    </row>
    <row r="2445" spans="1:21" x14ac:dyDescent="0.2">
      <c r="A2445" s="3">
        <v>2444</v>
      </c>
      <c r="B2445" s="1" t="s">
        <v>4875</v>
      </c>
      <c r="D2445" s="1" t="s">
        <v>4876</v>
      </c>
      <c r="F2445" s="1" t="s">
        <v>4880</v>
      </c>
      <c r="H2445" s="1" t="s">
        <v>4881</v>
      </c>
      <c r="N2445" s="1" t="s">
        <v>11139</v>
      </c>
      <c r="P2445" s="1" t="s">
        <v>11149</v>
      </c>
      <c r="Q2445" s="30" t="s">
        <v>2565</v>
      </c>
      <c r="R2445" s="33" t="s">
        <v>3473</v>
      </c>
      <c r="S2445">
        <v>37</v>
      </c>
      <c r="T2445" s="1" t="s">
        <v>13930</v>
      </c>
      <c r="U2445" s="1" t="str">
        <f>HYPERLINK("http://ictvonline.org/taxonomy/p/taxonomy-history?taxnode_id=202101040","ICTVonline=202101040")</f>
        <v>ICTVonline=202101040</v>
      </c>
    </row>
    <row r="2446" spans="1:21" x14ac:dyDescent="0.2">
      <c r="A2446" s="3">
        <v>2445</v>
      </c>
      <c r="B2446" s="1" t="s">
        <v>4875</v>
      </c>
      <c r="D2446" s="1" t="s">
        <v>4876</v>
      </c>
      <c r="F2446" s="1" t="s">
        <v>4880</v>
      </c>
      <c r="H2446" s="1" t="s">
        <v>4881</v>
      </c>
      <c r="N2446" s="1" t="s">
        <v>11139</v>
      </c>
      <c r="P2446" s="1" t="s">
        <v>11150</v>
      </c>
      <c r="Q2446" s="30" t="s">
        <v>2565</v>
      </c>
      <c r="R2446" s="33" t="s">
        <v>3472</v>
      </c>
      <c r="S2446">
        <v>37</v>
      </c>
      <c r="T2446" s="1" t="s">
        <v>13930</v>
      </c>
      <c r="U2446" s="1" t="str">
        <f>HYPERLINK("http://ictvonline.org/taxonomy/p/taxonomy-history?taxnode_id=202113174","ICTVonline=202113174")</f>
        <v>ICTVonline=202113174</v>
      </c>
    </row>
    <row r="2447" spans="1:21" x14ac:dyDescent="0.2">
      <c r="A2447" s="3">
        <v>2446</v>
      </c>
      <c r="B2447" s="1" t="s">
        <v>4875</v>
      </c>
      <c r="D2447" s="1" t="s">
        <v>4876</v>
      </c>
      <c r="F2447" s="1" t="s">
        <v>4880</v>
      </c>
      <c r="H2447" s="1" t="s">
        <v>4881</v>
      </c>
      <c r="N2447" s="1" t="s">
        <v>11139</v>
      </c>
      <c r="P2447" s="1" t="s">
        <v>11151</v>
      </c>
      <c r="Q2447" s="30" t="s">
        <v>2565</v>
      </c>
      <c r="R2447" s="33" t="s">
        <v>3472</v>
      </c>
      <c r="S2447">
        <v>37</v>
      </c>
      <c r="T2447" s="1" t="s">
        <v>13930</v>
      </c>
      <c r="U2447" s="1" t="str">
        <f>HYPERLINK("http://ictvonline.org/taxonomy/p/taxonomy-history?taxnode_id=202113175","ICTVonline=202113175")</f>
        <v>ICTVonline=202113175</v>
      </c>
    </row>
    <row r="2448" spans="1:21" x14ac:dyDescent="0.2">
      <c r="A2448" s="3">
        <v>2447</v>
      </c>
      <c r="B2448" s="1" t="s">
        <v>4875</v>
      </c>
      <c r="D2448" s="1" t="s">
        <v>4876</v>
      </c>
      <c r="F2448" s="1" t="s">
        <v>4880</v>
      </c>
      <c r="H2448" s="1" t="s">
        <v>4881</v>
      </c>
      <c r="N2448" s="1" t="s">
        <v>11139</v>
      </c>
      <c r="P2448" s="1" t="s">
        <v>11152</v>
      </c>
      <c r="Q2448" s="30" t="s">
        <v>2565</v>
      </c>
      <c r="R2448" s="33" t="s">
        <v>3472</v>
      </c>
      <c r="S2448">
        <v>37</v>
      </c>
      <c r="T2448" s="1" t="s">
        <v>13930</v>
      </c>
      <c r="U2448" s="1" t="str">
        <f>HYPERLINK("http://ictvonline.org/taxonomy/p/taxonomy-history?taxnode_id=202113173","ICTVonline=202113173")</f>
        <v>ICTVonline=202113173</v>
      </c>
    </row>
    <row r="2449" spans="1:21" x14ac:dyDescent="0.2">
      <c r="A2449" s="3">
        <v>2448</v>
      </c>
      <c r="B2449" s="1" t="s">
        <v>4875</v>
      </c>
      <c r="D2449" s="1" t="s">
        <v>4876</v>
      </c>
      <c r="F2449" s="1" t="s">
        <v>4880</v>
      </c>
      <c r="H2449" s="1" t="s">
        <v>4881</v>
      </c>
      <c r="N2449" s="1" t="s">
        <v>11139</v>
      </c>
      <c r="P2449" s="1" t="s">
        <v>11153</v>
      </c>
      <c r="Q2449" s="30" t="s">
        <v>2565</v>
      </c>
      <c r="R2449" s="33" t="s">
        <v>3473</v>
      </c>
      <c r="S2449">
        <v>37</v>
      </c>
      <c r="T2449" s="1" t="s">
        <v>13930</v>
      </c>
      <c r="U2449" s="1" t="str">
        <f>HYPERLINK("http://ictvonline.org/taxonomy/p/taxonomy-history?taxnode_id=202101048","ICTVonline=202101048")</f>
        <v>ICTVonline=202101048</v>
      </c>
    </row>
    <row r="2450" spans="1:21" x14ac:dyDescent="0.2">
      <c r="A2450" s="3">
        <v>2449</v>
      </c>
      <c r="B2450" s="1" t="s">
        <v>4875</v>
      </c>
      <c r="D2450" s="1" t="s">
        <v>4876</v>
      </c>
      <c r="F2450" s="1" t="s">
        <v>4880</v>
      </c>
      <c r="H2450" s="1" t="s">
        <v>4881</v>
      </c>
      <c r="N2450" s="1" t="s">
        <v>11139</v>
      </c>
      <c r="P2450" s="1" t="s">
        <v>11154</v>
      </c>
      <c r="Q2450" s="30" t="s">
        <v>2565</v>
      </c>
      <c r="R2450" s="33" t="s">
        <v>3472</v>
      </c>
      <c r="S2450">
        <v>37</v>
      </c>
      <c r="T2450" s="1" t="s">
        <v>13930</v>
      </c>
      <c r="U2450" s="1" t="str">
        <f>HYPERLINK("http://ictvonline.org/taxonomy/p/taxonomy-history?taxnode_id=202113165","ICTVonline=202113165")</f>
        <v>ICTVonline=202113165</v>
      </c>
    </row>
    <row r="2451" spans="1:21" x14ac:dyDescent="0.2">
      <c r="A2451" s="3">
        <v>2450</v>
      </c>
      <c r="B2451" s="1" t="s">
        <v>4875</v>
      </c>
      <c r="D2451" s="1" t="s">
        <v>4876</v>
      </c>
      <c r="F2451" s="1" t="s">
        <v>4880</v>
      </c>
      <c r="H2451" s="1" t="s">
        <v>4881</v>
      </c>
      <c r="N2451" s="1" t="s">
        <v>11139</v>
      </c>
      <c r="P2451" s="1" t="s">
        <v>11155</v>
      </c>
      <c r="Q2451" s="30" t="s">
        <v>2565</v>
      </c>
      <c r="R2451" s="33" t="s">
        <v>3472</v>
      </c>
      <c r="S2451">
        <v>37</v>
      </c>
      <c r="T2451" s="1" t="s">
        <v>13930</v>
      </c>
      <c r="U2451" s="1" t="str">
        <f>HYPERLINK("http://ictvonline.org/taxonomy/p/taxonomy-history?taxnode_id=202113170","ICTVonline=202113170")</f>
        <v>ICTVonline=202113170</v>
      </c>
    </row>
    <row r="2452" spans="1:21" x14ac:dyDescent="0.2">
      <c r="A2452" s="3">
        <v>2451</v>
      </c>
      <c r="B2452" s="1" t="s">
        <v>4875</v>
      </c>
      <c r="D2452" s="1" t="s">
        <v>4876</v>
      </c>
      <c r="F2452" s="1" t="s">
        <v>4880</v>
      </c>
      <c r="H2452" s="1" t="s">
        <v>4881</v>
      </c>
      <c r="N2452" s="1" t="s">
        <v>6056</v>
      </c>
      <c r="P2452" s="1" t="s">
        <v>11156</v>
      </c>
      <c r="Q2452" s="30" t="s">
        <v>2565</v>
      </c>
      <c r="R2452" s="33" t="s">
        <v>3473</v>
      </c>
      <c r="S2452">
        <v>37</v>
      </c>
      <c r="T2452" s="1" t="s">
        <v>13878</v>
      </c>
      <c r="U2452" s="1" t="str">
        <f>HYPERLINK("http://ictvonline.org/taxonomy/p/taxonomy-history?taxnode_id=202109581","ICTVonline=202109581")</f>
        <v>ICTVonline=202109581</v>
      </c>
    </row>
    <row r="2453" spans="1:21" x14ac:dyDescent="0.2">
      <c r="A2453" s="3">
        <v>2452</v>
      </c>
      <c r="B2453" s="1" t="s">
        <v>4875</v>
      </c>
      <c r="D2453" s="1" t="s">
        <v>4876</v>
      </c>
      <c r="F2453" s="1" t="s">
        <v>4880</v>
      </c>
      <c r="H2453" s="1" t="s">
        <v>4881</v>
      </c>
      <c r="N2453" s="1" t="s">
        <v>6056</v>
      </c>
      <c r="P2453" s="1" t="s">
        <v>11157</v>
      </c>
      <c r="Q2453" s="30" t="s">
        <v>2565</v>
      </c>
      <c r="R2453" s="33" t="s">
        <v>3473</v>
      </c>
      <c r="S2453">
        <v>37</v>
      </c>
      <c r="T2453" s="1" t="s">
        <v>13878</v>
      </c>
      <c r="U2453" s="1" t="str">
        <f>HYPERLINK("http://ictvonline.org/taxonomy/p/taxonomy-history?taxnode_id=202109580","ICTVonline=202109580")</f>
        <v>ICTVonline=202109580</v>
      </c>
    </row>
    <row r="2454" spans="1:21" x14ac:dyDescent="0.2">
      <c r="A2454" s="3">
        <v>2453</v>
      </c>
      <c r="B2454" s="1" t="s">
        <v>4875</v>
      </c>
      <c r="D2454" s="1" t="s">
        <v>4876</v>
      </c>
      <c r="F2454" s="1" t="s">
        <v>4880</v>
      </c>
      <c r="H2454" s="1" t="s">
        <v>4881</v>
      </c>
      <c r="N2454" s="1" t="s">
        <v>5100</v>
      </c>
      <c r="P2454" s="1" t="s">
        <v>11158</v>
      </c>
      <c r="Q2454" s="30" t="s">
        <v>2565</v>
      </c>
      <c r="R2454" s="33" t="s">
        <v>3473</v>
      </c>
      <c r="S2454">
        <v>37</v>
      </c>
      <c r="T2454" s="1" t="s">
        <v>13878</v>
      </c>
      <c r="U2454" s="1" t="str">
        <f>HYPERLINK("http://ictvonline.org/taxonomy/p/taxonomy-history?taxnode_id=202107912","ICTVonline=202107912")</f>
        <v>ICTVonline=202107912</v>
      </c>
    </row>
    <row r="2455" spans="1:21" x14ac:dyDescent="0.2">
      <c r="A2455" s="3">
        <v>2454</v>
      </c>
      <c r="B2455" s="1" t="s">
        <v>4875</v>
      </c>
      <c r="D2455" s="1" t="s">
        <v>4876</v>
      </c>
      <c r="F2455" s="1" t="s">
        <v>4880</v>
      </c>
      <c r="H2455" s="1" t="s">
        <v>4881</v>
      </c>
      <c r="N2455" s="1" t="s">
        <v>6010</v>
      </c>
      <c r="P2455" s="1" t="s">
        <v>11159</v>
      </c>
      <c r="Q2455" s="30" t="s">
        <v>2565</v>
      </c>
      <c r="R2455" s="33" t="s">
        <v>3473</v>
      </c>
      <c r="S2455">
        <v>37</v>
      </c>
      <c r="T2455" s="1" t="s">
        <v>13878</v>
      </c>
      <c r="U2455" s="1" t="str">
        <f>HYPERLINK("http://ictvonline.org/taxonomy/p/taxonomy-history?taxnode_id=202111649","ICTVonline=202111649")</f>
        <v>ICTVonline=202111649</v>
      </c>
    </row>
    <row r="2456" spans="1:21" x14ac:dyDescent="0.2">
      <c r="A2456" s="3">
        <v>2455</v>
      </c>
      <c r="B2456" s="1" t="s">
        <v>4875</v>
      </c>
      <c r="D2456" s="1" t="s">
        <v>4876</v>
      </c>
      <c r="F2456" s="1" t="s">
        <v>4880</v>
      </c>
      <c r="H2456" s="1" t="s">
        <v>4881</v>
      </c>
      <c r="N2456" s="1" t="s">
        <v>6010</v>
      </c>
      <c r="P2456" s="1" t="s">
        <v>11160</v>
      </c>
      <c r="Q2456" s="30" t="s">
        <v>2565</v>
      </c>
      <c r="R2456" s="33" t="s">
        <v>3473</v>
      </c>
      <c r="S2456">
        <v>37</v>
      </c>
      <c r="T2456" s="1" t="s">
        <v>13878</v>
      </c>
      <c r="U2456" s="1" t="str">
        <f>HYPERLINK("http://ictvonline.org/taxonomy/p/taxonomy-history?taxnode_id=202111650","ICTVonline=202111650")</f>
        <v>ICTVonline=202111650</v>
      </c>
    </row>
    <row r="2457" spans="1:21" x14ac:dyDescent="0.2">
      <c r="A2457" s="3">
        <v>2456</v>
      </c>
      <c r="B2457" s="1" t="s">
        <v>4875</v>
      </c>
      <c r="D2457" s="1" t="s">
        <v>4876</v>
      </c>
      <c r="F2457" s="1" t="s">
        <v>4880</v>
      </c>
      <c r="H2457" s="1" t="s">
        <v>4881</v>
      </c>
      <c r="N2457" s="1" t="s">
        <v>4640</v>
      </c>
      <c r="P2457" s="1" t="s">
        <v>11161</v>
      </c>
      <c r="Q2457" s="30" t="s">
        <v>2565</v>
      </c>
      <c r="R2457" s="33" t="s">
        <v>3473</v>
      </c>
      <c r="S2457">
        <v>37</v>
      </c>
      <c r="T2457" s="1" t="s">
        <v>13878</v>
      </c>
      <c r="U2457" s="1" t="str">
        <f>HYPERLINK("http://ictvonline.org/taxonomy/p/taxonomy-history?taxnode_id=202106342","ICTVonline=202106342")</f>
        <v>ICTVonline=202106342</v>
      </c>
    </row>
    <row r="2458" spans="1:21" x14ac:dyDescent="0.2">
      <c r="A2458" s="3">
        <v>2457</v>
      </c>
      <c r="B2458" s="1" t="s">
        <v>4875</v>
      </c>
      <c r="D2458" s="1" t="s">
        <v>4876</v>
      </c>
      <c r="F2458" s="1" t="s">
        <v>4880</v>
      </c>
      <c r="H2458" s="1" t="s">
        <v>4881</v>
      </c>
      <c r="N2458" s="1" t="s">
        <v>5101</v>
      </c>
      <c r="P2458" s="1" t="s">
        <v>11162</v>
      </c>
      <c r="Q2458" s="30" t="s">
        <v>2565</v>
      </c>
      <c r="R2458" s="33" t="s">
        <v>3473</v>
      </c>
      <c r="S2458">
        <v>37</v>
      </c>
      <c r="T2458" s="1" t="s">
        <v>13878</v>
      </c>
      <c r="U2458" s="1" t="str">
        <f>HYPERLINK("http://ictvonline.org/taxonomy/p/taxonomy-history?taxnode_id=202107108","ICTVonline=202107108")</f>
        <v>ICTVonline=202107108</v>
      </c>
    </row>
    <row r="2459" spans="1:21" x14ac:dyDescent="0.2">
      <c r="A2459" s="3">
        <v>2458</v>
      </c>
      <c r="B2459" s="1" t="s">
        <v>4875</v>
      </c>
      <c r="D2459" s="1" t="s">
        <v>4876</v>
      </c>
      <c r="F2459" s="1" t="s">
        <v>4880</v>
      </c>
      <c r="H2459" s="1" t="s">
        <v>4881</v>
      </c>
      <c r="N2459" s="1" t="s">
        <v>5101</v>
      </c>
      <c r="P2459" s="1" t="s">
        <v>11163</v>
      </c>
      <c r="Q2459" s="30" t="s">
        <v>2565</v>
      </c>
      <c r="R2459" s="33" t="s">
        <v>3473</v>
      </c>
      <c r="S2459">
        <v>37</v>
      </c>
      <c r="T2459" s="1" t="s">
        <v>13878</v>
      </c>
      <c r="U2459" s="1" t="str">
        <f>HYPERLINK("http://ictvonline.org/taxonomy/p/taxonomy-history?taxnode_id=202107112","ICTVonline=202107112")</f>
        <v>ICTVonline=202107112</v>
      </c>
    </row>
    <row r="2460" spans="1:21" x14ac:dyDescent="0.2">
      <c r="A2460" s="3">
        <v>2459</v>
      </c>
      <c r="B2460" s="1" t="s">
        <v>4875</v>
      </c>
      <c r="D2460" s="1" t="s">
        <v>4876</v>
      </c>
      <c r="F2460" s="1" t="s">
        <v>4880</v>
      </c>
      <c r="H2460" s="1" t="s">
        <v>4881</v>
      </c>
      <c r="N2460" s="1" t="s">
        <v>5101</v>
      </c>
      <c r="P2460" s="1" t="s">
        <v>11164</v>
      </c>
      <c r="Q2460" s="30" t="s">
        <v>2565</v>
      </c>
      <c r="R2460" s="33" t="s">
        <v>3473</v>
      </c>
      <c r="S2460">
        <v>37</v>
      </c>
      <c r="T2460" s="1" t="s">
        <v>13878</v>
      </c>
      <c r="U2460" s="1" t="str">
        <f>HYPERLINK("http://ictvonline.org/taxonomy/p/taxonomy-history?taxnode_id=202107109","ICTVonline=202107109")</f>
        <v>ICTVonline=202107109</v>
      </c>
    </row>
    <row r="2461" spans="1:21" x14ac:dyDescent="0.2">
      <c r="A2461" s="3">
        <v>2460</v>
      </c>
      <c r="B2461" s="1" t="s">
        <v>4875</v>
      </c>
      <c r="D2461" s="1" t="s">
        <v>4876</v>
      </c>
      <c r="F2461" s="1" t="s">
        <v>4880</v>
      </c>
      <c r="H2461" s="1" t="s">
        <v>4881</v>
      </c>
      <c r="N2461" s="1" t="s">
        <v>5101</v>
      </c>
      <c r="P2461" s="1" t="s">
        <v>11165</v>
      </c>
      <c r="Q2461" s="30" t="s">
        <v>2565</v>
      </c>
      <c r="R2461" s="33" t="s">
        <v>3473</v>
      </c>
      <c r="S2461">
        <v>37</v>
      </c>
      <c r="T2461" s="1" t="s">
        <v>13878</v>
      </c>
      <c r="U2461" s="1" t="str">
        <f>HYPERLINK("http://ictvonline.org/taxonomy/p/taxonomy-history?taxnode_id=202107110","ICTVonline=202107110")</f>
        <v>ICTVonline=202107110</v>
      </c>
    </row>
    <row r="2462" spans="1:21" x14ac:dyDescent="0.2">
      <c r="A2462" s="3">
        <v>2461</v>
      </c>
      <c r="B2462" s="1" t="s">
        <v>4875</v>
      </c>
      <c r="D2462" s="1" t="s">
        <v>4876</v>
      </c>
      <c r="F2462" s="1" t="s">
        <v>4880</v>
      </c>
      <c r="H2462" s="1" t="s">
        <v>4881</v>
      </c>
      <c r="N2462" s="1" t="s">
        <v>5101</v>
      </c>
      <c r="P2462" s="1" t="s">
        <v>11166</v>
      </c>
      <c r="Q2462" s="30" t="s">
        <v>2565</v>
      </c>
      <c r="R2462" s="33" t="s">
        <v>3473</v>
      </c>
      <c r="S2462">
        <v>37</v>
      </c>
      <c r="T2462" s="1" t="s">
        <v>13878</v>
      </c>
      <c r="U2462" s="1" t="str">
        <f>HYPERLINK("http://ictvonline.org/taxonomy/p/taxonomy-history?taxnode_id=202107111","ICTVonline=202107111")</f>
        <v>ICTVonline=202107111</v>
      </c>
    </row>
    <row r="2463" spans="1:21" x14ac:dyDescent="0.2">
      <c r="A2463" s="3">
        <v>2462</v>
      </c>
      <c r="B2463" s="1" t="s">
        <v>4875</v>
      </c>
      <c r="D2463" s="1" t="s">
        <v>4876</v>
      </c>
      <c r="F2463" s="1" t="s">
        <v>4880</v>
      </c>
      <c r="H2463" s="1" t="s">
        <v>4881</v>
      </c>
      <c r="N2463" s="1" t="s">
        <v>2607</v>
      </c>
      <c r="P2463" s="1" t="s">
        <v>11167</v>
      </c>
      <c r="Q2463" s="30" t="s">
        <v>2565</v>
      </c>
      <c r="R2463" s="33" t="s">
        <v>3473</v>
      </c>
      <c r="S2463">
        <v>37</v>
      </c>
      <c r="T2463" s="1" t="s">
        <v>13878</v>
      </c>
      <c r="U2463" s="1" t="str">
        <f>HYPERLINK("http://ictvonline.org/taxonomy/p/taxonomy-history?taxnode_id=202100854","ICTVonline=202100854")</f>
        <v>ICTVonline=202100854</v>
      </c>
    </row>
    <row r="2464" spans="1:21" x14ac:dyDescent="0.2">
      <c r="A2464" s="3">
        <v>2463</v>
      </c>
      <c r="B2464" s="1" t="s">
        <v>4875</v>
      </c>
      <c r="D2464" s="1" t="s">
        <v>4876</v>
      </c>
      <c r="F2464" s="1" t="s">
        <v>4880</v>
      </c>
      <c r="H2464" s="1" t="s">
        <v>4881</v>
      </c>
      <c r="N2464" s="1" t="s">
        <v>2607</v>
      </c>
      <c r="P2464" s="1" t="s">
        <v>11168</v>
      </c>
      <c r="Q2464" s="30" t="s">
        <v>2565</v>
      </c>
      <c r="R2464" s="33" t="s">
        <v>3473</v>
      </c>
      <c r="S2464">
        <v>37</v>
      </c>
      <c r="T2464" s="1" t="s">
        <v>13878</v>
      </c>
      <c r="U2464" s="1" t="str">
        <f>HYPERLINK("http://ictvonline.org/taxonomy/p/taxonomy-history?taxnode_id=202109604","ICTVonline=202109604")</f>
        <v>ICTVonline=202109604</v>
      </c>
    </row>
    <row r="2465" spans="1:21" x14ac:dyDescent="0.2">
      <c r="A2465" s="3">
        <v>2464</v>
      </c>
      <c r="B2465" s="1" t="s">
        <v>4875</v>
      </c>
      <c r="D2465" s="1" t="s">
        <v>4876</v>
      </c>
      <c r="F2465" s="1" t="s">
        <v>4880</v>
      </c>
      <c r="H2465" s="1" t="s">
        <v>4881</v>
      </c>
      <c r="N2465" s="1" t="s">
        <v>6011</v>
      </c>
      <c r="P2465" s="1" t="s">
        <v>11169</v>
      </c>
      <c r="Q2465" s="30" t="s">
        <v>2565</v>
      </c>
      <c r="R2465" s="33" t="s">
        <v>3473</v>
      </c>
      <c r="S2465">
        <v>37</v>
      </c>
      <c r="T2465" s="1" t="s">
        <v>13878</v>
      </c>
      <c r="U2465" s="1" t="str">
        <f>HYPERLINK("http://ictvonline.org/taxonomy/p/taxonomy-history?taxnode_id=202100475","ICTVonline=202100475")</f>
        <v>ICTVonline=202100475</v>
      </c>
    </row>
    <row r="2466" spans="1:21" x14ac:dyDescent="0.2">
      <c r="A2466" s="3">
        <v>2465</v>
      </c>
      <c r="B2466" s="1" t="s">
        <v>4875</v>
      </c>
      <c r="D2466" s="1" t="s">
        <v>4876</v>
      </c>
      <c r="F2466" s="1" t="s">
        <v>4880</v>
      </c>
      <c r="H2466" s="1" t="s">
        <v>4881</v>
      </c>
      <c r="N2466" s="1" t="s">
        <v>2585</v>
      </c>
      <c r="P2466" s="1" t="s">
        <v>11170</v>
      </c>
      <c r="Q2466" s="30" t="s">
        <v>2565</v>
      </c>
      <c r="R2466" s="33" t="s">
        <v>3473</v>
      </c>
      <c r="S2466">
        <v>37</v>
      </c>
      <c r="T2466" s="1" t="s">
        <v>13878</v>
      </c>
      <c r="U2466" s="1" t="str">
        <f>HYPERLINK("http://ictvonline.org/taxonomy/p/taxonomy-history?taxnode_id=202100408","ICTVonline=202100408")</f>
        <v>ICTVonline=202100408</v>
      </c>
    </row>
    <row r="2467" spans="1:21" x14ac:dyDescent="0.2">
      <c r="A2467" s="3">
        <v>2466</v>
      </c>
      <c r="B2467" s="1" t="s">
        <v>4875</v>
      </c>
      <c r="D2467" s="1" t="s">
        <v>4876</v>
      </c>
      <c r="F2467" s="1" t="s">
        <v>4880</v>
      </c>
      <c r="H2467" s="1" t="s">
        <v>4881</v>
      </c>
      <c r="N2467" s="1" t="s">
        <v>2585</v>
      </c>
      <c r="P2467" s="1" t="s">
        <v>11171</v>
      </c>
      <c r="Q2467" s="30" t="s">
        <v>2565</v>
      </c>
      <c r="R2467" s="33" t="s">
        <v>3473</v>
      </c>
      <c r="S2467">
        <v>37</v>
      </c>
      <c r="T2467" s="1" t="s">
        <v>13878</v>
      </c>
      <c r="U2467" s="1" t="str">
        <f>HYPERLINK("http://ictvonline.org/taxonomy/p/taxonomy-history?taxnode_id=202100409","ICTVonline=202100409")</f>
        <v>ICTVonline=202100409</v>
      </c>
    </row>
    <row r="2468" spans="1:21" x14ac:dyDescent="0.2">
      <c r="A2468" s="3">
        <v>2467</v>
      </c>
      <c r="B2468" s="1" t="s">
        <v>4875</v>
      </c>
      <c r="D2468" s="1" t="s">
        <v>4876</v>
      </c>
      <c r="F2468" s="1" t="s">
        <v>4880</v>
      </c>
      <c r="H2468" s="1" t="s">
        <v>4881</v>
      </c>
      <c r="N2468" s="1" t="s">
        <v>6168</v>
      </c>
      <c r="P2468" s="1" t="s">
        <v>11172</v>
      </c>
      <c r="Q2468" s="30" t="s">
        <v>2565</v>
      </c>
      <c r="R2468" s="33" t="s">
        <v>3473</v>
      </c>
      <c r="S2468">
        <v>37</v>
      </c>
      <c r="T2468" s="1" t="s">
        <v>13878</v>
      </c>
      <c r="U2468" s="1" t="str">
        <f>HYPERLINK("http://ictvonline.org/taxonomy/p/taxonomy-history?taxnode_id=202109616","ICTVonline=202109616")</f>
        <v>ICTVonline=202109616</v>
      </c>
    </row>
    <row r="2469" spans="1:21" x14ac:dyDescent="0.2">
      <c r="A2469" s="3">
        <v>2468</v>
      </c>
      <c r="B2469" s="1" t="s">
        <v>4875</v>
      </c>
      <c r="D2469" s="1" t="s">
        <v>4876</v>
      </c>
      <c r="F2469" s="1" t="s">
        <v>4880</v>
      </c>
      <c r="H2469" s="1" t="s">
        <v>4881</v>
      </c>
      <c r="N2469" s="1" t="s">
        <v>6012</v>
      </c>
      <c r="P2469" s="1" t="s">
        <v>11173</v>
      </c>
      <c r="Q2469" s="30" t="s">
        <v>2565</v>
      </c>
      <c r="R2469" s="33" t="s">
        <v>3473</v>
      </c>
      <c r="S2469">
        <v>37</v>
      </c>
      <c r="T2469" s="1" t="s">
        <v>13878</v>
      </c>
      <c r="U2469" s="1" t="str">
        <f>HYPERLINK("http://ictvonline.org/taxonomy/p/taxonomy-history?taxnode_id=202109620","ICTVonline=202109620")</f>
        <v>ICTVonline=202109620</v>
      </c>
    </row>
    <row r="2470" spans="1:21" x14ac:dyDescent="0.2">
      <c r="A2470" s="3">
        <v>2469</v>
      </c>
      <c r="B2470" s="1" t="s">
        <v>4875</v>
      </c>
      <c r="D2470" s="1" t="s">
        <v>4876</v>
      </c>
      <c r="F2470" s="1" t="s">
        <v>4880</v>
      </c>
      <c r="H2470" s="1" t="s">
        <v>4881</v>
      </c>
      <c r="N2470" s="1" t="s">
        <v>4641</v>
      </c>
      <c r="P2470" s="1" t="s">
        <v>11174</v>
      </c>
      <c r="Q2470" s="30" t="s">
        <v>2565</v>
      </c>
      <c r="R2470" s="33" t="s">
        <v>3473</v>
      </c>
      <c r="S2470">
        <v>37</v>
      </c>
      <c r="T2470" s="1" t="s">
        <v>13878</v>
      </c>
      <c r="U2470" s="1" t="str">
        <f>HYPERLINK("http://ictvonline.org/taxonomy/p/taxonomy-history?taxnode_id=202107091","ICTVonline=202107091")</f>
        <v>ICTVonline=202107091</v>
      </c>
    </row>
    <row r="2471" spans="1:21" x14ac:dyDescent="0.2">
      <c r="A2471" s="3">
        <v>2470</v>
      </c>
      <c r="B2471" s="1" t="s">
        <v>4875</v>
      </c>
      <c r="D2471" s="1" t="s">
        <v>4876</v>
      </c>
      <c r="F2471" s="1" t="s">
        <v>4880</v>
      </c>
      <c r="H2471" s="1" t="s">
        <v>4881</v>
      </c>
      <c r="N2471" s="1" t="s">
        <v>4641</v>
      </c>
      <c r="P2471" s="1" t="s">
        <v>11175</v>
      </c>
      <c r="Q2471" s="30" t="s">
        <v>2565</v>
      </c>
      <c r="R2471" s="33" t="s">
        <v>3473</v>
      </c>
      <c r="S2471">
        <v>37</v>
      </c>
      <c r="T2471" s="1" t="s">
        <v>13878</v>
      </c>
      <c r="U2471" s="1" t="str">
        <f>HYPERLINK("http://ictvonline.org/taxonomy/p/taxonomy-history?taxnode_id=202107094","ICTVonline=202107094")</f>
        <v>ICTVonline=202107094</v>
      </c>
    </row>
    <row r="2472" spans="1:21" x14ac:dyDescent="0.2">
      <c r="A2472" s="3">
        <v>2471</v>
      </c>
      <c r="B2472" s="1" t="s">
        <v>4875</v>
      </c>
      <c r="D2472" s="1" t="s">
        <v>4876</v>
      </c>
      <c r="F2472" s="1" t="s">
        <v>4880</v>
      </c>
      <c r="H2472" s="1" t="s">
        <v>4881</v>
      </c>
      <c r="N2472" s="1" t="s">
        <v>4641</v>
      </c>
      <c r="P2472" s="1" t="s">
        <v>11176</v>
      </c>
      <c r="Q2472" s="30" t="s">
        <v>2565</v>
      </c>
      <c r="R2472" s="33" t="s">
        <v>3473</v>
      </c>
      <c r="S2472">
        <v>37</v>
      </c>
      <c r="T2472" s="1" t="s">
        <v>13878</v>
      </c>
      <c r="U2472" s="1" t="str">
        <f>HYPERLINK("http://ictvonline.org/taxonomy/p/taxonomy-history?taxnode_id=202107092","ICTVonline=202107092")</f>
        <v>ICTVonline=202107092</v>
      </c>
    </row>
    <row r="2473" spans="1:21" x14ac:dyDescent="0.2">
      <c r="A2473" s="3">
        <v>2472</v>
      </c>
      <c r="B2473" s="1" t="s">
        <v>4875</v>
      </c>
      <c r="D2473" s="1" t="s">
        <v>4876</v>
      </c>
      <c r="F2473" s="1" t="s">
        <v>4880</v>
      </c>
      <c r="H2473" s="1" t="s">
        <v>4881</v>
      </c>
      <c r="N2473" s="1" t="s">
        <v>4641</v>
      </c>
      <c r="P2473" s="1" t="s">
        <v>11177</v>
      </c>
      <c r="Q2473" s="30" t="s">
        <v>2565</v>
      </c>
      <c r="R2473" s="33" t="s">
        <v>3473</v>
      </c>
      <c r="S2473">
        <v>37</v>
      </c>
      <c r="T2473" s="1" t="s">
        <v>13878</v>
      </c>
      <c r="U2473" s="1" t="str">
        <f>HYPERLINK("http://ictvonline.org/taxonomy/p/taxonomy-history?taxnode_id=202107093","ICTVonline=202107093")</f>
        <v>ICTVonline=202107093</v>
      </c>
    </row>
    <row r="2474" spans="1:21" x14ac:dyDescent="0.2">
      <c r="A2474" s="3">
        <v>2473</v>
      </c>
      <c r="B2474" s="1" t="s">
        <v>4875</v>
      </c>
      <c r="D2474" s="1" t="s">
        <v>4876</v>
      </c>
      <c r="F2474" s="1" t="s">
        <v>4880</v>
      </c>
      <c r="H2474" s="1" t="s">
        <v>4881</v>
      </c>
      <c r="N2474" s="1" t="s">
        <v>6169</v>
      </c>
      <c r="P2474" s="1" t="s">
        <v>11178</v>
      </c>
      <c r="Q2474" s="30" t="s">
        <v>2565</v>
      </c>
      <c r="R2474" s="33" t="s">
        <v>3473</v>
      </c>
      <c r="S2474">
        <v>37</v>
      </c>
      <c r="T2474" s="1" t="s">
        <v>13878</v>
      </c>
      <c r="U2474" s="1" t="str">
        <f>HYPERLINK("http://ictvonline.org/taxonomy/p/taxonomy-history?taxnode_id=202110193","ICTVonline=202110193")</f>
        <v>ICTVonline=202110193</v>
      </c>
    </row>
    <row r="2475" spans="1:21" x14ac:dyDescent="0.2">
      <c r="A2475" s="3">
        <v>2474</v>
      </c>
      <c r="B2475" s="1" t="s">
        <v>4875</v>
      </c>
      <c r="D2475" s="1" t="s">
        <v>4876</v>
      </c>
      <c r="F2475" s="1" t="s">
        <v>4880</v>
      </c>
      <c r="H2475" s="1" t="s">
        <v>4881</v>
      </c>
      <c r="N2475" s="1" t="s">
        <v>4642</v>
      </c>
      <c r="P2475" s="1" t="s">
        <v>11179</v>
      </c>
      <c r="Q2475" s="30" t="s">
        <v>2565</v>
      </c>
      <c r="R2475" s="33" t="s">
        <v>3473</v>
      </c>
      <c r="S2475">
        <v>37</v>
      </c>
      <c r="T2475" s="1" t="s">
        <v>13878</v>
      </c>
      <c r="U2475" s="1" t="str">
        <f>HYPERLINK("http://ictvonline.org/taxonomy/p/taxonomy-history?taxnode_id=202106394","ICTVonline=202106394")</f>
        <v>ICTVonline=202106394</v>
      </c>
    </row>
    <row r="2476" spans="1:21" x14ac:dyDescent="0.2">
      <c r="A2476" s="3">
        <v>2475</v>
      </c>
      <c r="B2476" s="1" t="s">
        <v>4875</v>
      </c>
      <c r="D2476" s="1" t="s">
        <v>4876</v>
      </c>
      <c r="F2476" s="1" t="s">
        <v>4880</v>
      </c>
      <c r="H2476" s="1" t="s">
        <v>4881</v>
      </c>
      <c r="N2476" s="1" t="s">
        <v>11180</v>
      </c>
      <c r="P2476" s="1" t="s">
        <v>11181</v>
      </c>
      <c r="Q2476" s="30" t="s">
        <v>2565</v>
      </c>
      <c r="R2476" s="33" t="s">
        <v>3472</v>
      </c>
      <c r="S2476">
        <v>37</v>
      </c>
      <c r="T2476" s="1" t="s">
        <v>13931</v>
      </c>
      <c r="U2476" s="1" t="str">
        <f>HYPERLINK("http://ictvonline.org/taxonomy/p/taxonomy-history?taxnode_id=202113208","ICTVonline=202113208")</f>
        <v>ICTVonline=202113208</v>
      </c>
    </row>
    <row r="2477" spans="1:21" x14ac:dyDescent="0.2">
      <c r="A2477" s="3">
        <v>2476</v>
      </c>
      <c r="B2477" s="1" t="s">
        <v>4875</v>
      </c>
      <c r="D2477" s="1" t="s">
        <v>4876</v>
      </c>
      <c r="F2477" s="1" t="s">
        <v>4880</v>
      </c>
      <c r="H2477" s="1" t="s">
        <v>4881</v>
      </c>
      <c r="N2477" s="1" t="s">
        <v>11180</v>
      </c>
      <c r="P2477" s="1" t="s">
        <v>11182</v>
      </c>
      <c r="Q2477" s="30" t="s">
        <v>2565</v>
      </c>
      <c r="R2477" s="33" t="s">
        <v>3473</v>
      </c>
      <c r="S2477">
        <v>37</v>
      </c>
      <c r="T2477" s="1" t="s">
        <v>13931</v>
      </c>
      <c r="U2477" s="1" t="str">
        <f>HYPERLINK("http://ictvonline.org/taxonomy/p/taxonomy-history?taxnode_id=202101014","ICTVonline=202101014")</f>
        <v>ICTVonline=202101014</v>
      </c>
    </row>
    <row r="2478" spans="1:21" x14ac:dyDescent="0.2">
      <c r="A2478" s="3">
        <v>2477</v>
      </c>
      <c r="B2478" s="1" t="s">
        <v>4875</v>
      </c>
      <c r="D2478" s="1" t="s">
        <v>4876</v>
      </c>
      <c r="F2478" s="1" t="s">
        <v>4880</v>
      </c>
      <c r="H2478" s="1" t="s">
        <v>4881</v>
      </c>
      <c r="N2478" s="1" t="s">
        <v>11180</v>
      </c>
      <c r="P2478" s="1" t="s">
        <v>11183</v>
      </c>
      <c r="Q2478" s="30" t="s">
        <v>2565</v>
      </c>
      <c r="R2478" s="33" t="s">
        <v>3472</v>
      </c>
      <c r="S2478">
        <v>37</v>
      </c>
      <c r="T2478" s="1" t="s">
        <v>13931</v>
      </c>
      <c r="U2478" s="1" t="str">
        <f>HYPERLINK("http://ictvonline.org/taxonomy/p/taxonomy-history?taxnode_id=202113207","ICTVonline=202113207")</f>
        <v>ICTVonline=202113207</v>
      </c>
    </row>
    <row r="2479" spans="1:21" x14ac:dyDescent="0.2">
      <c r="A2479" s="3">
        <v>2478</v>
      </c>
      <c r="B2479" s="1" t="s">
        <v>4875</v>
      </c>
      <c r="D2479" s="1" t="s">
        <v>4876</v>
      </c>
      <c r="F2479" s="1" t="s">
        <v>4880</v>
      </c>
      <c r="H2479" s="1" t="s">
        <v>4881</v>
      </c>
      <c r="N2479" s="1" t="s">
        <v>11180</v>
      </c>
      <c r="P2479" s="1" t="s">
        <v>11184</v>
      </c>
      <c r="Q2479" s="30" t="s">
        <v>2565</v>
      </c>
      <c r="R2479" s="33" t="s">
        <v>3472</v>
      </c>
      <c r="S2479">
        <v>37</v>
      </c>
      <c r="T2479" s="1" t="s">
        <v>13931</v>
      </c>
      <c r="U2479" s="1" t="str">
        <f>HYPERLINK("http://ictvonline.org/taxonomy/p/taxonomy-history?taxnode_id=202113201","ICTVonline=202113201")</f>
        <v>ICTVonline=202113201</v>
      </c>
    </row>
    <row r="2480" spans="1:21" x14ac:dyDescent="0.2">
      <c r="A2480" s="3">
        <v>2479</v>
      </c>
      <c r="B2480" s="1" t="s">
        <v>4875</v>
      </c>
      <c r="D2480" s="1" t="s">
        <v>4876</v>
      </c>
      <c r="F2480" s="1" t="s">
        <v>4880</v>
      </c>
      <c r="H2480" s="1" t="s">
        <v>4881</v>
      </c>
      <c r="N2480" s="1" t="s">
        <v>11180</v>
      </c>
      <c r="P2480" s="1" t="s">
        <v>11185</v>
      </c>
      <c r="Q2480" s="30" t="s">
        <v>2565</v>
      </c>
      <c r="R2480" s="33" t="s">
        <v>3473</v>
      </c>
      <c r="S2480">
        <v>37</v>
      </c>
      <c r="T2480" s="1" t="s">
        <v>13931</v>
      </c>
      <c r="U2480" s="1" t="str">
        <f>HYPERLINK("http://ictvonline.org/taxonomy/p/taxonomy-history?taxnode_id=202101021","ICTVonline=202101021")</f>
        <v>ICTVonline=202101021</v>
      </c>
    </row>
    <row r="2481" spans="1:21" x14ac:dyDescent="0.2">
      <c r="A2481" s="3">
        <v>2480</v>
      </c>
      <c r="B2481" s="1" t="s">
        <v>4875</v>
      </c>
      <c r="D2481" s="1" t="s">
        <v>4876</v>
      </c>
      <c r="F2481" s="1" t="s">
        <v>4880</v>
      </c>
      <c r="H2481" s="1" t="s">
        <v>4881</v>
      </c>
      <c r="N2481" s="1" t="s">
        <v>11180</v>
      </c>
      <c r="P2481" s="1" t="s">
        <v>11186</v>
      </c>
      <c r="Q2481" s="30" t="s">
        <v>2565</v>
      </c>
      <c r="R2481" s="33" t="s">
        <v>3472</v>
      </c>
      <c r="S2481">
        <v>37</v>
      </c>
      <c r="T2481" s="1" t="s">
        <v>13931</v>
      </c>
      <c r="U2481" s="1" t="str">
        <f>HYPERLINK("http://ictvonline.org/taxonomy/p/taxonomy-history?taxnode_id=202113209","ICTVonline=202113209")</f>
        <v>ICTVonline=202113209</v>
      </c>
    </row>
    <row r="2482" spans="1:21" x14ac:dyDescent="0.2">
      <c r="A2482" s="3">
        <v>2481</v>
      </c>
      <c r="B2482" s="1" t="s">
        <v>4875</v>
      </c>
      <c r="D2482" s="1" t="s">
        <v>4876</v>
      </c>
      <c r="F2482" s="1" t="s">
        <v>4880</v>
      </c>
      <c r="H2482" s="1" t="s">
        <v>4881</v>
      </c>
      <c r="N2482" s="1" t="s">
        <v>11180</v>
      </c>
      <c r="P2482" s="1" t="s">
        <v>11187</v>
      </c>
      <c r="Q2482" s="30" t="s">
        <v>2565</v>
      </c>
      <c r="R2482" s="33" t="s">
        <v>3472</v>
      </c>
      <c r="S2482">
        <v>37</v>
      </c>
      <c r="T2482" s="1" t="s">
        <v>13931</v>
      </c>
      <c r="U2482" s="1" t="str">
        <f>HYPERLINK("http://ictvonline.org/taxonomy/p/taxonomy-history?taxnode_id=202113205","ICTVonline=202113205")</f>
        <v>ICTVonline=202113205</v>
      </c>
    </row>
    <row r="2483" spans="1:21" x14ac:dyDescent="0.2">
      <c r="A2483" s="3">
        <v>2482</v>
      </c>
      <c r="B2483" s="1" t="s">
        <v>4875</v>
      </c>
      <c r="D2483" s="1" t="s">
        <v>4876</v>
      </c>
      <c r="F2483" s="1" t="s">
        <v>4880</v>
      </c>
      <c r="H2483" s="1" t="s">
        <v>4881</v>
      </c>
      <c r="N2483" s="1" t="s">
        <v>11180</v>
      </c>
      <c r="P2483" s="1" t="s">
        <v>11188</v>
      </c>
      <c r="Q2483" s="30" t="s">
        <v>2565</v>
      </c>
      <c r="R2483" s="33" t="s">
        <v>3472</v>
      </c>
      <c r="S2483">
        <v>37</v>
      </c>
      <c r="T2483" s="1" t="s">
        <v>13931</v>
      </c>
      <c r="U2483" s="1" t="str">
        <f>HYPERLINK("http://ictvonline.org/taxonomy/p/taxonomy-history?taxnode_id=202113199","ICTVonline=202113199")</f>
        <v>ICTVonline=202113199</v>
      </c>
    </row>
    <row r="2484" spans="1:21" x14ac:dyDescent="0.2">
      <c r="A2484" s="3">
        <v>2483</v>
      </c>
      <c r="B2484" s="1" t="s">
        <v>4875</v>
      </c>
      <c r="D2484" s="1" t="s">
        <v>4876</v>
      </c>
      <c r="F2484" s="1" t="s">
        <v>4880</v>
      </c>
      <c r="H2484" s="1" t="s">
        <v>4881</v>
      </c>
      <c r="N2484" s="1" t="s">
        <v>11180</v>
      </c>
      <c r="P2484" s="1" t="s">
        <v>11189</v>
      </c>
      <c r="Q2484" s="30" t="s">
        <v>2565</v>
      </c>
      <c r="R2484" s="33" t="s">
        <v>3472</v>
      </c>
      <c r="S2484">
        <v>37</v>
      </c>
      <c r="T2484" s="1" t="s">
        <v>13931</v>
      </c>
      <c r="U2484" s="1" t="str">
        <f>HYPERLINK("http://ictvonline.org/taxonomy/p/taxonomy-history?taxnode_id=202113202","ICTVonline=202113202")</f>
        <v>ICTVonline=202113202</v>
      </c>
    </row>
    <row r="2485" spans="1:21" x14ac:dyDescent="0.2">
      <c r="A2485" s="3">
        <v>2484</v>
      </c>
      <c r="B2485" s="1" t="s">
        <v>4875</v>
      </c>
      <c r="D2485" s="1" t="s">
        <v>4876</v>
      </c>
      <c r="F2485" s="1" t="s">
        <v>4880</v>
      </c>
      <c r="H2485" s="1" t="s">
        <v>4881</v>
      </c>
      <c r="N2485" s="1" t="s">
        <v>11180</v>
      </c>
      <c r="P2485" s="1" t="s">
        <v>11190</v>
      </c>
      <c r="Q2485" s="30" t="s">
        <v>2565</v>
      </c>
      <c r="R2485" s="33" t="s">
        <v>3472</v>
      </c>
      <c r="S2485">
        <v>37</v>
      </c>
      <c r="T2485" s="1" t="s">
        <v>13931</v>
      </c>
      <c r="U2485" s="1" t="str">
        <f>HYPERLINK("http://ictvonline.org/taxonomy/p/taxonomy-history?taxnode_id=202113204","ICTVonline=202113204")</f>
        <v>ICTVonline=202113204</v>
      </c>
    </row>
    <row r="2486" spans="1:21" x14ac:dyDescent="0.2">
      <c r="A2486" s="3">
        <v>2485</v>
      </c>
      <c r="B2486" s="1" t="s">
        <v>4875</v>
      </c>
      <c r="D2486" s="1" t="s">
        <v>4876</v>
      </c>
      <c r="F2486" s="1" t="s">
        <v>4880</v>
      </c>
      <c r="H2486" s="1" t="s">
        <v>4881</v>
      </c>
      <c r="N2486" s="1" t="s">
        <v>11180</v>
      </c>
      <c r="P2486" s="1" t="s">
        <v>11191</v>
      </c>
      <c r="Q2486" s="30" t="s">
        <v>2565</v>
      </c>
      <c r="R2486" s="33" t="s">
        <v>3472</v>
      </c>
      <c r="S2486">
        <v>37</v>
      </c>
      <c r="T2486" s="1" t="s">
        <v>13931</v>
      </c>
      <c r="U2486" s="1" t="str">
        <f>HYPERLINK("http://ictvonline.org/taxonomy/p/taxonomy-history?taxnode_id=202113203","ICTVonline=202113203")</f>
        <v>ICTVonline=202113203</v>
      </c>
    </row>
    <row r="2487" spans="1:21" x14ac:dyDescent="0.2">
      <c r="A2487" s="3">
        <v>2486</v>
      </c>
      <c r="B2487" s="1" t="s">
        <v>4875</v>
      </c>
      <c r="D2487" s="1" t="s">
        <v>4876</v>
      </c>
      <c r="F2487" s="1" t="s">
        <v>4880</v>
      </c>
      <c r="H2487" s="1" t="s">
        <v>4881</v>
      </c>
      <c r="N2487" s="1" t="s">
        <v>11180</v>
      </c>
      <c r="P2487" s="1" t="s">
        <v>11192</v>
      </c>
      <c r="Q2487" s="30" t="s">
        <v>2565</v>
      </c>
      <c r="R2487" s="33" t="s">
        <v>3473</v>
      </c>
      <c r="S2487">
        <v>37</v>
      </c>
      <c r="T2487" s="1" t="s">
        <v>13931</v>
      </c>
      <c r="U2487" s="1" t="str">
        <f>HYPERLINK("http://ictvonline.org/taxonomy/p/taxonomy-history?taxnode_id=202101061","ICTVonline=202101061")</f>
        <v>ICTVonline=202101061</v>
      </c>
    </row>
    <row r="2488" spans="1:21" x14ac:dyDescent="0.2">
      <c r="A2488" s="3">
        <v>2487</v>
      </c>
      <c r="B2488" s="1" t="s">
        <v>4875</v>
      </c>
      <c r="D2488" s="1" t="s">
        <v>4876</v>
      </c>
      <c r="F2488" s="1" t="s">
        <v>4880</v>
      </c>
      <c r="H2488" s="1" t="s">
        <v>4881</v>
      </c>
      <c r="N2488" s="1" t="s">
        <v>11180</v>
      </c>
      <c r="P2488" s="1" t="s">
        <v>11193</v>
      </c>
      <c r="Q2488" s="30" t="s">
        <v>2565</v>
      </c>
      <c r="R2488" s="33" t="s">
        <v>3472</v>
      </c>
      <c r="S2488">
        <v>37</v>
      </c>
      <c r="T2488" s="1" t="s">
        <v>13931</v>
      </c>
      <c r="U2488" s="1" t="str">
        <f>HYPERLINK("http://ictvonline.org/taxonomy/p/taxonomy-history?taxnode_id=202113200","ICTVonline=202113200")</f>
        <v>ICTVonline=202113200</v>
      </c>
    </row>
    <row r="2489" spans="1:21" x14ac:dyDescent="0.2">
      <c r="A2489" s="3">
        <v>2488</v>
      </c>
      <c r="B2489" s="1" t="s">
        <v>4875</v>
      </c>
      <c r="D2489" s="1" t="s">
        <v>4876</v>
      </c>
      <c r="F2489" s="1" t="s">
        <v>4880</v>
      </c>
      <c r="H2489" s="1" t="s">
        <v>4881</v>
      </c>
      <c r="N2489" s="1" t="s">
        <v>11180</v>
      </c>
      <c r="P2489" s="1" t="s">
        <v>11194</v>
      </c>
      <c r="Q2489" s="30" t="s">
        <v>2565</v>
      </c>
      <c r="R2489" s="33" t="s">
        <v>3472</v>
      </c>
      <c r="S2489">
        <v>37</v>
      </c>
      <c r="T2489" s="1" t="s">
        <v>13931</v>
      </c>
      <c r="U2489" s="1" t="str">
        <f>HYPERLINK("http://ictvonline.org/taxonomy/p/taxonomy-history?taxnode_id=202113206","ICTVonline=202113206")</f>
        <v>ICTVonline=202113206</v>
      </c>
    </row>
    <row r="2490" spans="1:21" x14ac:dyDescent="0.2">
      <c r="A2490" s="3">
        <v>2489</v>
      </c>
      <c r="B2490" s="1" t="s">
        <v>4875</v>
      </c>
      <c r="D2490" s="1" t="s">
        <v>4876</v>
      </c>
      <c r="F2490" s="1" t="s">
        <v>4880</v>
      </c>
      <c r="H2490" s="1" t="s">
        <v>4881</v>
      </c>
      <c r="N2490" s="1" t="s">
        <v>4643</v>
      </c>
      <c r="P2490" s="1" t="s">
        <v>11195</v>
      </c>
      <c r="Q2490" s="30" t="s">
        <v>2565</v>
      </c>
      <c r="R2490" s="33" t="s">
        <v>3473</v>
      </c>
      <c r="S2490">
        <v>37</v>
      </c>
      <c r="T2490" s="1" t="s">
        <v>13878</v>
      </c>
      <c r="U2490" s="1" t="str">
        <f>HYPERLINK("http://ictvonline.org/taxonomy/p/taxonomy-history?taxnode_id=202100858","ICTVonline=202100858")</f>
        <v>ICTVonline=202100858</v>
      </c>
    </row>
    <row r="2491" spans="1:21" x14ac:dyDescent="0.2">
      <c r="A2491" s="3">
        <v>2490</v>
      </c>
      <c r="B2491" s="1" t="s">
        <v>4875</v>
      </c>
      <c r="D2491" s="1" t="s">
        <v>4876</v>
      </c>
      <c r="F2491" s="1" t="s">
        <v>4880</v>
      </c>
      <c r="H2491" s="1" t="s">
        <v>4881</v>
      </c>
      <c r="N2491" s="1" t="s">
        <v>4643</v>
      </c>
      <c r="P2491" s="1" t="s">
        <v>11196</v>
      </c>
      <c r="Q2491" s="30" t="s">
        <v>2565</v>
      </c>
      <c r="R2491" s="33" t="s">
        <v>3472</v>
      </c>
      <c r="S2491">
        <v>37</v>
      </c>
      <c r="T2491" s="1" t="s">
        <v>13932</v>
      </c>
      <c r="U2491" s="1" t="str">
        <f>HYPERLINK("http://ictvonline.org/taxonomy/p/taxonomy-history?taxnode_id=202112355","ICTVonline=202112355")</f>
        <v>ICTVonline=202112355</v>
      </c>
    </row>
    <row r="2492" spans="1:21" x14ac:dyDescent="0.2">
      <c r="A2492" s="3">
        <v>2491</v>
      </c>
      <c r="B2492" s="1" t="s">
        <v>4875</v>
      </c>
      <c r="D2492" s="1" t="s">
        <v>4876</v>
      </c>
      <c r="F2492" s="1" t="s">
        <v>4880</v>
      </c>
      <c r="H2492" s="1" t="s">
        <v>4881</v>
      </c>
      <c r="N2492" s="1" t="s">
        <v>4644</v>
      </c>
      <c r="P2492" s="1" t="s">
        <v>11197</v>
      </c>
      <c r="Q2492" s="30" t="s">
        <v>2565</v>
      </c>
      <c r="R2492" s="33" t="s">
        <v>3473</v>
      </c>
      <c r="S2492">
        <v>37</v>
      </c>
      <c r="T2492" s="1" t="s">
        <v>13878</v>
      </c>
      <c r="U2492" s="1" t="str">
        <f>HYPERLINK("http://ictvonline.org/taxonomy/p/taxonomy-history?taxnode_id=202106801","ICTVonline=202106801")</f>
        <v>ICTVonline=202106801</v>
      </c>
    </row>
    <row r="2493" spans="1:21" x14ac:dyDescent="0.2">
      <c r="A2493" s="3">
        <v>2492</v>
      </c>
      <c r="B2493" s="1" t="s">
        <v>4875</v>
      </c>
      <c r="D2493" s="1" t="s">
        <v>4876</v>
      </c>
      <c r="F2493" s="1" t="s">
        <v>4880</v>
      </c>
      <c r="H2493" s="1" t="s">
        <v>4881</v>
      </c>
      <c r="N2493" s="1" t="s">
        <v>6170</v>
      </c>
      <c r="P2493" s="1" t="s">
        <v>11198</v>
      </c>
      <c r="Q2493" s="30" t="s">
        <v>2565</v>
      </c>
      <c r="R2493" s="33" t="s">
        <v>3473</v>
      </c>
      <c r="S2493">
        <v>37</v>
      </c>
      <c r="T2493" s="1" t="s">
        <v>13878</v>
      </c>
      <c r="U2493" s="1" t="str">
        <f>HYPERLINK("http://ictvonline.org/taxonomy/p/taxonomy-history?taxnode_id=202109344","ICTVonline=202109344")</f>
        <v>ICTVonline=202109344</v>
      </c>
    </row>
    <row r="2494" spans="1:21" x14ac:dyDescent="0.2">
      <c r="A2494" s="3">
        <v>2493</v>
      </c>
      <c r="B2494" s="1" t="s">
        <v>4875</v>
      </c>
      <c r="D2494" s="1" t="s">
        <v>4876</v>
      </c>
      <c r="F2494" s="1" t="s">
        <v>4880</v>
      </c>
      <c r="H2494" s="1" t="s">
        <v>4881</v>
      </c>
      <c r="N2494" s="1" t="s">
        <v>4645</v>
      </c>
      <c r="P2494" s="1" t="s">
        <v>11199</v>
      </c>
      <c r="Q2494" s="30" t="s">
        <v>2565</v>
      </c>
      <c r="R2494" s="33" t="s">
        <v>3473</v>
      </c>
      <c r="S2494">
        <v>37</v>
      </c>
      <c r="T2494" s="1" t="s">
        <v>13878</v>
      </c>
      <c r="U2494" s="1" t="str">
        <f>HYPERLINK("http://ictvonline.org/taxonomy/p/taxonomy-history?taxnode_id=202106724","ICTVonline=202106724")</f>
        <v>ICTVonline=202106724</v>
      </c>
    </row>
    <row r="2495" spans="1:21" x14ac:dyDescent="0.2">
      <c r="A2495" s="3">
        <v>2494</v>
      </c>
      <c r="B2495" s="1" t="s">
        <v>4875</v>
      </c>
      <c r="D2495" s="1" t="s">
        <v>4876</v>
      </c>
      <c r="F2495" s="1" t="s">
        <v>4880</v>
      </c>
      <c r="H2495" s="1" t="s">
        <v>4881</v>
      </c>
      <c r="N2495" s="1" t="s">
        <v>11200</v>
      </c>
      <c r="P2495" s="1" t="s">
        <v>11201</v>
      </c>
      <c r="Q2495" s="30" t="s">
        <v>2565</v>
      </c>
      <c r="R2495" s="33" t="s">
        <v>3472</v>
      </c>
      <c r="S2495">
        <v>37</v>
      </c>
      <c r="T2495" s="1" t="s">
        <v>13933</v>
      </c>
      <c r="U2495" s="1" t="str">
        <f>HYPERLINK("http://ictvonline.org/taxonomy/p/taxonomy-history?taxnode_id=202112974","ICTVonline=202112974")</f>
        <v>ICTVonline=202112974</v>
      </c>
    </row>
    <row r="2496" spans="1:21" x14ac:dyDescent="0.2">
      <c r="A2496" s="3">
        <v>2495</v>
      </c>
      <c r="B2496" s="1" t="s">
        <v>4875</v>
      </c>
      <c r="D2496" s="1" t="s">
        <v>4876</v>
      </c>
      <c r="F2496" s="1" t="s">
        <v>4880</v>
      </c>
      <c r="H2496" s="1" t="s">
        <v>4881</v>
      </c>
      <c r="N2496" s="1" t="s">
        <v>4599</v>
      </c>
      <c r="P2496" s="1" t="s">
        <v>11202</v>
      </c>
      <c r="Q2496" s="30" t="s">
        <v>2565</v>
      </c>
      <c r="R2496" s="33" t="s">
        <v>3473</v>
      </c>
      <c r="S2496">
        <v>37</v>
      </c>
      <c r="T2496" s="1" t="s">
        <v>13878</v>
      </c>
      <c r="U2496" s="1" t="str">
        <f>HYPERLINK("http://ictvonline.org/taxonomy/p/taxonomy-history?taxnode_id=202106806","ICTVonline=202106806")</f>
        <v>ICTVonline=202106806</v>
      </c>
    </row>
    <row r="2497" spans="1:21" x14ac:dyDescent="0.2">
      <c r="A2497" s="3">
        <v>2496</v>
      </c>
      <c r="B2497" s="1" t="s">
        <v>4875</v>
      </c>
      <c r="D2497" s="1" t="s">
        <v>4876</v>
      </c>
      <c r="F2497" s="1" t="s">
        <v>4880</v>
      </c>
      <c r="H2497" s="1" t="s">
        <v>4881</v>
      </c>
      <c r="N2497" s="1" t="s">
        <v>6013</v>
      </c>
      <c r="P2497" s="1" t="s">
        <v>11203</v>
      </c>
      <c r="Q2497" s="30" t="s">
        <v>2565</v>
      </c>
      <c r="R2497" s="33" t="s">
        <v>3473</v>
      </c>
      <c r="S2497">
        <v>37</v>
      </c>
      <c r="T2497" s="1" t="s">
        <v>13878</v>
      </c>
      <c r="U2497" s="1" t="str">
        <f>HYPERLINK("http://ictvonline.org/taxonomy/p/taxonomy-history?taxnode_id=202109662","ICTVonline=202109662")</f>
        <v>ICTVonline=202109662</v>
      </c>
    </row>
    <row r="2498" spans="1:21" x14ac:dyDescent="0.2">
      <c r="A2498" s="3">
        <v>2497</v>
      </c>
      <c r="B2498" s="1" t="s">
        <v>4875</v>
      </c>
      <c r="D2498" s="1" t="s">
        <v>4876</v>
      </c>
      <c r="F2498" s="1" t="s">
        <v>4880</v>
      </c>
      <c r="H2498" s="1" t="s">
        <v>4881</v>
      </c>
      <c r="N2498" s="1" t="s">
        <v>4646</v>
      </c>
      <c r="P2498" s="1" t="s">
        <v>11204</v>
      </c>
      <c r="Q2498" s="30" t="s">
        <v>2565</v>
      </c>
      <c r="R2498" s="33" t="s">
        <v>3473</v>
      </c>
      <c r="S2498">
        <v>37</v>
      </c>
      <c r="T2498" s="1" t="s">
        <v>13878</v>
      </c>
      <c r="U2498" s="1" t="str">
        <f>HYPERLINK("http://ictvonline.org/taxonomy/p/taxonomy-history?taxnode_id=202106620","ICTVonline=202106620")</f>
        <v>ICTVonline=202106620</v>
      </c>
    </row>
    <row r="2499" spans="1:21" x14ac:dyDescent="0.2">
      <c r="A2499" s="3">
        <v>2498</v>
      </c>
      <c r="B2499" s="1" t="s">
        <v>4875</v>
      </c>
      <c r="D2499" s="1" t="s">
        <v>4876</v>
      </c>
      <c r="F2499" s="1" t="s">
        <v>4880</v>
      </c>
      <c r="H2499" s="1" t="s">
        <v>4881</v>
      </c>
      <c r="N2499" s="1" t="s">
        <v>5185</v>
      </c>
      <c r="P2499" s="1" t="s">
        <v>11205</v>
      </c>
      <c r="Q2499" s="30" t="s">
        <v>2565</v>
      </c>
      <c r="R2499" s="33" t="s">
        <v>3473</v>
      </c>
      <c r="S2499">
        <v>37</v>
      </c>
      <c r="T2499" s="1" t="s">
        <v>13878</v>
      </c>
      <c r="U2499" s="1" t="str">
        <f>HYPERLINK("http://ictvonline.org/taxonomy/p/taxonomy-history?taxnode_id=202107136","ICTVonline=202107136")</f>
        <v>ICTVonline=202107136</v>
      </c>
    </row>
    <row r="2500" spans="1:21" x14ac:dyDescent="0.2">
      <c r="A2500" s="3">
        <v>2499</v>
      </c>
      <c r="B2500" s="1" t="s">
        <v>4875</v>
      </c>
      <c r="D2500" s="1" t="s">
        <v>4876</v>
      </c>
      <c r="F2500" s="1" t="s">
        <v>4880</v>
      </c>
      <c r="H2500" s="1" t="s">
        <v>4881</v>
      </c>
      <c r="N2500" s="1" t="s">
        <v>5185</v>
      </c>
      <c r="P2500" s="1" t="s">
        <v>11206</v>
      </c>
      <c r="Q2500" s="30" t="s">
        <v>2565</v>
      </c>
      <c r="R2500" s="33" t="s">
        <v>3473</v>
      </c>
      <c r="S2500">
        <v>37</v>
      </c>
      <c r="T2500" s="1" t="s">
        <v>13878</v>
      </c>
      <c r="U2500" s="1" t="str">
        <f>HYPERLINK("http://ictvonline.org/taxonomy/p/taxonomy-history?taxnode_id=202107138","ICTVonline=202107138")</f>
        <v>ICTVonline=202107138</v>
      </c>
    </row>
    <row r="2501" spans="1:21" x14ac:dyDescent="0.2">
      <c r="A2501" s="3">
        <v>2500</v>
      </c>
      <c r="B2501" s="1" t="s">
        <v>4875</v>
      </c>
      <c r="D2501" s="1" t="s">
        <v>4876</v>
      </c>
      <c r="F2501" s="1" t="s">
        <v>4880</v>
      </c>
      <c r="H2501" s="1" t="s">
        <v>4881</v>
      </c>
      <c r="N2501" s="1" t="s">
        <v>5185</v>
      </c>
      <c r="P2501" s="1" t="s">
        <v>11207</v>
      </c>
      <c r="Q2501" s="30" t="s">
        <v>2565</v>
      </c>
      <c r="R2501" s="33" t="s">
        <v>3473</v>
      </c>
      <c r="S2501">
        <v>37</v>
      </c>
      <c r="T2501" s="1" t="s">
        <v>13878</v>
      </c>
      <c r="U2501" s="1" t="str">
        <f>HYPERLINK("http://ictvonline.org/taxonomy/p/taxonomy-history?taxnode_id=202107140","ICTVonline=202107140")</f>
        <v>ICTVonline=202107140</v>
      </c>
    </row>
    <row r="2502" spans="1:21" x14ac:dyDescent="0.2">
      <c r="A2502" s="3">
        <v>2501</v>
      </c>
      <c r="B2502" s="1" t="s">
        <v>4875</v>
      </c>
      <c r="D2502" s="1" t="s">
        <v>4876</v>
      </c>
      <c r="F2502" s="1" t="s">
        <v>4880</v>
      </c>
      <c r="H2502" s="1" t="s">
        <v>4881</v>
      </c>
      <c r="N2502" s="1" t="s">
        <v>5185</v>
      </c>
      <c r="P2502" s="1" t="s">
        <v>11208</v>
      </c>
      <c r="Q2502" s="30" t="s">
        <v>2565</v>
      </c>
      <c r="R2502" s="33" t="s">
        <v>3473</v>
      </c>
      <c r="S2502">
        <v>37</v>
      </c>
      <c r="T2502" s="1" t="s">
        <v>13878</v>
      </c>
      <c r="U2502" s="1" t="str">
        <f>HYPERLINK("http://ictvonline.org/taxonomy/p/taxonomy-history?taxnode_id=202107137","ICTVonline=202107137")</f>
        <v>ICTVonline=202107137</v>
      </c>
    </row>
    <row r="2503" spans="1:21" x14ac:dyDescent="0.2">
      <c r="A2503" s="3">
        <v>2502</v>
      </c>
      <c r="B2503" s="1" t="s">
        <v>4875</v>
      </c>
      <c r="D2503" s="1" t="s">
        <v>4876</v>
      </c>
      <c r="F2503" s="1" t="s">
        <v>4880</v>
      </c>
      <c r="H2503" s="1" t="s">
        <v>4881</v>
      </c>
      <c r="N2503" s="1" t="s">
        <v>5185</v>
      </c>
      <c r="P2503" s="1" t="s">
        <v>11209</v>
      </c>
      <c r="Q2503" s="30" t="s">
        <v>2565</v>
      </c>
      <c r="R2503" s="33" t="s">
        <v>3473</v>
      </c>
      <c r="S2503">
        <v>37</v>
      </c>
      <c r="T2503" s="1" t="s">
        <v>13878</v>
      </c>
      <c r="U2503" s="1" t="str">
        <f>HYPERLINK("http://ictvonline.org/taxonomy/p/taxonomy-history?taxnode_id=202107139","ICTVonline=202107139")</f>
        <v>ICTVonline=202107139</v>
      </c>
    </row>
    <row r="2504" spans="1:21" x14ac:dyDescent="0.2">
      <c r="A2504" s="3">
        <v>2503</v>
      </c>
      <c r="B2504" s="1" t="s">
        <v>4875</v>
      </c>
      <c r="D2504" s="1" t="s">
        <v>4876</v>
      </c>
      <c r="F2504" s="1" t="s">
        <v>4880</v>
      </c>
      <c r="H2504" s="1" t="s">
        <v>4881</v>
      </c>
      <c r="N2504" s="1" t="s">
        <v>5103</v>
      </c>
      <c r="P2504" s="1" t="s">
        <v>11210</v>
      </c>
      <c r="Q2504" s="30" t="s">
        <v>2565</v>
      </c>
      <c r="R2504" s="33" t="s">
        <v>3473</v>
      </c>
      <c r="S2504">
        <v>37</v>
      </c>
      <c r="T2504" s="1" t="s">
        <v>13878</v>
      </c>
      <c r="U2504" s="1" t="str">
        <f>HYPERLINK("http://ictvonline.org/taxonomy/p/taxonomy-history?taxnode_id=202108052","ICTVonline=202108052")</f>
        <v>ICTVonline=202108052</v>
      </c>
    </row>
    <row r="2505" spans="1:21" x14ac:dyDescent="0.2">
      <c r="A2505" s="3">
        <v>2504</v>
      </c>
      <c r="B2505" s="1" t="s">
        <v>4875</v>
      </c>
      <c r="D2505" s="1" t="s">
        <v>4876</v>
      </c>
      <c r="F2505" s="1" t="s">
        <v>4880</v>
      </c>
      <c r="H2505" s="1" t="s">
        <v>4881</v>
      </c>
      <c r="N2505" s="1" t="s">
        <v>4647</v>
      </c>
      <c r="P2505" s="1" t="s">
        <v>11211</v>
      </c>
      <c r="Q2505" s="30" t="s">
        <v>2565</v>
      </c>
      <c r="R2505" s="33" t="s">
        <v>3473</v>
      </c>
      <c r="S2505">
        <v>37</v>
      </c>
      <c r="T2505" s="1" t="s">
        <v>13878</v>
      </c>
      <c r="U2505" s="1" t="str">
        <f>HYPERLINK("http://ictvonline.org/taxonomy/p/taxonomy-history?taxnode_id=202106808","ICTVonline=202106808")</f>
        <v>ICTVonline=202106808</v>
      </c>
    </row>
    <row r="2506" spans="1:21" x14ac:dyDescent="0.2">
      <c r="A2506" s="3">
        <v>2505</v>
      </c>
      <c r="B2506" s="1" t="s">
        <v>4875</v>
      </c>
      <c r="D2506" s="1" t="s">
        <v>4876</v>
      </c>
      <c r="F2506" s="1" t="s">
        <v>4880</v>
      </c>
      <c r="H2506" s="1" t="s">
        <v>4881</v>
      </c>
      <c r="N2506" s="1" t="s">
        <v>4535</v>
      </c>
      <c r="P2506" s="1" t="s">
        <v>11212</v>
      </c>
      <c r="Q2506" s="30" t="s">
        <v>2565</v>
      </c>
      <c r="R2506" s="33" t="s">
        <v>3473</v>
      </c>
      <c r="S2506">
        <v>37</v>
      </c>
      <c r="T2506" s="1" t="s">
        <v>13878</v>
      </c>
      <c r="U2506" s="1" t="str">
        <f>HYPERLINK("http://ictvonline.org/taxonomy/p/taxonomy-history?taxnode_id=202106810","ICTVonline=202106810")</f>
        <v>ICTVonline=202106810</v>
      </c>
    </row>
    <row r="2507" spans="1:21" x14ac:dyDescent="0.2">
      <c r="A2507" s="3">
        <v>2506</v>
      </c>
      <c r="B2507" s="1" t="s">
        <v>4875</v>
      </c>
      <c r="D2507" s="1" t="s">
        <v>4876</v>
      </c>
      <c r="F2507" s="1" t="s">
        <v>4880</v>
      </c>
      <c r="H2507" s="1" t="s">
        <v>4881</v>
      </c>
      <c r="N2507" s="1" t="s">
        <v>4648</v>
      </c>
      <c r="P2507" s="1" t="s">
        <v>11213</v>
      </c>
      <c r="Q2507" s="30" t="s">
        <v>2565</v>
      </c>
      <c r="R2507" s="33" t="s">
        <v>3473</v>
      </c>
      <c r="S2507">
        <v>37</v>
      </c>
      <c r="T2507" s="1" t="s">
        <v>13878</v>
      </c>
      <c r="U2507" s="1" t="str">
        <f>HYPERLINK("http://ictvonline.org/taxonomy/p/taxonomy-history?taxnode_id=202101269","ICTVonline=202101269")</f>
        <v>ICTVonline=202101269</v>
      </c>
    </row>
    <row r="2508" spans="1:21" x14ac:dyDescent="0.2">
      <c r="A2508" s="3">
        <v>2507</v>
      </c>
      <c r="B2508" s="1" t="s">
        <v>4875</v>
      </c>
      <c r="D2508" s="1" t="s">
        <v>4876</v>
      </c>
      <c r="F2508" s="1" t="s">
        <v>4880</v>
      </c>
      <c r="H2508" s="1" t="s">
        <v>4881</v>
      </c>
      <c r="N2508" s="1" t="s">
        <v>4648</v>
      </c>
      <c r="P2508" s="1" t="s">
        <v>11214</v>
      </c>
      <c r="Q2508" s="30" t="s">
        <v>2565</v>
      </c>
      <c r="R2508" s="33" t="s">
        <v>3473</v>
      </c>
      <c r="S2508">
        <v>37</v>
      </c>
      <c r="T2508" s="1" t="s">
        <v>13878</v>
      </c>
      <c r="U2508" s="1" t="str">
        <f>HYPERLINK("http://ictvonline.org/taxonomy/p/taxonomy-history?taxnode_id=202101267","ICTVonline=202101267")</f>
        <v>ICTVonline=202101267</v>
      </c>
    </row>
    <row r="2509" spans="1:21" x14ac:dyDescent="0.2">
      <c r="A2509" s="3">
        <v>2508</v>
      </c>
      <c r="B2509" s="1" t="s">
        <v>4875</v>
      </c>
      <c r="D2509" s="1" t="s">
        <v>4876</v>
      </c>
      <c r="F2509" s="1" t="s">
        <v>4880</v>
      </c>
      <c r="H2509" s="1" t="s">
        <v>4881</v>
      </c>
      <c r="N2509" s="1" t="s">
        <v>4648</v>
      </c>
      <c r="P2509" s="1" t="s">
        <v>11215</v>
      </c>
      <c r="Q2509" s="30" t="s">
        <v>2565</v>
      </c>
      <c r="R2509" s="33" t="s">
        <v>3473</v>
      </c>
      <c r="S2509">
        <v>37</v>
      </c>
      <c r="T2509" s="1" t="s">
        <v>13878</v>
      </c>
      <c r="U2509" s="1" t="str">
        <f>HYPERLINK("http://ictvonline.org/taxonomy/p/taxonomy-history?taxnode_id=202101268","ICTVonline=202101268")</f>
        <v>ICTVonline=202101268</v>
      </c>
    </row>
    <row r="2510" spans="1:21" x14ac:dyDescent="0.2">
      <c r="A2510" s="3">
        <v>2509</v>
      </c>
      <c r="B2510" s="1" t="s">
        <v>4875</v>
      </c>
      <c r="D2510" s="1" t="s">
        <v>4876</v>
      </c>
      <c r="F2510" s="1" t="s">
        <v>4880</v>
      </c>
      <c r="H2510" s="1" t="s">
        <v>4881</v>
      </c>
      <c r="N2510" s="1" t="s">
        <v>4648</v>
      </c>
      <c r="P2510" s="1" t="s">
        <v>11216</v>
      </c>
      <c r="Q2510" s="30" t="s">
        <v>2565</v>
      </c>
      <c r="R2510" s="33" t="s">
        <v>3473</v>
      </c>
      <c r="S2510">
        <v>37</v>
      </c>
      <c r="T2510" s="1" t="s">
        <v>13878</v>
      </c>
      <c r="U2510" s="1" t="str">
        <f>HYPERLINK("http://ictvonline.org/taxonomy/p/taxonomy-history?taxnode_id=202101270","ICTVonline=202101270")</f>
        <v>ICTVonline=202101270</v>
      </c>
    </row>
    <row r="2511" spans="1:21" x14ac:dyDescent="0.2">
      <c r="A2511" s="3">
        <v>2510</v>
      </c>
      <c r="B2511" s="1" t="s">
        <v>4875</v>
      </c>
      <c r="D2511" s="1" t="s">
        <v>4876</v>
      </c>
      <c r="F2511" s="1" t="s">
        <v>4880</v>
      </c>
      <c r="H2511" s="1" t="s">
        <v>4881</v>
      </c>
      <c r="N2511" s="1" t="s">
        <v>4648</v>
      </c>
      <c r="P2511" s="1" t="s">
        <v>11217</v>
      </c>
      <c r="Q2511" s="30" t="s">
        <v>2565</v>
      </c>
      <c r="R2511" s="33" t="s">
        <v>3473</v>
      </c>
      <c r="S2511">
        <v>37</v>
      </c>
      <c r="T2511" s="1" t="s">
        <v>13878</v>
      </c>
      <c r="U2511" s="1" t="str">
        <f>HYPERLINK("http://ictvonline.org/taxonomy/p/taxonomy-history?taxnode_id=202101271","ICTVonline=202101271")</f>
        <v>ICTVonline=202101271</v>
      </c>
    </row>
    <row r="2512" spans="1:21" x14ac:dyDescent="0.2">
      <c r="A2512" s="3">
        <v>2511</v>
      </c>
      <c r="B2512" s="1" t="s">
        <v>4875</v>
      </c>
      <c r="D2512" s="1" t="s">
        <v>4876</v>
      </c>
      <c r="F2512" s="1" t="s">
        <v>4880</v>
      </c>
      <c r="H2512" s="1" t="s">
        <v>4881</v>
      </c>
      <c r="N2512" s="1" t="s">
        <v>4600</v>
      </c>
      <c r="P2512" s="1" t="s">
        <v>11218</v>
      </c>
      <c r="Q2512" s="30" t="s">
        <v>2565</v>
      </c>
      <c r="R2512" s="33" t="s">
        <v>3473</v>
      </c>
      <c r="S2512">
        <v>37</v>
      </c>
      <c r="T2512" s="1" t="s">
        <v>13878</v>
      </c>
      <c r="U2512" s="1" t="str">
        <f>HYPERLINK("http://ictvonline.org/taxonomy/p/taxonomy-history?taxnode_id=202100661","ICTVonline=202100661")</f>
        <v>ICTVonline=202100661</v>
      </c>
    </row>
    <row r="2513" spans="1:21" x14ac:dyDescent="0.2">
      <c r="A2513" s="3">
        <v>2512</v>
      </c>
      <c r="B2513" s="1" t="s">
        <v>4875</v>
      </c>
      <c r="D2513" s="1" t="s">
        <v>4876</v>
      </c>
      <c r="F2513" s="1" t="s">
        <v>4880</v>
      </c>
      <c r="H2513" s="1" t="s">
        <v>4881</v>
      </c>
      <c r="N2513" s="1" t="s">
        <v>4600</v>
      </c>
      <c r="P2513" s="1" t="s">
        <v>11219</v>
      </c>
      <c r="Q2513" s="30" t="s">
        <v>2565</v>
      </c>
      <c r="R2513" s="33" t="s">
        <v>3473</v>
      </c>
      <c r="S2513">
        <v>37</v>
      </c>
      <c r="T2513" s="1" t="s">
        <v>13878</v>
      </c>
      <c r="U2513" s="1" t="str">
        <f>HYPERLINK("http://ictvonline.org/taxonomy/p/taxonomy-history?taxnode_id=202100662","ICTVonline=202100662")</f>
        <v>ICTVonline=202100662</v>
      </c>
    </row>
    <row r="2514" spans="1:21" x14ac:dyDescent="0.2">
      <c r="A2514" s="3">
        <v>2513</v>
      </c>
      <c r="B2514" s="1" t="s">
        <v>4875</v>
      </c>
      <c r="D2514" s="1" t="s">
        <v>4876</v>
      </c>
      <c r="F2514" s="1" t="s">
        <v>4880</v>
      </c>
      <c r="H2514" s="1" t="s">
        <v>4881</v>
      </c>
      <c r="N2514" s="1" t="s">
        <v>4600</v>
      </c>
      <c r="P2514" s="1" t="s">
        <v>11220</v>
      </c>
      <c r="Q2514" s="30" t="s">
        <v>2565</v>
      </c>
      <c r="R2514" s="33" t="s">
        <v>3473</v>
      </c>
      <c r="S2514">
        <v>37</v>
      </c>
      <c r="T2514" s="1" t="s">
        <v>13878</v>
      </c>
      <c r="U2514" s="1" t="str">
        <f>HYPERLINK("http://ictvonline.org/taxonomy/p/taxonomy-history?taxnode_id=202100663","ICTVonline=202100663")</f>
        <v>ICTVonline=202100663</v>
      </c>
    </row>
    <row r="2515" spans="1:21" x14ac:dyDescent="0.2">
      <c r="A2515" s="3">
        <v>2514</v>
      </c>
      <c r="B2515" s="1" t="s">
        <v>4875</v>
      </c>
      <c r="D2515" s="1" t="s">
        <v>4876</v>
      </c>
      <c r="F2515" s="1" t="s">
        <v>4880</v>
      </c>
      <c r="H2515" s="1" t="s">
        <v>4881</v>
      </c>
      <c r="N2515" s="1" t="s">
        <v>4600</v>
      </c>
      <c r="P2515" s="1" t="s">
        <v>11221</v>
      </c>
      <c r="Q2515" s="30" t="s">
        <v>2565</v>
      </c>
      <c r="R2515" s="33" t="s">
        <v>3473</v>
      </c>
      <c r="S2515">
        <v>37</v>
      </c>
      <c r="T2515" s="1" t="s">
        <v>13878</v>
      </c>
      <c r="U2515" s="1" t="str">
        <f>HYPERLINK("http://ictvonline.org/taxonomy/p/taxonomy-history?taxnode_id=202100664","ICTVonline=202100664")</f>
        <v>ICTVonline=202100664</v>
      </c>
    </row>
    <row r="2516" spans="1:21" x14ac:dyDescent="0.2">
      <c r="A2516" s="3">
        <v>2515</v>
      </c>
      <c r="B2516" s="1" t="s">
        <v>4875</v>
      </c>
      <c r="D2516" s="1" t="s">
        <v>4876</v>
      </c>
      <c r="F2516" s="1" t="s">
        <v>4880</v>
      </c>
      <c r="H2516" s="1" t="s">
        <v>4881</v>
      </c>
      <c r="N2516" s="1" t="s">
        <v>4600</v>
      </c>
      <c r="P2516" s="1" t="s">
        <v>11222</v>
      </c>
      <c r="Q2516" s="30" t="s">
        <v>2565</v>
      </c>
      <c r="R2516" s="33" t="s">
        <v>3473</v>
      </c>
      <c r="S2516">
        <v>37</v>
      </c>
      <c r="T2516" s="1" t="s">
        <v>13878</v>
      </c>
      <c r="U2516" s="1" t="str">
        <f>HYPERLINK("http://ictvonline.org/taxonomy/p/taxonomy-history?taxnode_id=202100665","ICTVonline=202100665")</f>
        <v>ICTVonline=202100665</v>
      </c>
    </row>
    <row r="2517" spans="1:21" x14ac:dyDescent="0.2">
      <c r="A2517" s="3">
        <v>2516</v>
      </c>
      <c r="B2517" s="1" t="s">
        <v>4875</v>
      </c>
      <c r="D2517" s="1" t="s">
        <v>4876</v>
      </c>
      <c r="F2517" s="1" t="s">
        <v>4880</v>
      </c>
      <c r="H2517" s="1" t="s">
        <v>4881</v>
      </c>
      <c r="N2517" s="1" t="s">
        <v>4600</v>
      </c>
      <c r="P2517" s="1" t="s">
        <v>11223</v>
      </c>
      <c r="Q2517" s="30" t="s">
        <v>2565</v>
      </c>
      <c r="R2517" s="33" t="s">
        <v>3473</v>
      </c>
      <c r="S2517">
        <v>37</v>
      </c>
      <c r="T2517" s="1" t="s">
        <v>13878</v>
      </c>
      <c r="U2517" s="1" t="str">
        <f>HYPERLINK("http://ictvonline.org/taxonomy/p/taxonomy-history?taxnode_id=202100666","ICTVonline=202100666")</f>
        <v>ICTVonline=202100666</v>
      </c>
    </row>
    <row r="2518" spans="1:21" x14ac:dyDescent="0.2">
      <c r="A2518" s="3">
        <v>2517</v>
      </c>
      <c r="B2518" s="1" t="s">
        <v>4875</v>
      </c>
      <c r="D2518" s="1" t="s">
        <v>4876</v>
      </c>
      <c r="F2518" s="1" t="s">
        <v>4880</v>
      </c>
      <c r="H2518" s="1" t="s">
        <v>4881</v>
      </c>
      <c r="N2518" s="1" t="s">
        <v>4600</v>
      </c>
      <c r="P2518" s="1" t="s">
        <v>11224</v>
      </c>
      <c r="Q2518" s="30" t="s">
        <v>2565</v>
      </c>
      <c r="R2518" s="33" t="s">
        <v>3473</v>
      </c>
      <c r="S2518">
        <v>37</v>
      </c>
      <c r="T2518" s="1" t="s">
        <v>13878</v>
      </c>
      <c r="U2518" s="1" t="str">
        <f>HYPERLINK("http://ictvonline.org/taxonomy/p/taxonomy-history?taxnode_id=202100667","ICTVonline=202100667")</f>
        <v>ICTVonline=202100667</v>
      </c>
    </row>
    <row r="2519" spans="1:21" x14ac:dyDescent="0.2">
      <c r="A2519" s="3">
        <v>2518</v>
      </c>
      <c r="B2519" s="1" t="s">
        <v>4875</v>
      </c>
      <c r="D2519" s="1" t="s">
        <v>4876</v>
      </c>
      <c r="F2519" s="1" t="s">
        <v>4880</v>
      </c>
      <c r="H2519" s="1" t="s">
        <v>4881</v>
      </c>
      <c r="N2519" s="1" t="s">
        <v>11225</v>
      </c>
      <c r="P2519" s="1" t="s">
        <v>11226</v>
      </c>
      <c r="Q2519" s="30" t="s">
        <v>2565</v>
      </c>
      <c r="R2519" s="33" t="s">
        <v>3472</v>
      </c>
      <c r="S2519">
        <v>37</v>
      </c>
      <c r="T2519" s="1" t="s">
        <v>13927</v>
      </c>
      <c r="U2519" s="1" t="str">
        <f>HYPERLINK("http://ictvonline.org/taxonomy/p/taxonomy-history?taxnode_id=202113618","ICTVonline=202113618")</f>
        <v>ICTVonline=202113618</v>
      </c>
    </row>
    <row r="2520" spans="1:21" x14ac:dyDescent="0.2">
      <c r="A2520" s="3">
        <v>2519</v>
      </c>
      <c r="B2520" s="1" t="s">
        <v>4875</v>
      </c>
      <c r="D2520" s="1" t="s">
        <v>4876</v>
      </c>
      <c r="F2520" s="1" t="s">
        <v>4880</v>
      </c>
      <c r="H2520" s="1" t="s">
        <v>4881</v>
      </c>
      <c r="N2520" s="1" t="s">
        <v>6057</v>
      </c>
      <c r="P2520" s="1" t="s">
        <v>11227</v>
      </c>
      <c r="Q2520" s="30" t="s">
        <v>2565</v>
      </c>
      <c r="R2520" s="33" t="s">
        <v>3473</v>
      </c>
      <c r="S2520">
        <v>37</v>
      </c>
      <c r="T2520" s="1" t="s">
        <v>13878</v>
      </c>
      <c r="U2520" s="1" t="str">
        <f>HYPERLINK("http://ictvonline.org/taxonomy/p/taxonomy-history?taxnode_id=202109707","ICTVonline=202109707")</f>
        <v>ICTVonline=202109707</v>
      </c>
    </row>
    <row r="2521" spans="1:21" x14ac:dyDescent="0.2">
      <c r="A2521" s="3">
        <v>2520</v>
      </c>
      <c r="B2521" s="1" t="s">
        <v>4875</v>
      </c>
      <c r="D2521" s="1" t="s">
        <v>4876</v>
      </c>
      <c r="F2521" s="1" t="s">
        <v>4880</v>
      </c>
      <c r="H2521" s="1" t="s">
        <v>4881</v>
      </c>
      <c r="N2521" s="1" t="s">
        <v>6057</v>
      </c>
      <c r="P2521" s="1" t="s">
        <v>11228</v>
      </c>
      <c r="Q2521" s="30" t="s">
        <v>2565</v>
      </c>
      <c r="R2521" s="33" t="s">
        <v>3473</v>
      </c>
      <c r="S2521">
        <v>37</v>
      </c>
      <c r="T2521" s="1" t="s">
        <v>13878</v>
      </c>
      <c r="U2521" s="1" t="str">
        <f>HYPERLINK("http://ictvonline.org/taxonomy/p/taxonomy-history?taxnode_id=202109708","ICTVonline=202109708")</f>
        <v>ICTVonline=202109708</v>
      </c>
    </row>
    <row r="2522" spans="1:21" x14ac:dyDescent="0.2">
      <c r="A2522" s="3">
        <v>2521</v>
      </c>
      <c r="B2522" s="1" t="s">
        <v>4875</v>
      </c>
      <c r="D2522" s="1" t="s">
        <v>4876</v>
      </c>
      <c r="F2522" s="1" t="s">
        <v>4880</v>
      </c>
      <c r="H2522" s="1" t="s">
        <v>4881</v>
      </c>
      <c r="N2522" s="1" t="s">
        <v>6057</v>
      </c>
      <c r="P2522" s="1" t="s">
        <v>11229</v>
      </c>
      <c r="Q2522" s="30" t="s">
        <v>2565</v>
      </c>
      <c r="R2522" s="33" t="s">
        <v>3473</v>
      </c>
      <c r="S2522">
        <v>37</v>
      </c>
      <c r="T2522" s="1" t="s">
        <v>13878</v>
      </c>
      <c r="U2522" s="1" t="str">
        <f>HYPERLINK("http://ictvonline.org/taxonomy/p/taxonomy-history?taxnode_id=202109706","ICTVonline=202109706")</f>
        <v>ICTVonline=202109706</v>
      </c>
    </row>
    <row r="2523" spans="1:21" x14ac:dyDescent="0.2">
      <c r="A2523" s="3">
        <v>2522</v>
      </c>
      <c r="B2523" s="1" t="s">
        <v>4875</v>
      </c>
      <c r="D2523" s="1" t="s">
        <v>4876</v>
      </c>
      <c r="F2523" s="1" t="s">
        <v>4880</v>
      </c>
      <c r="H2523" s="1" t="s">
        <v>4881</v>
      </c>
      <c r="N2523" s="1" t="s">
        <v>4536</v>
      </c>
      <c r="P2523" s="1" t="s">
        <v>11230</v>
      </c>
      <c r="Q2523" s="30" t="s">
        <v>2565</v>
      </c>
      <c r="R2523" s="33" t="s">
        <v>3473</v>
      </c>
      <c r="S2523">
        <v>37</v>
      </c>
      <c r="T2523" s="1" t="s">
        <v>13878</v>
      </c>
      <c r="U2523" s="1" t="str">
        <f>HYPERLINK("http://ictvonline.org/taxonomy/p/taxonomy-history?taxnode_id=202106812","ICTVonline=202106812")</f>
        <v>ICTVonline=202106812</v>
      </c>
    </row>
    <row r="2524" spans="1:21" x14ac:dyDescent="0.2">
      <c r="A2524" s="3">
        <v>2523</v>
      </c>
      <c r="B2524" s="1" t="s">
        <v>4875</v>
      </c>
      <c r="D2524" s="1" t="s">
        <v>4876</v>
      </c>
      <c r="F2524" s="1" t="s">
        <v>4880</v>
      </c>
      <c r="H2524" s="1" t="s">
        <v>4881</v>
      </c>
      <c r="N2524" s="1" t="s">
        <v>11231</v>
      </c>
      <c r="P2524" s="1" t="s">
        <v>11232</v>
      </c>
      <c r="Q2524" s="30" t="s">
        <v>2565</v>
      </c>
      <c r="R2524" s="33" t="s">
        <v>3472</v>
      </c>
      <c r="S2524">
        <v>37</v>
      </c>
      <c r="T2524" s="1" t="s">
        <v>13927</v>
      </c>
      <c r="U2524" s="1" t="str">
        <f>HYPERLINK("http://ictvonline.org/taxonomy/p/taxonomy-history?taxnode_id=202113633","ICTVonline=202113633")</f>
        <v>ICTVonline=202113633</v>
      </c>
    </row>
    <row r="2525" spans="1:21" x14ac:dyDescent="0.2">
      <c r="A2525" s="3">
        <v>2524</v>
      </c>
      <c r="B2525" s="1" t="s">
        <v>4875</v>
      </c>
      <c r="D2525" s="1" t="s">
        <v>4876</v>
      </c>
      <c r="F2525" s="1" t="s">
        <v>4880</v>
      </c>
      <c r="H2525" s="1" t="s">
        <v>4881</v>
      </c>
      <c r="N2525" s="1" t="s">
        <v>6171</v>
      </c>
      <c r="P2525" s="1" t="s">
        <v>11233</v>
      </c>
      <c r="Q2525" s="30" t="s">
        <v>2565</v>
      </c>
      <c r="R2525" s="33" t="s">
        <v>3473</v>
      </c>
      <c r="S2525">
        <v>37</v>
      </c>
      <c r="T2525" s="1" t="s">
        <v>13878</v>
      </c>
      <c r="U2525" s="1" t="str">
        <f>HYPERLINK("http://ictvonline.org/taxonomy/p/taxonomy-history?taxnode_id=202109755","ICTVonline=202109755")</f>
        <v>ICTVonline=202109755</v>
      </c>
    </row>
    <row r="2526" spans="1:21" x14ac:dyDescent="0.2">
      <c r="A2526" s="3">
        <v>2525</v>
      </c>
      <c r="B2526" s="1" t="s">
        <v>4875</v>
      </c>
      <c r="D2526" s="1" t="s">
        <v>4876</v>
      </c>
      <c r="F2526" s="1" t="s">
        <v>4880</v>
      </c>
      <c r="H2526" s="1" t="s">
        <v>4881</v>
      </c>
      <c r="N2526" s="1" t="s">
        <v>6171</v>
      </c>
      <c r="P2526" s="1" t="s">
        <v>11234</v>
      </c>
      <c r="Q2526" s="30" t="s">
        <v>2565</v>
      </c>
      <c r="R2526" s="33" t="s">
        <v>3473</v>
      </c>
      <c r="S2526">
        <v>37</v>
      </c>
      <c r="T2526" s="1" t="s">
        <v>13878</v>
      </c>
      <c r="U2526" s="1" t="str">
        <f>HYPERLINK("http://ictvonline.org/taxonomy/p/taxonomy-history?taxnode_id=202109754","ICTVonline=202109754")</f>
        <v>ICTVonline=202109754</v>
      </c>
    </row>
    <row r="2527" spans="1:21" x14ac:dyDescent="0.2">
      <c r="A2527" s="3">
        <v>2526</v>
      </c>
      <c r="B2527" s="1" t="s">
        <v>4875</v>
      </c>
      <c r="D2527" s="1" t="s">
        <v>4876</v>
      </c>
      <c r="F2527" s="1" t="s">
        <v>4880</v>
      </c>
      <c r="H2527" s="1" t="s">
        <v>4881</v>
      </c>
      <c r="N2527" s="1" t="s">
        <v>6171</v>
      </c>
      <c r="P2527" s="1" t="s">
        <v>11235</v>
      </c>
      <c r="Q2527" s="30" t="s">
        <v>2565</v>
      </c>
      <c r="R2527" s="33" t="s">
        <v>3473</v>
      </c>
      <c r="S2527">
        <v>37</v>
      </c>
      <c r="T2527" s="1" t="s">
        <v>13878</v>
      </c>
      <c r="U2527" s="1" t="str">
        <f>HYPERLINK("http://ictvonline.org/taxonomy/p/taxonomy-history?taxnode_id=202109756","ICTVonline=202109756")</f>
        <v>ICTVonline=202109756</v>
      </c>
    </row>
    <row r="2528" spans="1:21" x14ac:dyDescent="0.2">
      <c r="A2528" s="3">
        <v>2527</v>
      </c>
      <c r="B2528" s="1" t="s">
        <v>4875</v>
      </c>
      <c r="D2528" s="1" t="s">
        <v>4876</v>
      </c>
      <c r="F2528" s="1" t="s">
        <v>4880</v>
      </c>
      <c r="H2528" s="1" t="s">
        <v>4881</v>
      </c>
      <c r="N2528" s="1" t="s">
        <v>5105</v>
      </c>
      <c r="P2528" s="1" t="s">
        <v>11236</v>
      </c>
      <c r="Q2528" s="30" t="s">
        <v>2565</v>
      </c>
      <c r="R2528" s="33" t="s">
        <v>3473</v>
      </c>
      <c r="S2528">
        <v>37</v>
      </c>
      <c r="T2528" s="1" t="s">
        <v>13878</v>
      </c>
      <c r="U2528" s="1" t="str">
        <f>HYPERLINK("http://ictvonline.org/taxonomy/p/taxonomy-history?taxnode_id=202107928","ICTVonline=202107928")</f>
        <v>ICTVonline=202107928</v>
      </c>
    </row>
    <row r="2529" spans="1:21" x14ac:dyDescent="0.2">
      <c r="A2529" s="3">
        <v>2528</v>
      </c>
      <c r="B2529" s="1" t="s">
        <v>4875</v>
      </c>
      <c r="D2529" s="1" t="s">
        <v>4876</v>
      </c>
      <c r="F2529" s="1" t="s">
        <v>4880</v>
      </c>
      <c r="H2529" s="1" t="s">
        <v>4881</v>
      </c>
      <c r="N2529" s="1" t="s">
        <v>5105</v>
      </c>
      <c r="P2529" s="1" t="s">
        <v>11237</v>
      </c>
      <c r="Q2529" s="30" t="s">
        <v>2565</v>
      </c>
      <c r="R2529" s="33" t="s">
        <v>3473</v>
      </c>
      <c r="S2529">
        <v>37</v>
      </c>
      <c r="T2529" s="1" t="s">
        <v>13878</v>
      </c>
      <c r="U2529" s="1" t="str">
        <f>HYPERLINK("http://ictvonline.org/taxonomy/p/taxonomy-history?taxnode_id=202107929","ICTVonline=202107929")</f>
        <v>ICTVonline=202107929</v>
      </c>
    </row>
    <row r="2530" spans="1:21" x14ac:dyDescent="0.2">
      <c r="A2530" s="3">
        <v>2529</v>
      </c>
      <c r="B2530" s="1" t="s">
        <v>4875</v>
      </c>
      <c r="D2530" s="1" t="s">
        <v>4876</v>
      </c>
      <c r="F2530" s="1" t="s">
        <v>4880</v>
      </c>
      <c r="H2530" s="1" t="s">
        <v>4881</v>
      </c>
      <c r="N2530" s="1" t="s">
        <v>4649</v>
      </c>
      <c r="P2530" s="1" t="s">
        <v>11238</v>
      </c>
      <c r="Q2530" s="30" t="s">
        <v>2565</v>
      </c>
      <c r="R2530" s="33" t="s">
        <v>3473</v>
      </c>
      <c r="S2530">
        <v>37</v>
      </c>
      <c r="T2530" s="1" t="s">
        <v>13878</v>
      </c>
      <c r="U2530" s="1" t="str">
        <f>HYPERLINK("http://ictvonline.org/taxonomy/p/taxonomy-history?taxnode_id=202100945","ICTVonline=202100945")</f>
        <v>ICTVonline=202100945</v>
      </c>
    </row>
    <row r="2531" spans="1:21" x14ac:dyDescent="0.2">
      <c r="A2531" s="3">
        <v>2530</v>
      </c>
      <c r="B2531" s="1" t="s">
        <v>4875</v>
      </c>
      <c r="D2531" s="1" t="s">
        <v>4876</v>
      </c>
      <c r="F2531" s="1" t="s">
        <v>4880</v>
      </c>
      <c r="H2531" s="1" t="s">
        <v>4881</v>
      </c>
      <c r="N2531" s="1" t="s">
        <v>4649</v>
      </c>
      <c r="P2531" s="1" t="s">
        <v>11239</v>
      </c>
      <c r="Q2531" s="30" t="s">
        <v>2565</v>
      </c>
      <c r="R2531" s="33" t="s">
        <v>3473</v>
      </c>
      <c r="S2531">
        <v>37</v>
      </c>
      <c r="T2531" s="1" t="s">
        <v>13878</v>
      </c>
      <c r="U2531" s="1" t="str">
        <f>HYPERLINK("http://ictvonline.org/taxonomy/p/taxonomy-history?taxnode_id=202100946","ICTVonline=202100946")</f>
        <v>ICTVonline=202100946</v>
      </c>
    </row>
    <row r="2532" spans="1:21" x14ac:dyDescent="0.2">
      <c r="A2532" s="3">
        <v>2531</v>
      </c>
      <c r="B2532" s="1" t="s">
        <v>4875</v>
      </c>
      <c r="D2532" s="1" t="s">
        <v>4876</v>
      </c>
      <c r="F2532" s="1" t="s">
        <v>4880</v>
      </c>
      <c r="H2532" s="1" t="s">
        <v>4881</v>
      </c>
      <c r="N2532" s="1" t="s">
        <v>4649</v>
      </c>
      <c r="P2532" s="1" t="s">
        <v>11240</v>
      </c>
      <c r="Q2532" s="30" t="s">
        <v>2565</v>
      </c>
      <c r="R2532" s="33" t="s">
        <v>3473</v>
      </c>
      <c r="S2532">
        <v>37</v>
      </c>
      <c r="T2532" s="1" t="s">
        <v>13878</v>
      </c>
      <c r="U2532" s="1" t="str">
        <f>HYPERLINK("http://ictvonline.org/taxonomy/p/taxonomy-history?taxnode_id=202100947","ICTVonline=202100947")</f>
        <v>ICTVonline=202100947</v>
      </c>
    </row>
    <row r="2533" spans="1:21" x14ac:dyDescent="0.2">
      <c r="A2533" s="3">
        <v>2532</v>
      </c>
      <c r="B2533" s="1" t="s">
        <v>4875</v>
      </c>
      <c r="D2533" s="1" t="s">
        <v>4876</v>
      </c>
      <c r="F2533" s="1" t="s">
        <v>4880</v>
      </c>
      <c r="H2533" s="1" t="s">
        <v>4881</v>
      </c>
      <c r="N2533" s="1" t="s">
        <v>4649</v>
      </c>
      <c r="P2533" s="1" t="s">
        <v>11241</v>
      </c>
      <c r="Q2533" s="30" t="s">
        <v>2565</v>
      </c>
      <c r="R2533" s="33" t="s">
        <v>3473</v>
      </c>
      <c r="S2533">
        <v>37</v>
      </c>
      <c r="T2533" s="1" t="s">
        <v>13878</v>
      </c>
      <c r="U2533" s="1" t="str">
        <f>HYPERLINK("http://ictvonline.org/taxonomy/p/taxonomy-history?taxnode_id=202100948","ICTVonline=202100948")</f>
        <v>ICTVonline=202100948</v>
      </c>
    </row>
    <row r="2534" spans="1:21" x14ac:dyDescent="0.2">
      <c r="A2534" s="3">
        <v>2533</v>
      </c>
      <c r="B2534" s="1" t="s">
        <v>4875</v>
      </c>
      <c r="D2534" s="1" t="s">
        <v>4876</v>
      </c>
      <c r="F2534" s="1" t="s">
        <v>4880</v>
      </c>
      <c r="H2534" s="1" t="s">
        <v>4881</v>
      </c>
      <c r="N2534" s="1" t="s">
        <v>4649</v>
      </c>
      <c r="P2534" s="1" t="s">
        <v>11242</v>
      </c>
      <c r="Q2534" s="30" t="s">
        <v>2565</v>
      </c>
      <c r="R2534" s="33" t="s">
        <v>3473</v>
      </c>
      <c r="S2534">
        <v>37</v>
      </c>
      <c r="T2534" s="1" t="s">
        <v>13878</v>
      </c>
      <c r="U2534" s="1" t="str">
        <f>HYPERLINK("http://ictvonline.org/taxonomy/p/taxonomy-history?taxnode_id=202100949","ICTVonline=202100949")</f>
        <v>ICTVonline=202100949</v>
      </c>
    </row>
    <row r="2535" spans="1:21" x14ac:dyDescent="0.2">
      <c r="A2535" s="3">
        <v>2534</v>
      </c>
      <c r="B2535" s="1" t="s">
        <v>4875</v>
      </c>
      <c r="D2535" s="1" t="s">
        <v>4876</v>
      </c>
      <c r="F2535" s="1" t="s">
        <v>4880</v>
      </c>
      <c r="H2535" s="1" t="s">
        <v>4881</v>
      </c>
      <c r="N2535" s="1" t="s">
        <v>4649</v>
      </c>
      <c r="P2535" s="1" t="s">
        <v>11243</v>
      </c>
      <c r="Q2535" s="30" t="s">
        <v>2565</v>
      </c>
      <c r="R2535" s="33" t="s">
        <v>3473</v>
      </c>
      <c r="S2535">
        <v>37</v>
      </c>
      <c r="T2535" s="1" t="s">
        <v>13878</v>
      </c>
      <c r="U2535" s="1" t="str">
        <f>HYPERLINK("http://ictvonline.org/taxonomy/p/taxonomy-history?taxnode_id=202100950","ICTVonline=202100950")</f>
        <v>ICTVonline=202100950</v>
      </c>
    </row>
    <row r="2536" spans="1:21" x14ac:dyDescent="0.2">
      <c r="A2536" s="3">
        <v>2535</v>
      </c>
      <c r="B2536" s="1" t="s">
        <v>4875</v>
      </c>
      <c r="D2536" s="1" t="s">
        <v>4876</v>
      </c>
      <c r="F2536" s="1" t="s">
        <v>4880</v>
      </c>
      <c r="H2536" s="1" t="s">
        <v>4881</v>
      </c>
      <c r="N2536" s="1" t="s">
        <v>4649</v>
      </c>
      <c r="P2536" s="1" t="s">
        <v>11244</v>
      </c>
      <c r="Q2536" s="30" t="s">
        <v>2565</v>
      </c>
      <c r="R2536" s="33" t="s">
        <v>3473</v>
      </c>
      <c r="S2536">
        <v>37</v>
      </c>
      <c r="T2536" s="1" t="s">
        <v>13878</v>
      </c>
      <c r="U2536" s="1" t="str">
        <f>HYPERLINK("http://ictvonline.org/taxonomy/p/taxonomy-history?taxnode_id=202100951","ICTVonline=202100951")</f>
        <v>ICTVonline=202100951</v>
      </c>
    </row>
    <row r="2537" spans="1:21" x14ac:dyDescent="0.2">
      <c r="A2537" s="3">
        <v>2536</v>
      </c>
      <c r="B2537" s="1" t="s">
        <v>4875</v>
      </c>
      <c r="D2537" s="1" t="s">
        <v>4876</v>
      </c>
      <c r="F2537" s="1" t="s">
        <v>4880</v>
      </c>
      <c r="H2537" s="1" t="s">
        <v>4881</v>
      </c>
      <c r="N2537" s="1" t="s">
        <v>4649</v>
      </c>
      <c r="P2537" s="1" t="s">
        <v>11245</v>
      </c>
      <c r="Q2537" s="30" t="s">
        <v>2565</v>
      </c>
      <c r="R2537" s="33" t="s">
        <v>3473</v>
      </c>
      <c r="S2537">
        <v>37</v>
      </c>
      <c r="T2537" s="1" t="s">
        <v>13878</v>
      </c>
      <c r="U2537" s="1" t="str">
        <f>HYPERLINK("http://ictvonline.org/taxonomy/p/taxonomy-history?taxnode_id=202100952","ICTVonline=202100952")</f>
        <v>ICTVonline=202100952</v>
      </c>
    </row>
    <row r="2538" spans="1:21" x14ac:dyDescent="0.2">
      <c r="A2538" s="3">
        <v>2537</v>
      </c>
      <c r="B2538" s="1" t="s">
        <v>4875</v>
      </c>
      <c r="D2538" s="1" t="s">
        <v>4876</v>
      </c>
      <c r="F2538" s="1" t="s">
        <v>4880</v>
      </c>
      <c r="H2538" s="1" t="s">
        <v>4881</v>
      </c>
      <c r="N2538" s="1" t="s">
        <v>2612</v>
      </c>
      <c r="P2538" s="1" t="s">
        <v>11246</v>
      </c>
      <c r="Q2538" s="30" t="s">
        <v>2565</v>
      </c>
      <c r="R2538" s="33" t="s">
        <v>3473</v>
      </c>
      <c r="S2538">
        <v>37</v>
      </c>
      <c r="T2538" s="1" t="s">
        <v>13878</v>
      </c>
      <c r="U2538" s="1" t="str">
        <f>HYPERLINK("http://ictvonline.org/taxonomy/p/taxonomy-history?taxnode_id=202100883","ICTVonline=202100883")</f>
        <v>ICTVonline=202100883</v>
      </c>
    </row>
    <row r="2539" spans="1:21" x14ac:dyDescent="0.2">
      <c r="A2539" s="3">
        <v>2538</v>
      </c>
      <c r="B2539" s="1" t="s">
        <v>4875</v>
      </c>
      <c r="D2539" s="1" t="s">
        <v>4876</v>
      </c>
      <c r="F2539" s="1" t="s">
        <v>4880</v>
      </c>
      <c r="H2539" s="1" t="s">
        <v>4881</v>
      </c>
      <c r="N2539" s="1" t="s">
        <v>2613</v>
      </c>
      <c r="P2539" s="1" t="s">
        <v>11247</v>
      </c>
      <c r="Q2539" s="30" t="s">
        <v>2565</v>
      </c>
      <c r="R2539" s="33" t="s">
        <v>3473</v>
      </c>
      <c r="S2539">
        <v>37</v>
      </c>
      <c r="T2539" s="1" t="s">
        <v>13878</v>
      </c>
      <c r="U2539" s="1" t="str">
        <f>HYPERLINK("http://ictvonline.org/taxonomy/p/taxonomy-history?taxnode_id=202100885","ICTVonline=202100885")</f>
        <v>ICTVonline=202100885</v>
      </c>
    </row>
    <row r="2540" spans="1:21" x14ac:dyDescent="0.2">
      <c r="A2540" s="3">
        <v>2539</v>
      </c>
      <c r="B2540" s="1" t="s">
        <v>4875</v>
      </c>
      <c r="D2540" s="1" t="s">
        <v>4876</v>
      </c>
      <c r="F2540" s="1" t="s">
        <v>4880</v>
      </c>
      <c r="H2540" s="1" t="s">
        <v>4881</v>
      </c>
      <c r="N2540" s="1" t="s">
        <v>2613</v>
      </c>
      <c r="P2540" s="1" t="s">
        <v>11248</v>
      </c>
      <c r="Q2540" s="30" t="s">
        <v>2565</v>
      </c>
      <c r="R2540" s="33" t="s">
        <v>3473</v>
      </c>
      <c r="S2540">
        <v>37</v>
      </c>
      <c r="T2540" s="1" t="s">
        <v>13878</v>
      </c>
      <c r="U2540" s="1" t="str">
        <f>HYPERLINK("http://ictvonline.org/taxonomy/p/taxonomy-history?taxnode_id=202100886","ICTVonline=202100886")</f>
        <v>ICTVonline=202100886</v>
      </c>
    </row>
    <row r="2541" spans="1:21" x14ac:dyDescent="0.2">
      <c r="A2541" s="3">
        <v>2540</v>
      </c>
      <c r="B2541" s="1" t="s">
        <v>4875</v>
      </c>
      <c r="D2541" s="1" t="s">
        <v>4876</v>
      </c>
      <c r="F2541" s="1" t="s">
        <v>4880</v>
      </c>
      <c r="H2541" s="1" t="s">
        <v>4881</v>
      </c>
      <c r="N2541" s="1" t="s">
        <v>11249</v>
      </c>
      <c r="P2541" s="1" t="s">
        <v>11250</v>
      </c>
      <c r="Q2541" s="30" t="s">
        <v>2565</v>
      </c>
      <c r="R2541" s="33" t="s">
        <v>3472</v>
      </c>
      <c r="S2541">
        <v>37</v>
      </c>
      <c r="T2541" s="1" t="s">
        <v>13927</v>
      </c>
      <c r="U2541" s="1" t="str">
        <f>HYPERLINK("http://ictvonline.org/taxonomy/p/taxonomy-history?taxnode_id=202113616","ICTVonline=202113616")</f>
        <v>ICTVonline=202113616</v>
      </c>
    </row>
    <row r="2542" spans="1:21" x14ac:dyDescent="0.2">
      <c r="A2542" s="3">
        <v>2541</v>
      </c>
      <c r="B2542" s="1" t="s">
        <v>4875</v>
      </c>
      <c r="D2542" s="1" t="s">
        <v>4876</v>
      </c>
      <c r="F2542" s="1" t="s">
        <v>4880</v>
      </c>
      <c r="H2542" s="1" t="s">
        <v>4881</v>
      </c>
      <c r="N2542" s="1" t="s">
        <v>4650</v>
      </c>
      <c r="P2542" s="1" t="s">
        <v>11251</v>
      </c>
      <c r="Q2542" s="30" t="s">
        <v>2565</v>
      </c>
      <c r="R2542" s="33" t="s">
        <v>3473</v>
      </c>
      <c r="S2542">
        <v>37</v>
      </c>
      <c r="T2542" s="1" t="s">
        <v>13878</v>
      </c>
      <c r="U2542" s="1" t="str">
        <f>HYPERLINK("http://ictvonline.org/taxonomy/p/taxonomy-history?taxnode_id=202109801","ICTVonline=202109801")</f>
        <v>ICTVonline=202109801</v>
      </c>
    </row>
    <row r="2543" spans="1:21" x14ac:dyDescent="0.2">
      <c r="A2543" s="3">
        <v>2542</v>
      </c>
      <c r="B2543" s="1" t="s">
        <v>4875</v>
      </c>
      <c r="D2543" s="1" t="s">
        <v>4876</v>
      </c>
      <c r="F2543" s="1" t="s">
        <v>4880</v>
      </c>
      <c r="H2543" s="1" t="s">
        <v>4881</v>
      </c>
      <c r="N2543" s="1" t="s">
        <v>4650</v>
      </c>
      <c r="P2543" s="1" t="s">
        <v>11252</v>
      </c>
      <c r="Q2543" s="30" t="s">
        <v>2565</v>
      </c>
      <c r="R2543" s="33" t="s">
        <v>3473</v>
      </c>
      <c r="S2543">
        <v>37</v>
      </c>
      <c r="T2543" s="1" t="s">
        <v>13878</v>
      </c>
      <c r="U2543" s="1" t="str">
        <f>HYPERLINK("http://ictvonline.org/taxonomy/p/taxonomy-history?taxnode_id=202109806","ICTVonline=202109806")</f>
        <v>ICTVonline=202109806</v>
      </c>
    </row>
    <row r="2544" spans="1:21" x14ac:dyDescent="0.2">
      <c r="A2544" s="3">
        <v>2543</v>
      </c>
      <c r="B2544" s="1" t="s">
        <v>4875</v>
      </c>
      <c r="D2544" s="1" t="s">
        <v>4876</v>
      </c>
      <c r="F2544" s="1" t="s">
        <v>4880</v>
      </c>
      <c r="H2544" s="1" t="s">
        <v>4881</v>
      </c>
      <c r="N2544" s="1" t="s">
        <v>4650</v>
      </c>
      <c r="P2544" s="1" t="s">
        <v>11253</v>
      </c>
      <c r="Q2544" s="30" t="s">
        <v>2565</v>
      </c>
      <c r="R2544" s="33" t="s">
        <v>3473</v>
      </c>
      <c r="S2544">
        <v>37</v>
      </c>
      <c r="T2544" s="1" t="s">
        <v>13878</v>
      </c>
      <c r="U2544" s="1" t="str">
        <f>HYPERLINK("http://ictvonline.org/taxonomy/p/taxonomy-history?taxnode_id=202109797","ICTVonline=202109797")</f>
        <v>ICTVonline=202109797</v>
      </c>
    </row>
    <row r="2545" spans="1:21" x14ac:dyDescent="0.2">
      <c r="A2545" s="3">
        <v>2544</v>
      </c>
      <c r="B2545" s="1" t="s">
        <v>4875</v>
      </c>
      <c r="D2545" s="1" t="s">
        <v>4876</v>
      </c>
      <c r="F2545" s="1" t="s">
        <v>4880</v>
      </c>
      <c r="H2545" s="1" t="s">
        <v>4881</v>
      </c>
      <c r="N2545" s="1" t="s">
        <v>4650</v>
      </c>
      <c r="P2545" s="1" t="s">
        <v>11254</v>
      </c>
      <c r="Q2545" s="30" t="s">
        <v>2565</v>
      </c>
      <c r="R2545" s="33" t="s">
        <v>3473</v>
      </c>
      <c r="S2545">
        <v>37</v>
      </c>
      <c r="T2545" s="1" t="s">
        <v>13878</v>
      </c>
      <c r="U2545" s="1" t="str">
        <f>HYPERLINK("http://ictvonline.org/taxonomy/p/taxonomy-history?taxnode_id=202109814","ICTVonline=202109814")</f>
        <v>ICTVonline=202109814</v>
      </c>
    </row>
    <row r="2546" spans="1:21" x14ac:dyDescent="0.2">
      <c r="A2546" s="3">
        <v>2545</v>
      </c>
      <c r="B2546" s="1" t="s">
        <v>4875</v>
      </c>
      <c r="D2546" s="1" t="s">
        <v>4876</v>
      </c>
      <c r="F2546" s="1" t="s">
        <v>4880</v>
      </c>
      <c r="H2546" s="1" t="s">
        <v>4881</v>
      </c>
      <c r="N2546" s="1" t="s">
        <v>4650</v>
      </c>
      <c r="P2546" s="1" t="s">
        <v>11255</v>
      </c>
      <c r="Q2546" s="30" t="s">
        <v>2565</v>
      </c>
      <c r="R2546" s="33" t="s">
        <v>3473</v>
      </c>
      <c r="S2546">
        <v>37</v>
      </c>
      <c r="T2546" s="1" t="s">
        <v>13878</v>
      </c>
      <c r="U2546" s="1" t="str">
        <f>HYPERLINK("http://ictvonline.org/taxonomy/p/taxonomy-history?taxnode_id=202109807","ICTVonline=202109807")</f>
        <v>ICTVonline=202109807</v>
      </c>
    </row>
    <row r="2547" spans="1:21" x14ac:dyDescent="0.2">
      <c r="A2547" s="3">
        <v>2546</v>
      </c>
      <c r="B2547" s="1" t="s">
        <v>4875</v>
      </c>
      <c r="D2547" s="1" t="s">
        <v>4876</v>
      </c>
      <c r="F2547" s="1" t="s">
        <v>4880</v>
      </c>
      <c r="H2547" s="1" t="s">
        <v>4881</v>
      </c>
      <c r="N2547" s="1" t="s">
        <v>4650</v>
      </c>
      <c r="P2547" s="1" t="s">
        <v>11256</v>
      </c>
      <c r="Q2547" s="30" t="s">
        <v>2565</v>
      </c>
      <c r="R2547" s="33" t="s">
        <v>3473</v>
      </c>
      <c r="S2547">
        <v>37</v>
      </c>
      <c r="T2547" s="1" t="s">
        <v>13878</v>
      </c>
      <c r="U2547" s="1" t="str">
        <f>HYPERLINK("http://ictvonline.org/taxonomy/p/taxonomy-history?taxnode_id=202109818","ICTVonline=202109818")</f>
        <v>ICTVonline=202109818</v>
      </c>
    </row>
    <row r="2548" spans="1:21" x14ac:dyDescent="0.2">
      <c r="A2548" s="3">
        <v>2547</v>
      </c>
      <c r="B2548" s="1" t="s">
        <v>4875</v>
      </c>
      <c r="D2548" s="1" t="s">
        <v>4876</v>
      </c>
      <c r="F2548" s="1" t="s">
        <v>4880</v>
      </c>
      <c r="H2548" s="1" t="s">
        <v>4881</v>
      </c>
      <c r="N2548" s="1" t="s">
        <v>4650</v>
      </c>
      <c r="P2548" s="1" t="s">
        <v>11257</v>
      </c>
      <c r="Q2548" s="30" t="s">
        <v>2565</v>
      </c>
      <c r="R2548" s="33" t="s">
        <v>3473</v>
      </c>
      <c r="S2548">
        <v>37</v>
      </c>
      <c r="T2548" s="1" t="s">
        <v>13878</v>
      </c>
      <c r="U2548" s="1" t="str">
        <f>HYPERLINK("http://ictvonline.org/taxonomy/p/taxonomy-history?taxnode_id=202100869","ICTVonline=202100869")</f>
        <v>ICTVonline=202100869</v>
      </c>
    </row>
    <row r="2549" spans="1:21" x14ac:dyDescent="0.2">
      <c r="A2549" s="3">
        <v>2548</v>
      </c>
      <c r="B2549" s="1" t="s">
        <v>4875</v>
      </c>
      <c r="D2549" s="1" t="s">
        <v>4876</v>
      </c>
      <c r="F2549" s="1" t="s">
        <v>4880</v>
      </c>
      <c r="H2549" s="1" t="s">
        <v>4881</v>
      </c>
      <c r="N2549" s="1" t="s">
        <v>4650</v>
      </c>
      <c r="P2549" s="1" t="s">
        <v>11258</v>
      </c>
      <c r="Q2549" s="30" t="s">
        <v>2565</v>
      </c>
      <c r="R2549" s="33" t="s">
        <v>3473</v>
      </c>
      <c r="S2549">
        <v>37</v>
      </c>
      <c r="T2549" s="1" t="s">
        <v>13878</v>
      </c>
      <c r="U2549" s="1" t="str">
        <f>HYPERLINK("http://ictvonline.org/taxonomy/p/taxonomy-history?taxnode_id=202109794","ICTVonline=202109794")</f>
        <v>ICTVonline=202109794</v>
      </c>
    </row>
    <row r="2550" spans="1:21" x14ac:dyDescent="0.2">
      <c r="A2550" s="3">
        <v>2549</v>
      </c>
      <c r="B2550" s="1" t="s">
        <v>4875</v>
      </c>
      <c r="D2550" s="1" t="s">
        <v>4876</v>
      </c>
      <c r="F2550" s="1" t="s">
        <v>4880</v>
      </c>
      <c r="H2550" s="1" t="s">
        <v>4881</v>
      </c>
      <c r="N2550" s="1" t="s">
        <v>4650</v>
      </c>
      <c r="P2550" s="1" t="s">
        <v>11259</v>
      </c>
      <c r="Q2550" s="30" t="s">
        <v>2565</v>
      </c>
      <c r="R2550" s="33" t="s">
        <v>3473</v>
      </c>
      <c r="S2550">
        <v>37</v>
      </c>
      <c r="T2550" s="1" t="s">
        <v>13878</v>
      </c>
      <c r="U2550" s="1" t="str">
        <f>HYPERLINK("http://ictvonline.org/taxonomy/p/taxonomy-history?taxnode_id=202100870","ICTVonline=202100870")</f>
        <v>ICTVonline=202100870</v>
      </c>
    </row>
    <row r="2551" spans="1:21" x14ac:dyDescent="0.2">
      <c r="A2551" s="3">
        <v>2550</v>
      </c>
      <c r="B2551" s="1" t="s">
        <v>4875</v>
      </c>
      <c r="D2551" s="1" t="s">
        <v>4876</v>
      </c>
      <c r="F2551" s="1" t="s">
        <v>4880</v>
      </c>
      <c r="H2551" s="1" t="s">
        <v>4881</v>
      </c>
      <c r="N2551" s="1" t="s">
        <v>4650</v>
      </c>
      <c r="P2551" s="1" t="s">
        <v>11260</v>
      </c>
      <c r="Q2551" s="30" t="s">
        <v>2565</v>
      </c>
      <c r="R2551" s="33" t="s">
        <v>3473</v>
      </c>
      <c r="S2551">
        <v>37</v>
      </c>
      <c r="T2551" s="1" t="s">
        <v>13878</v>
      </c>
      <c r="U2551" s="1" t="str">
        <f>HYPERLINK("http://ictvonline.org/taxonomy/p/taxonomy-history?taxnode_id=202109820","ICTVonline=202109820")</f>
        <v>ICTVonline=202109820</v>
      </c>
    </row>
    <row r="2552" spans="1:21" x14ac:dyDescent="0.2">
      <c r="A2552" s="3">
        <v>2551</v>
      </c>
      <c r="B2552" s="1" t="s">
        <v>4875</v>
      </c>
      <c r="D2552" s="1" t="s">
        <v>4876</v>
      </c>
      <c r="F2552" s="1" t="s">
        <v>4880</v>
      </c>
      <c r="H2552" s="1" t="s">
        <v>4881</v>
      </c>
      <c r="N2552" s="1" t="s">
        <v>4650</v>
      </c>
      <c r="P2552" s="1" t="s">
        <v>11261</v>
      </c>
      <c r="Q2552" s="30" t="s">
        <v>2565</v>
      </c>
      <c r="R2552" s="33" t="s">
        <v>3473</v>
      </c>
      <c r="S2552">
        <v>37</v>
      </c>
      <c r="T2552" s="1" t="s">
        <v>13878</v>
      </c>
      <c r="U2552" s="1" t="str">
        <f>HYPERLINK("http://ictvonline.org/taxonomy/p/taxonomy-history?taxnode_id=202109823","ICTVonline=202109823")</f>
        <v>ICTVonline=202109823</v>
      </c>
    </row>
    <row r="2553" spans="1:21" x14ac:dyDescent="0.2">
      <c r="A2553" s="3">
        <v>2552</v>
      </c>
      <c r="B2553" s="1" t="s">
        <v>4875</v>
      </c>
      <c r="D2553" s="1" t="s">
        <v>4876</v>
      </c>
      <c r="F2553" s="1" t="s">
        <v>4880</v>
      </c>
      <c r="H2553" s="1" t="s">
        <v>4881</v>
      </c>
      <c r="N2553" s="1" t="s">
        <v>4650</v>
      </c>
      <c r="P2553" s="1" t="s">
        <v>11262</v>
      </c>
      <c r="Q2553" s="30" t="s">
        <v>2565</v>
      </c>
      <c r="R2553" s="33" t="s">
        <v>3473</v>
      </c>
      <c r="S2553">
        <v>37</v>
      </c>
      <c r="T2553" s="1" t="s">
        <v>13878</v>
      </c>
      <c r="U2553" s="1" t="str">
        <f>HYPERLINK("http://ictvonline.org/taxonomy/p/taxonomy-history?taxnode_id=202109795","ICTVonline=202109795")</f>
        <v>ICTVonline=202109795</v>
      </c>
    </row>
    <row r="2554" spans="1:21" x14ac:dyDescent="0.2">
      <c r="A2554" s="3">
        <v>2553</v>
      </c>
      <c r="B2554" s="1" t="s">
        <v>4875</v>
      </c>
      <c r="D2554" s="1" t="s">
        <v>4876</v>
      </c>
      <c r="F2554" s="1" t="s">
        <v>4880</v>
      </c>
      <c r="H2554" s="1" t="s">
        <v>4881</v>
      </c>
      <c r="N2554" s="1" t="s">
        <v>4650</v>
      </c>
      <c r="P2554" s="1" t="s">
        <v>11263</v>
      </c>
      <c r="Q2554" s="30" t="s">
        <v>2565</v>
      </c>
      <c r="R2554" s="33" t="s">
        <v>3473</v>
      </c>
      <c r="S2554">
        <v>37</v>
      </c>
      <c r="T2554" s="1" t="s">
        <v>13878</v>
      </c>
      <c r="U2554" s="1" t="str">
        <f>HYPERLINK("http://ictvonline.org/taxonomy/p/taxonomy-history?taxnode_id=202109819","ICTVonline=202109819")</f>
        <v>ICTVonline=202109819</v>
      </c>
    </row>
    <row r="2555" spans="1:21" x14ac:dyDescent="0.2">
      <c r="A2555" s="3">
        <v>2554</v>
      </c>
      <c r="B2555" s="1" t="s">
        <v>4875</v>
      </c>
      <c r="D2555" s="1" t="s">
        <v>4876</v>
      </c>
      <c r="F2555" s="1" t="s">
        <v>4880</v>
      </c>
      <c r="H2555" s="1" t="s">
        <v>4881</v>
      </c>
      <c r="N2555" s="1" t="s">
        <v>4650</v>
      </c>
      <c r="P2555" s="1" t="s">
        <v>11264</v>
      </c>
      <c r="Q2555" s="30" t="s">
        <v>2565</v>
      </c>
      <c r="R2555" s="33" t="s">
        <v>3473</v>
      </c>
      <c r="S2555">
        <v>37</v>
      </c>
      <c r="T2555" s="1" t="s">
        <v>13878</v>
      </c>
      <c r="U2555" s="1" t="str">
        <f>HYPERLINK("http://ictvonline.org/taxonomy/p/taxonomy-history?taxnode_id=202109825","ICTVonline=202109825")</f>
        <v>ICTVonline=202109825</v>
      </c>
    </row>
    <row r="2556" spans="1:21" x14ac:dyDescent="0.2">
      <c r="A2556" s="3">
        <v>2555</v>
      </c>
      <c r="B2556" s="1" t="s">
        <v>4875</v>
      </c>
      <c r="D2556" s="1" t="s">
        <v>4876</v>
      </c>
      <c r="F2556" s="1" t="s">
        <v>4880</v>
      </c>
      <c r="H2556" s="1" t="s">
        <v>4881</v>
      </c>
      <c r="N2556" s="1" t="s">
        <v>4650</v>
      </c>
      <c r="P2556" s="1" t="s">
        <v>11265</v>
      </c>
      <c r="Q2556" s="30" t="s">
        <v>2565</v>
      </c>
      <c r="R2556" s="33" t="s">
        <v>3473</v>
      </c>
      <c r="S2556">
        <v>37</v>
      </c>
      <c r="T2556" s="1" t="s">
        <v>13878</v>
      </c>
      <c r="U2556" s="1" t="str">
        <f>HYPERLINK("http://ictvonline.org/taxonomy/p/taxonomy-history?taxnode_id=202109800","ICTVonline=202109800")</f>
        <v>ICTVonline=202109800</v>
      </c>
    </row>
    <row r="2557" spans="1:21" x14ac:dyDescent="0.2">
      <c r="A2557" s="3">
        <v>2556</v>
      </c>
      <c r="B2557" s="1" t="s">
        <v>4875</v>
      </c>
      <c r="D2557" s="1" t="s">
        <v>4876</v>
      </c>
      <c r="F2557" s="1" t="s">
        <v>4880</v>
      </c>
      <c r="H2557" s="1" t="s">
        <v>4881</v>
      </c>
      <c r="N2557" s="1" t="s">
        <v>4650</v>
      </c>
      <c r="P2557" s="1" t="s">
        <v>11266</v>
      </c>
      <c r="Q2557" s="30" t="s">
        <v>2565</v>
      </c>
      <c r="R2557" s="33" t="s">
        <v>3473</v>
      </c>
      <c r="S2557">
        <v>37</v>
      </c>
      <c r="T2557" s="1" t="s">
        <v>13878</v>
      </c>
      <c r="U2557" s="1" t="str">
        <f>HYPERLINK("http://ictvonline.org/taxonomy/p/taxonomy-history?taxnode_id=202109824","ICTVonline=202109824")</f>
        <v>ICTVonline=202109824</v>
      </c>
    </row>
    <row r="2558" spans="1:21" x14ac:dyDescent="0.2">
      <c r="A2558" s="3">
        <v>2557</v>
      </c>
      <c r="B2558" s="1" t="s">
        <v>4875</v>
      </c>
      <c r="D2558" s="1" t="s">
        <v>4876</v>
      </c>
      <c r="F2558" s="1" t="s">
        <v>4880</v>
      </c>
      <c r="H2558" s="1" t="s">
        <v>4881</v>
      </c>
      <c r="N2558" s="1" t="s">
        <v>4650</v>
      </c>
      <c r="P2558" s="1" t="s">
        <v>11267</v>
      </c>
      <c r="Q2558" s="30" t="s">
        <v>2565</v>
      </c>
      <c r="R2558" s="33" t="s">
        <v>3473</v>
      </c>
      <c r="S2558">
        <v>37</v>
      </c>
      <c r="T2558" s="1" t="s">
        <v>13878</v>
      </c>
      <c r="U2558" s="1" t="str">
        <f>HYPERLINK("http://ictvonline.org/taxonomy/p/taxonomy-history?taxnode_id=202109802","ICTVonline=202109802")</f>
        <v>ICTVonline=202109802</v>
      </c>
    </row>
    <row r="2559" spans="1:21" x14ac:dyDescent="0.2">
      <c r="A2559" s="3">
        <v>2558</v>
      </c>
      <c r="B2559" s="1" t="s">
        <v>4875</v>
      </c>
      <c r="D2559" s="1" t="s">
        <v>4876</v>
      </c>
      <c r="F2559" s="1" t="s">
        <v>4880</v>
      </c>
      <c r="H2559" s="1" t="s">
        <v>4881</v>
      </c>
      <c r="N2559" s="1" t="s">
        <v>4650</v>
      </c>
      <c r="P2559" s="1" t="s">
        <v>11268</v>
      </c>
      <c r="Q2559" s="30" t="s">
        <v>2565</v>
      </c>
      <c r="R2559" s="33" t="s">
        <v>3473</v>
      </c>
      <c r="S2559">
        <v>37</v>
      </c>
      <c r="T2559" s="1" t="s">
        <v>13878</v>
      </c>
      <c r="U2559" s="1" t="str">
        <f>HYPERLINK("http://ictvonline.org/taxonomy/p/taxonomy-history?taxnode_id=202109803","ICTVonline=202109803")</f>
        <v>ICTVonline=202109803</v>
      </c>
    </row>
    <row r="2560" spans="1:21" x14ac:dyDescent="0.2">
      <c r="A2560" s="3">
        <v>2559</v>
      </c>
      <c r="B2560" s="1" t="s">
        <v>4875</v>
      </c>
      <c r="D2560" s="1" t="s">
        <v>4876</v>
      </c>
      <c r="F2560" s="1" t="s">
        <v>4880</v>
      </c>
      <c r="H2560" s="1" t="s">
        <v>4881</v>
      </c>
      <c r="N2560" s="1" t="s">
        <v>4650</v>
      </c>
      <c r="P2560" s="1" t="s">
        <v>11269</v>
      </c>
      <c r="Q2560" s="30" t="s">
        <v>2565</v>
      </c>
      <c r="R2560" s="33" t="s">
        <v>3473</v>
      </c>
      <c r="S2560">
        <v>37</v>
      </c>
      <c r="T2560" s="1" t="s">
        <v>13878</v>
      </c>
      <c r="U2560" s="1" t="str">
        <f>HYPERLINK("http://ictvonline.org/taxonomy/p/taxonomy-history?taxnode_id=202109821","ICTVonline=202109821")</f>
        <v>ICTVonline=202109821</v>
      </c>
    </row>
    <row r="2561" spans="1:21" x14ac:dyDescent="0.2">
      <c r="A2561" s="3">
        <v>2560</v>
      </c>
      <c r="B2561" s="1" t="s">
        <v>4875</v>
      </c>
      <c r="D2561" s="1" t="s">
        <v>4876</v>
      </c>
      <c r="F2561" s="1" t="s">
        <v>4880</v>
      </c>
      <c r="H2561" s="1" t="s">
        <v>4881</v>
      </c>
      <c r="N2561" s="1" t="s">
        <v>4650</v>
      </c>
      <c r="P2561" s="1" t="s">
        <v>11270</v>
      </c>
      <c r="Q2561" s="30" t="s">
        <v>2565</v>
      </c>
      <c r="R2561" s="33" t="s">
        <v>3473</v>
      </c>
      <c r="S2561">
        <v>37</v>
      </c>
      <c r="T2561" s="1" t="s">
        <v>13878</v>
      </c>
      <c r="U2561" s="1" t="str">
        <f>HYPERLINK("http://ictvonline.org/taxonomy/p/taxonomy-history?taxnode_id=202109813","ICTVonline=202109813")</f>
        <v>ICTVonline=202109813</v>
      </c>
    </row>
    <row r="2562" spans="1:21" x14ac:dyDescent="0.2">
      <c r="A2562" s="3">
        <v>2561</v>
      </c>
      <c r="B2562" s="1" t="s">
        <v>4875</v>
      </c>
      <c r="D2562" s="1" t="s">
        <v>4876</v>
      </c>
      <c r="F2562" s="1" t="s">
        <v>4880</v>
      </c>
      <c r="H2562" s="1" t="s">
        <v>4881</v>
      </c>
      <c r="N2562" s="1" t="s">
        <v>4650</v>
      </c>
      <c r="P2562" s="1" t="s">
        <v>11271</v>
      </c>
      <c r="Q2562" s="30" t="s">
        <v>2565</v>
      </c>
      <c r="R2562" s="33" t="s">
        <v>3473</v>
      </c>
      <c r="S2562">
        <v>37</v>
      </c>
      <c r="T2562" s="1" t="s">
        <v>13878</v>
      </c>
      <c r="U2562" s="1" t="str">
        <f>HYPERLINK("http://ictvonline.org/taxonomy/p/taxonomy-history?taxnode_id=202109816","ICTVonline=202109816")</f>
        <v>ICTVonline=202109816</v>
      </c>
    </row>
    <row r="2563" spans="1:21" x14ac:dyDescent="0.2">
      <c r="A2563" s="3">
        <v>2562</v>
      </c>
      <c r="B2563" s="1" t="s">
        <v>4875</v>
      </c>
      <c r="D2563" s="1" t="s">
        <v>4876</v>
      </c>
      <c r="F2563" s="1" t="s">
        <v>4880</v>
      </c>
      <c r="H2563" s="1" t="s">
        <v>4881</v>
      </c>
      <c r="N2563" s="1" t="s">
        <v>4650</v>
      </c>
      <c r="P2563" s="1" t="s">
        <v>11272</v>
      </c>
      <c r="Q2563" s="30" t="s">
        <v>2565</v>
      </c>
      <c r="R2563" s="33" t="s">
        <v>3473</v>
      </c>
      <c r="S2563">
        <v>37</v>
      </c>
      <c r="T2563" s="1" t="s">
        <v>13878</v>
      </c>
      <c r="U2563" s="1" t="str">
        <f>HYPERLINK("http://ictvonline.org/taxonomy/p/taxonomy-history?taxnode_id=202109815","ICTVonline=202109815")</f>
        <v>ICTVonline=202109815</v>
      </c>
    </row>
    <row r="2564" spans="1:21" x14ac:dyDescent="0.2">
      <c r="A2564" s="3">
        <v>2563</v>
      </c>
      <c r="B2564" s="1" t="s">
        <v>4875</v>
      </c>
      <c r="D2564" s="1" t="s">
        <v>4876</v>
      </c>
      <c r="F2564" s="1" t="s">
        <v>4880</v>
      </c>
      <c r="H2564" s="1" t="s">
        <v>4881</v>
      </c>
      <c r="N2564" s="1" t="s">
        <v>4650</v>
      </c>
      <c r="P2564" s="1" t="s">
        <v>11273</v>
      </c>
      <c r="Q2564" s="30" t="s">
        <v>2565</v>
      </c>
      <c r="R2564" s="33" t="s">
        <v>3473</v>
      </c>
      <c r="S2564">
        <v>37</v>
      </c>
      <c r="T2564" s="1" t="s">
        <v>13878</v>
      </c>
      <c r="U2564" s="1" t="str">
        <f>HYPERLINK("http://ictvonline.org/taxonomy/p/taxonomy-history?taxnode_id=202109817","ICTVonline=202109817")</f>
        <v>ICTVonline=202109817</v>
      </c>
    </row>
    <row r="2565" spans="1:21" x14ac:dyDescent="0.2">
      <c r="A2565" s="3">
        <v>2564</v>
      </c>
      <c r="B2565" s="1" t="s">
        <v>4875</v>
      </c>
      <c r="D2565" s="1" t="s">
        <v>4876</v>
      </c>
      <c r="F2565" s="1" t="s">
        <v>4880</v>
      </c>
      <c r="H2565" s="1" t="s">
        <v>4881</v>
      </c>
      <c r="N2565" s="1" t="s">
        <v>4650</v>
      </c>
      <c r="P2565" s="1" t="s">
        <v>11274</v>
      </c>
      <c r="Q2565" s="30" t="s">
        <v>2565</v>
      </c>
      <c r="R2565" s="33" t="s">
        <v>3473</v>
      </c>
      <c r="S2565">
        <v>37</v>
      </c>
      <c r="T2565" s="1" t="s">
        <v>13878</v>
      </c>
      <c r="U2565" s="1" t="str">
        <f>HYPERLINK("http://ictvonline.org/taxonomy/p/taxonomy-history?taxnode_id=202109822","ICTVonline=202109822")</f>
        <v>ICTVonline=202109822</v>
      </c>
    </row>
    <row r="2566" spans="1:21" x14ac:dyDescent="0.2">
      <c r="A2566" s="3">
        <v>2565</v>
      </c>
      <c r="B2566" s="1" t="s">
        <v>4875</v>
      </c>
      <c r="D2566" s="1" t="s">
        <v>4876</v>
      </c>
      <c r="F2566" s="1" t="s">
        <v>4880</v>
      </c>
      <c r="H2566" s="1" t="s">
        <v>4881</v>
      </c>
      <c r="N2566" s="1" t="s">
        <v>4650</v>
      </c>
      <c r="P2566" s="1" t="s">
        <v>11275</v>
      </c>
      <c r="Q2566" s="30" t="s">
        <v>2565</v>
      </c>
      <c r="R2566" s="33" t="s">
        <v>3473</v>
      </c>
      <c r="S2566">
        <v>37</v>
      </c>
      <c r="T2566" s="1" t="s">
        <v>13878</v>
      </c>
      <c r="U2566" s="1" t="str">
        <f>HYPERLINK("http://ictvonline.org/taxonomy/p/taxonomy-history?taxnode_id=202109805","ICTVonline=202109805")</f>
        <v>ICTVonline=202109805</v>
      </c>
    </row>
    <row r="2567" spans="1:21" x14ac:dyDescent="0.2">
      <c r="A2567" s="3">
        <v>2566</v>
      </c>
      <c r="B2567" s="1" t="s">
        <v>4875</v>
      </c>
      <c r="D2567" s="1" t="s">
        <v>4876</v>
      </c>
      <c r="F2567" s="1" t="s">
        <v>4880</v>
      </c>
      <c r="H2567" s="1" t="s">
        <v>4881</v>
      </c>
      <c r="N2567" s="1" t="s">
        <v>4650</v>
      </c>
      <c r="P2567" s="1" t="s">
        <v>11276</v>
      </c>
      <c r="Q2567" s="30" t="s">
        <v>2565</v>
      </c>
      <c r="R2567" s="33" t="s">
        <v>3473</v>
      </c>
      <c r="S2567">
        <v>37</v>
      </c>
      <c r="T2567" s="1" t="s">
        <v>13878</v>
      </c>
      <c r="U2567" s="1" t="str">
        <f>HYPERLINK("http://ictvonline.org/taxonomy/p/taxonomy-history?taxnode_id=202109798","ICTVonline=202109798")</f>
        <v>ICTVonline=202109798</v>
      </c>
    </row>
    <row r="2568" spans="1:21" x14ac:dyDescent="0.2">
      <c r="A2568" s="3">
        <v>2567</v>
      </c>
      <c r="B2568" s="1" t="s">
        <v>4875</v>
      </c>
      <c r="D2568" s="1" t="s">
        <v>4876</v>
      </c>
      <c r="F2568" s="1" t="s">
        <v>4880</v>
      </c>
      <c r="H2568" s="1" t="s">
        <v>4881</v>
      </c>
      <c r="N2568" s="1" t="s">
        <v>4650</v>
      </c>
      <c r="P2568" s="1" t="s">
        <v>11277</v>
      </c>
      <c r="Q2568" s="30" t="s">
        <v>2565</v>
      </c>
      <c r="R2568" s="33" t="s">
        <v>3473</v>
      </c>
      <c r="S2568">
        <v>37</v>
      </c>
      <c r="T2568" s="1" t="s">
        <v>13878</v>
      </c>
      <c r="U2568" s="1" t="str">
        <f>HYPERLINK("http://ictvonline.org/taxonomy/p/taxonomy-history?taxnode_id=202109799","ICTVonline=202109799")</f>
        <v>ICTVonline=202109799</v>
      </c>
    </row>
    <row r="2569" spans="1:21" x14ac:dyDescent="0.2">
      <c r="A2569" s="3">
        <v>2568</v>
      </c>
      <c r="B2569" s="1" t="s">
        <v>4875</v>
      </c>
      <c r="D2569" s="1" t="s">
        <v>4876</v>
      </c>
      <c r="F2569" s="1" t="s">
        <v>4880</v>
      </c>
      <c r="H2569" s="1" t="s">
        <v>4881</v>
      </c>
      <c r="N2569" s="1" t="s">
        <v>4650</v>
      </c>
      <c r="P2569" s="1" t="s">
        <v>11278</v>
      </c>
      <c r="Q2569" s="30" t="s">
        <v>2565</v>
      </c>
      <c r="R2569" s="33" t="s">
        <v>3473</v>
      </c>
      <c r="S2569">
        <v>37</v>
      </c>
      <c r="T2569" s="1" t="s">
        <v>13878</v>
      </c>
      <c r="U2569" s="1" t="str">
        <f>HYPERLINK("http://ictvonline.org/taxonomy/p/taxonomy-history?taxnode_id=202109809","ICTVonline=202109809")</f>
        <v>ICTVonline=202109809</v>
      </c>
    </row>
    <row r="2570" spans="1:21" x14ac:dyDescent="0.2">
      <c r="A2570" s="3">
        <v>2569</v>
      </c>
      <c r="B2570" s="1" t="s">
        <v>4875</v>
      </c>
      <c r="D2570" s="1" t="s">
        <v>4876</v>
      </c>
      <c r="F2570" s="1" t="s">
        <v>4880</v>
      </c>
      <c r="H2570" s="1" t="s">
        <v>4881</v>
      </c>
      <c r="N2570" s="1" t="s">
        <v>4650</v>
      </c>
      <c r="P2570" s="1" t="s">
        <v>11279</v>
      </c>
      <c r="Q2570" s="30" t="s">
        <v>2565</v>
      </c>
      <c r="R2570" s="33" t="s">
        <v>3473</v>
      </c>
      <c r="S2570">
        <v>37</v>
      </c>
      <c r="T2570" s="1" t="s">
        <v>13878</v>
      </c>
      <c r="U2570" s="1" t="str">
        <f>HYPERLINK("http://ictvonline.org/taxonomy/p/taxonomy-history?taxnode_id=202109796","ICTVonline=202109796")</f>
        <v>ICTVonline=202109796</v>
      </c>
    </row>
    <row r="2571" spans="1:21" x14ac:dyDescent="0.2">
      <c r="A2571" s="3">
        <v>2570</v>
      </c>
      <c r="B2571" s="1" t="s">
        <v>4875</v>
      </c>
      <c r="D2571" s="1" t="s">
        <v>4876</v>
      </c>
      <c r="F2571" s="1" t="s">
        <v>4880</v>
      </c>
      <c r="H2571" s="1" t="s">
        <v>4881</v>
      </c>
      <c r="N2571" s="1" t="s">
        <v>4650</v>
      </c>
      <c r="P2571" s="1" t="s">
        <v>11280</v>
      </c>
      <c r="Q2571" s="30" t="s">
        <v>2565</v>
      </c>
      <c r="R2571" s="33" t="s">
        <v>3473</v>
      </c>
      <c r="S2571">
        <v>37</v>
      </c>
      <c r="T2571" s="1" t="s">
        <v>13878</v>
      </c>
      <c r="U2571" s="1" t="str">
        <f>HYPERLINK("http://ictvonline.org/taxonomy/p/taxonomy-history?taxnode_id=202109811","ICTVonline=202109811")</f>
        <v>ICTVonline=202109811</v>
      </c>
    </row>
    <row r="2572" spans="1:21" x14ac:dyDescent="0.2">
      <c r="A2572" s="3">
        <v>2571</v>
      </c>
      <c r="B2572" s="1" t="s">
        <v>4875</v>
      </c>
      <c r="D2572" s="1" t="s">
        <v>4876</v>
      </c>
      <c r="F2572" s="1" t="s">
        <v>4880</v>
      </c>
      <c r="H2572" s="1" t="s">
        <v>4881</v>
      </c>
      <c r="N2572" s="1" t="s">
        <v>4650</v>
      </c>
      <c r="P2572" s="1" t="s">
        <v>11281</v>
      </c>
      <c r="Q2572" s="30" t="s">
        <v>2565</v>
      </c>
      <c r="R2572" s="33" t="s">
        <v>3473</v>
      </c>
      <c r="S2572">
        <v>37</v>
      </c>
      <c r="T2572" s="1" t="s">
        <v>13878</v>
      </c>
      <c r="U2572" s="1" t="str">
        <f>HYPERLINK("http://ictvonline.org/taxonomy/p/taxonomy-history?taxnode_id=202109808","ICTVonline=202109808")</f>
        <v>ICTVonline=202109808</v>
      </c>
    </row>
    <row r="2573" spans="1:21" x14ac:dyDescent="0.2">
      <c r="A2573" s="3">
        <v>2572</v>
      </c>
      <c r="B2573" s="1" t="s">
        <v>4875</v>
      </c>
      <c r="D2573" s="1" t="s">
        <v>4876</v>
      </c>
      <c r="F2573" s="1" t="s">
        <v>4880</v>
      </c>
      <c r="H2573" s="1" t="s">
        <v>4881</v>
      </c>
      <c r="N2573" s="1" t="s">
        <v>4650</v>
      </c>
      <c r="P2573" s="1" t="s">
        <v>11282</v>
      </c>
      <c r="Q2573" s="30" t="s">
        <v>2565</v>
      </c>
      <c r="R2573" s="33" t="s">
        <v>3473</v>
      </c>
      <c r="S2573">
        <v>37</v>
      </c>
      <c r="T2573" s="1" t="s">
        <v>13878</v>
      </c>
      <c r="U2573" s="1" t="str">
        <f>HYPERLINK("http://ictvonline.org/taxonomy/p/taxonomy-history?taxnode_id=202109812","ICTVonline=202109812")</f>
        <v>ICTVonline=202109812</v>
      </c>
    </row>
    <row r="2574" spans="1:21" x14ac:dyDescent="0.2">
      <c r="A2574" s="3">
        <v>2573</v>
      </c>
      <c r="B2574" s="1" t="s">
        <v>4875</v>
      </c>
      <c r="D2574" s="1" t="s">
        <v>4876</v>
      </c>
      <c r="F2574" s="1" t="s">
        <v>4880</v>
      </c>
      <c r="H2574" s="1" t="s">
        <v>4881</v>
      </c>
      <c r="N2574" s="1" t="s">
        <v>4650</v>
      </c>
      <c r="P2574" s="1" t="s">
        <v>11283</v>
      </c>
      <c r="Q2574" s="30" t="s">
        <v>2565</v>
      </c>
      <c r="R2574" s="33" t="s">
        <v>3473</v>
      </c>
      <c r="S2574">
        <v>37</v>
      </c>
      <c r="T2574" s="1" t="s">
        <v>13878</v>
      </c>
      <c r="U2574" s="1" t="str">
        <f>HYPERLINK("http://ictvonline.org/taxonomy/p/taxonomy-history?taxnode_id=202109810","ICTVonline=202109810")</f>
        <v>ICTVonline=202109810</v>
      </c>
    </row>
    <row r="2575" spans="1:21" x14ac:dyDescent="0.2">
      <c r="A2575" s="3">
        <v>2574</v>
      </c>
      <c r="B2575" s="1" t="s">
        <v>4875</v>
      </c>
      <c r="D2575" s="1" t="s">
        <v>4876</v>
      </c>
      <c r="F2575" s="1" t="s">
        <v>4880</v>
      </c>
      <c r="H2575" s="1" t="s">
        <v>4881</v>
      </c>
      <c r="N2575" s="1" t="s">
        <v>4650</v>
      </c>
      <c r="P2575" s="1" t="s">
        <v>11284</v>
      </c>
      <c r="Q2575" s="30" t="s">
        <v>2565</v>
      </c>
      <c r="R2575" s="33" t="s">
        <v>3473</v>
      </c>
      <c r="S2575">
        <v>37</v>
      </c>
      <c r="T2575" s="1" t="s">
        <v>13878</v>
      </c>
      <c r="U2575" s="1" t="str">
        <f>HYPERLINK("http://ictvonline.org/taxonomy/p/taxonomy-history?taxnode_id=202109804","ICTVonline=202109804")</f>
        <v>ICTVonline=202109804</v>
      </c>
    </row>
    <row r="2576" spans="1:21" x14ac:dyDescent="0.2">
      <c r="A2576" s="3">
        <v>2575</v>
      </c>
      <c r="B2576" s="1" t="s">
        <v>4875</v>
      </c>
      <c r="D2576" s="1" t="s">
        <v>4876</v>
      </c>
      <c r="F2576" s="1" t="s">
        <v>4880</v>
      </c>
      <c r="H2576" s="1" t="s">
        <v>4881</v>
      </c>
      <c r="N2576" s="1" t="s">
        <v>4655</v>
      </c>
      <c r="P2576" s="1" t="s">
        <v>11285</v>
      </c>
      <c r="Q2576" s="30" t="s">
        <v>2565</v>
      </c>
      <c r="R2576" s="33" t="s">
        <v>3473</v>
      </c>
      <c r="S2576">
        <v>37</v>
      </c>
      <c r="T2576" s="1" t="s">
        <v>13878</v>
      </c>
      <c r="U2576" s="1" t="str">
        <f>HYPERLINK("http://ictvonline.org/taxonomy/p/taxonomy-history?taxnode_id=202100872","ICTVonline=202100872")</f>
        <v>ICTVonline=202100872</v>
      </c>
    </row>
    <row r="2577" spans="1:21" x14ac:dyDescent="0.2">
      <c r="A2577" s="3">
        <v>2576</v>
      </c>
      <c r="B2577" s="1" t="s">
        <v>4875</v>
      </c>
      <c r="D2577" s="1" t="s">
        <v>4876</v>
      </c>
      <c r="F2577" s="1" t="s">
        <v>4880</v>
      </c>
      <c r="H2577" s="1" t="s">
        <v>4881</v>
      </c>
      <c r="N2577" s="1" t="s">
        <v>4655</v>
      </c>
      <c r="P2577" s="1" t="s">
        <v>11286</v>
      </c>
      <c r="Q2577" s="30" t="s">
        <v>2565</v>
      </c>
      <c r="R2577" s="33" t="s">
        <v>3473</v>
      </c>
      <c r="S2577">
        <v>37</v>
      </c>
      <c r="T2577" s="1" t="s">
        <v>13878</v>
      </c>
      <c r="U2577" s="1" t="str">
        <f>HYPERLINK("http://ictvonline.org/taxonomy/p/taxonomy-history?taxnode_id=202100873","ICTVonline=202100873")</f>
        <v>ICTVonline=202100873</v>
      </c>
    </row>
    <row r="2578" spans="1:21" x14ac:dyDescent="0.2">
      <c r="A2578" s="3">
        <v>2577</v>
      </c>
      <c r="B2578" s="1" t="s">
        <v>4875</v>
      </c>
      <c r="D2578" s="1" t="s">
        <v>4876</v>
      </c>
      <c r="F2578" s="1" t="s">
        <v>4880</v>
      </c>
      <c r="H2578" s="1" t="s">
        <v>4881</v>
      </c>
      <c r="N2578" s="1" t="s">
        <v>4655</v>
      </c>
      <c r="P2578" s="1" t="s">
        <v>11287</v>
      </c>
      <c r="Q2578" s="30" t="s">
        <v>2565</v>
      </c>
      <c r="R2578" s="33" t="s">
        <v>3473</v>
      </c>
      <c r="S2578">
        <v>37</v>
      </c>
      <c r="T2578" s="1" t="s">
        <v>13878</v>
      </c>
      <c r="U2578" s="1" t="str">
        <f>HYPERLINK("http://ictvonline.org/taxonomy/p/taxonomy-history?taxnode_id=202100874","ICTVonline=202100874")</f>
        <v>ICTVonline=202100874</v>
      </c>
    </row>
    <row r="2579" spans="1:21" x14ac:dyDescent="0.2">
      <c r="A2579" s="3">
        <v>2578</v>
      </c>
      <c r="B2579" s="1" t="s">
        <v>4875</v>
      </c>
      <c r="D2579" s="1" t="s">
        <v>4876</v>
      </c>
      <c r="F2579" s="1" t="s">
        <v>4880</v>
      </c>
      <c r="H2579" s="1" t="s">
        <v>4881</v>
      </c>
      <c r="N2579" s="1" t="s">
        <v>4655</v>
      </c>
      <c r="P2579" s="1" t="s">
        <v>11288</v>
      </c>
      <c r="Q2579" s="30" t="s">
        <v>2565</v>
      </c>
      <c r="R2579" s="33" t="s">
        <v>3473</v>
      </c>
      <c r="S2579">
        <v>37</v>
      </c>
      <c r="T2579" s="1" t="s">
        <v>13878</v>
      </c>
      <c r="U2579" s="1" t="str">
        <f>HYPERLINK("http://ictvonline.org/taxonomy/p/taxonomy-history?taxnode_id=202100875","ICTVonline=202100875")</f>
        <v>ICTVonline=202100875</v>
      </c>
    </row>
    <row r="2580" spans="1:21" x14ac:dyDescent="0.2">
      <c r="A2580" s="3">
        <v>2579</v>
      </c>
      <c r="B2580" s="1" t="s">
        <v>4875</v>
      </c>
      <c r="D2580" s="1" t="s">
        <v>4876</v>
      </c>
      <c r="F2580" s="1" t="s">
        <v>4880</v>
      </c>
      <c r="H2580" s="1" t="s">
        <v>4881</v>
      </c>
      <c r="N2580" s="1" t="s">
        <v>4655</v>
      </c>
      <c r="P2580" s="1" t="s">
        <v>11289</v>
      </c>
      <c r="Q2580" s="30" t="s">
        <v>2565</v>
      </c>
      <c r="R2580" s="33" t="s">
        <v>3473</v>
      </c>
      <c r="S2580">
        <v>37</v>
      </c>
      <c r="T2580" s="1" t="s">
        <v>13878</v>
      </c>
      <c r="U2580" s="1" t="str">
        <f>HYPERLINK("http://ictvonline.org/taxonomy/p/taxonomy-history?taxnode_id=202100877","ICTVonline=202100877")</f>
        <v>ICTVonline=202100877</v>
      </c>
    </row>
    <row r="2581" spans="1:21" x14ac:dyDescent="0.2">
      <c r="A2581" s="3">
        <v>2580</v>
      </c>
      <c r="B2581" s="1" t="s">
        <v>4875</v>
      </c>
      <c r="D2581" s="1" t="s">
        <v>4876</v>
      </c>
      <c r="F2581" s="1" t="s">
        <v>4880</v>
      </c>
      <c r="H2581" s="1" t="s">
        <v>4881</v>
      </c>
      <c r="N2581" s="1" t="s">
        <v>4655</v>
      </c>
      <c r="P2581" s="1" t="s">
        <v>11290</v>
      </c>
      <c r="Q2581" s="30" t="s">
        <v>2565</v>
      </c>
      <c r="R2581" s="33" t="s">
        <v>3473</v>
      </c>
      <c r="S2581">
        <v>37</v>
      </c>
      <c r="T2581" s="1" t="s">
        <v>13878</v>
      </c>
      <c r="U2581" s="1" t="str">
        <f>HYPERLINK("http://ictvonline.org/taxonomy/p/taxonomy-history?taxnode_id=202100876","ICTVonline=202100876")</f>
        <v>ICTVonline=202100876</v>
      </c>
    </row>
    <row r="2582" spans="1:21" x14ac:dyDescent="0.2">
      <c r="A2582" s="3">
        <v>2581</v>
      </c>
      <c r="B2582" s="1" t="s">
        <v>4875</v>
      </c>
      <c r="D2582" s="1" t="s">
        <v>4876</v>
      </c>
      <c r="F2582" s="1" t="s">
        <v>4880</v>
      </c>
      <c r="H2582" s="1" t="s">
        <v>4881</v>
      </c>
      <c r="N2582" s="1" t="s">
        <v>4537</v>
      </c>
      <c r="P2582" s="1" t="s">
        <v>11291</v>
      </c>
      <c r="Q2582" s="30" t="s">
        <v>2565</v>
      </c>
      <c r="R2582" s="33" t="s">
        <v>3473</v>
      </c>
      <c r="S2582">
        <v>37</v>
      </c>
      <c r="T2582" s="1" t="s">
        <v>13878</v>
      </c>
      <c r="U2582" s="1" t="str">
        <f>HYPERLINK("http://ictvonline.org/taxonomy/p/taxonomy-history?taxnode_id=202106814","ICTVonline=202106814")</f>
        <v>ICTVonline=202106814</v>
      </c>
    </row>
    <row r="2583" spans="1:21" x14ac:dyDescent="0.2">
      <c r="A2583" s="3">
        <v>2582</v>
      </c>
      <c r="B2583" s="1" t="s">
        <v>4875</v>
      </c>
      <c r="D2583" s="1" t="s">
        <v>4876</v>
      </c>
      <c r="F2583" s="1" t="s">
        <v>4880</v>
      </c>
      <c r="H2583" s="1" t="s">
        <v>4881</v>
      </c>
      <c r="N2583" s="1" t="s">
        <v>4657</v>
      </c>
      <c r="P2583" s="1" t="s">
        <v>11292</v>
      </c>
      <c r="Q2583" s="30" t="s">
        <v>2565</v>
      </c>
      <c r="R2583" s="33" t="s">
        <v>3473</v>
      </c>
      <c r="S2583">
        <v>37</v>
      </c>
      <c r="T2583" s="1" t="s">
        <v>13878</v>
      </c>
      <c r="U2583" s="1" t="str">
        <f>HYPERLINK("http://ictvonline.org/taxonomy/p/taxonomy-history?taxnode_id=202100922","ICTVonline=202100922")</f>
        <v>ICTVonline=202100922</v>
      </c>
    </row>
    <row r="2584" spans="1:21" x14ac:dyDescent="0.2">
      <c r="A2584" s="3">
        <v>2583</v>
      </c>
      <c r="B2584" s="1" t="s">
        <v>4875</v>
      </c>
      <c r="D2584" s="1" t="s">
        <v>4876</v>
      </c>
      <c r="F2584" s="1" t="s">
        <v>4880</v>
      </c>
      <c r="H2584" s="1" t="s">
        <v>4881</v>
      </c>
      <c r="N2584" s="1" t="s">
        <v>4657</v>
      </c>
      <c r="P2584" s="1" t="s">
        <v>11293</v>
      </c>
      <c r="Q2584" s="30" t="s">
        <v>2565</v>
      </c>
      <c r="R2584" s="33" t="s">
        <v>3473</v>
      </c>
      <c r="S2584">
        <v>37</v>
      </c>
      <c r="T2584" s="1" t="s">
        <v>13878</v>
      </c>
      <c r="U2584" s="1" t="str">
        <f>HYPERLINK("http://ictvonline.org/taxonomy/p/taxonomy-history?taxnode_id=202105506","ICTVonline=202105506")</f>
        <v>ICTVonline=202105506</v>
      </c>
    </row>
    <row r="2585" spans="1:21" x14ac:dyDescent="0.2">
      <c r="A2585" s="3">
        <v>2584</v>
      </c>
      <c r="B2585" s="1" t="s">
        <v>4875</v>
      </c>
      <c r="D2585" s="1" t="s">
        <v>4876</v>
      </c>
      <c r="F2585" s="1" t="s">
        <v>4880</v>
      </c>
      <c r="H2585" s="1" t="s">
        <v>4881</v>
      </c>
      <c r="N2585" s="1" t="s">
        <v>6172</v>
      </c>
      <c r="P2585" s="1" t="s">
        <v>11294</v>
      </c>
      <c r="Q2585" s="30" t="s">
        <v>2565</v>
      </c>
      <c r="R2585" s="33" t="s">
        <v>3473</v>
      </c>
      <c r="S2585">
        <v>37</v>
      </c>
      <c r="T2585" s="1" t="s">
        <v>13878</v>
      </c>
      <c r="U2585" s="1" t="str">
        <f>HYPERLINK("http://ictvonline.org/taxonomy/p/taxonomy-history?taxnode_id=202109864","ICTVonline=202109864")</f>
        <v>ICTVonline=202109864</v>
      </c>
    </row>
    <row r="2586" spans="1:21" x14ac:dyDescent="0.2">
      <c r="A2586" s="3">
        <v>2585</v>
      </c>
      <c r="B2586" s="1" t="s">
        <v>4875</v>
      </c>
      <c r="D2586" s="1" t="s">
        <v>4876</v>
      </c>
      <c r="F2586" s="1" t="s">
        <v>4880</v>
      </c>
      <c r="H2586" s="1" t="s">
        <v>4881</v>
      </c>
      <c r="N2586" s="1" t="s">
        <v>4538</v>
      </c>
      <c r="P2586" s="1" t="s">
        <v>11295</v>
      </c>
      <c r="Q2586" s="30" t="s">
        <v>2565</v>
      </c>
      <c r="R2586" s="33" t="s">
        <v>3473</v>
      </c>
      <c r="S2586">
        <v>37</v>
      </c>
      <c r="T2586" s="1" t="s">
        <v>13878</v>
      </c>
      <c r="U2586" s="1" t="str">
        <f>HYPERLINK("http://ictvonline.org/taxonomy/p/taxonomy-history?taxnode_id=202100493","ICTVonline=202100493")</f>
        <v>ICTVonline=202100493</v>
      </c>
    </row>
    <row r="2587" spans="1:21" x14ac:dyDescent="0.2">
      <c r="A2587" s="3">
        <v>2586</v>
      </c>
      <c r="B2587" s="1" t="s">
        <v>4875</v>
      </c>
      <c r="D2587" s="1" t="s">
        <v>4876</v>
      </c>
      <c r="F2587" s="1" t="s">
        <v>4880</v>
      </c>
      <c r="H2587" s="1" t="s">
        <v>4881</v>
      </c>
      <c r="N2587" s="1" t="s">
        <v>4538</v>
      </c>
      <c r="P2587" s="1" t="s">
        <v>11296</v>
      </c>
      <c r="Q2587" s="30" t="s">
        <v>2565</v>
      </c>
      <c r="R2587" s="33" t="s">
        <v>3473</v>
      </c>
      <c r="S2587">
        <v>37</v>
      </c>
      <c r="T2587" s="1" t="s">
        <v>13878</v>
      </c>
      <c r="U2587" s="1" t="str">
        <f>HYPERLINK("http://ictvonline.org/taxonomy/p/taxonomy-history?taxnode_id=202100494","ICTVonline=202100494")</f>
        <v>ICTVonline=202100494</v>
      </c>
    </row>
    <row r="2588" spans="1:21" x14ac:dyDescent="0.2">
      <c r="A2588" s="3">
        <v>2587</v>
      </c>
      <c r="B2588" s="1" t="s">
        <v>4875</v>
      </c>
      <c r="D2588" s="1" t="s">
        <v>4876</v>
      </c>
      <c r="F2588" s="1" t="s">
        <v>4880</v>
      </c>
      <c r="H2588" s="1" t="s">
        <v>4881</v>
      </c>
      <c r="N2588" s="1" t="s">
        <v>6058</v>
      </c>
      <c r="P2588" s="1" t="s">
        <v>11297</v>
      </c>
      <c r="Q2588" s="30" t="s">
        <v>2565</v>
      </c>
      <c r="R2588" s="33" t="s">
        <v>3473</v>
      </c>
      <c r="S2588">
        <v>37</v>
      </c>
      <c r="T2588" s="1" t="s">
        <v>13878</v>
      </c>
      <c r="U2588" s="1" t="str">
        <f>HYPERLINK("http://ictvonline.org/taxonomy/p/taxonomy-history?taxnode_id=202100703","ICTVonline=202100703")</f>
        <v>ICTVonline=202100703</v>
      </c>
    </row>
    <row r="2589" spans="1:21" x14ac:dyDescent="0.2">
      <c r="A2589" s="3">
        <v>2588</v>
      </c>
      <c r="B2589" s="1" t="s">
        <v>4875</v>
      </c>
      <c r="D2589" s="1" t="s">
        <v>4876</v>
      </c>
      <c r="F2589" s="1" t="s">
        <v>4880</v>
      </c>
      <c r="H2589" s="1" t="s">
        <v>4881</v>
      </c>
      <c r="N2589" s="1" t="s">
        <v>6059</v>
      </c>
      <c r="P2589" s="1" t="s">
        <v>11298</v>
      </c>
      <c r="Q2589" s="30" t="s">
        <v>2565</v>
      </c>
      <c r="R2589" s="33" t="s">
        <v>3473</v>
      </c>
      <c r="S2589">
        <v>37</v>
      </c>
      <c r="T2589" s="1" t="s">
        <v>13878</v>
      </c>
      <c r="U2589" s="1" t="str">
        <f>HYPERLINK("http://ictvonline.org/taxonomy/p/taxonomy-history?taxnode_id=202111652","ICTVonline=202111652")</f>
        <v>ICTVonline=202111652</v>
      </c>
    </row>
    <row r="2590" spans="1:21" x14ac:dyDescent="0.2">
      <c r="A2590" s="3">
        <v>2589</v>
      </c>
      <c r="B2590" s="1" t="s">
        <v>4875</v>
      </c>
      <c r="D2590" s="1" t="s">
        <v>4876</v>
      </c>
      <c r="F2590" s="1" t="s">
        <v>4880</v>
      </c>
      <c r="H2590" s="1" t="s">
        <v>4881</v>
      </c>
      <c r="N2590" s="1" t="s">
        <v>6059</v>
      </c>
      <c r="P2590" s="1" t="s">
        <v>11299</v>
      </c>
      <c r="Q2590" s="30" t="s">
        <v>2565</v>
      </c>
      <c r="R2590" s="33" t="s">
        <v>3473</v>
      </c>
      <c r="S2590">
        <v>37</v>
      </c>
      <c r="T2590" s="1" t="s">
        <v>13878</v>
      </c>
      <c r="U2590" s="1" t="str">
        <f>HYPERLINK("http://ictvonline.org/taxonomy/p/taxonomy-history?taxnode_id=202111654","ICTVonline=202111654")</f>
        <v>ICTVonline=202111654</v>
      </c>
    </row>
    <row r="2591" spans="1:21" x14ac:dyDescent="0.2">
      <c r="A2591" s="3">
        <v>2590</v>
      </c>
      <c r="B2591" s="1" t="s">
        <v>4875</v>
      </c>
      <c r="D2591" s="1" t="s">
        <v>4876</v>
      </c>
      <c r="F2591" s="1" t="s">
        <v>4880</v>
      </c>
      <c r="H2591" s="1" t="s">
        <v>4881</v>
      </c>
      <c r="N2591" s="1" t="s">
        <v>6059</v>
      </c>
      <c r="P2591" s="1" t="s">
        <v>11300</v>
      </c>
      <c r="Q2591" s="30" t="s">
        <v>2565</v>
      </c>
      <c r="R2591" s="33" t="s">
        <v>3473</v>
      </c>
      <c r="S2591">
        <v>37</v>
      </c>
      <c r="T2591" s="1" t="s">
        <v>13878</v>
      </c>
      <c r="U2591" s="1" t="str">
        <f>HYPERLINK("http://ictvonline.org/taxonomy/p/taxonomy-history?taxnode_id=202111655","ICTVonline=202111655")</f>
        <v>ICTVonline=202111655</v>
      </c>
    </row>
    <row r="2592" spans="1:21" x14ac:dyDescent="0.2">
      <c r="A2592" s="3">
        <v>2591</v>
      </c>
      <c r="B2592" s="1" t="s">
        <v>4875</v>
      </c>
      <c r="D2592" s="1" t="s">
        <v>4876</v>
      </c>
      <c r="F2592" s="1" t="s">
        <v>4880</v>
      </c>
      <c r="H2592" s="1" t="s">
        <v>4881</v>
      </c>
      <c r="N2592" s="1" t="s">
        <v>6059</v>
      </c>
      <c r="P2592" s="1" t="s">
        <v>11301</v>
      </c>
      <c r="Q2592" s="30" t="s">
        <v>2565</v>
      </c>
      <c r="R2592" s="33" t="s">
        <v>3473</v>
      </c>
      <c r="S2592">
        <v>37</v>
      </c>
      <c r="T2592" s="1" t="s">
        <v>13878</v>
      </c>
      <c r="U2592" s="1" t="str">
        <f>HYPERLINK("http://ictvonline.org/taxonomy/p/taxonomy-history?taxnode_id=202111656","ICTVonline=202111656")</f>
        <v>ICTVonline=202111656</v>
      </c>
    </row>
    <row r="2593" spans="1:21" x14ac:dyDescent="0.2">
      <c r="A2593" s="3">
        <v>2592</v>
      </c>
      <c r="B2593" s="1" t="s">
        <v>4875</v>
      </c>
      <c r="D2593" s="1" t="s">
        <v>4876</v>
      </c>
      <c r="F2593" s="1" t="s">
        <v>4880</v>
      </c>
      <c r="H2593" s="1" t="s">
        <v>4881</v>
      </c>
      <c r="N2593" s="1" t="s">
        <v>6059</v>
      </c>
      <c r="P2593" s="1" t="s">
        <v>11302</v>
      </c>
      <c r="Q2593" s="30" t="s">
        <v>2565</v>
      </c>
      <c r="R2593" s="33" t="s">
        <v>3473</v>
      </c>
      <c r="S2593">
        <v>37</v>
      </c>
      <c r="T2593" s="1" t="s">
        <v>13878</v>
      </c>
      <c r="U2593" s="1" t="str">
        <f>HYPERLINK("http://ictvonline.org/taxonomy/p/taxonomy-history?taxnode_id=202111653","ICTVonline=202111653")</f>
        <v>ICTVonline=202111653</v>
      </c>
    </row>
    <row r="2594" spans="1:21" x14ac:dyDescent="0.2">
      <c r="A2594" s="3">
        <v>2593</v>
      </c>
      <c r="B2594" s="1" t="s">
        <v>4875</v>
      </c>
      <c r="D2594" s="1" t="s">
        <v>4876</v>
      </c>
      <c r="F2594" s="1" t="s">
        <v>4880</v>
      </c>
      <c r="H2594" s="1" t="s">
        <v>4881</v>
      </c>
      <c r="N2594" s="1" t="s">
        <v>4661</v>
      </c>
      <c r="P2594" s="1" t="s">
        <v>11303</v>
      </c>
      <c r="Q2594" s="30" t="s">
        <v>2565</v>
      </c>
      <c r="R2594" s="33" t="s">
        <v>3473</v>
      </c>
      <c r="S2594">
        <v>37</v>
      </c>
      <c r="T2594" s="1" t="s">
        <v>13878</v>
      </c>
      <c r="U2594" s="1" t="str">
        <f>HYPERLINK("http://ictvonline.org/taxonomy/p/taxonomy-history?taxnode_id=202106733","ICTVonline=202106733")</f>
        <v>ICTVonline=202106733</v>
      </c>
    </row>
    <row r="2595" spans="1:21" x14ac:dyDescent="0.2">
      <c r="A2595" s="3">
        <v>2594</v>
      </c>
      <c r="B2595" s="1" t="s">
        <v>4875</v>
      </c>
      <c r="D2595" s="1" t="s">
        <v>4876</v>
      </c>
      <c r="F2595" s="1" t="s">
        <v>4880</v>
      </c>
      <c r="H2595" s="1" t="s">
        <v>4881</v>
      </c>
      <c r="N2595" s="1" t="s">
        <v>4662</v>
      </c>
      <c r="P2595" s="1" t="s">
        <v>11304</v>
      </c>
      <c r="Q2595" s="30" t="s">
        <v>2565</v>
      </c>
      <c r="R2595" s="33" t="s">
        <v>3473</v>
      </c>
      <c r="S2595">
        <v>37</v>
      </c>
      <c r="T2595" s="1" t="s">
        <v>13878</v>
      </c>
      <c r="U2595" s="1" t="str">
        <f>HYPERLINK("http://ictvonline.org/taxonomy/p/taxonomy-history?taxnode_id=202106735","ICTVonline=202106735")</f>
        <v>ICTVonline=202106735</v>
      </c>
    </row>
    <row r="2596" spans="1:21" x14ac:dyDescent="0.2">
      <c r="A2596" s="3">
        <v>2595</v>
      </c>
      <c r="B2596" s="1" t="s">
        <v>4875</v>
      </c>
      <c r="D2596" s="1" t="s">
        <v>4876</v>
      </c>
      <c r="F2596" s="1" t="s">
        <v>4880</v>
      </c>
      <c r="H2596" s="1" t="s">
        <v>4881</v>
      </c>
      <c r="N2596" s="1" t="s">
        <v>11305</v>
      </c>
      <c r="P2596" s="1" t="s">
        <v>11306</v>
      </c>
      <c r="Q2596" s="30" t="s">
        <v>2565</v>
      </c>
      <c r="R2596" s="33" t="s">
        <v>3472</v>
      </c>
      <c r="S2596">
        <v>37</v>
      </c>
      <c r="T2596" s="1" t="s">
        <v>13934</v>
      </c>
      <c r="U2596" s="1" t="str">
        <f>HYPERLINK("http://ictvonline.org/taxonomy/p/taxonomy-history?taxnode_id=202113051","ICTVonline=202113051")</f>
        <v>ICTVonline=202113051</v>
      </c>
    </row>
    <row r="2597" spans="1:21" x14ac:dyDescent="0.2">
      <c r="A2597" s="3">
        <v>2596</v>
      </c>
      <c r="B2597" s="1" t="s">
        <v>4875</v>
      </c>
      <c r="D2597" s="1" t="s">
        <v>4876</v>
      </c>
      <c r="F2597" s="1" t="s">
        <v>4880</v>
      </c>
      <c r="H2597" s="1" t="s">
        <v>4881</v>
      </c>
      <c r="N2597" s="1" t="s">
        <v>11307</v>
      </c>
      <c r="P2597" s="1" t="s">
        <v>11308</v>
      </c>
      <c r="Q2597" s="30" t="s">
        <v>2565</v>
      </c>
      <c r="R2597" s="33" t="s">
        <v>3472</v>
      </c>
      <c r="S2597">
        <v>37</v>
      </c>
      <c r="T2597" s="1" t="s">
        <v>13935</v>
      </c>
      <c r="U2597" s="1" t="str">
        <f>HYPERLINK("http://ictvonline.org/taxonomy/p/taxonomy-history?taxnode_id=202113053","ICTVonline=202113053")</f>
        <v>ICTVonline=202113053</v>
      </c>
    </row>
    <row r="2598" spans="1:21" x14ac:dyDescent="0.2">
      <c r="A2598" s="3">
        <v>2597</v>
      </c>
      <c r="B2598" s="1" t="s">
        <v>4875</v>
      </c>
      <c r="D2598" s="1" t="s">
        <v>4876</v>
      </c>
      <c r="F2598" s="1" t="s">
        <v>4880</v>
      </c>
      <c r="H2598" s="1" t="s">
        <v>4881</v>
      </c>
      <c r="N2598" s="1" t="s">
        <v>4663</v>
      </c>
      <c r="P2598" s="1" t="s">
        <v>11309</v>
      </c>
      <c r="Q2598" s="30" t="s">
        <v>2565</v>
      </c>
      <c r="R2598" s="33" t="s">
        <v>3473</v>
      </c>
      <c r="S2598">
        <v>37</v>
      </c>
      <c r="T2598" s="1" t="s">
        <v>13878</v>
      </c>
      <c r="U2598" s="1" t="str">
        <f>HYPERLINK("http://ictvonline.org/taxonomy/p/taxonomy-history?taxnode_id=202101231","ICTVonline=202101231")</f>
        <v>ICTVonline=202101231</v>
      </c>
    </row>
    <row r="2599" spans="1:21" x14ac:dyDescent="0.2">
      <c r="A2599" s="3">
        <v>2598</v>
      </c>
      <c r="B2599" s="1" t="s">
        <v>4875</v>
      </c>
      <c r="D2599" s="1" t="s">
        <v>4876</v>
      </c>
      <c r="F2599" s="1" t="s">
        <v>4880</v>
      </c>
      <c r="H2599" s="1" t="s">
        <v>4881</v>
      </c>
      <c r="N2599" s="1" t="s">
        <v>4663</v>
      </c>
      <c r="P2599" s="1" t="s">
        <v>11310</v>
      </c>
      <c r="Q2599" s="30" t="s">
        <v>2565</v>
      </c>
      <c r="R2599" s="33" t="s">
        <v>3473</v>
      </c>
      <c r="S2599">
        <v>37</v>
      </c>
      <c r="T2599" s="1" t="s">
        <v>13878</v>
      </c>
      <c r="U2599" s="1" t="str">
        <f>HYPERLINK("http://ictvonline.org/taxonomy/p/taxonomy-history?taxnode_id=202101233","ICTVonline=202101233")</f>
        <v>ICTVonline=202101233</v>
      </c>
    </row>
    <row r="2600" spans="1:21" x14ac:dyDescent="0.2">
      <c r="A2600" s="3">
        <v>2599</v>
      </c>
      <c r="B2600" s="1" t="s">
        <v>4875</v>
      </c>
      <c r="D2600" s="1" t="s">
        <v>4876</v>
      </c>
      <c r="F2600" s="1" t="s">
        <v>4880</v>
      </c>
      <c r="H2600" s="1" t="s">
        <v>4881</v>
      </c>
      <c r="N2600" s="1" t="s">
        <v>4663</v>
      </c>
      <c r="P2600" s="1" t="s">
        <v>11311</v>
      </c>
      <c r="Q2600" s="30" t="s">
        <v>2565</v>
      </c>
      <c r="R2600" s="33" t="s">
        <v>3473</v>
      </c>
      <c r="S2600">
        <v>37</v>
      </c>
      <c r="T2600" s="1" t="s">
        <v>13878</v>
      </c>
      <c r="U2600" s="1" t="str">
        <f>HYPERLINK("http://ictvonline.org/taxonomy/p/taxonomy-history?taxnode_id=202101232","ICTVonline=202101232")</f>
        <v>ICTVonline=202101232</v>
      </c>
    </row>
    <row r="2601" spans="1:21" x14ac:dyDescent="0.2">
      <c r="A2601" s="3">
        <v>2600</v>
      </c>
      <c r="B2601" s="1" t="s">
        <v>4875</v>
      </c>
      <c r="D2601" s="1" t="s">
        <v>4876</v>
      </c>
      <c r="F2601" s="1" t="s">
        <v>4880</v>
      </c>
      <c r="H2601" s="1" t="s">
        <v>4881</v>
      </c>
      <c r="N2601" s="1" t="s">
        <v>6014</v>
      </c>
      <c r="P2601" s="1" t="s">
        <v>11312</v>
      </c>
      <c r="Q2601" s="30" t="s">
        <v>2565</v>
      </c>
      <c r="R2601" s="33" t="s">
        <v>3473</v>
      </c>
      <c r="S2601">
        <v>37</v>
      </c>
      <c r="T2601" s="1" t="s">
        <v>13878</v>
      </c>
      <c r="U2601" s="1" t="str">
        <f>HYPERLINK("http://ictvonline.org/taxonomy/p/taxonomy-history?taxnode_id=202100422","ICTVonline=202100422")</f>
        <v>ICTVonline=202100422</v>
      </c>
    </row>
    <row r="2602" spans="1:21" x14ac:dyDescent="0.2">
      <c r="A2602" s="3">
        <v>2601</v>
      </c>
      <c r="B2602" s="1" t="s">
        <v>4875</v>
      </c>
      <c r="D2602" s="1" t="s">
        <v>4876</v>
      </c>
      <c r="F2602" s="1" t="s">
        <v>4880</v>
      </c>
      <c r="H2602" s="1" t="s">
        <v>4881</v>
      </c>
      <c r="N2602" s="1" t="s">
        <v>6014</v>
      </c>
      <c r="P2602" s="1" t="s">
        <v>11313</v>
      </c>
      <c r="Q2602" s="30" t="s">
        <v>2565</v>
      </c>
      <c r="R2602" s="33" t="s">
        <v>3473</v>
      </c>
      <c r="S2602">
        <v>37</v>
      </c>
      <c r="T2602" s="1" t="s">
        <v>13878</v>
      </c>
      <c r="U2602" s="1" t="str">
        <f>HYPERLINK("http://ictvonline.org/taxonomy/p/taxonomy-history?taxnode_id=202109886","ICTVonline=202109886")</f>
        <v>ICTVonline=202109886</v>
      </c>
    </row>
    <row r="2603" spans="1:21" x14ac:dyDescent="0.2">
      <c r="A2603" s="3">
        <v>2602</v>
      </c>
      <c r="B2603" s="1" t="s">
        <v>4875</v>
      </c>
      <c r="D2603" s="1" t="s">
        <v>4876</v>
      </c>
      <c r="F2603" s="1" t="s">
        <v>4880</v>
      </c>
      <c r="H2603" s="1" t="s">
        <v>4881</v>
      </c>
      <c r="N2603" s="1" t="s">
        <v>6014</v>
      </c>
      <c r="P2603" s="1" t="s">
        <v>11314</v>
      </c>
      <c r="Q2603" s="30" t="s">
        <v>2565</v>
      </c>
      <c r="R2603" s="33" t="s">
        <v>3473</v>
      </c>
      <c r="S2603">
        <v>37</v>
      </c>
      <c r="T2603" s="1" t="s">
        <v>13878</v>
      </c>
      <c r="U2603" s="1" t="str">
        <f>HYPERLINK("http://ictvonline.org/taxonomy/p/taxonomy-history?taxnode_id=202109885","ICTVonline=202109885")</f>
        <v>ICTVonline=202109885</v>
      </c>
    </row>
    <row r="2604" spans="1:21" x14ac:dyDescent="0.2">
      <c r="A2604" s="3">
        <v>2603</v>
      </c>
      <c r="B2604" s="1" t="s">
        <v>4875</v>
      </c>
      <c r="D2604" s="1" t="s">
        <v>4876</v>
      </c>
      <c r="F2604" s="1" t="s">
        <v>4880</v>
      </c>
      <c r="H2604" s="1" t="s">
        <v>4881</v>
      </c>
      <c r="N2604" s="1" t="s">
        <v>6014</v>
      </c>
      <c r="P2604" s="1" t="s">
        <v>11315</v>
      </c>
      <c r="Q2604" s="30" t="s">
        <v>2565</v>
      </c>
      <c r="R2604" s="33" t="s">
        <v>3473</v>
      </c>
      <c r="S2604">
        <v>37</v>
      </c>
      <c r="T2604" s="1" t="s">
        <v>13878</v>
      </c>
      <c r="U2604" s="1" t="str">
        <f>HYPERLINK("http://ictvonline.org/taxonomy/p/taxonomy-history?taxnode_id=202109888","ICTVonline=202109888")</f>
        <v>ICTVonline=202109888</v>
      </c>
    </row>
    <row r="2605" spans="1:21" x14ac:dyDescent="0.2">
      <c r="A2605" s="3">
        <v>2604</v>
      </c>
      <c r="B2605" s="1" t="s">
        <v>4875</v>
      </c>
      <c r="D2605" s="1" t="s">
        <v>4876</v>
      </c>
      <c r="F2605" s="1" t="s">
        <v>4880</v>
      </c>
      <c r="H2605" s="1" t="s">
        <v>4881</v>
      </c>
      <c r="N2605" s="1" t="s">
        <v>6014</v>
      </c>
      <c r="P2605" s="1" t="s">
        <v>11316</v>
      </c>
      <c r="Q2605" s="30" t="s">
        <v>2565</v>
      </c>
      <c r="R2605" s="33" t="s">
        <v>3473</v>
      </c>
      <c r="S2605">
        <v>37</v>
      </c>
      <c r="T2605" s="1" t="s">
        <v>13878</v>
      </c>
      <c r="U2605" s="1" t="str">
        <f>HYPERLINK("http://ictvonline.org/taxonomy/p/taxonomy-history?taxnode_id=202109887","ICTVonline=202109887")</f>
        <v>ICTVonline=202109887</v>
      </c>
    </row>
    <row r="2606" spans="1:21" x14ac:dyDescent="0.2">
      <c r="A2606" s="3">
        <v>2605</v>
      </c>
      <c r="B2606" s="1" t="s">
        <v>4875</v>
      </c>
      <c r="D2606" s="1" t="s">
        <v>4876</v>
      </c>
      <c r="F2606" s="1" t="s">
        <v>4880</v>
      </c>
      <c r="H2606" s="1" t="s">
        <v>4881</v>
      </c>
      <c r="N2606" s="1" t="s">
        <v>6174</v>
      </c>
      <c r="P2606" s="1" t="s">
        <v>11317</v>
      </c>
      <c r="Q2606" s="30" t="s">
        <v>2565</v>
      </c>
      <c r="R2606" s="33" t="s">
        <v>3473</v>
      </c>
      <c r="S2606">
        <v>37</v>
      </c>
      <c r="T2606" s="1" t="s">
        <v>13878</v>
      </c>
      <c r="U2606" s="1" t="str">
        <f>HYPERLINK("http://ictvonline.org/taxonomy/p/taxonomy-history?taxnode_id=202110180","ICTVonline=202110180")</f>
        <v>ICTVonline=202110180</v>
      </c>
    </row>
    <row r="2607" spans="1:21" x14ac:dyDescent="0.2">
      <c r="A2607" s="3">
        <v>2606</v>
      </c>
      <c r="B2607" s="1" t="s">
        <v>4875</v>
      </c>
      <c r="D2607" s="1" t="s">
        <v>4876</v>
      </c>
      <c r="F2607" s="1" t="s">
        <v>4880</v>
      </c>
      <c r="H2607" s="1" t="s">
        <v>4881</v>
      </c>
      <c r="N2607" s="1" t="s">
        <v>6174</v>
      </c>
      <c r="P2607" s="1" t="s">
        <v>11318</v>
      </c>
      <c r="Q2607" s="30" t="s">
        <v>2565</v>
      </c>
      <c r="R2607" s="33" t="s">
        <v>3473</v>
      </c>
      <c r="S2607">
        <v>37</v>
      </c>
      <c r="T2607" s="1" t="s">
        <v>13878</v>
      </c>
      <c r="U2607" s="1" t="str">
        <f>HYPERLINK("http://ictvonline.org/taxonomy/p/taxonomy-history?taxnode_id=202110182","ICTVonline=202110182")</f>
        <v>ICTVonline=202110182</v>
      </c>
    </row>
    <row r="2608" spans="1:21" x14ac:dyDescent="0.2">
      <c r="A2608" s="3">
        <v>2607</v>
      </c>
      <c r="B2608" s="1" t="s">
        <v>4875</v>
      </c>
      <c r="D2608" s="1" t="s">
        <v>4876</v>
      </c>
      <c r="F2608" s="1" t="s">
        <v>4880</v>
      </c>
      <c r="H2608" s="1" t="s">
        <v>4881</v>
      </c>
      <c r="N2608" s="1" t="s">
        <v>6174</v>
      </c>
      <c r="P2608" s="1" t="s">
        <v>11319</v>
      </c>
      <c r="Q2608" s="30" t="s">
        <v>2565</v>
      </c>
      <c r="R2608" s="33" t="s">
        <v>3473</v>
      </c>
      <c r="S2608">
        <v>37</v>
      </c>
      <c r="T2608" s="1" t="s">
        <v>13878</v>
      </c>
      <c r="U2608" s="1" t="str">
        <f>HYPERLINK("http://ictvonline.org/taxonomy/p/taxonomy-history?taxnode_id=202110181","ICTVonline=202110181")</f>
        <v>ICTVonline=202110181</v>
      </c>
    </row>
    <row r="2609" spans="1:21" x14ac:dyDescent="0.2">
      <c r="A2609" s="3">
        <v>2608</v>
      </c>
      <c r="B2609" s="1" t="s">
        <v>4875</v>
      </c>
      <c r="D2609" s="1" t="s">
        <v>4876</v>
      </c>
      <c r="F2609" s="1" t="s">
        <v>4880</v>
      </c>
      <c r="H2609" s="1" t="s">
        <v>4881</v>
      </c>
      <c r="N2609" s="1" t="s">
        <v>5191</v>
      </c>
      <c r="P2609" s="1" t="s">
        <v>11320</v>
      </c>
      <c r="Q2609" s="30" t="s">
        <v>2565</v>
      </c>
      <c r="R2609" s="33" t="s">
        <v>3473</v>
      </c>
      <c r="S2609">
        <v>37</v>
      </c>
      <c r="T2609" s="1" t="s">
        <v>13878</v>
      </c>
      <c r="U2609" s="1" t="str">
        <f>HYPERLINK("http://ictvonline.org/taxonomy/p/taxonomy-history?taxnode_id=202107256","ICTVonline=202107256")</f>
        <v>ICTVonline=202107256</v>
      </c>
    </row>
    <row r="2610" spans="1:21" x14ac:dyDescent="0.2">
      <c r="A2610" s="3">
        <v>2609</v>
      </c>
      <c r="B2610" s="1" t="s">
        <v>4875</v>
      </c>
      <c r="D2610" s="1" t="s">
        <v>4876</v>
      </c>
      <c r="F2610" s="1" t="s">
        <v>4880</v>
      </c>
      <c r="H2610" s="1" t="s">
        <v>4881</v>
      </c>
      <c r="N2610" s="1" t="s">
        <v>5191</v>
      </c>
      <c r="P2610" s="1" t="s">
        <v>11321</v>
      </c>
      <c r="Q2610" s="30" t="s">
        <v>2565</v>
      </c>
      <c r="R2610" s="33" t="s">
        <v>3473</v>
      </c>
      <c r="S2610">
        <v>37</v>
      </c>
      <c r="T2610" s="1" t="s">
        <v>13878</v>
      </c>
      <c r="U2610" s="1" t="str">
        <f>HYPERLINK("http://ictvonline.org/taxonomy/p/taxonomy-history?taxnode_id=202107257","ICTVonline=202107257")</f>
        <v>ICTVonline=202107257</v>
      </c>
    </row>
    <row r="2611" spans="1:21" x14ac:dyDescent="0.2">
      <c r="A2611" s="3">
        <v>2610</v>
      </c>
      <c r="B2611" s="1" t="s">
        <v>4875</v>
      </c>
      <c r="D2611" s="1" t="s">
        <v>4876</v>
      </c>
      <c r="F2611" s="1" t="s">
        <v>4880</v>
      </c>
      <c r="H2611" s="1" t="s">
        <v>4881</v>
      </c>
      <c r="N2611" s="1" t="s">
        <v>2637</v>
      </c>
      <c r="P2611" s="1" t="s">
        <v>11322</v>
      </c>
      <c r="Q2611" s="30" t="s">
        <v>2565</v>
      </c>
      <c r="R2611" s="33" t="s">
        <v>3472</v>
      </c>
      <c r="S2611">
        <v>37</v>
      </c>
      <c r="T2611" s="1" t="s">
        <v>13936</v>
      </c>
      <c r="U2611" s="1" t="str">
        <f>HYPERLINK("http://ictvonline.org/taxonomy/p/taxonomy-history?taxnode_id=202113056","ICTVonline=202113056")</f>
        <v>ICTVonline=202113056</v>
      </c>
    </row>
    <row r="2612" spans="1:21" x14ac:dyDescent="0.2">
      <c r="A2612" s="3">
        <v>2611</v>
      </c>
      <c r="B2612" s="1" t="s">
        <v>4875</v>
      </c>
      <c r="D2612" s="1" t="s">
        <v>4876</v>
      </c>
      <c r="F2612" s="1" t="s">
        <v>4880</v>
      </c>
      <c r="H2612" s="1" t="s">
        <v>4881</v>
      </c>
      <c r="N2612" s="1" t="s">
        <v>2637</v>
      </c>
      <c r="P2612" s="1" t="s">
        <v>11323</v>
      </c>
      <c r="Q2612" s="30" t="s">
        <v>2565</v>
      </c>
      <c r="R2612" s="33" t="s">
        <v>3473</v>
      </c>
      <c r="S2612">
        <v>37</v>
      </c>
      <c r="T2612" s="1" t="s">
        <v>13878</v>
      </c>
      <c r="U2612" s="1" t="str">
        <f>HYPERLINK("http://ictvonline.org/taxonomy/p/taxonomy-history?taxnode_id=202100940","ICTVonline=202100940")</f>
        <v>ICTVonline=202100940</v>
      </c>
    </row>
    <row r="2613" spans="1:21" x14ac:dyDescent="0.2">
      <c r="A2613" s="3">
        <v>2612</v>
      </c>
      <c r="B2613" s="1" t="s">
        <v>4875</v>
      </c>
      <c r="D2613" s="1" t="s">
        <v>4876</v>
      </c>
      <c r="F2613" s="1" t="s">
        <v>4880</v>
      </c>
      <c r="H2613" s="1" t="s">
        <v>4881</v>
      </c>
      <c r="N2613" s="1" t="s">
        <v>2637</v>
      </c>
      <c r="P2613" s="1" t="s">
        <v>11324</v>
      </c>
      <c r="Q2613" s="30" t="s">
        <v>2565</v>
      </c>
      <c r="R2613" s="33" t="s">
        <v>3473</v>
      </c>
      <c r="S2613">
        <v>37</v>
      </c>
      <c r="T2613" s="1" t="s">
        <v>13878</v>
      </c>
      <c r="U2613" s="1" t="str">
        <f>HYPERLINK("http://ictvonline.org/taxonomy/p/taxonomy-history?taxnode_id=202100941","ICTVonline=202100941")</f>
        <v>ICTVonline=202100941</v>
      </c>
    </row>
    <row r="2614" spans="1:21" x14ac:dyDescent="0.2">
      <c r="A2614" s="3">
        <v>2613</v>
      </c>
      <c r="B2614" s="1" t="s">
        <v>4875</v>
      </c>
      <c r="D2614" s="1" t="s">
        <v>4876</v>
      </c>
      <c r="F2614" s="1" t="s">
        <v>4880</v>
      </c>
      <c r="H2614" s="1" t="s">
        <v>4881</v>
      </c>
      <c r="N2614" s="1" t="s">
        <v>2637</v>
      </c>
      <c r="P2614" s="1" t="s">
        <v>11325</v>
      </c>
      <c r="Q2614" s="30" t="s">
        <v>2565</v>
      </c>
      <c r="R2614" s="33" t="s">
        <v>3472</v>
      </c>
      <c r="S2614">
        <v>37</v>
      </c>
      <c r="T2614" s="1" t="s">
        <v>13936</v>
      </c>
      <c r="U2614" s="1" t="str">
        <f>HYPERLINK("http://ictvonline.org/taxonomy/p/taxonomy-history?taxnode_id=202113055","ICTVonline=202113055")</f>
        <v>ICTVonline=202113055</v>
      </c>
    </row>
    <row r="2615" spans="1:21" x14ac:dyDescent="0.2">
      <c r="A2615" s="3">
        <v>2614</v>
      </c>
      <c r="B2615" s="1" t="s">
        <v>4875</v>
      </c>
      <c r="D2615" s="1" t="s">
        <v>4876</v>
      </c>
      <c r="F2615" s="1" t="s">
        <v>4880</v>
      </c>
      <c r="H2615" s="1" t="s">
        <v>4881</v>
      </c>
      <c r="N2615" s="1" t="s">
        <v>6177</v>
      </c>
      <c r="P2615" s="1" t="s">
        <v>11326</v>
      </c>
      <c r="Q2615" s="30" t="s">
        <v>2565</v>
      </c>
      <c r="R2615" s="33" t="s">
        <v>3473</v>
      </c>
      <c r="S2615">
        <v>37</v>
      </c>
      <c r="T2615" s="1" t="s">
        <v>13878</v>
      </c>
      <c r="U2615" s="1" t="str">
        <f>HYPERLINK("http://ictvonline.org/taxonomy/p/taxonomy-history?taxnode_id=202109905","ICTVonline=202109905")</f>
        <v>ICTVonline=202109905</v>
      </c>
    </row>
    <row r="2616" spans="1:21" x14ac:dyDescent="0.2">
      <c r="A2616" s="3">
        <v>2615</v>
      </c>
      <c r="B2616" s="1" t="s">
        <v>4875</v>
      </c>
      <c r="D2616" s="1" t="s">
        <v>4876</v>
      </c>
      <c r="F2616" s="1" t="s">
        <v>4880</v>
      </c>
      <c r="H2616" s="1" t="s">
        <v>4881</v>
      </c>
      <c r="N2616" s="1" t="s">
        <v>6177</v>
      </c>
      <c r="P2616" s="1" t="s">
        <v>11327</v>
      </c>
      <c r="Q2616" s="30" t="s">
        <v>2565</v>
      </c>
      <c r="R2616" s="33" t="s">
        <v>3473</v>
      </c>
      <c r="S2616">
        <v>37</v>
      </c>
      <c r="T2616" s="1" t="s">
        <v>13878</v>
      </c>
      <c r="U2616" s="1" t="str">
        <f>HYPERLINK("http://ictvonline.org/taxonomy/p/taxonomy-history?taxnode_id=202109908","ICTVonline=202109908")</f>
        <v>ICTVonline=202109908</v>
      </c>
    </row>
    <row r="2617" spans="1:21" x14ac:dyDescent="0.2">
      <c r="A2617" s="3">
        <v>2616</v>
      </c>
      <c r="B2617" s="1" t="s">
        <v>4875</v>
      </c>
      <c r="D2617" s="1" t="s">
        <v>4876</v>
      </c>
      <c r="F2617" s="1" t="s">
        <v>4880</v>
      </c>
      <c r="H2617" s="1" t="s">
        <v>4881</v>
      </c>
      <c r="N2617" s="1" t="s">
        <v>6177</v>
      </c>
      <c r="P2617" s="1" t="s">
        <v>11328</v>
      </c>
      <c r="Q2617" s="30" t="s">
        <v>2565</v>
      </c>
      <c r="R2617" s="33" t="s">
        <v>3473</v>
      </c>
      <c r="S2617">
        <v>37</v>
      </c>
      <c r="T2617" s="1" t="s">
        <v>13878</v>
      </c>
      <c r="U2617" s="1" t="str">
        <f>HYPERLINK("http://ictvonline.org/taxonomy/p/taxonomy-history?taxnode_id=202109904","ICTVonline=202109904")</f>
        <v>ICTVonline=202109904</v>
      </c>
    </row>
    <row r="2618" spans="1:21" x14ac:dyDescent="0.2">
      <c r="A2618" s="3">
        <v>2617</v>
      </c>
      <c r="B2618" s="1" t="s">
        <v>4875</v>
      </c>
      <c r="D2618" s="1" t="s">
        <v>4876</v>
      </c>
      <c r="F2618" s="1" t="s">
        <v>4880</v>
      </c>
      <c r="H2618" s="1" t="s">
        <v>4881</v>
      </c>
      <c r="N2618" s="1" t="s">
        <v>6177</v>
      </c>
      <c r="P2618" s="1" t="s">
        <v>11329</v>
      </c>
      <c r="Q2618" s="30" t="s">
        <v>2565</v>
      </c>
      <c r="R2618" s="33" t="s">
        <v>3473</v>
      </c>
      <c r="S2618">
        <v>37</v>
      </c>
      <c r="T2618" s="1" t="s">
        <v>13878</v>
      </c>
      <c r="U2618" s="1" t="str">
        <f>HYPERLINK("http://ictvonline.org/taxonomy/p/taxonomy-history?taxnode_id=202109909","ICTVonline=202109909")</f>
        <v>ICTVonline=202109909</v>
      </c>
    </row>
    <row r="2619" spans="1:21" x14ac:dyDescent="0.2">
      <c r="A2619" s="3">
        <v>2618</v>
      </c>
      <c r="B2619" s="1" t="s">
        <v>4875</v>
      </c>
      <c r="D2619" s="1" t="s">
        <v>4876</v>
      </c>
      <c r="F2619" s="1" t="s">
        <v>4880</v>
      </c>
      <c r="H2619" s="1" t="s">
        <v>4881</v>
      </c>
      <c r="N2619" s="1" t="s">
        <v>6177</v>
      </c>
      <c r="P2619" s="1" t="s">
        <v>11330</v>
      </c>
      <c r="Q2619" s="30" t="s">
        <v>2565</v>
      </c>
      <c r="R2619" s="33" t="s">
        <v>3473</v>
      </c>
      <c r="S2619">
        <v>37</v>
      </c>
      <c r="T2619" s="1" t="s">
        <v>13878</v>
      </c>
      <c r="U2619" s="1" t="str">
        <f>HYPERLINK("http://ictvonline.org/taxonomy/p/taxonomy-history?taxnode_id=202109903","ICTVonline=202109903")</f>
        <v>ICTVonline=202109903</v>
      </c>
    </row>
    <row r="2620" spans="1:21" x14ac:dyDescent="0.2">
      <c r="A2620" s="3">
        <v>2619</v>
      </c>
      <c r="B2620" s="1" t="s">
        <v>4875</v>
      </c>
      <c r="D2620" s="1" t="s">
        <v>4876</v>
      </c>
      <c r="F2620" s="1" t="s">
        <v>4880</v>
      </c>
      <c r="H2620" s="1" t="s">
        <v>4881</v>
      </c>
      <c r="N2620" s="1" t="s">
        <v>6177</v>
      </c>
      <c r="P2620" s="1" t="s">
        <v>11331</v>
      </c>
      <c r="Q2620" s="30" t="s">
        <v>2565</v>
      </c>
      <c r="R2620" s="33" t="s">
        <v>3473</v>
      </c>
      <c r="S2620">
        <v>37</v>
      </c>
      <c r="T2620" s="1" t="s">
        <v>13878</v>
      </c>
      <c r="U2620" s="1" t="str">
        <f>HYPERLINK("http://ictvonline.org/taxonomy/p/taxonomy-history?taxnode_id=202109907","ICTVonline=202109907")</f>
        <v>ICTVonline=202109907</v>
      </c>
    </row>
    <row r="2621" spans="1:21" x14ac:dyDescent="0.2">
      <c r="A2621" s="3">
        <v>2620</v>
      </c>
      <c r="B2621" s="1" t="s">
        <v>4875</v>
      </c>
      <c r="D2621" s="1" t="s">
        <v>4876</v>
      </c>
      <c r="F2621" s="1" t="s">
        <v>4880</v>
      </c>
      <c r="H2621" s="1" t="s">
        <v>4881</v>
      </c>
      <c r="N2621" s="1" t="s">
        <v>6177</v>
      </c>
      <c r="P2621" s="1" t="s">
        <v>11332</v>
      </c>
      <c r="Q2621" s="30" t="s">
        <v>2565</v>
      </c>
      <c r="R2621" s="33" t="s">
        <v>3473</v>
      </c>
      <c r="S2621">
        <v>37</v>
      </c>
      <c r="T2621" s="1" t="s">
        <v>13878</v>
      </c>
      <c r="U2621" s="1" t="str">
        <f>HYPERLINK("http://ictvonline.org/taxonomy/p/taxonomy-history?taxnode_id=202109906","ICTVonline=202109906")</f>
        <v>ICTVonline=202109906</v>
      </c>
    </row>
    <row r="2622" spans="1:21" x14ac:dyDescent="0.2">
      <c r="A2622" s="3">
        <v>2621</v>
      </c>
      <c r="B2622" s="1" t="s">
        <v>4875</v>
      </c>
      <c r="D2622" s="1" t="s">
        <v>4876</v>
      </c>
      <c r="F2622" s="1" t="s">
        <v>4880</v>
      </c>
      <c r="H2622" s="1" t="s">
        <v>4881</v>
      </c>
      <c r="N2622" s="1" t="s">
        <v>3197</v>
      </c>
      <c r="P2622" s="1" t="s">
        <v>11333</v>
      </c>
      <c r="Q2622" s="30" t="s">
        <v>2565</v>
      </c>
      <c r="R2622" s="33" t="s">
        <v>3473</v>
      </c>
      <c r="S2622">
        <v>37</v>
      </c>
      <c r="T2622" s="1" t="s">
        <v>13878</v>
      </c>
      <c r="U2622" s="1" t="str">
        <f>HYPERLINK("http://ictvonline.org/taxonomy/p/taxonomy-history?taxnode_id=202100943","ICTVonline=202100943")</f>
        <v>ICTVonline=202100943</v>
      </c>
    </row>
    <row r="2623" spans="1:21" x14ac:dyDescent="0.2">
      <c r="A2623" s="3">
        <v>2622</v>
      </c>
      <c r="B2623" s="1" t="s">
        <v>4875</v>
      </c>
      <c r="D2623" s="1" t="s">
        <v>4876</v>
      </c>
      <c r="F2623" s="1" t="s">
        <v>4880</v>
      </c>
      <c r="H2623" s="1" t="s">
        <v>4881</v>
      </c>
      <c r="N2623" s="1" t="s">
        <v>6178</v>
      </c>
      <c r="P2623" s="1" t="s">
        <v>11334</v>
      </c>
      <c r="Q2623" s="30" t="s">
        <v>2565</v>
      </c>
      <c r="R2623" s="33" t="s">
        <v>3473</v>
      </c>
      <c r="S2623">
        <v>37</v>
      </c>
      <c r="T2623" s="1" t="s">
        <v>13878</v>
      </c>
      <c r="U2623" s="1" t="str">
        <f>HYPERLINK("http://ictvonline.org/taxonomy/p/taxonomy-history?taxnode_id=202109911","ICTVonline=202109911")</f>
        <v>ICTVonline=202109911</v>
      </c>
    </row>
    <row r="2624" spans="1:21" x14ac:dyDescent="0.2">
      <c r="A2624" s="3">
        <v>2623</v>
      </c>
      <c r="B2624" s="1" t="s">
        <v>4875</v>
      </c>
      <c r="D2624" s="1" t="s">
        <v>4876</v>
      </c>
      <c r="F2624" s="1" t="s">
        <v>4880</v>
      </c>
      <c r="H2624" s="1" t="s">
        <v>4881</v>
      </c>
      <c r="N2624" s="1" t="s">
        <v>5192</v>
      </c>
      <c r="P2624" s="1" t="s">
        <v>11335</v>
      </c>
      <c r="Q2624" s="30" t="s">
        <v>2565</v>
      </c>
      <c r="R2624" s="33" t="s">
        <v>3473</v>
      </c>
      <c r="S2624">
        <v>37</v>
      </c>
      <c r="T2624" s="1" t="s">
        <v>13878</v>
      </c>
      <c r="U2624" s="1" t="str">
        <f>HYPERLINK("http://ictvonline.org/taxonomy/p/taxonomy-history?taxnode_id=202107191","ICTVonline=202107191")</f>
        <v>ICTVonline=202107191</v>
      </c>
    </row>
    <row r="2625" spans="1:21" x14ac:dyDescent="0.2">
      <c r="A2625" s="3">
        <v>2624</v>
      </c>
      <c r="B2625" s="1" t="s">
        <v>4875</v>
      </c>
      <c r="D2625" s="1" t="s">
        <v>4876</v>
      </c>
      <c r="F2625" s="1" t="s">
        <v>4880</v>
      </c>
      <c r="H2625" s="1" t="s">
        <v>4881</v>
      </c>
      <c r="N2625" s="1" t="s">
        <v>3198</v>
      </c>
      <c r="P2625" s="1" t="s">
        <v>11336</v>
      </c>
      <c r="Q2625" s="30" t="s">
        <v>2565</v>
      </c>
      <c r="R2625" s="33" t="s">
        <v>3473</v>
      </c>
      <c r="S2625">
        <v>37</v>
      </c>
      <c r="T2625" s="1" t="s">
        <v>13878</v>
      </c>
      <c r="U2625" s="1" t="str">
        <f>HYPERLINK("http://ictvonline.org/taxonomy/p/taxonomy-history?taxnode_id=202100957","ICTVonline=202100957")</f>
        <v>ICTVonline=202100957</v>
      </c>
    </row>
    <row r="2626" spans="1:21" x14ac:dyDescent="0.2">
      <c r="A2626" s="3">
        <v>2625</v>
      </c>
      <c r="B2626" s="1" t="s">
        <v>4875</v>
      </c>
      <c r="D2626" s="1" t="s">
        <v>4876</v>
      </c>
      <c r="F2626" s="1" t="s">
        <v>4880</v>
      </c>
      <c r="H2626" s="1" t="s">
        <v>4881</v>
      </c>
      <c r="N2626" s="1" t="s">
        <v>4664</v>
      </c>
      <c r="P2626" s="1" t="s">
        <v>11337</v>
      </c>
      <c r="Q2626" s="30" t="s">
        <v>2565</v>
      </c>
      <c r="R2626" s="33" t="s">
        <v>3473</v>
      </c>
      <c r="S2626">
        <v>37</v>
      </c>
      <c r="T2626" s="1" t="s">
        <v>13878</v>
      </c>
      <c r="U2626" s="1" t="str">
        <f>HYPERLINK("http://ictvonline.org/taxonomy/p/taxonomy-history?taxnode_id=202106932","ICTVonline=202106932")</f>
        <v>ICTVonline=202106932</v>
      </c>
    </row>
    <row r="2627" spans="1:21" x14ac:dyDescent="0.2">
      <c r="A2627" s="3">
        <v>2626</v>
      </c>
      <c r="B2627" s="1" t="s">
        <v>4875</v>
      </c>
      <c r="D2627" s="1" t="s">
        <v>4876</v>
      </c>
      <c r="F2627" s="1" t="s">
        <v>4880</v>
      </c>
      <c r="H2627" s="1" t="s">
        <v>4881</v>
      </c>
      <c r="N2627" s="1" t="s">
        <v>6060</v>
      </c>
      <c r="P2627" s="1" t="s">
        <v>11338</v>
      </c>
      <c r="Q2627" s="30" t="s">
        <v>2565</v>
      </c>
      <c r="R2627" s="33" t="s">
        <v>3473</v>
      </c>
      <c r="S2627">
        <v>37</v>
      </c>
      <c r="T2627" s="1" t="s">
        <v>13878</v>
      </c>
      <c r="U2627" s="1" t="str">
        <f>HYPERLINK("http://ictvonline.org/taxonomy/p/taxonomy-history?taxnode_id=202100604","ICTVonline=202100604")</f>
        <v>ICTVonline=202100604</v>
      </c>
    </row>
    <row r="2628" spans="1:21" x14ac:dyDescent="0.2">
      <c r="A2628" s="3">
        <v>2627</v>
      </c>
      <c r="B2628" s="1" t="s">
        <v>4875</v>
      </c>
      <c r="D2628" s="1" t="s">
        <v>4876</v>
      </c>
      <c r="F2628" s="1" t="s">
        <v>4880</v>
      </c>
      <c r="H2628" s="1" t="s">
        <v>4881</v>
      </c>
      <c r="N2628" s="1" t="s">
        <v>3199</v>
      </c>
      <c r="P2628" s="1" t="s">
        <v>11339</v>
      </c>
      <c r="Q2628" s="30" t="s">
        <v>2565</v>
      </c>
      <c r="R2628" s="33" t="s">
        <v>3473</v>
      </c>
      <c r="S2628">
        <v>37</v>
      </c>
      <c r="T2628" s="1" t="s">
        <v>13878</v>
      </c>
      <c r="U2628" s="1" t="str">
        <f>HYPERLINK("http://ictvonline.org/taxonomy/p/taxonomy-history?taxnode_id=202100959","ICTVonline=202100959")</f>
        <v>ICTVonline=202100959</v>
      </c>
    </row>
    <row r="2629" spans="1:21" x14ac:dyDescent="0.2">
      <c r="A2629" s="3">
        <v>2628</v>
      </c>
      <c r="B2629" s="1" t="s">
        <v>4875</v>
      </c>
      <c r="D2629" s="1" t="s">
        <v>4876</v>
      </c>
      <c r="F2629" s="1" t="s">
        <v>4880</v>
      </c>
      <c r="H2629" s="1" t="s">
        <v>4881</v>
      </c>
      <c r="N2629" s="1" t="s">
        <v>3199</v>
      </c>
      <c r="P2629" s="1" t="s">
        <v>11340</v>
      </c>
      <c r="Q2629" s="30" t="s">
        <v>2565</v>
      </c>
      <c r="R2629" s="33" t="s">
        <v>3473</v>
      </c>
      <c r="S2629">
        <v>37</v>
      </c>
      <c r="T2629" s="1" t="s">
        <v>13878</v>
      </c>
      <c r="U2629" s="1" t="str">
        <f>HYPERLINK("http://ictvonline.org/taxonomy/p/taxonomy-history?taxnode_id=202100960","ICTVonline=202100960")</f>
        <v>ICTVonline=202100960</v>
      </c>
    </row>
    <row r="2630" spans="1:21" x14ac:dyDescent="0.2">
      <c r="A2630" s="3">
        <v>2629</v>
      </c>
      <c r="B2630" s="1" t="s">
        <v>4875</v>
      </c>
      <c r="D2630" s="1" t="s">
        <v>4876</v>
      </c>
      <c r="F2630" s="1" t="s">
        <v>4880</v>
      </c>
      <c r="H2630" s="1" t="s">
        <v>4881</v>
      </c>
      <c r="N2630" s="1" t="s">
        <v>5108</v>
      </c>
      <c r="P2630" s="1" t="s">
        <v>11341</v>
      </c>
      <c r="Q2630" s="30" t="s">
        <v>2565</v>
      </c>
      <c r="R2630" s="33" t="s">
        <v>3473</v>
      </c>
      <c r="S2630">
        <v>37</v>
      </c>
      <c r="T2630" s="1" t="s">
        <v>13878</v>
      </c>
      <c r="U2630" s="1" t="str">
        <f>HYPERLINK("http://ictvonline.org/taxonomy/p/taxonomy-history?taxnode_id=202107837","ICTVonline=202107837")</f>
        <v>ICTVonline=202107837</v>
      </c>
    </row>
    <row r="2631" spans="1:21" x14ac:dyDescent="0.2">
      <c r="A2631" s="3">
        <v>2630</v>
      </c>
      <c r="B2631" s="1" t="s">
        <v>4875</v>
      </c>
      <c r="D2631" s="1" t="s">
        <v>4876</v>
      </c>
      <c r="F2631" s="1" t="s">
        <v>4880</v>
      </c>
      <c r="H2631" s="1" t="s">
        <v>4881</v>
      </c>
      <c r="N2631" s="1" t="s">
        <v>11342</v>
      </c>
      <c r="P2631" s="1" t="s">
        <v>11343</v>
      </c>
      <c r="Q2631" s="30" t="s">
        <v>2565</v>
      </c>
      <c r="R2631" s="33" t="s">
        <v>3472</v>
      </c>
      <c r="S2631">
        <v>37</v>
      </c>
      <c r="T2631" s="1" t="s">
        <v>13927</v>
      </c>
      <c r="U2631" s="1" t="str">
        <f>HYPERLINK("http://ictvonline.org/taxonomy/p/taxonomy-history?taxnode_id=202113640","ICTVonline=202113640")</f>
        <v>ICTVonline=202113640</v>
      </c>
    </row>
    <row r="2632" spans="1:21" x14ac:dyDescent="0.2">
      <c r="A2632" s="3">
        <v>2631</v>
      </c>
      <c r="B2632" s="1" t="s">
        <v>4875</v>
      </c>
      <c r="D2632" s="1" t="s">
        <v>4876</v>
      </c>
      <c r="F2632" s="1" t="s">
        <v>4880</v>
      </c>
      <c r="H2632" s="1" t="s">
        <v>4881</v>
      </c>
      <c r="N2632" s="1" t="s">
        <v>11342</v>
      </c>
      <c r="P2632" s="1" t="s">
        <v>11344</v>
      </c>
      <c r="Q2632" s="30" t="s">
        <v>2565</v>
      </c>
      <c r="R2632" s="33" t="s">
        <v>3472</v>
      </c>
      <c r="S2632">
        <v>37</v>
      </c>
      <c r="T2632" s="1" t="s">
        <v>13927</v>
      </c>
      <c r="U2632" s="1" t="str">
        <f>HYPERLINK("http://ictvonline.org/taxonomy/p/taxonomy-history?taxnode_id=202113639","ICTVonline=202113639")</f>
        <v>ICTVonline=202113639</v>
      </c>
    </row>
    <row r="2633" spans="1:21" x14ac:dyDescent="0.2">
      <c r="A2633" s="3">
        <v>2632</v>
      </c>
      <c r="B2633" s="1" t="s">
        <v>4875</v>
      </c>
      <c r="D2633" s="1" t="s">
        <v>4876</v>
      </c>
      <c r="F2633" s="1" t="s">
        <v>4880</v>
      </c>
      <c r="H2633" s="1" t="s">
        <v>4881</v>
      </c>
      <c r="N2633" s="1" t="s">
        <v>4665</v>
      </c>
      <c r="P2633" s="1" t="s">
        <v>11345</v>
      </c>
      <c r="Q2633" s="30" t="s">
        <v>2565</v>
      </c>
      <c r="R2633" s="33" t="s">
        <v>3473</v>
      </c>
      <c r="S2633">
        <v>37</v>
      </c>
      <c r="T2633" s="1" t="s">
        <v>13878</v>
      </c>
      <c r="U2633" s="1" t="str">
        <f>HYPERLINK("http://ictvonline.org/taxonomy/p/taxonomy-history?taxnode_id=202100954","ICTVonline=202100954")</f>
        <v>ICTVonline=202100954</v>
      </c>
    </row>
    <row r="2634" spans="1:21" x14ac:dyDescent="0.2">
      <c r="A2634" s="3">
        <v>2633</v>
      </c>
      <c r="B2634" s="1" t="s">
        <v>4875</v>
      </c>
      <c r="D2634" s="1" t="s">
        <v>4876</v>
      </c>
      <c r="F2634" s="1" t="s">
        <v>4880</v>
      </c>
      <c r="H2634" s="1" t="s">
        <v>4881</v>
      </c>
      <c r="N2634" s="1" t="s">
        <v>4665</v>
      </c>
      <c r="P2634" s="1" t="s">
        <v>11346</v>
      </c>
      <c r="Q2634" s="30" t="s">
        <v>2565</v>
      </c>
      <c r="R2634" s="33" t="s">
        <v>3473</v>
      </c>
      <c r="S2634">
        <v>37</v>
      </c>
      <c r="T2634" s="1" t="s">
        <v>13878</v>
      </c>
      <c r="U2634" s="1" t="str">
        <f>HYPERLINK("http://ictvonline.org/taxonomy/p/taxonomy-history?taxnode_id=202100955","ICTVonline=202100955")</f>
        <v>ICTVonline=202100955</v>
      </c>
    </row>
    <row r="2635" spans="1:21" x14ac:dyDescent="0.2">
      <c r="A2635" s="3">
        <v>2634</v>
      </c>
      <c r="B2635" s="1" t="s">
        <v>4875</v>
      </c>
      <c r="D2635" s="1" t="s">
        <v>4876</v>
      </c>
      <c r="F2635" s="1" t="s">
        <v>4880</v>
      </c>
      <c r="H2635" s="1" t="s">
        <v>4881</v>
      </c>
      <c r="N2635" s="1" t="s">
        <v>6179</v>
      </c>
      <c r="P2635" s="1" t="s">
        <v>11347</v>
      </c>
      <c r="Q2635" s="30" t="s">
        <v>2565</v>
      </c>
      <c r="R2635" s="33" t="s">
        <v>3473</v>
      </c>
      <c r="S2635">
        <v>37</v>
      </c>
      <c r="T2635" s="1" t="s">
        <v>13878</v>
      </c>
      <c r="U2635" s="1" t="str">
        <f>HYPERLINK("http://ictvonline.org/taxonomy/p/taxonomy-history?taxnode_id=202109965","ICTVonline=202109965")</f>
        <v>ICTVonline=202109965</v>
      </c>
    </row>
    <row r="2636" spans="1:21" x14ac:dyDescent="0.2">
      <c r="A2636" s="3">
        <v>2635</v>
      </c>
      <c r="B2636" s="1" t="s">
        <v>4875</v>
      </c>
      <c r="D2636" s="1" t="s">
        <v>4876</v>
      </c>
      <c r="F2636" s="1" t="s">
        <v>4880</v>
      </c>
      <c r="H2636" s="1" t="s">
        <v>4881</v>
      </c>
      <c r="N2636" s="1" t="s">
        <v>11348</v>
      </c>
      <c r="P2636" s="1" t="s">
        <v>11349</v>
      </c>
      <c r="Q2636" s="30" t="s">
        <v>2565</v>
      </c>
      <c r="R2636" s="33" t="s">
        <v>3472</v>
      </c>
      <c r="S2636">
        <v>37</v>
      </c>
      <c r="T2636" s="1" t="s">
        <v>13937</v>
      </c>
      <c r="U2636" s="1" t="str">
        <f>HYPERLINK("http://ictvonline.org/taxonomy/p/taxonomy-history?taxnode_id=202113518","ICTVonline=202113518")</f>
        <v>ICTVonline=202113518</v>
      </c>
    </row>
    <row r="2637" spans="1:21" x14ac:dyDescent="0.2">
      <c r="A2637" s="3">
        <v>2636</v>
      </c>
      <c r="B2637" s="1" t="s">
        <v>4875</v>
      </c>
      <c r="D2637" s="1" t="s">
        <v>4876</v>
      </c>
      <c r="F2637" s="1" t="s">
        <v>4880</v>
      </c>
      <c r="H2637" s="1" t="s">
        <v>4881</v>
      </c>
      <c r="N2637" s="1" t="s">
        <v>11348</v>
      </c>
      <c r="P2637" s="1" t="s">
        <v>11350</v>
      </c>
      <c r="Q2637" s="30" t="s">
        <v>2565</v>
      </c>
      <c r="R2637" s="33" t="s">
        <v>3472</v>
      </c>
      <c r="S2637">
        <v>37</v>
      </c>
      <c r="T2637" s="1" t="s">
        <v>13937</v>
      </c>
      <c r="U2637" s="1" t="str">
        <f>HYPERLINK("http://ictvonline.org/taxonomy/p/taxonomy-history?taxnode_id=202113519","ICTVonline=202113519")</f>
        <v>ICTVonline=202113519</v>
      </c>
    </row>
    <row r="2638" spans="1:21" x14ac:dyDescent="0.2">
      <c r="A2638" s="3">
        <v>2637</v>
      </c>
      <c r="B2638" s="1" t="s">
        <v>4875</v>
      </c>
      <c r="D2638" s="1" t="s">
        <v>4876</v>
      </c>
      <c r="F2638" s="1" t="s">
        <v>4880</v>
      </c>
      <c r="H2638" s="1" t="s">
        <v>4881</v>
      </c>
      <c r="N2638" s="1" t="s">
        <v>11348</v>
      </c>
      <c r="P2638" s="1" t="s">
        <v>11351</v>
      </c>
      <c r="Q2638" s="30" t="s">
        <v>2565</v>
      </c>
      <c r="R2638" s="33" t="s">
        <v>3472</v>
      </c>
      <c r="S2638">
        <v>37</v>
      </c>
      <c r="T2638" s="1" t="s">
        <v>13937</v>
      </c>
      <c r="U2638" s="1" t="str">
        <f>HYPERLINK("http://ictvonline.org/taxonomy/p/taxonomy-history?taxnode_id=202113520","ICTVonline=202113520")</f>
        <v>ICTVonline=202113520</v>
      </c>
    </row>
    <row r="2639" spans="1:21" x14ac:dyDescent="0.2">
      <c r="A2639" s="3">
        <v>2638</v>
      </c>
      <c r="B2639" s="1" t="s">
        <v>4875</v>
      </c>
      <c r="D2639" s="1" t="s">
        <v>4876</v>
      </c>
      <c r="F2639" s="1" t="s">
        <v>4880</v>
      </c>
      <c r="H2639" s="1" t="s">
        <v>4881</v>
      </c>
      <c r="N2639" s="1" t="s">
        <v>4666</v>
      </c>
      <c r="P2639" s="1" t="s">
        <v>11352</v>
      </c>
      <c r="Q2639" s="30" t="s">
        <v>2565</v>
      </c>
      <c r="R2639" s="33" t="s">
        <v>3473</v>
      </c>
      <c r="S2639">
        <v>37</v>
      </c>
      <c r="T2639" s="1" t="s">
        <v>13878</v>
      </c>
      <c r="U2639" s="1" t="str">
        <f>HYPERLINK("http://ictvonline.org/taxonomy/p/taxonomy-history?taxnode_id=202100983","ICTVonline=202100983")</f>
        <v>ICTVonline=202100983</v>
      </c>
    </row>
    <row r="2640" spans="1:21" x14ac:dyDescent="0.2">
      <c r="A2640" s="3">
        <v>2639</v>
      </c>
      <c r="B2640" s="1" t="s">
        <v>4875</v>
      </c>
      <c r="D2640" s="1" t="s">
        <v>4876</v>
      </c>
      <c r="F2640" s="1" t="s">
        <v>4880</v>
      </c>
      <c r="H2640" s="1" t="s">
        <v>4881</v>
      </c>
      <c r="N2640" s="1" t="s">
        <v>4666</v>
      </c>
      <c r="P2640" s="1" t="s">
        <v>11353</v>
      </c>
      <c r="Q2640" s="30" t="s">
        <v>2565</v>
      </c>
      <c r="R2640" s="33" t="s">
        <v>3473</v>
      </c>
      <c r="S2640">
        <v>37</v>
      </c>
      <c r="T2640" s="1" t="s">
        <v>13878</v>
      </c>
      <c r="U2640" s="1" t="str">
        <f>HYPERLINK("http://ictvonline.org/taxonomy/p/taxonomy-history?taxnode_id=202100988","ICTVonline=202100988")</f>
        <v>ICTVonline=202100988</v>
      </c>
    </row>
    <row r="2641" spans="1:21" x14ac:dyDescent="0.2">
      <c r="A2641" s="3">
        <v>2640</v>
      </c>
      <c r="B2641" s="1" t="s">
        <v>4875</v>
      </c>
      <c r="D2641" s="1" t="s">
        <v>4876</v>
      </c>
      <c r="F2641" s="1" t="s">
        <v>4880</v>
      </c>
      <c r="H2641" s="1" t="s">
        <v>4881</v>
      </c>
      <c r="N2641" s="1" t="s">
        <v>4666</v>
      </c>
      <c r="P2641" s="1" t="s">
        <v>11354</v>
      </c>
      <c r="Q2641" s="30" t="s">
        <v>2565</v>
      </c>
      <c r="R2641" s="33" t="s">
        <v>3473</v>
      </c>
      <c r="S2641">
        <v>37</v>
      </c>
      <c r="T2641" s="1" t="s">
        <v>13878</v>
      </c>
      <c r="U2641" s="1" t="str">
        <f>HYPERLINK("http://ictvonline.org/taxonomy/p/taxonomy-history?taxnode_id=202100984","ICTVonline=202100984")</f>
        <v>ICTVonline=202100984</v>
      </c>
    </row>
    <row r="2642" spans="1:21" x14ac:dyDescent="0.2">
      <c r="A2642" s="3">
        <v>2641</v>
      </c>
      <c r="B2642" s="1" t="s">
        <v>4875</v>
      </c>
      <c r="D2642" s="1" t="s">
        <v>4876</v>
      </c>
      <c r="F2642" s="1" t="s">
        <v>4880</v>
      </c>
      <c r="H2642" s="1" t="s">
        <v>4881</v>
      </c>
      <c r="N2642" s="1" t="s">
        <v>4666</v>
      </c>
      <c r="P2642" s="1" t="s">
        <v>11355</v>
      </c>
      <c r="Q2642" s="30" t="s">
        <v>2565</v>
      </c>
      <c r="R2642" s="33" t="s">
        <v>3473</v>
      </c>
      <c r="S2642">
        <v>37</v>
      </c>
      <c r="T2642" s="1" t="s">
        <v>13878</v>
      </c>
      <c r="U2642" s="1" t="str">
        <f>HYPERLINK("http://ictvonline.org/taxonomy/p/taxonomy-history?taxnode_id=202100985","ICTVonline=202100985")</f>
        <v>ICTVonline=202100985</v>
      </c>
    </row>
    <row r="2643" spans="1:21" x14ac:dyDescent="0.2">
      <c r="A2643" s="3">
        <v>2642</v>
      </c>
      <c r="B2643" s="1" t="s">
        <v>4875</v>
      </c>
      <c r="D2643" s="1" t="s">
        <v>4876</v>
      </c>
      <c r="F2643" s="1" t="s">
        <v>4880</v>
      </c>
      <c r="H2643" s="1" t="s">
        <v>4881</v>
      </c>
      <c r="N2643" s="1" t="s">
        <v>4666</v>
      </c>
      <c r="P2643" s="1" t="s">
        <v>11356</v>
      </c>
      <c r="Q2643" s="30" t="s">
        <v>2565</v>
      </c>
      <c r="R2643" s="33" t="s">
        <v>3473</v>
      </c>
      <c r="S2643">
        <v>37</v>
      </c>
      <c r="T2643" s="1" t="s">
        <v>13878</v>
      </c>
      <c r="U2643" s="1" t="str">
        <f>HYPERLINK("http://ictvonline.org/taxonomy/p/taxonomy-history?taxnode_id=202100989","ICTVonline=202100989")</f>
        <v>ICTVonline=202100989</v>
      </c>
    </row>
    <row r="2644" spans="1:21" x14ac:dyDescent="0.2">
      <c r="A2644" s="3">
        <v>2643</v>
      </c>
      <c r="B2644" s="1" t="s">
        <v>4875</v>
      </c>
      <c r="D2644" s="1" t="s">
        <v>4876</v>
      </c>
      <c r="F2644" s="1" t="s">
        <v>4880</v>
      </c>
      <c r="H2644" s="1" t="s">
        <v>4881</v>
      </c>
      <c r="N2644" s="1" t="s">
        <v>4666</v>
      </c>
      <c r="P2644" s="1" t="s">
        <v>11357</v>
      </c>
      <c r="Q2644" s="30" t="s">
        <v>2565</v>
      </c>
      <c r="R2644" s="33" t="s">
        <v>3473</v>
      </c>
      <c r="S2644">
        <v>37</v>
      </c>
      <c r="T2644" s="1" t="s">
        <v>13878</v>
      </c>
      <c r="U2644" s="1" t="str">
        <f>HYPERLINK("http://ictvonline.org/taxonomy/p/taxonomy-history?taxnode_id=202100986","ICTVonline=202100986")</f>
        <v>ICTVonline=202100986</v>
      </c>
    </row>
    <row r="2645" spans="1:21" x14ac:dyDescent="0.2">
      <c r="A2645" s="3">
        <v>2644</v>
      </c>
      <c r="B2645" s="1" t="s">
        <v>4875</v>
      </c>
      <c r="D2645" s="1" t="s">
        <v>4876</v>
      </c>
      <c r="F2645" s="1" t="s">
        <v>4880</v>
      </c>
      <c r="H2645" s="1" t="s">
        <v>4881</v>
      </c>
      <c r="N2645" s="1" t="s">
        <v>4666</v>
      </c>
      <c r="P2645" s="1" t="s">
        <v>11358</v>
      </c>
      <c r="Q2645" s="30" t="s">
        <v>2565</v>
      </c>
      <c r="R2645" s="33" t="s">
        <v>3473</v>
      </c>
      <c r="S2645">
        <v>37</v>
      </c>
      <c r="T2645" s="1" t="s">
        <v>13878</v>
      </c>
      <c r="U2645" s="1" t="str">
        <f>HYPERLINK("http://ictvonline.org/taxonomy/p/taxonomy-history?taxnode_id=202100987","ICTVonline=202100987")</f>
        <v>ICTVonline=202100987</v>
      </c>
    </row>
    <row r="2646" spans="1:21" x14ac:dyDescent="0.2">
      <c r="A2646" s="3">
        <v>2645</v>
      </c>
      <c r="B2646" s="1" t="s">
        <v>4875</v>
      </c>
      <c r="D2646" s="1" t="s">
        <v>4876</v>
      </c>
      <c r="F2646" s="1" t="s">
        <v>4880</v>
      </c>
      <c r="H2646" s="1" t="s">
        <v>4881</v>
      </c>
      <c r="N2646" s="1" t="s">
        <v>6015</v>
      </c>
      <c r="P2646" s="1" t="s">
        <v>11359</v>
      </c>
      <c r="Q2646" s="30" t="s">
        <v>2565</v>
      </c>
      <c r="R2646" s="33" t="s">
        <v>3473</v>
      </c>
      <c r="S2646">
        <v>37</v>
      </c>
      <c r="T2646" s="1" t="s">
        <v>13878</v>
      </c>
      <c r="U2646" s="1" t="str">
        <f>HYPERLINK("http://ictvonline.org/taxonomy/p/taxonomy-history?taxnode_id=202109969","ICTVonline=202109969")</f>
        <v>ICTVonline=202109969</v>
      </c>
    </row>
    <row r="2647" spans="1:21" x14ac:dyDescent="0.2">
      <c r="A2647" s="3">
        <v>2646</v>
      </c>
      <c r="B2647" s="1" t="s">
        <v>4875</v>
      </c>
      <c r="D2647" s="1" t="s">
        <v>4876</v>
      </c>
      <c r="F2647" s="1" t="s">
        <v>4880</v>
      </c>
      <c r="H2647" s="1" t="s">
        <v>4881</v>
      </c>
      <c r="N2647" s="1" t="s">
        <v>6015</v>
      </c>
      <c r="P2647" s="1" t="s">
        <v>11360</v>
      </c>
      <c r="Q2647" s="30" t="s">
        <v>2565</v>
      </c>
      <c r="R2647" s="33" t="s">
        <v>3473</v>
      </c>
      <c r="S2647">
        <v>37</v>
      </c>
      <c r="T2647" s="1" t="s">
        <v>13878</v>
      </c>
      <c r="U2647" s="1" t="str">
        <f>HYPERLINK("http://ictvonline.org/taxonomy/p/taxonomy-history?taxnode_id=202109967","ICTVonline=202109967")</f>
        <v>ICTVonline=202109967</v>
      </c>
    </row>
    <row r="2648" spans="1:21" x14ac:dyDescent="0.2">
      <c r="A2648" s="3">
        <v>2647</v>
      </c>
      <c r="B2648" s="1" t="s">
        <v>4875</v>
      </c>
      <c r="D2648" s="1" t="s">
        <v>4876</v>
      </c>
      <c r="F2648" s="1" t="s">
        <v>4880</v>
      </c>
      <c r="H2648" s="1" t="s">
        <v>4881</v>
      </c>
      <c r="N2648" s="1" t="s">
        <v>6015</v>
      </c>
      <c r="P2648" s="1" t="s">
        <v>11361</v>
      </c>
      <c r="Q2648" s="30" t="s">
        <v>2565</v>
      </c>
      <c r="R2648" s="33" t="s">
        <v>3473</v>
      </c>
      <c r="S2648">
        <v>37</v>
      </c>
      <c r="T2648" s="1" t="s">
        <v>13878</v>
      </c>
      <c r="U2648" s="1" t="str">
        <f>HYPERLINK("http://ictvonline.org/taxonomy/p/taxonomy-history?taxnode_id=202109968","ICTVonline=202109968")</f>
        <v>ICTVonline=202109968</v>
      </c>
    </row>
    <row r="2649" spans="1:21" x14ac:dyDescent="0.2">
      <c r="A2649" s="3">
        <v>2648</v>
      </c>
      <c r="B2649" s="1" t="s">
        <v>4875</v>
      </c>
      <c r="D2649" s="1" t="s">
        <v>4876</v>
      </c>
      <c r="F2649" s="1" t="s">
        <v>4880</v>
      </c>
      <c r="H2649" s="1" t="s">
        <v>4881</v>
      </c>
      <c r="N2649" s="1" t="s">
        <v>6180</v>
      </c>
      <c r="P2649" s="1" t="s">
        <v>11362</v>
      </c>
      <c r="Q2649" s="30" t="s">
        <v>2565</v>
      </c>
      <c r="R2649" s="33" t="s">
        <v>3473</v>
      </c>
      <c r="S2649">
        <v>37</v>
      </c>
      <c r="T2649" s="1" t="s">
        <v>13878</v>
      </c>
      <c r="U2649" s="1" t="str">
        <f>HYPERLINK("http://ictvonline.org/taxonomy/p/taxonomy-history?taxnode_id=202111658","ICTVonline=202111658")</f>
        <v>ICTVonline=202111658</v>
      </c>
    </row>
    <row r="2650" spans="1:21" x14ac:dyDescent="0.2">
      <c r="A2650" s="3">
        <v>2649</v>
      </c>
      <c r="B2650" s="1" t="s">
        <v>4875</v>
      </c>
      <c r="D2650" s="1" t="s">
        <v>4876</v>
      </c>
      <c r="F2650" s="1" t="s">
        <v>4880</v>
      </c>
      <c r="H2650" s="1" t="s">
        <v>4881</v>
      </c>
      <c r="N2650" s="1" t="s">
        <v>4667</v>
      </c>
      <c r="P2650" s="1" t="s">
        <v>11363</v>
      </c>
      <c r="Q2650" s="30" t="s">
        <v>2565</v>
      </c>
      <c r="R2650" s="33" t="s">
        <v>3473</v>
      </c>
      <c r="S2650">
        <v>37</v>
      </c>
      <c r="T2650" s="1" t="s">
        <v>13878</v>
      </c>
      <c r="U2650" s="1" t="str">
        <f>HYPERLINK("http://ictvonline.org/taxonomy/p/taxonomy-history?taxnode_id=202106737","ICTVonline=202106737")</f>
        <v>ICTVonline=202106737</v>
      </c>
    </row>
    <row r="2651" spans="1:21" x14ac:dyDescent="0.2">
      <c r="A2651" s="3">
        <v>2650</v>
      </c>
      <c r="B2651" s="1" t="s">
        <v>4875</v>
      </c>
      <c r="D2651" s="1" t="s">
        <v>4876</v>
      </c>
      <c r="F2651" s="1" t="s">
        <v>4880</v>
      </c>
      <c r="H2651" s="1" t="s">
        <v>4881</v>
      </c>
      <c r="N2651" s="1" t="s">
        <v>6016</v>
      </c>
      <c r="P2651" s="1" t="s">
        <v>11364</v>
      </c>
      <c r="Q2651" s="30" t="s">
        <v>2565</v>
      </c>
      <c r="R2651" s="33" t="s">
        <v>3473</v>
      </c>
      <c r="S2651">
        <v>37</v>
      </c>
      <c r="T2651" s="1" t="s">
        <v>13878</v>
      </c>
      <c r="U2651" s="1" t="str">
        <f>HYPERLINK("http://ictvonline.org/taxonomy/p/taxonomy-history?taxnode_id=202100513","ICTVonline=202100513")</f>
        <v>ICTVonline=202100513</v>
      </c>
    </row>
    <row r="2652" spans="1:21" x14ac:dyDescent="0.2">
      <c r="A2652" s="3">
        <v>2651</v>
      </c>
      <c r="B2652" s="1" t="s">
        <v>4875</v>
      </c>
      <c r="D2652" s="1" t="s">
        <v>4876</v>
      </c>
      <c r="F2652" s="1" t="s">
        <v>4880</v>
      </c>
      <c r="H2652" s="1" t="s">
        <v>4881</v>
      </c>
      <c r="N2652" s="1" t="s">
        <v>3550</v>
      </c>
      <c r="P2652" s="1" t="s">
        <v>11365</v>
      </c>
      <c r="Q2652" s="30" t="s">
        <v>2565</v>
      </c>
      <c r="R2652" s="33" t="s">
        <v>3473</v>
      </c>
      <c r="S2652">
        <v>37</v>
      </c>
      <c r="T2652" s="1" t="s">
        <v>13878</v>
      </c>
      <c r="U2652" s="1" t="str">
        <f>HYPERLINK("http://ictvonline.org/taxonomy/p/taxonomy-history?taxnode_id=202105543","ICTVonline=202105543")</f>
        <v>ICTVonline=202105543</v>
      </c>
    </row>
    <row r="2653" spans="1:21" x14ac:dyDescent="0.2">
      <c r="A2653" s="3">
        <v>2652</v>
      </c>
      <c r="B2653" s="1" t="s">
        <v>4875</v>
      </c>
      <c r="D2653" s="1" t="s">
        <v>4876</v>
      </c>
      <c r="F2653" s="1" t="s">
        <v>4880</v>
      </c>
      <c r="H2653" s="1" t="s">
        <v>4881</v>
      </c>
      <c r="N2653" s="1" t="s">
        <v>3550</v>
      </c>
      <c r="P2653" s="1" t="s">
        <v>11366</v>
      </c>
      <c r="Q2653" s="30" t="s">
        <v>2565</v>
      </c>
      <c r="R2653" s="33" t="s">
        <v>3473</v>
      </c>
      <c r="S2653">
        <v>37</v>
      </c>
      <c r="T2653" s="1" t="s">
        <v>13878</v>
      </c>
      <c r="U2653" s="1" t="str">
        <f>HYPERLINK("http://ictvonline.org/taxonomy/p/taxonomy-history?taxnode_id=202105544","ICTVonline=202105544")</f>
        <v>ICTVonline=202105544</v>
      </c>
    </row>
    <row r="2654" spans="1:21" x14ac:dyDescent="0.2">
      <c r="A2654" s="3">
        <v>2653</v>
      </c>
      <c r="B2654" s="1" t="s">
        <v>4875</v>
      </c>
      <c r="D2654" s="1" t="s">
        <v>4876</v>
      </c>
      <c r="F2654" s="1" t="s">
        <v>4880</v>
      </c>
      <c r="H2654" s="1" t="s">
        <v>4881</v>
      </c>
      <c r="N2654" s="1" t="s">
        <v>3550</v>
      </c>
      <c r="P2654" s="1" t="s">
        <v>11367</v>
      </c>
      <c r="Q2654" s="30" t="s">
        <v>2565</v>
      </c>
      <c r="R2654" s="33" t="s">
        <v>3473</v>
      </c>
      <c r="S2654">
        <v>37</v>
      </c>
      <c r="T2654" s="1" t="s">
        <v>13878</v>
      </c>
      <c r="U2654" s="1" t="str">
        <f>HYPERLINK("http://ictvonline.org/taxonomy/p/taxonomy-history?taxnode_id=202105545","ICTVonline=202105545")</f>
        <v>ICTVonline=202105545</v>
      </c>
    </row>
    <row r="2655" spans="1:21" x14ac:dyDescent="0.2">
      <c r="A2655" s="3">
        <v>2654</v>
      </c>
      <c r="B2655" s="1" t="s">
        <v>4875</v>
      </c>
      <c r="D2655" s="1" t="s">
        <v>4876</v>
      </c>
      <c r="F2655" s="1" t="s">
        <v>4880</v>
      </c>
      <c r="H2655" s="1" t="s">
        <v>4881</v>
      </c>
      <c r="N2655" s="1" t="s">
        <v>3550</v>
      </c>
      <c r="P2655" s="1" t="s">
        <v>11368</v>
      </c>
      <c r="Q2655" s="30" t="s">
        <v>2565</v>
      </c>
      <c r="R2655" s="33" t="s">
        <v>3473</v>
      </c>
      <c r="S2655">
        <v>37</v>
      </c>
      <c r="T2655" s="1" t="s">
        <v>13878</v>
      </c>
      <c r="U2655" s="1" t="str">
        <f>HYPERLINK("http://ictvonline.org/taxonomy/p/taxonomy-history?taxnode_id=202105546","ICTVonline=202105546")</f>
        <v>ICTVonline=202105546</v>
      </c>
    </row>
    <row r="2656" spans="1:21" x14ac:dyDescent="0.2">
      <c r="A2656" s="3">
        <v>2655</v>
      </c>
      <c r="B2656" s="1" t="s">
        <v>4875</v>
      </c>
      <c r="D2656" s="1" t="s">
        <v>4876</v>
      </c>
      <c r="F2656" s="1" t="s">
        <v>4880</v>
      </c>
      <c r="H2656" s="1" t="s">
        <v>4881</v>
      </c>
      <c r="N2656" s="1" t="s">
        <v>6061</v>
      </c>
      <c r="P2656" s="1" t="s">
        <v>11369</v>
      </c>
      <c r="Q2656" s="30" t="s">
        <v>2565</v>
      </c>
      <c r="R2656" s="33" t="s">
        <v>3473</v>
      </c>
      <c r="S2656">
        <v>37</v>
      </c>
      <c r="T2656" s="1" t="s">
        <v>13878</v>
      </c>
      <c r="U2656" s="1" t="str">
        <f>HYPERLINK("http://ictvonline.org/taxonomy/p/taxonomy-history?taxnode_id=202100603","ICTVonline=202100603")</f>
        <v>ICTVonline=202100603</v>
      </c>
    </row>
    <row r="2657" spans="1:21" x14ac:dyDescent="0.2">
      <c r="A2657" s="3">
        <v>2656</v>
      </c>
      <c r="B2657" s="1" t="s">
        <v>4875</v>
      </c>
      <c r="D2657" s="1" t="s">
        <v>4876</v>
      </c>
      <c r="F2657" s="1" t="s">
        <v>4880</v>
      </c>
      <c r="H2657" s="1" t="s">
        <v>4881</v>
      </c>
      <c r="N2657" s="1" t="s">
        <v>11370</v>
      </c>
      <c r="P2657" s="1" t="s">
        <v>11371</v>
      </c>
      <c r="Q2657" s="30" t="s">
        <v>2565</v>
      </c>
      <c r="R2657" s="33" t="s">
        <v>3472</v>
      </c>
      <c r="S2657">
        <v>37</v>
      </c>
      <c r="T2657" s="1" t="s">
        <v>13938</v>
      </c>
      <c r="U2657" s="1" t="str">
        <f>HYPERLINK("http://ictvonline.org/taxonomy/p/taxonomy-history?taxnode_id=202113522","ICTVonline=202113522")</f>
        <v>ICTVonline=202113522</v>
      </c>
    </row>
    <row r="2658" spans="1:21" x14ac:dyDescent="0.2">
      <c r="A2658" s="3">
        <v>2657</v>
      </c>
      <c r="B2658" s="1" t="s">
        <v>4875</v>
      </c>
      <c r="D2658" s="1" t="s">
        <v>4876</v>
      </c>
      <c r="F2658" s="1" t="s">
        <v>4880</v>
      </c>
      <c r="H2658" s="1" t="s">
        <v>4881</v>
      </c>
      <c r="N2658" s="1" t="s">
        <v>5193</v>
      </c>
      <c r="P2658" s="1" t="s">
        <v>11372</v>
      </c>
      <c r="Q2658" s="30" t="s">
        <v>2565</v>
      </c>
      <c r="R2658" s="33" t="s">
        <v>3473</v>
      </c>
      <c r="S2658">
        <v>37</v>
      </c>
      <c r="T2658" s="1" t="s">
        <v>13878</v>
      </c>
      <c r="U2658" s="1" t="str">
        <f>HYPERLINK("http://ictvonline.org/taxonomy/p/taxonomy-history?taxnode_id=202107839","ICTVonline=202107839")</f>
        <v>ICTVonline=202107839</v>
      </c>
    </row>
    <row r="2659" spans="1:21" x14ac:dyDescent="0.2">
      <c r="A2659" s="3">
        <v>2658</v>
      </c>
      <c r="B2659" s="1" t="s">
        <v>4875</v>
      </c>
      <c r="D2659" s="1" t="s">
        <v>4876</v>
      </c>
      <c r="F2659" s="1" t="s">
        <v>4880</v>
      </c>
      <c r="H2659" s="1" t="s">
        <v>4881</v>
      </c>
      <c r="N2659" s="1" t="s">
        <v>4668</v>
      </c>
      <c r="P2659" s="1" t="s">
        <v>11373</v>
      </c>
      <c r="Q2659" s="30" t="s">
        <v>2565</v>
      </c>
      <c r="R2659" s="33" t="s">
        <v>3473</v>
      </c>
      <c r="S2659">
        <v>37</v>
      </c>
      <c r="T2659" s="1" t="s">
        <v>13878</v>
      </c>
      <c r="U2659" s="1" t="str">
        <f>HYPERLINK("http://ictvonline.org/taxonomy/p/taxonomy-history?taxnode_id=202106936","ICTVonline=202106936")</f>
        <v>ICTVonline=202106936</v>
      </c>
    </row>
    <row r="2660" spans="1:21" x14ac:dyDescent="0.2">
      <c r="A2660" s="3">
        <v>2659</v>
      </c>
      <c r="B2660" s="1" t="s">
        <v>4875</v>
      </c>
      <c r="D2660" s="1" t="s">
        <v>4876</v>
      </c>
      <c r="F2660" s="1" t="s">
        <v>4880</v>
      </c>
      <c r="H2660" s="1" t="s">
        <v>4881</v>
      </c>
      <c r="N2660" s="1" t="s">
        <v>4668</v>
      </c>
      <c r="P2660" s="1" t="s">
        <v>11374</v>
      </c>
      <c r="Q2660" s="30" t="s">
        <v>2565</v>
      </c>
      <c r="R2660" s="33" t="s">
        <v>3473</v>
      </c>
      <c r="S2660">
        <v>37</v>
      </c>
      <c r="T2660" s="1" t="s">
        <v>13878</v>
      </c>
      <c r="U2660" s="1" t="str">
        <f>HYPERLINK("http://ictvonline.org/taxonomy/p/taxonomy-history?taxnode_id=202106938","ICTVonline=202106938")</f>
        <v>ICTVonline=202106938</v>
      </c>
    </row>
    <row r="2661" spans="1:21" x14ac:dyDescent="0.2">
      <c r="A2661" s="3">
        <v>2660</v>
      </c>
      <c r="B2661" s="1" t="s">
        <v>4875</v>
      </c>
      <c r="D2661" s="1" t="s">
        <v>4876</v>
      </c>
      <c r="F2661" s="1" t="s">
        <v>4880</v>
      </c>
      <c r="H2661" s="1" t="s">
        <v>4881</v>
      </c>
      <c r="N2661" s="1" t="s">
        <v>4668</v>
      </c>
      <c r="P2661" s="1" t="s">
        <v>11375</v>
      </c>
      <c r="Q2661" s="30" t="s">
        <v>2565</v>
      </c>
      <c r="R2661" s="33" t="s">
        <v>3473</v>
      </c>
      <c r="S2661">
        <v>37</v>
      </c>
      <c r="T2661" s="1" t="s">
        <v>13878</v>
      </c>
      <c r="U2661" s="1" t="str">
        <f>HYPERLINK("http://ictvonline.org/taxonomy/p/taxonomy-history?taxnode_id=202106939","ICTVonline=202106939")</f>
        <v>ICTVonline=202106939</v>
      </c>
    </row>
    <row r="2662" spans="1:21" x14ac:dyDescent="0.2">
      <c r="A2662" s="3">
        <v>2661</v>
      </c>
      <c r="B2662" s="1" t="s">
        <v>4875</v>
      </c>
      <c r="D2662" s="1" t="s">
        <v>4876</v>
      </c>
      <c r="F2662" s="1" t="s">
        <v>4880</v>
      </c>
      <c r="H2662" s="1" t="s">
        <v>4881</v>
      </c>
      <c r="N2662" s="1" t="s">
        <v>4668</v>
      </c>
      <c r="P2662" s="1" t="s">
        <v>11376</v>
      </c>
      <c r="Q2662" s="30" t="s">
        <v>2565</v>
      </c>
      <c r="R2662" s="33" t="s">
        <v>3473</v>
      </c>
      <c r="S2662">
        <v>37</v>
      </c>
      <c r="T2662" s="1" t="s">
        <v>13878</v>
      </c>
      <c r="U2662" s="1" t="str">
        <f>HYPERLINK("http://ictvonline.org/taxonomy/p/taxonomy-history?taxnode_id=202106935","ICTVonline=202106935")</f>
        <v>ICTVonline=202106935</v>
      </c>
    </row>
    <row r="2663" spans="1:21" x14ac:dyDescent="0.2">
      <c r="A2663" s="3">
        <v>2662</v>
      </c>
      <c r="B2663" s="1" t="s">
        <v>4875</v>
      </c>
      <c r="D2663" s="1" t="s">
        <v>4876</v>
      </c>
      <c r="F2663" s="1" t="s">
        <v>4880</v>
      </c>
      <c r="H2663" s="1" t="s">
        <v>4881</v>
      </c>
      <c r="N2663" s="1" t="s">
        <v>4668</v>
      </c>
      <c r="P2663" s="1" t="s">
        <v>11377</v>
      </c>
      <c r="Q2663" s="30" t="s">
        <v>2565</v>
      </c>
      <c r="R2663" s="33" t="s">
        <v>3473</v>
      </c>
      <c r="S2663">
        <v>37</v>
      </c>
      <c r="T2663" s="1" t="s">
        <v>13878</v>
      </c>
      <c r="U2663" s="1" t="str">
        <f>HYPERLINK("http://ictvonline.org/taxonomy/p/taxonomy-history?taxnode_id=202106940","ICTVonline=202106940")</f>
        <v>ICTVonline=202106940</v>
      </c>
    </row>
    <row r="2664" spans="1:21" x14ac:dyDescent="0.2">
      <c r="A2664" s="3">
        <v>2663</v>
      </c>
      <c r="B2664" s="1" t="s">
        <v>4875</v>
      </c>
      <c r="D2664" s="1" t="s">
        <v>4876</v>
      </c>
      <c r="F2664" s="1" t="s">
        <v>4880</v>
      </c>
      <c r="H2664" s="1" t="s">
        <v>4881</v>
      </c>
      <c r="N2664" s="1" t="s">
        <v>4668</v>
      </c>
      <c r="P2664" s="1" t="s">
        <v>11378</v>
      </c>
      <c r="Q2664" s="30" t="s">
        <v>2565</v>
      </c>
      <c r="R2664" s="33" t="s">
        <v>3473</v>
      </c>
      <c r="S2664">
        <v>37</v>
      </c>
      <c r="T2664" s="1" t="s">
        <v>13878</v>
      </c>
      <c r="U2664" s="1" t="str">
        <f>HYPERLINK("http://ictvonline.org/taxonomy/p/taxonomy-history?taxnode_id=202106934","ICTVonline=202106934")</f>
        <v>ICTVonline=202106934</v>
      </c>
    </row>
    <row r="2665" spans="1:21" x14ac:dyDescent="0.2">
      <c r="A2665" s="3">
        <v>2664</v>
      </c>
      <c r="B2665" s="1" t="s">
        <v>4875</v>
      </c>
      <c r="D2665" s="1" t="s">
        <v>4876</v>
      </c>
      <c r="F2665" s="1" t="s">
        <v>4880</v>
      </c>
      <c r="H2665" s="1" t="s">
        <v>4881</v>
      </c>
      <c r="N2665" s="1" t="s">
        <v>4668</v>
      </c>
      <c r="P2665" s="1" t="s">
        <v>11379</v>
      </c>
      <c r="Q2665" s="30" t="s">
        <v>2565</v>
      </c>
      <c r="R2665" s="33" t="s">
        <v>3473</v>
      </c>
      <c r="S2665">
        <v>37</v>
      </c>
      <c r="T2665" s="1" t="s">
        <v>13878</v>
      </c>
      <c r="U2665" s="1" t="str">
        <f>HYPERLINK("http://ictvonline.org/taxonomy/p/taxonomy-history?taxnode_id=202106946","ICTVonline=202106946")</f>
        <v>ICTVonline=202106946</v>
      </c>
    </row>
    <row r="2666" spans="1:21" x14ac:dyDescent="0.2">
      <c r="A2666" s="3">
        <v>2665</v>
      </c>
      <c r="B2666" s="1" t="s">
        <v>4875</v>
      </c>
      <c r="D2666" s="1" t="s">
        <v>4876</v>
      </c>
      <c r="F2666" s="1" t="s">
        <v>4880</v>
      </c>
      <c r="H2666" s="1" t="s">
        <v>4881</v>
      </c>
      <c r="N2666" s="1" t="s">
        <v>4668</v>
      </c>
      <c r="P2666" s="1" t="s">
        <v>11380</v>
      </c>
      <c r="Q2666" s="30" t="s">
        <v>2565</v>
      </c>
      <c r="R2666" s="33" t="s">
        <v>3473</v>
      </c>
      <c r="S2666">
        <v>37</v>
      </c>
      <c r="T2666" s="1" t="s">
        <v>13878</v>
      </c>
      <c r="U2666" s="1" t="str">
        <f>HYPERLINK("http://ictvonline.org/taxonomy/p/taxonomy-history?taxnode_id=202106947","ICTVonline=202106947")</f>
        <v>ICTVonline=202106947</v>
      </c>
    </row>
    <row r="2667" spans="1:21" x14ac:dyDescent="0.2">
      <c r="A2667" s="3">
        <v>2666</v>
      </c>
      <c r="B2667" s="1" t="s">
        <v>4875</v>
      </c>
      <c r="D2667" s="1" t="s">
        <v>4876</v>
      </c>
      <c r="F2667" s="1" t="s">
        <v>4880</v>
      </c>
      <c r="H2667" s="1" t="s">
        <v>4881</v>
      </c>
      <c r="N2667" s="1" t="s">
        <v>4668</v>
      </c>
      <c r="P2667" s="1" t="s">
        <v>11381</v>
      </c>
      <c r="Q2667" s="30" t="s">
        <v>2565</v>
      </c>
      <c r="R2667" s="33" t="s">
        <v>3473</v>
      </c>
      <c r="S2667">
        <v>37</v>
      </c>
      <c r="T2667" s="1" t="s">
        <v>13878</v>
      </c>
      <c r="U2667" s="1" t="str">
        <f>HYPERLINK("http://ictvonline.org/taxonomy/p/taxonomy-history?taxnode_id=202106937","ICTVonline=202106937")</f>
        <v>ICTVonline=202106937</v>
      </c>
    </row>
    <row r="2668" spans="1:21" x14ac:dyDescent="0.2">
      <c r="A2668" s="3">
        <v>2667</v>
      </c>
      <c r="B2668" s="1" t="s">
        <v>4875</v>
      </c>
      <c r="D2668" s="1" t="s">
        <v>4876</v>
      </c>
      <c r="F2668" s="1" t="s">
        <v>4880</v>
      </c>
      <c r="H2668" s="1" t="s">
        <v>4881</v>
      </c>
      <c r="N2668" s="1" t="s">
        <v>4668</v>
      </c>
      <c r="P2668" s="1" t="s">
        <v>11382</v>
      </c>
      <c r="Q2668" s="30" t="s">
        <v>2565</v>
      </c>
      <c r="R2668" s="33" t="s">
        <v>3473</v>
      </c>
      <c r="S2668">
        <v>37</v>
      </c>
      <c r="T2668" s="1" t="s">
        <v>13878</v>
      </c>
      <c r="U2668" s="1" t="str">
        <f>HYPERLINK("http://ictvonline.org/taxonomy/p/taxonomy-history?taxnode_id=202106945","ICTVonline=202106945")</f>
        <v>ICTVonline=202106945</v>
      </c>
    </row>
    <row r="2669" spans="1:21" x14ac:dyDescent="0.2">
      <c r="A2669" s="3">
        <v>2668</v>
      </c>
      <c r="B2669" s="1" t="s">
        <v>4875</v>
      </c>
      <c r="D2669" s="1" t="s">
        <v>4876</v>
      </c>
      <c r="F2669" s="1" t="s">
        <v>4880</v>
      </c>
      <c r="H2669" s="1" t="s">
        <v>4881</v>
      </c>
      <c r="N2669" s="1" t="s">
        <v>4668</v>
      </c>
      <c r="P2669" s="1" t="s">
        <v>11383</v>
      </c>
      <c r="Q2669" s="30" t="s">
        <v>2565</v>
      </c>
      <c r="R2669" s="33" t="s">
        <v>3473</v>
      </c>
      <c r="S2669">
        <v>37</v>
      </c>
      <c r="T2669" s="1" t="s">
        <v>13878</v>
      </c>
      <c r="U2669" s="1" t="str">
        <f>HYPERLINK("http://ictvonline.org/taxonomy/p/taxonomy-history?taxnode_id=202106943","ICTVonline=202106943")</f>
        <v>ICTVonline=202106943</v>
      </c>
    </row>
    <row r="2670" spans="1:21" x14ac:dyDescent="0.2">
      <c r="A2670" s="3">
        <v>2669</v>
      </c>
      <c r="B2670" s="1" t="s">
        <v>4875</v>
      </c>
      <c r="D2670" s="1" t="s">
        <v>4876</v>
      </c>
      <c r="F2670" s="1" t="s">
        <v>4880</v>
      </c>
      <c r="H2670" s="1" t="s">
        <v>4881</v>
      </c>
      <c r="N2670" s="1" t="s">
        <v>4668</v>
      </c>
      <c r="P2670" s="1" t="s">
        <v>11384</v>
      </c>
      <c r="Q2670" s="30" t="s">
        <v>2565</v>
      </c>
      <c r="R2670" s="33" t="s">
        <v>3473</v>
      </c>
      <c r="S2670">
        <v>37</v>
      </c>
      <c r="T2670" s="1" t="s">
        <v>13878</v>
      </c>
      <c r="U2670" s="1" t="str">
        <f>HYPERLINK("http://ictvonline.org/taxonomy/p/taxonomy-history?taxnode_id=202106944","ICTVonline=202106944")</f>
        <v>ICTVonline=202106944</v>
      </c>
    </row>
    <row r="2671" spans="1:21" x14ac:dyDescent="0.2">
      <c r="A2671" s="3">
        <v>2670</v>
      </c>
      <c r="B2671" s="1" t="s">
        <v>4875</v>
      </c>
      <c r="D2671" s="1" t="s">
        <v>4876</v>
      </c>
      <c r="F2671" s="1" t="s">
        <v>4880</v>
      </c>
      <c r="H2671" s="1" t="s">
        <v>4881</v>
      </c>
      <c r="N2671" s="1" t="s">
        <v>4668</v>
      </c>
      <c r="P2671" s="1" t="s">
        <v>11385</v>
      </c>
      <c r="Q2671" s="30" t="s">
        <v>2565</v>
      </c>
      <c r="R2671" s="33" t="s">
        <v>3473</v>
      </c>
      <c r="S2671">
        <v>37</v>
      </c>
      <c r="T2671" s="1" t="s">
        <v>13878</v>
      </c>
      <c r="U2671" s="1" t="str">
        <f>HYPERLINK("http://ictvonline.org/taxonomy/p/taxonomy-history?taxnode_id=202106942","ICTVonline=202106942")</f>
        <v>ICTVonline=202106942</v>
      </c>
    </row>
    <row r="2672" spans="1:21" x14ac:dyDescent="0.2">
      <c r="A2672" s="3">
        <v>2671</v>
      </c>
      <c r="B2672" s="1" t="s">
        <v>4875</v>
      </c>
      <c r="D2672" s="1" t="s">
        <v>4876</v>
      </c>
      <c r="F2672" s="1" t="s">
        <v>4880</v>
      </c>
      <c r="H2672" s="1" t="s">
        <v>4881</v>
      </c>
      <c r="N2672" s="1" t="s">
        <v>4668</v>
      </c>
      <c r="P2672" s="1" t="s">
        <v>11386</v>
      </c>
      <c r="Q2672" s="30" t="s">
        <v>2565</v>
      </c>
      <c r="R2672" s="33" t="s">
        <v>3473</v>
      </c>
      <c r="S2672">
        <v>37</v>
      </c>
      <c r="T2672" s="1" t="s">
        <v>13878</v>
      </c>
      <c r="U2672" s="1" t="str">
        <f>HYPERLINK("http://ictvonline.org/taxonomy/p/taxonomy-history?taxnode_id=202106941","ICTVonline=202106941")</f>
        <v>ICTVonline=202106941</v>
      </c>
    </row>
    <row r="2673" spans="1:21" x14ac:dyDescent="0.2">
      <c r="A2673" s="3">
        <v>2672</v>
      </c>
      <c r="B2673" s="1" t="s">
        <v>4875</v>
      </c>
      <c r="D2673" s="1" t="s">
        <v>4876</v>
      </c>
      <c r="F2673" s="1" t="s">
        <v>4880</v>
      </c>
      <c r="H2673" s="1" t="s">
        <v>4881</v>
      </c>
      <c r="N2673" s="1" t="s">
        <v>3200</v>
      </c>
      <c r="P2673" s="1" t="s">
        <v>11387</v>
      </c>
      <c r="Q2673" s="30" t="s">
        <v>2565</v>
      </c>
      <c r="R2673" s="33" t="s">
        <v>3473</v>
      </c>
      <c r="S2673">
        <v>37</v>
      </c>
      <c r="T2673" s="1" t="s">
        <v>13878</v>
      </c>
      <c r="U2673" s="1" t="str">
        <f>HYPERLINK("http://ictvonline.org/taxonomy/p/taxonomy-history?taxnode_id=202100967","ICTVonline=202100967")</f>
        <v>ICTVonline=202100967</v>
      </c>
    </row>
    <row r="2674" spans="1:21" x14ac:dyDescent="0.2">
      <c r="A2674" s="3">
        <v>2673</v>
      </c>
      <c r="B2674" s="1" t="s">
        <v>4875</v>
      </c>
      <c r="D2674" s="1" t="s">
        <v>4876</v>
      </c>
      <c r="F2674" s="1" t="s">
        <v>4880</v>
      </c>
      <c r="H2674" s="1" t="s">
        <v>4881</v>
      </c>
      <c r="N2674" s="1" t="s">
        <v>4669</v>
      </c>
      <c r="P2674" s="1" t="s">
        <v>11388</v>
      </c>
      <c r="Q2674" s="30" t="s">
        <v>2565</v>
      </c>
      <c r="R2674" s="33" t="s">
        <v>3473</v>
      </c>
      <c r="S2674">
        <v>37</v>
      </c>
      <c r="T2674" s="1" t="s">
        <v>13878</v>
      </c>
      <c r="U2674" s="1" t="str">
        <f>HYPERLINK("http://ictvonline.org/taxonomy/p/taxonomy-history?taxnode_id=202101379","ICTVonline=202101379")</f>
        <v>ICTVonline=202101379</v>
      </c>
    </row>
    <row r="2675" spans="1:21" x14ac:dyDescent="0.2">
      <c r="A2675" s="3">
        <v>2674</v>
      </c>
      <c r="B2675" s="1" t="s">
        <v>4875</v>
      </c>
      <c r="D2675" s="1" t="s">
        <v>4876</v>
      </c>
      <c r="F2675" s="1" t="s">
        <v>4880</v>
      </c>
      <c r="H2675" s="1" t="s">
        <v>4881</v>
      </c>
      <c r="N2675" s="1" t="s">
        <v>11389</v>
      </c>
      <c r="P2675" s="1" t="s">
        <v>11390</v>
      </c>
      <c r="Q2675" s="30" t="s">
        <v>2565</v>
      </c>
      <c r="R2675" s="33" t="s">
        <v>3472</v>
      </c>
      <c r="S2675">
        <v>37</v>
      </c>
      <c r="T2675" s="1" t="s">
        <v>13939</v>
      </c>
      <c r="U2675" s="1" t="str">
        <f>HYPERLINK("http://ictvonline.org/taxonomy/p/taxonomy-history?taxnode_id=202113530","ICTVonline=202113530")</f>
        <v>ICTVonline=202113530</v>
      </c>
    </row>
    <row r="2676" spans="1:21" x14ac:dyDescent="0.2">
      <c r="A2676" s="3">
        <v>2675</v>
      </c>
      <c r="B2676" s="1" t="s">
        <v>4875</v>
      </c>
      <c r="D2676" s="1" t="s">
        <v>4876</v>
      </c>
      <c r="F2676" s="1" t="s">
        <v>4880</v>
      </c>
      <c r="H2676" s="1" t="s">
        <v>4881</v>
      </c>
      <c r="N2676" s="1" t="s">
        <v>11389</v>
      </c>
      <c r="P2676" s="1" t="s">
        <v>11391</v>
      </c>
      <c r="Q2676" s="30" t="s">
        <v>2565</v>
      </c>
      <c r="R2676" s="33" t="s">
        <v>3472</v>
      </c>
      <c r="S2676">
        <v>37</v>
      </c>
      <c r="T2676" s="1" t="s">
        <v>13939</v>
      </c>
      <c r="U2676" s="1" t="str">
        <f>HYPERLINK("http://ictvonline.org/taxonomy/p/taxonomy-history?taxnode_id=202113531","ICTVonline=202113531")</f>
        <v>ICTVonline=202113531</v>
      </c>
    </row>
    <row r="2677" spans="1:21" x14ac:dyDescent="0.2">
      <c r="A2677" s="3">
        <v>2676</v>
      </c>
      <c r="B2677" s="1" t="s">
        <v>4875</v>
      </c>
      <c r="D2677" s="1" t="s">
        <v>4876</v>
      </c>
      <c r="F2677" s="1" t="s">
        <v>4880</v>
      </c>
      <c r="H2677" s="1" t="s">
        <v>4881</v>
      </c>
      <c r="N2677" s="1" t="s">
        <v>11389</v>
      </c>
      <c r="P2677" s="1" t="s">
        <v>11392</v>
      </c>
      <c r="Q2677" s="30" t="s">
        <v>2565</v>
      </c>
      <c r="R2677" s="33" t="s">
        <v>3472</v>
      </c>
      <c r="S2677">
        <v>37</v>
      </c>
      <c r="T2677" s="1" t="s">
        <v>13939</v>
      </c>
      <c r="U2677" s="1" t="str">
        <f>HYPERLINK("http://ictvonline.org/taxonomy/p/taxonomy-history?taxnode_id=202113532","ICTVonline=202113532")</f>
        <v>ICTVonline=202113532</v>
      </c>
    </row>
    <row r="2678" spans="1:21" x14ac:dyDescent="0.2">
      <c r="A2678" s="3">
        <v>2677</v>
      </c>
      <c r="B2678" s="1" t="s">
        <v>4875</v>
      </c>
      <c r="D2678" s="1" t="s">
        <v>4876</v>
      </c>
      <c r="F2678" s="1" t="s">
        <v>4880</v>
      </c>
      <c r="H2678" s="1" t="s">
        <v>4881</v>
      </c>
      <c r="N2678" s="1" t="s">
        <v>11389</v>
      </c>
      <c r="P2678" s="1" t="s">
        <v>11393</v>
      </c>
      <c r="Q2678" s="30" t="s">
        <v>2565</v>
      </c>
      <c r="R2678" s="33" t="s">
        <v>3472</v>
      </c>
      <c r="S2678">
        <v>37</v>
      </c>
      <c r="T2678" s="1" t="s">
        <v>13939</v>
      </c>
      <c r="U2678" s="1" t="str">
        <f>HYPERLINK("http://ictvonline.org/taxonomy/p/taxonomy-history?taxnode_id=202113533","ICTVonline=202113533")</f>
        <v>ICTVonline=202113533</v>
      </c>
    </row>
    <row r="2679" spans="1:21" x14ac:dyDescent="0.2">
      <c r="A2679" s="3">
        <v>2678</v>
      </c>
      <c r="B2679" s="1" t="s">
        <v>4875</v>
      </c>
      <c r="D2679" s="1" t="s">
        <v>4876</v>
      </c>
      <c r="F2679" s="1" t="s">
        <v>4880</v>
      </c>
      <c r="H2679" s="1" t="s">
        <v>4881</v>
      </c>
      <c r="N2679" s="1" t="s">
        <v>11389</v>
      </c>
      <c r="P2679" s="1" t="s">
        <v>11394</v>
      </c>
      <c r="Q2679" s="30" t="s">
        <v>2565</v>
      </c>
      <c r="R2679" s="33" t="s">
        <v>3472</v>
      </c>
      <c r="S2679">
        <v>37</v>
      </c>
      <c r="T2679" s="1" t="s">
        <v>13939</v>
      </c>
      <c r="U2679" s="1" t="str">
        <f>HYPERLINK("http://ictvonline.org/taxonomy/p/taxonomy-history?taxnode_id=202113534","ICTVonline=202113534")</f>
        <v>ICTVonline=202113534</v>
      </c>
    </row>
    <row r="2680" spans="1:21" x14ac:dyDescent="0.2">
      <c r="A2680" s="3">
        <v>2679</v>
      </c>
      <c r="B2680" s="1" t="s">
        <v>4875</v>
      </c>
      <c r="D2680" s="1" t="s">
        <v>4876</v>
      </c>
      <c r="F2680" s="1" t="s">
        <v>4880</v>
      </c>
      <c r="H2680" s="1" t="s">
        <v>4881</v>
      </c>
      <c r="N2680" s="1" t="s">
        <v>11389</v>
      </c>
      <c r="P2680" s="1" t="s">
        <v>11395</v>
      </c>
      <c r="Q2680" s="30" t="s">
        <v>2565</v>
      </c>
      <c r="R2680" s="33" t="s">
        <v>3472</v>
      </c>
      <c r="S2680">
        <v>37</v>
      </c>
      <c r="T2680" s="1" t="s">
        <v>13939</v>
      </c>
      <c r="U2680" s="1" t="str">
        <f>HYPERLINK("http://ictvonline.org/taxonomy/p/taxonomy-history?taxnode_id=202113535","ICTVonline=202113535")</f>
        <v>ICTVonline=202113535</v>
      </c>
    </row>
    <row r="2681" spans="1:21" x14ac:dyDescent="0.2">
      <c r="A2681" s="3">
        <v>2680</v>
      </c>
      <c r="B2681" s="1" t="s">
        <v>4875</v>
      </c>
      <c r="D2681" s="1" t="s">
        <v>4876</v>
      </c>
      <c r="F2681" s="1" t="s">
        <v>4880</v>
      </c>
      <c r="H2681" s="1" t="s">
        <v>4881</v>
      </c>
      <c r="N2681" s="1" t="s">
        <v>4670</v>
      </c>
      <c r="P2681" s="1" t="s">
        <v>11396</v>
      </c>
      <c r="Q2681" s="30" t="s">
        <v>2565</v>
      </c>
      <c r="R2681" s="33" t="s">
        <v>3473</v>
      </c>
      <c r="S2681">
        <v>37</v>
      </c>
      <c r="T2681" s="1" t="s">
        <v>13878</v>
      </c>
      <c r="U2681" s="1" t="str">
        <f>HYPERLINK("http://ictvonline.org/taxonomy/p/taxonomy-history?taxnode_id=202106739","ICTVonline=202106739")</f>
        <v>ICTVonline=202106739</v>
      </c>
    </row>
    <row r="2682" spans="1:21" x14ac:dyDescent="0.2">
      <c r="A2682" s="3">
        <v>2681</v>
      </c>
      <c r="B2682" s="1" t="s">
        <v>4875</v>
      </c>
      <c r="D2682" s="1" t="s">
        <v>4876</v>
      </c>
      <c r="F2682" s="1" t="s">
        <v>4880</v>
      </c>
      <c r="H2682" s="1" t="s">
        <v>4881</v>
      </c>
      <c r="N2682" s="1" t="s">
        <v>6017</v>
      </c>
      <c r="P2682" s="1" t="s">
        <v>11397</v>
      </c>
      <c r="Q2682" s="30" t="s">
        <v>2565</v>
      </c>
      <c r="R2682" s="33" t="s">
        <v>3473</v>
      </c>
      <c r="S2682">
        <v>37</v>
      </c>
      <c r="T2682" s="1" t="s">
        <v>13878</v>
      </c>
      <c r="U2682" s="1" t="str">
        <f>HYPERLINK("http://ictvonline.org/taxonomy/p/taxonomy-history?taxnode_id=202109991","ICTVonline=202109991")</f>
        <v>ICTVonline=202109991</v>
      </c>
    </row>
    <row r="2683" spans="1:21" x14ac:dyDescent="0.2">
      <c r="A2683" s="3">
        <v>2682</v>
      </c>
      <c r="B2683" s="1" t="s">
        <v>4875</v>
      </c>
      <c r="D2683" s="1" t="s">
        <v>4876</v>
      </c>
      <c r="F2683" s="1" t="s">
        <v>4880</v>
      </c>
      <c r="H2683" s="1" t="s">
        <v>4881</v>
      </c>
      <c r="N2683" s="1" t="s">
        <v>3118</v>
      </c>
      <c r="P2683" s="1" t="s">
        <v>11398</v>
      </c>
      <c r="Q2683" s="30" t="s">
        <v>2565</v>
      </c>
      <c r="R2683" s="33" t="s">
        <v>3473</v>
      </c>
      <c r="S2683">
        <v>37</v>
      </c>
      <c r="T2683" s="1" t="s">
        <v>13878</v>
      </c>
      <c r="U2683" s="1" t="str">
        <f>HYPERLINK("http://ictvonline.org/taxonomy/p/taxonomy-history?taxnode_id=202100432","ICTVonline=202100432")</f>
        <v>ICTVonline=202100432</v>
      </c>
    </row>
    <row r="2684" spans="1:21" x14ac:dyDescent="0.2">
      <c r="A2684" s="3">
        <v>2683</v>
      </c>
      <c r="B2684" s="1" t="s">
        <v>4875</v>
      </c>
      <c r="D2684" s="1" t="s">
        <v>4876</v>
      </c>
      <c r="F2684" s="1" t="s">
        <v>4880</v>
      </c>
      <c r="H2684" s="1" t="s">
        <v>4881</v>
      </c>
      <c r="N2684" s="1" t="s">
        <v>4671</v>
      </c>
      <c r="P2684" s="1" t="s">
        <v>11399</v>
      </c>
      <c r="Q2684" s="30" t="s">
        <v>2565</v>
      </c>
      <c r="R2684" s="33" t="s">
        <v>3473</v>
      </c>
      <c r="S2684">
        <v>37</v>
      </c>
      <c r="T2684" s="1" t="s">
        <v>13878</v>
      </c>
      <c r="U2684" s="1" t="str">
        <f>HYPERLINK("http://ictvonline.org/taxonomy/p/taxonomy-history?taxnode_id=202106821","ICTVonline=202106821")</f>
        <v>ICTVonline=202106821</v>
      </c>
    </row>
    <row r="2685" spans="1:21" x14ac:dyDescent="0.2">
      <c r="A2685" s="3">
        <v>2684</v>
      </c>
      <c r="B2685" s="1" t="s">
        <v>4875</v>
      </c>
      <c r="D2685" s="1" t="s">
        <v>4876</v>
      </c>
      <c r="F2685" s="1" t="s">
        <v>4880</v>
      </c>
      <c r="H2685" s="1" t="s">
        <v>4881</v>
      </c>
      <c r="N2685" s="1" t="s">
        <v>4671</v>
      </c>
      <c r="P2685" s="1" t="s">
        <v>11400</v>
      </c>
      <c r="Q2685" s="30" t="s">
        <v>2565</v>
      </c>
      <c r="R2685" s="33" t="s">
        <v>3473</v>
      </c>
      <c r="S2685">
        <v>37</v>
      </c>
      <c r="T2685" s="1" t="s">
        <v>13878</v>
      </c>
      <c r="U2685" s="1" t="str">
        <f>HYPERLINK("http://ictvonline.org/taxonomy/p/taxonomy-history?taxnode_id=202106818","ICTVonline=202106818")</f>
        <v>ICTVonline=202106818</v>
      </c>
    </row>
    <row r="2686" spans="1:21" x14ac:dyDescent="0.2">
      <c r="A2686" s="3">
        <v>2685</v>
      </c>
      <c r="B2686" s="1" t="s">
        <v>4875</v>
      </c>
      <c r="D2686" s="1" t="s">
        <v>4876</v>
      </c>
      <c r="F2686" s="1" t="s">
        <v>4880</v>
      </c>
      <c r="H2686" s="1" t="s">
        <v>4881</v>
      </c>
      <c r="N2686" s="1" t="s">
        <v>4671</v>
      </c>
      <c r="P2686" s="1" t="s">
        <v>11401</v>
      </c>
      <c r="Q2686" s="30" t="s">
        <v>2565</v>
      </c>
      <c r="R2686" s="33" t="s">
        <v>3473</v>
      </c>
      <c r="S2686">
        <v>37</v>
      </c>
      <c r="T2686" s="1" t="s">
        <v>13878</v>
      </c>
      <c r="U2686" s="1" t="str">
        <f>HYPERLINK("http://ictvonline.org/taxonomy/p/taxonomy-history?taxnode_id=202106819","ICTVonline=202106819")</f>
        <v>ICTVonline=202106819</v>
      </c>
    </row>
    <row r="2687" spans="1:21" x14ac:dyDescent="0.2">
      <c r="A2687" s="3">
        <v>2686</v>
      </c>
      <c r="B2687" s="1" t="s">
        <v>4875</v>
      </c>
      <c r="D2687" s="1" t="s">
        <v>4876</v>
      </c>
      <c r="F2687" s="1" t="s">
        <v>4880</v>
      </c>
      <c r="H2687" s="1" t="s">
        <v>4881</v>
      </c>
      <c r="N2687" s="1" t="s">
        <v>4671</v>
      </c>
      <c r="P2687" s="1" t="s">
        <v>11402</v>
      </c>
      <c r="Q2687" s="30" t="s">
        <v>2565</v>
      </c>
      <c r="R2687" s="33" t="s">
        <v>3473</v>
      </c>
      <c r="S2687">
        <v>37</v>
      </c>
      <c r="T2687" s="1" t="s">
        <v>13878</v>
      </c>
      <c r="U2687" s="1" t="str">
        <f>HYPERLINK("http://ictvonline.org/taxonomy/p/taxonomy-history?taxnode_id=202106820","ICTVonline=202106820")</f>
        <v>ICTVonline=202106820</v>
      </c>
    </row>
    <row r="2688" spans="1:21" x14ac:dyDescent="0.2">
      <c r="A2688" s="3">
        <v>2687</v>
      </c>
      <c r="B2688" s="1" t="s">
        <v>4875</v>
      </c>
      <c r="D2688" s="1" t="s">
        <v>4876</v>
      </c>
      <c r="F2688" s="1" t="s">
        <v>4880</v>
      </c>
      <c r="H2688" s="1" t="s">
        <v>4881</v>
      </c>
      <c r="N2688" s="1" t="s">
        <v>4539</v>
      </c>
      <c r="P2688" s="1" t="s">
        <v>11403</v>
      </c>
      <c r="Q2688" s="30" t="s">
        <v>2565</v>
      </c>
      <c r="R2688" s="33" t="s">
        <v>3473</v>
      </c>
      <c r="S2688">
        <v>37</v>
      </c>
      <c r="T2688" s="1" t="s">
        <v>13878</v>
      </c>
      <c r="U2688" s="1" t="str">
        <f>HYPERLINK("http://ictvonline.org/taxonomy/p/taxonomy-history?taxnode_id=202100444","ICTVonline=202100444")</f>
        <v>ICTVonline=202100444</v>
      </c>
    </row>
    <row r="2689" spans="1:21" x14ac:dyDescent="0.2">
      <c r="A2689" s="3">
        <v>2688</v>
      </c>
      <c r="B2689" s="1" t="s">
        <v>4875</v>
      </c>
      <c r="D2689" s="1" t="s">
        <v>4876</v>
      </c>
      <c r="F2689" s="1" t="s">
        <v>4880</v>
      </c>
      <c r="H2689" s="1" t="s">
        <v>4881</v>
      </c>
      <c r="N2689" s="1" t="s">
        <v>4539</v>
      </c>
      <c r="P2689" s="1" t="s">
        <v>11404</v>
      </c>
      <c r="Q2689" s="30" t="s">
        <v>2565</v>
      </c>
      <c r="R2689" s="33" t="s">
        <v>3473</v>
      </c>
      <c r="S2689">
        <v>37</v>
      </c>
      <c r="T2689" s="1" t="s">
        <v>13878</v>
      </c>
      <c r="U2689" s="1" t="str">
        <f>HYPERLINK("http://ictvonline.org/taxonomy/p/taxonomy-history?taxnode_id=202100445","ICTVonline=202100445")</f>
        <v>ICTVonline=202100445</v>
      </c>
    </row>
    <row r="2690" spans="1:21" x14ac:dyDescent="0.2">
      <c r="A2690" s="3">
        <v>2689</v>
      </c>
      <c r="B2690" s="1" t="s">
        <v>4875</v>
      </c>
      <c r="D2690" s="1" t="s">
        <v>4876</v>
      </c>
      <c r="F2690" s="1" t="s">
        <v>4880</v>
      </c>
      <c r="H2690" s="1" t="s">
        <v>4881</v>
      </c>
      <c r="N2690" s="1" t="s">
        <v>4539</v>
      </c>
      <c r="P2690" s="1" t="s">
        <v>11405</v>
      </c>
      <c r="Q2690" s="30" t="s">
        <v>2565</v>
      </c>
      <c r="R2690" s="33" t="s">
        <v>3473</v>
      </c>
      <c r="S2690">
        <v>37</v>
      </c>
      <c r="T2690" s="1" t="s">
        <v>13878</v>
      </c>
      <c r="U2690" s="1" t="str">
        <f>HYPERLINK("http://ictvonline.org/taxonomy/p/taxonomy-history?taxnode_id=202100446","ICTVonline=202100446")</f>
        <v>ICTVonline=202100446</v>
      </c>
    </row>
    <row r="2691" spans="1:21" x14ac:dyDescent="0.2">
      <c r="A2691" s="3">
        <v>2690</v>
      </c>
      <c r="B2691" s="1" t="s">
        <v>4875</v>
      </c>
      <c r="D2691" s="1" t="s">
        <v>4876</v>
      </c>
      <c r="F2691" s="1" t="s">
        <v>4880</v>
      </c>
      <c r="H2691" s="1" t="s">
        <v>4881</v>
      </c>
      <c r="N2691" s="1" t="s">
        <v>4540</v>
      </c>
      <c r="P2691" s="1" t="s">
        <v>11406</v>
      </c>
      <c r="Q2691" s="30" t="s">
        <v>2565</v>
      </c>
      <c r="R2691" s="33" t="s">
        <v>3473</v>
      </c>
      <c r="S2691">
        <v>37</v>
      </c>
      <c r="T2691" s="1" t="s">
        <v>13878</v>
      </c>
      <c r="U2691" s="1" t="str">
        <f>HYPERLINK("http://ictvonline.org/taxonomy/p/taxonomy-history?taxnode_id=202106669","ICTVonline=202106669")</f>
        <v>ICTVonline=202106669</v>
      </c>
    </row>
    <row r="2692" spans="1:21" x14ac:dyDescent="0.2">
      <c r="A2692" s="3">
        <v>2691</v>
      </c>
      <c r="B2692" s="1" t="s">
        <v>4875</v>
      </c>
      <c r="D2692" s="1" t="s">
        <v>4876</v>
      </c>
      <c r="F2692" s="1" t="s">
        <v>4880</v>
      </c>
      <c r="H2692" s="1" t="s">
        <v>4881</v>
      </c>
      <c r="N2692" s="1" t="s">
        <v>4540</v>
      </c>
      <c r="P2692" s="1" t="s">
        <v>11407</v>
      </c>
      <c r="Q2692" s="30" t="s">
        <v>2565</v>
      </c>
      <c r="R2692" s="33" t="s">
        <v>3473</v>
      </c>
      <c r="S2692">
        <v>37</v>
      </c>
      <c r="T2692" s="1" t="s">
        <v>13878</v>
      </c>
      <c r="U2692" s="1" t="str">
        <f>HYPERLINK("http://ictvonline.org/taxonomy/p/taxonomy-history?taxnode_id=202106670","ICTVonline=202106670")</f>
        <v>ICTVonline=202106670</v>
      </c>
    </row>
    <row r="2693" spans="1:21" x14ac:dyDescent="0.2">
      <c r="A2693" s="3">
        <v>2692</v>
      </c>
      <c r="B2693" s="1" t="s">
        <v>4875</v>
      </c>
      <c r="D2693" s="1" t="s">
        <v>4876</v>
      </c>
      <c r="F2693" s="1" t="s">
        <v>4880</v>
      </c>
      <c r="H2693" s="1" t="s">
        <v>4881</v>
      </c>
      <c r="N2693" s="1" t="s">
        <v>4601</v>
      </c>
      <c r="P2693" s="1" t="s">
        <v>11408</v>
      </c>
      <c r="Q2693" s="30" t="s">
        <v>2565</v>
      </c>
      <c r="R2693" s="33" t="s">
        <v>3473</v>
      </c>
      <c r="S2693">
        <v>37</v>
      </c>
      <c r="T2693" s="1" t="s">
        <v>13878</v>
      </c>
      <c r="U2693" s="1" t="str">
        <f>HYPERLINK("http://ictvonline.org/taxonomy/p/taxonomy-history?taxnode_id=202100710","ICTVonline=202100710")</f>
        <v>ICTVonline=202100710</v>
      </c>
    </row>
    <row r="2694" spans="1:21" x14ac:dyDescent="0.2">
      <c r="A2694" s="3">
        <v>2693</v>
      </c>
      <c r="B2694" s="1" t="s">
        <v>4875</v>
      </c>
      <c r="D2694" s="1" t="s">
        <v>4876</v>
      </c>
      <c r="F2694" s="1" t="s">
        <v>4880</v>
      </c>
      <c r="H2694" s="1" t="s">
        <v>4881</v>
      </c>
      <c r="N2694" s="1" t="s">
        <v>4601</v>
      </c>
      <c r="P2694" s="1" t="s">
        <v>11409</v>
      </c>
      <c r="Q2694" s="30" t="s">
        <v>2565</v>
      </c>
      <c r="R2694" s="33" t="s">
        <v>3473</v>
      </c>
      <c r="S2694">
        <v>37</v>
      </c>
      <c r="T2694" s="1" t="s">
        <v>13878</v>
      </c>
      <c r="U2694" s="1" t="str">
        <f>HYPERLINK("http://ictvonline.org/taxonomy/p/taxonomy-history?taxnode_id=202100711","ICTVonline=202100711")</f>
        <v>ICTVonline=202100711</v>
      </c>
    </row>
    <row r="2695" spans="1:21" x14ac:dyDescent="0.2">
      <c r="A2695" s="3">
        <v>2694</v>
      </c>
      <c r="B2695" s="1" t="s">
        <v>4875</v>
      </c>
      <c r="D2695" s="1" t="s">
        <v>4876</v>
      </c>
      <c r="F2695" s="1" t="s">
        <v>4880</v>
      </c>
      <c r="H2695" s="1" t="s">
        <v>4881</v>
      </c>
      <c r="N2695" s="1" t="s">
        <v>4601</v>
      </c>
      <c r="P2695" s="1" t="s">
        <v>11410</v>
      </c>
      <c r="Q2695" s="30" t="s">
        <v>2565</v>
      </c>
      <c r="R2695" s="33" t="s">
        <v>3473</v>
      </c>
      <c r="S2695">
        <v>37</v>
      </c>
      <c r="T2695" s="1" t="s">
        <v>13878</v>
      </c>
      <c r="U2695" s="1" t="str">
        <f>HYPERLINK("http://ictvonline.org/taxonomy/p/taxonomy-history?taxnode_id=202100712","ICTVonline=202100712")</f>
        <v>ICTVonline=202100712</v>
      </c>
    </row>
    <row r="2696" spans="1:21" x14ac:dyDescent="0.2">
      <c r="A2696" s="3">
        <v>2695</v>
      </c>
      <c r="B2696" s="1" t="s">
        <v>4875</v>
      </c>
      <c r="D2696" s="1" t="s">
        <v>4876</v>
      </c>
      <c r="F2696" s="1" t="s">
        <v>4880</v>
      </c>
      <c r="H2696" s="1" t="s">
        <v>4881</v>
      </c>
      <c r="N2696" s="1" t="s">
        <v>5109</v>
      </c>
      <c r="P2696" s="1" t="s">
        <v>11411</v>
      </c>
      <c r="Q2696" s="30" t="s">
        <v>2565</v>
      </c>
      <c r="R2696" s="33" t="s">
        <v>3473</v>
      </c>
      <c r="S2696">
        <v>37</v>
      </c>
      <c r="T2696" s="1" t="s">
        <v>13878</v>
      </c>
      <c r="U2696" s="1" t="str">
        <f>HYPERLINK("http://ictvonline.org/taxonomy/p/taxonomy-history?taxnode_id=202108048","ICTVonline=202108048")</f>
        <v>ICTVonline=202108048</v>
      </c>
    </row>
    <row r="2697" spans="1:21" x14ac:dyDescent="0.2">
      <c r="A2697" s="3">
        <v>2696</v>
      </c>
      <c r="B2697" s="1" t="s">
        <v>4875</v>
      </c>
      <c r="D2697" s="1" t="s">
        <v>4876</v>
      </c>
      <c r="F2697" s="1" t="s">
        <v>4880</v>
      </c>
      <c r="H2697" s="1" t="s">
        <v>4881</v>
      </c>
      <c r="N2697" s="1" t="s">
        <v>4541</v>
      </c>
      <c r="P2697" s="1" t="s">
        <v>11412</v>
      </c>
      <c r="Q2697" s="30" t="s">
        <v>2565</v>
      </c>
      <c r="R2697" s="33" t="s">
        <v>3473</v>
      </c>
      <c r="S2697">
        <v>37</v>
      </c>
      <c r="T2697" s="1" t="s">
        <v>13878</v>
      </c>
      <c r="U2697" s="1" t="str">
        <f>HYPERLINK("http://ictvonline.org/taxonomy/p/taxonomy-history?taxnode_id=202105480","ICTVonline=202105480")</f>
        <v>ICTVonline=202105480</v>
      </c>
    </row>
    <row r="2698" spans="1:21" x14ac:dyDescent="0.2">
      <c r="A2698" s="3">
        <v>2697</v>
      </c>
      <c r="B2698" s="1" t="s">
        <v>4875</v>
      </c>
      <c r="D2698" s="1" t="s">
        <v>4876</v>
      </c>
      <c r="F2698" s="1" t="s">
        <v>4880</v>
      </c>
      <c r="H2698" s="1" t="s">
        <v>4881</v>
      </c>
      <c r="N2698" s="1" t="s">
        <v>4541</v>
      </c>
      <c r="P2698" s="1" t="s">
        <v>11413</v>
      </c>
      <c r="Q2698" s="30" t="s">
        <v>2565</v>
      </c>
      <c r="R2698" s="33" t="s">
        <v>3473</v>
      </c>
      <c r="S2698">
        <v>37</v>
      </c>
      <c r="T2698" s="1" t="s">
        <v>13878</v>
      </c>
      <c r="U2698" s="1" t="str">
        <f>HYPERLINK("http://ictvonline.org/taxonomy/p/taxonomy-history?taxnode_id=202105481","ICTVonline=202105481")</f>
        <v>ICTVonline=202105481</v>
      </c>
    </row>
    <row r="2699" spans="1:21" x14ac:dyDescent="0.2">
      <c r="A2699" s="3">
        <v>2698</v>
      </c>
      <c r="B2699" s="1" t="s">
        <v>4875</v>
      </c>
      <c r="D2699" s="1" t="s">
        <v>4876</v>
      </c>
      <c r="F2699" s="1" t="s">
        <v>4880</v>
      </c>
      <c r="H2699" s="1" t="s">
        <v>4881</v>
      </c>
      <c r="N2699" s="1" t="s">
        <v>5110</v>
      </c>
      <c r="P2699" s="1" t="s">
        <v>11414</v>
      </c>
      <c r="Q2699" s="30" t="s">
        <v>2565</v>
      </c>
      <c r="R2699" s="33" t="s">
        <v>3473</v>
      </c>
      <c r="S2699">
        <v>37</v>
      </c>
      <c r="T2699" s="1" t="s">
        <v>13878</v>
      </c>
      <c r="U2699" s="1" t="str">
        <f>HYPERLINK("http://ictvonline.org/taxonomy/p/taxonomy-history?taxnode_id=202107779","ICTVonline=202107779")</f>
        <v>ICTVonline=202107779</v>
      </c>
    </row>
    <row r="2700" spans="1:21" x14ac:dyDescent="0.2">
      <c r="A2700" s="3">
        <v>2699</v>
      </c>
      <c r="B2700" s="1" t="s">
        <v>4875</v>
      </c>
      <c r="D2700" s="1" t="s">
        <v>4876</v>
      </c>
      <c r="F2700" s="1" t="s">
        <v>4880</v>
      </c>
      <c r="H2700" s="1" t="s">
        <v>4881</v>
      </c>
      <c r="N2700" s="1" t="s">
        <v>5110</v>
      </c>
      <c r="P2700" s="1" t="s">
        <v>11415</v>
      </c>
      <c r="Q2700" s="30" t="s">
        <v>2565</v>
      </c>
      <c r="R2700" s="33" t="s">
        <v>3473</v>
      </c>
      <c r="S2700">
        <v>37</v>
      </c>
      <c r="T2700" s="1" t="s">
        <v>13878</v>
      </c>
      <c r="U2700" s="1" t="str">
        <f>HYPERLINK("http://ictvonline.org/taxonomy/p/taxonomy-history?taxnode_id=202107778","ICTVonline=202107778")</f>
        <v>ICTVonline=202107778</v>
      </c>
    </row>
    <row r="2701" spans="1:21" x14ac:dyDescent="0.2">
      <c r="A2701" s="3">
        <v>2700</v>
      </c>
      <c r="B2701" s="1" t="s">
        <v>4875</v>
      </c>
      <c r="D2701" s="1" t="s">
        <v>4876</v>
      </c>
      <c r="F2701" s="1" t="s">
        <v>4880</v>
      </c>
      <c r="H2701" s="1" t="s">
        <v>4881</v>
      </c>
      <c r="N2701" s="1" t="s">
        <v>5110</v>
      </c>
      <c r="P2701" s="1" t="s">
        <v>11416</v>
      </c>
      <c r="Q2701" s="30" t="s">
        <v>2565</v>
      </c>
      <c r="R2701" s="33" t="s">
        <v>3473</v>
      </c>
      <c r="S2701">
        <v>37</v>
      </c>
      <c r="T2701" s="1" t="s">
        <v>13878</v>
      </c>
      <c r="U2701" s="1" t="str">
        <f>HYPERLINK("http://ictvonline.org/taxonomy/p/taxonomy-history?taxnode_id=202107780","ICTVonline=202107780")</f>
        <v>ICTVonline=202107780</v>
      </c>
    </row>
    <row r="2702" spans="1:21" x14ac:dyDescent="0.2">
      <c r="A2702" s="3">
        <v>2701</v>
      </c>
      <c r="B2702" s="1" t="s">
        <v>4875</v>
      </c>
      <c r="D2702" s="1" t="s">
        <v>4876</v>
      </c>
      <c r="F2702" s="1" t="s">
        <v>4880</v>
      </c>
      <c r="H2702" s="1" t="s">
        <v>4881</v>
      </c>
      <c r="N2702" s="1" t="s">
        <v>4672</v>
      </c>
      <c r="P2702" s="1" t="s">
        <v>11417</v>
      </c>
      <c r="Q2702" s="30" t="s">
        <v>2565</v>
      </c>
      <c r="R2702" s="33" t="s">
        <v>3473</v>
      </c>
      <c r="S2702">
        <v>37</v>
      </c>
      <c r="T2702" s="1" t="s">
        <v>13878</v>
      </c>
      <c r="U2702" s="1" t="str">
        <f>HYPERLINK("http://ictvonline.org/taxonomy/p/taxonomy-history?taxnode_id=202106424","ICTVonline=202106424")</f>
        <v>ICTVonline=202106424</v>
      </c>
    </row>
    <row r="2703" spans="1:21" x14ac:dyDescent="0.2">
      <c r="A2703" s="3">
        <v>2702</v>
      </c>
      <c r="B2703" s="1" t="s">
        <v>4875</v>
      </c>
      <c r="D2703" s="1" t="s">
        <v>4876</v>
      </c>
      <c r="F2703" s="1" t="s">
        <v>4880</v>
      </c>
      <c r="H2703" s="1" t="s">
        <v>4881</v>
      </c>
      <c r="N2703" s="1" t="s">
        <v>5194</v>
      </c>
      <c r="P2703" s="1" t="s">
        <v>11418</v>
      </c>
      <c r="Q2703" s="30" t="s">
        <v>2565</v>
      </c>
      <c r="R2703" s="33" t="s">
        <v>3473</v>
      </c>
      <c r="S2703">
        <v>37</v>
      </c>
      <c r="T2703" s="1" t="s">
        <v>13878</v>
      </c>
      <c r="U2703" s="1" t="str">
        <f>HYPERLINK("http://ictvonline.org/taxonomy/p/taxonomy-history?taxnode_id=202107273","ICTVonline=202107273")</f>
        <v>ICTVonline=202107273</v>
      </c>
    </row>
    <row r="2704" spans="1:21" x14ac:dyDescent="0.2">
      <c r="A2704" s="3">
        <v>2703</v>
      </c>
      <c r="B2704" s="1" t="s">
        <v>4875</v>
      </c>
      <c r="D2704" s="1" t="s">
        <v>4876</v>
      </c>
      <c r="F2704" s="1" t="s">
        <v>4880</v>
      </c>
      <c r="H2704" s="1" t="s">
        <v>4881</v>
      </c>
      <c r="N2704" s="1" t="s">
        <v>5194</v>
      </c>
      <c r="P2704" s="1" t="s">
        <v>11419</v>
      </c>
      <c r="Q2704" s="30" t="s">
        <v>2565</v>
      </c>
      <c r="R2704" s="33" t="s">
        <v>3472</v>
      </c>
      <c r="S2704">
        <v>37</v>
      </c>
      <c r="T2704" s="1" t="s">
        <v>13940</v>
      </c>
      <c r="U2704" s="1" t="str">
        <f>HYPERLINK("http://ictvonline.org/taxonomy/p/taxonomy-history?taxnode_id=202113523","ICTVonline=202113523")</f>
        <v>ICTVonline=202113523</v>
      </c>
    </row>
    <row r="2705" spans="1:21" x14ac:dyDescent="0.2">
      <c r="A2705" s="3">
        <v>2704</v>
      </c>
      <c r="B2705" s="1" t="s">
        <v>4875</v>
      </c>
      <c r="D2705" s="1" t="s">
        <v>4876</v>
      </c>
      <c r="F2705" s="1" t="s">
        <v>4880</v>
      </c>
      <c r="H2705" s="1" t="s">
        <v>4881</v>
      </c>
      <c r="N2705" s="1" t="s">
        <v>5194</v>
      </c>
      <c r="P2705" s="1" t="s">
        <v>11420</v>
      </c>
      <c r="Q2705" s="30" t="s">
        <v>2565</v>
      </c>
      <c r="R2705" s="33" t="s">
        <v>3472</v>
      </c>
      <c r="S2705">
        <v>37</v>
      </c>
      <c r="T2705" s="1" t="s">
        <v>13940</v>
      </c>
      <c r="U2705" s="1" t="str">
        <f>HYPERLINK("http://ictvonline.org/taxonomy/p/taxonomy-history?taxnode_id=202113524","ICTVonline=202113524")</f>
        <v>ICTVonline=202113524</v>
      </c>
    </row>
    <row r="2706" spans="1:21" x14ac:dyDescent="0.2">
      <c r="A2706" s="3">
        <v>2705</v>
      </c>
      <c r="B2706" s="1" t="s">
        <v>4875</v>
      </c>
      <c r="D2706" s="1" t="s">
        <v>4876</v>
      </c>
      <c r="F2706" s="1" t="s">
        <v>4880</v>
      </c>
      <c r="H2706" s="1" t="s">
        <v>4881</v>
      </c>
      <c r="N2706" s="1" t="s">
        <v>4673</v>
      </c>
      <c r="P2706" s="1" t="s">
        <v>11421</v>
      </c>
      <c r="Q2706" s="30" t="s">
        <v>2565</v>
      </c>
      <c r="R2706" s="33" t="s">
        <v>3473</v>
      </c>
      <c r="S2706">
        <v>37</v>
      </c>
      <c r="T2706" s="1" t="s">
        <v>13878</v>
      </c>
      <c r="U2706" s="1" t="str">
        <f>HYPERLINK("http://ictvonline.org/taxonomy/p/taxonomy-history?taxnode_id=202106560","ICTVonline=202106560")</f>
        <v>ICTVonline=202106560</v>
      </c>
    </row>
    <row r="2707" spans="1:21" x14ac:dyDescent="0.2">
      <c r="A2707" s="3">
        <v>2706</v>
      </c>
      <c r="B2707" s="1" t="s">
        <v>4875</v>
      </c>
      <c r="D2707" s="1" t="s">
        <v>4876</v>
      </c>
      <c r="F2707" s="1" t="s">
        <v>4880</v>
      </c>
      <c r="H2707" s="1" t="s">
        <v>4881</v>
      </c>
      <c r="N2707" s="1" t="s">
        <v>6181</v>
      </c>
      <c r="P2707" s="1" t="s">
        <v>11422</v>
      </c>
      <c r="Q2707" s="30" t="s">
        <v>2565</v>
      </c>
      <c r="R2707" s="33" t="s">
        <v>3473</v>
      </c>
      <c r="S2707">
        <v>37</v>
      </c>
      <c r="T2707" s="1" t="s">
        <v>13878</v>
      </c>
      <c r="U2707" s="1" t="str">
        <f>HYPERLINK("http://ictvonline.org/taxonomy/p/taxonomy-history?taxnode_id=202110174","ICTVonline=202110174")</f>
        <v>ICTVonline=202110174</v>
      </c>
    </row>
    <row r="2708" spans="1:21" x14ac:dyDescent="0.2">
      <c r="A2708" s="3">
        <v>2707</v>
      </c>
      <c r="B2708" s="1" t="s">
        <v>4875</v>
      </c>
      <c r="D2708" s="1" t="s">
        <v>4876</v>
      </c>
      <c r="F2708" s="1" t="s">
        <v>4880</v>
      </c>
      <c r="H2708" s="1" t="s">
        <v>4881</v>
      </c>
      <c r="N2708" s="1" t="s">
        <v>5195</v>
      </c>
      <c r="P2708" s="1" t="s">
        <v>11423</v>
      </c>
      <c r="Q2708" s="30" t="s">
        <v>2565</v>
      </c>
      <c r="R2708" s="33" t="s">
        <v>3473</v>
      </c>
      <c r="S2708">
        <v>37</v>
      </c>
      <c r="T2708" s="1" t="s">
        <v>13878</v>
      </c>
      <c r="U2708" s="1" t="str">
        <f>HYPERLINK("http://ictvonline.org/taxonomy/p/taxonomy-history?taxnode_id=202107842","ICTVonline=202107842")</f>
        <v>ICTVonline=202107842</v>
      </c>
    </row>
    <row r="2709" spans="1:21" x14ac:dyDescent="0.2">
      <c r="A2709" s="3">
        <v>2708</v>
      </c>
      <c r="B2709" s="1" t="s">
        <v>4875</v>
      </c>
      <c r="D2709" s="1" t="s">
        <v>4876</v>
      </c>
      <c r="F2709" s="1" t="s">
        <v>4880</v>
      </c>
      <c r="H2709" s="1" t="s">
        <v>4881</v>
      </c>
      <c r="N2709" s="1" t="s">
        <v>5195</v>
      </c>
      <c r="P2709" s="1" t="s">
        <v>11424</v>
      </c>
      <c r="Q2709" s="30" t="s">
        <v>2565</v>
      </c>
      <c r="R2709" s="33" t="s">
        <v>3473</v>
      </c>
      <c r="S2709">
        <v>37</v>
      </c>
      <c r="T2709" s="1" t="s">
        <v>13878</v>
      </c>
      <c r="U2709" s="1" t="str">
        <f>HYPERLINK("http://ictvonline.org/taxonomy/p/taxonomy-history?taxnode_id=202107841","ICTVonline=202107841")</f>
        <v>ICTVonline=202107841</v>
      </c>
    </row>
    <row r="2710" spans="1:21" x14ac:dyDescent="0.2">
      <c r="A2710" s="3">
        <v>2709</v>
      </c>
      <c r="B2710" s="1" t="s">
        <v>4875</v>
      </c>
      <c r="D2710" s="1" t="s">
        <v>4876</v>
      </c>
      <c r="F2710" s="1" t="s">
        <v>4880</v>
      </c>
      <c r="H2710" s="1" t="s">
        <v>4881</v>
      </c>
      <c r="N2710" s="1" t="s">
        <v>6182</v>
      </c>
      <c r="P2710" s="1" t="s">
        <v>11425</v>
      </c>
      <c r="Q2710" s="30" t="s">
        <v>2565</v>
      </c>
      <c r="R2710" s="33" t="s">
        <v>3473</v>
      </c>
      <c r="S2710">
        <v>37</v>
      </c>
      <c r="T2710" s="1" t="s">
        <v>13878</v>
      </c>
      <c r="U2710" s="1" t="str">
        <f>HYPERLINK("http://ictvonline.org/taxonomy/p/taxonomy-history?taxnode_id=202110004","ICTVonline=202110004")</f>
        <v>ICTVonline=202110004</v>
      </c>
    </row>
    <row r="2711" spans="1:21" x14ac:dyDescent="0.2">
      <c r="A2711" s="3">
        <v>2710</v>
      </c>
      <c r="B2711" s="1" t="s">
        <v>4875</v>
      </c>
      <c r="D2711" s="1" t="s">
        <v>4876</v>
      </c>
      <c r="F2711" s="1" t="s">
        <v>4880</v>
      </c>
      <c r="H2711" s="1" t="s">
        <v>4881</v>
      </c>
      <c r="N2711" s="1" t="s">
        <v>6182</v>
      </c>
      <c r="P2711" s="1" t="s">
        <v>11426</v>
      </c>
      <c r="Q2711" s="30" t="s">
        <v>2565</v>
      </c>
      <c r="R2711" s="33" t="s">
        <v>3473</v>
      </c>
      <c r="S2711">
        <v>37</v>
      </c>
      <c r="T2711" s="1" t="s">
        <v>13878</v>
      </c>
      <c r="U2711" s="1" t="str">
        <f>HYPERLINK("http://ictvonline.org/taxonomy/p/taxonomy-history?taxnode_id=202101279","ICTVonline=202101279")</f>
        <v>ICTVonline=202101279</v>
      </c>
    </row>
    <row r="2712" spans="1:21" x14ac:dyDescent="0.2">
      <c r="A2712" s="3">
        <v>2711</v>
      </c>
      <c r="B2712" s="1" t="s">
        <v>4875</v>
      </c>
      <c r="D2712" s="1" t="s">
        <v>4876</v>
      </c>
      <c r="F2712" s="1" t="s">
        <v>4880</v>
      </c>
      <c r="H2712" s="1" t="s">
        <v>4881</v>
      </c>
      <c r="N2712" s="1" t="s">
        <v>6182</v>
      </c>
      <c r="P2712" s="1" t="s">
        <v>11427</v>
      </c>
      <c r="Q2712" s="30" t="s">
        <v>2565</v>
      </c>
      <c r="R2712" s="33" t="s">
        <v>3473</v>
      </c>
      <c r="S2712">
        <v>37</v>
      </c>
      <c r="T2712" s="1" t="s">
        <v>13878</v>
      </c>
      <c r="U2712" s="1" t="str">
        <f>HYPERLINK("http://ictvonline.org/taxonomy/p/taxonomy-history?taxnode_id=202110009","ICTVonline=202110009")</f>
        <v>ICTVonline=202110009</v>
      </c>
    </row>
    <row r="2713" spans="1:21" x14ac:dyDescent="0.2">
      <c r="A2713" s="3">
        <v>2712</v>
      </c>
      <c r="B2713" s="1" t="s">
        <v>4875</v>
      </c>
      <c r="D2713" s="1" t="s">
        <v>4876</v>
      </c>
      <c r="F2713" s="1" t="s">
        <v>4880</v>
      </c>
      <c r="H2713" s="1" t="s">
        <v>4881</v>
      </c>
      <c r="N2713" s="1" t="s">
        <v>6182</v>
      </c>
      <c r="P2713" s="1" t="s">
        <v>11428</v>
      </c>
      <c r="Q2713" s="30" t="s">
        <v>2565</v>
      </c>
      <c r="R2713" s="33" t="s">
        <v>3473</v>
      </c>
      <c r="S2713">
        <v>37</v>
      </c>
      <c r="T2713" s="1" t="s">
        <v>13878</v>
      </c>
      <c r="U2713" s="1" t="str">
        <f>HYPERLINK("http://ictvonline.org/taxonomy/p/taxonomy-history?taxnode_id=202110012","ICTVonline=202110012")</f>
        <v>ICTVonline=202110012</v>
      </c>
    </row>
    <row r="2714" spans="1:21" x14ac:dyDescent="0.2">
      <c r="A2714" s="3">
        <v>2713</v>
      </c>
      <c r="B2714" s="1" t="s">
        <v>4875</v>
      </c>
      <c r="D2714" s="1" t="s">
        <v>4876</v>
      </c>
      <c r="F2714" s="1" t="s">
        <v>4880</v>
      </c>
      <c r="H2714" s="1" t="s">
        <v>4881</v>
      </c>
      <c r="N2714" s="1" t="s">
        <v>6182</v>
      </c>
      <c r="P2714" s="1" t="s">
        <v>11429</v>
      </c>
      <c r="Q2714" s="30" t="s">
        <v>2565</v>
      </c>
      <c r="R2714" s="33" t="s">
        <v>3473</v>
      </c>
      <c r="S2714">
        <v>37</v>
      </c>
      <c r="T2714" s="1" t="s">
        <v>13878</v>
      </c>
      <c r="U2714" s="1" t="str">
        <f>HYPERLINK("http://ictvonline.org/taxonomy/p/taxonomy-history?taxnode_id=202101280","ICTVonline=202101280")</f>
        <v>ICTVonline=202101280</v>
      </c>
    </row>
    <row r="2715" spans="1:21" x14ac:dyDescent="0.2">
      <c r="A2715" s="3">
        <v>2714</v>
      </c>
      <c r="B2715" s="1" t="s">
        <v>4875</v>
      </c>
      <c r="D2715" s="1" t="s">
        <v>4876</v>
      </c>
      <c r="F2715" s="1" t="s">
        <v>4880</v>
      </c>
      <c r="H2715" s="1" t="s">
        <v>4881</v>
      </c>
      <c r="N2715" s="1" t="s">
        <v>6182</v>
      </c>
      <c r="P2715" s="1" t="s">
        <v>11430</v>
      </c>
      <c r="Q2715" s="30" t="s">
        <v>2565</v>
      </c>
      <c r="R2715" s="33" t="s">
        <v>3473</v>
      </c>
      <c r="S2715">
        <v>37</v>
      </c>
      <c r="T2715" s="1" t="s">
        <v>13878</v>
      </c>
      <c r="U2715" s="1" t="str">
        <f>HYPERLINK("http://ictvonline.org/taxonomy/p/taxonomy-history?taxnode_id=202110000","ICTVonline=202110000")</f>
        <v>ICTVonline=202110000</v>
      </c>
    </row>
    <row r="2716" spans="1:21" x14ac:dyDescent="0.2">
      <c r="A2716" s="3">
        <v>2715</v>
      </c>
      <c r="B2716" s="1" t="s">
        <v>4875</v>
      </c>
      <c r="D2716" s="1" t="s">
        <v>4876</v>
      </c>
      <c r="F2716" s="1" t="s">
        <v>4880</v>
      </c>
      <c r="H2716" s="1" t="s">
        <v>4881</v>
      </c>
      <c r="N2716" s="1" t="s">
        <v>6182</v>
      </c>
      <c r="P2716" s="1" t="s">
        <v>11431</v>
      </c>
      <c r="Q2716" s="30" t="s">
        <v>2565</v>
      </c>
      <c r="R2716" s="33" t="s">
        <v>3473</v>
      </c>
      <c r="S2716">
        <v>37</v>
      </c>
      <c r="T2716" s="1" t="s">
        <v>13878</v>
      </c>
      <c r="U2716" s="1" t="str">
        <f>HYPERLINK("http://ictvonline.org/taxonomy/p/taxonomy-history?taxnode_id=202110007","ICTVonline=202110007")</f>
        <v>ICTVonline=202110007</v>
      </c>
    </row>
    <row r="2717" spans="1:21" x14ac:dyDescent="0.2">
      <c r="A2717" s="3">
        <v>2716</v>
      </c>
      <c r="B2717" s="1" t="s">
        <v>4875</v>
      </c>
      <c r="D2717" s="1" t="s">
        <v>4876</v>
      </c>
      <c r="F2717" s="1" t="s">
        <v>4880</v>
      </c>
      <c r="H2717" s="1" t="s">
        <v>4881</v>
      </c>
      <c r="N2717" s="1" t="s">
        <v>6182</v>
      </c>
      <c r="P2717" s="1" t="s">
        <v>11432</v>
      </c>
      <c r="Q2717" s="30" t="s">
        <v>2565</v>
      </c>
      <c r="R2717" s="33" t="s">
        <v>3473</v>
      </c>
      <c r="S2717">
        <v>37</v>
      </c>
      <c r="T2717" s="1" t="s">
        <v>13878</v>
      </c>
      <c r="U2717" s="1" t="str">
        <f>HYPERLINK("http://ictvonline.org/taxonomy/p/taxonomy-history?taxnode_id=202110002","ICTVonline=202110002")</f>
        <v>ICTVonline=202110002</v>
      </c>
    </row>
    <row r="2718" spans="1:21" x14ac:dyDescent="0.2">
      <c r="A2718" s="3">
        <v>2717</v>
      </c>
      <c r="B2718" s="1" t="s">
        <v>4875</v>
      </c>
      <c r="D2718" s="1" t="s">
        <v>4876</v>
      </c>
      <c r="F2718" s="1" t="s">
        <v>4880</v>
      </c>
      <c r="H2718" s="1" t="s">
        <v>4881</v>
      </c>
      <c r="N2718" s="1" t="s">
        <v>6182</v>
      </c>
      <c r="P2718" s="1" t="s">
        <v>11433</v>
      </c>
      <c r="Q2718" s="30" t="s">
        <v>2565</v>
      </c>
      <c r="R2718" s="33" t="s">
        <v>3473</v>
      </c>
      <c r="S2718">
        <v>37</v>
      </c>
      <c r="T2718" s="1" t="s">
        <v>13878</v>
      </c>
      <c r="U2718" s="1" t="str">
        <f>HYPERLINK("http://ictvonline.org/taxonomy/p/taxonomy-history?taxnode_id=202110001","ICTVonline=202110001")</f>
        <v>ICTVonline=202110001</v>
      </c>
    </row>
    <row r="2719" spans="1:21" x14ac:dyDescent="0.2">
      <c r="A2719" s="3">
        <v>2718</v>
      </c>
      <c r="B2719" s="1" t="s">
        <v>4875</v>
      </c>
      <c r="D2719" s="1" t="s">
        <v>4876</v>
      </c>
      <c r="F2719" s="1" t="s">
        <v>4880</v>
      </c>
      <c r="H2719" s="1" t="s">
        <v>4881</v>
      </c>
      <c r="N2719" s="1" t="s">
        <v>6182</v>
      </c>
      <c r="P2719" s="1" t="s">
        <v>11434</v>
      </c>
      <c r="Q2719" s="30" t="s">
        <v>2565</v>
      </c>
      <c r="R2719" s="33" t="s">
        <v>3473</v>
      </c>
      <c r="S2719">
        <v>37</v>
      </c>
      <c r="T2719" s="1" t="s">
        <v>13878</v>
      </c>
      <c r="U2719" s="1" t="str">
        <f>HYPERLINK("http://ictvonline.org/taxonomy/p/taxonomy-history?taxnode_id=202110008","ICTVonline=202110008")</f>
        <v>ICTVonline=202110008</v>
      </c>
    </row>
    <row r="2720" spans="1:21" x14ac:dyDescent="0.2">
      <c r="A2720" s="3">
        <v>2719</v>
      </c>
      <c r="B2720" s="1" t="s">
        <v>4875</v>
      </c>
      <c r="D2720" s="1" t="s">
        <v>4876</v>
      </c>
      <c r="F2720" s="1" t="s">
        <v>4880</v>
      </c>
      <c r="H2720" s="1" t="s">
        <v>4881</v>
      </c>
      <c r="N2720" s="1" t="s">
        <v>6182</v>
      </c>
      <c r="P2720" s="1" t="s">
        <v>11435</v>
      </c>
      <c r="Q2720" s="30" t="s">
        <v>2565</v>
      </c>
      <c r="R2720" s="33" t="s">
        <v>3473</v>
      </c>
      <c r="S2720">
        <v>37</v>
      </c>
      <c r="T2720" s="1" t="s">
        <v>13878</v>
      </c>
      <c r="U2720" s="1" t="str">
        <f>HYPERLINK("http://ictvonline.org/taxonomy/p/taxonomy-history?taxnode_id=202110010","ICTVonline=202110010")</f>
        <v>ICTVonline=202110010</v>
      </c>
    </row>
    <row r="2721" spans="1:21" x14ac:dyDescent="0.2">
      <c r="A2721" s="3">
        <v>2720</v>
      </c>
      <c r="B2721" s="1" t="s">
        <v>4875</v>
      </c>
      <c r="D2721" s="1" t="s">
        <v>4876</v>
      </c>
      <c r="F2721" s="1" t="s">
        <v>4880</v>
      </c>
      <c r="H2721" s="1" t="s">
        <v>4881</v>
      </c>
      <c r="N2721" s="1" t="s">
        <v>6182</v>
      </c>
      <c r="P2721" s="1" t="s">
        <v>11436</v>
      </c>
      <c r="Q2721" s="30" t="s">
        <v>2565</v>
      </c>
      <c r="R2721" s="33" t="s">
        <v>3473</v>
      </c>
      <c r="S2721">
        <v>37</v>
      </c>
      <c r="T2721" s="1" t="s">
        <v>13878</v>
      </c>
      <c r="U2721" s="1" t="str">
        <f>HYPERLINK("http://ictvonline.org/taxonomy/p/taxonomy-history?taxnode_id=202110006","ICTVonline=202110006")</f>
        <v>ICTVonline=202110006</v>
      </c>
    </row>
    <row r="2722" spans="1:21" x14ac:dyDescent="0.2">
      <c r="A2722" s="3">
        <v>2721</v>
      </c>
      <c r="B2722" s="1" t="s">
        <v>4875</v>
      </c>
      <c r="D2722" s="1" t="s">
        <v>4876</v>
      </c>
      <c r="F2722" s="1" t="s">
        <v>4880</v>
      </c>
      <c r="H2722" s="1" t="s">
        <v>4881</v>
      </c>
      <c r="N2722" s="1" t="s">
        <v>6182</v>
      </c>
      <c r="P2722" s="1" t="s">
        <v>11437</v>
      </c>
      <c r="Q2722" s="30" t="s">
        <v>2565</v>
      </c>
      <c r="R2722" s="33" t="s">
        <v>3473</v>
      </c>
      <c r="S2722">
        <v>37</v>
      </c>
      <c r="T2722" s="1" t="s">
        <v>13878</v>
      </c>
      <c r="U2722" s="1" t="str">
        <f>HYPERLINK("http://ictvonline.org/taxonomy/p/taxonomy-history?taxnode_id=202110003","ICTVonline=202110003")</f>
        <v>ICTVonline=202110003</v>
      </c>
    </row>
    <row r="2723" spans="1:21" x14ac:dyDescent="0.2">
      <c r="A2723" s="3">
        <v>2722</v>
      </c>
      <c r="B2723" s="1" t="s">
        <v>4875</v>
      </c>
      <c r="D2723" s="1" t="s">
        <v>4876</v>
      </c>
      <c r="F2723" s="1" t="s">
        <v>4880</v>
      </c>
      <c r="H2723" s="1" t="s">
        <v>4881</v>
      </c>
      <c r="N2723" s="1" t="s">
        <v>6182</v>
      </c>
      <c r="P2723" s="1" t="s">
        <v>11438</v>
      </c>
      <c r="Q2723" s="30" t="s">
        <v>2565</v>
      </c>
      <c r="R2723" s="33" t="s">
        <v>3473</v>
      </c>
      <c r="S2723">
        <v>37</v>
      </c>
      <c r="T2723" s="1" t="s">
        <v>13878</v>
      </c>
      <c r="U2723" s="1" t="str">
        <f>HYPERLINK("http://ictvonline.org/taxonomy/p/taxonomy-history?taxnode_id=202101281","ICTVonline=202101281")</f>
        <v>ICTVonline=202101281</v>
      </c>
    </row>
    <row r="2724" spans="1:21" x14ac:dyDescent="0.2">
      <c r="A2724" s="3">
        <v>2723</v>
      </c>
      <c r="B2724" s="1" t="s">
        <v>4875</v>
      </c>
      <c r="D2724" s="1" t="s">
        <v>4876</v>
      </c>
      <c r="F2724" s="1" t="s">
        <v>4880</v>
      </c>
      <c r="H2724" s="1" t="s">
        <v>4881</v>
      </c>
      <c r="N2724" s="1" t="s">
        <v>6182</v>
      </c>
      <c r="P2724" s="1" t="s">
        <v>11439</v>
      </c>
      <c r="Q2724" s="30" t="s">
        <v>2565</v>
      </c>
      <c r="R2724" s="33" t="s">
        <v>3473</v>
      </c>
      <c r="S2724">
        <v>37</v>
      </c>
      <c r="T2724" s="1" t="s">
        <v>13878</v>
      </c>
      <c r="U2724" s="1" t="str">
        <f>HYPERLINK("http://ictvonline.org/taxonomy/p/taxonomy-history?taxnode_id=202101282","ICTVonline=202101282")</f>
        <v>ICTVonline=202101282</v>
      </c>
    </row>
    <row r="2725" spans="1:21" x14ac:dyDescent="0.2">
      <c r="A2725" s="3">
        <v>2724</v>
      </c>
      <c r="B2725" s="1" t="s">
        <v>4875</v>
      </c>
      <c r="D2725" s="1" t="s">
        <v>4876</v>
      </c>
      <c r="F2725" s="1" t="s">
        <v>4880</v>
      </c>
      <c r="H2725" s="1" t="s">
        <v>4881</v>
      </c>
      <c r="N2725" s="1" t="s">
        <v>6182</v>
      </c>
      <c r="P2725" s="1" t="s">
        <v>11440</v>
      </c>
      <c r="Q2725" s="30" t="s">
        <v>2565</v>
      </c>
      <c r="R2725" s="33" t="s">
        <v>3473</v>
      </c>
      <c r="S2725">
        <v>37</v>
      </c>
      <c r="T2725" s="1" t="s">
        <v>13878</v>
      </c>
      <c r="U2725" s="1" t="str">
        <f>HYPERLINK("http://ictvonline.org/taxonomy/p/taxonomy-history?taxnode_id=202101283","ICTVonline=202101283")</f>
        <v>ICTVonline=202101283</v>
      </c>
    </row>
    <row r="2726" spans="1:21" x14ac:dyDescent="0.2">
      <c r="A2726" s="3">
        <v>2725</v>
      </c>
      <c r="B2726" s="1" t="s">
        <v>4875</v>
      </c>
      <c r="D2726" s="1" t="s">
        <v>4876</v>
      </c>
      <c r="F2726" s="1" t="s">
        <v>4880</v>
      </c>
      <c r="H2726" s="1" t="s">
        <v>4881</v>
      </c>
      <c r="N2726" s="1" t="s">
        <v>6182</v>
      </c>
      <c r="P2726" s="1" t="s">
        <v>11441</v>
      </c>
      <c r="Q2726" s="30" t="s">
        <v>2565</v>
      </c>
      <c r="R2726" s="33" t="s">
        <v>3473</v>
      </c>
      <c r="S2726">
        <v>37</v>
      </c>
      <c r="T2726" s="1" t="s">
        <v>13878</v>
      </c>
      <c r="U2726" s="1" t="str">
        <f>HYPERLINK("http://ictvonline.org/taxonomy/p/taxonomy-history?taxnode_id=202110005","ICTVonline=202110005")</f>
        <v>ICTVonline=202110005</v>
      </c>
    </row>
    <row r="2727" spans="1:21" x14ac:dyDescent="0.2">
      <c r="A2727" s="3">
        <v>2726</v>
      </c>
      <c r="B2727" s="1" t="s">
        <v>4875</v>
      </c>
      <c r="D2727" s="1" t="s">
        <v>4876</v>
      </c>
      <c r="F2727" s="1" t="s">
        <v>4880</v>
      </c>
      <c r="H2727" s="1" t="s">
        <v>4881</v>
      </c>
      <c r="N2727" s="1" t="s">
        <v>6182</v>
      </c>
      <c r="P2727" s="1" t="s">
        <v>11442</v>
      </c>
      <c r="Q2727" s="30" t="s">
        <v>2565</v>
      </c>
      <c r="R2727" s="33" t="s">
        <v>3473</v>
      </c>
      <c r="S2727">
        <v>37</v>
      </c>
      <c r="T2727" s="1" t="s">
        <v>13878</v>
      </c>
      <c r="U2727" s="1" t="str">
        <f>HYPERLINK("http://ictvonline.org/taxonomy/p/taxonomy-history?taxnode_id=202110011","ICTVonline=202110011")</f>
        <v>ICTVonline=202110011</v>
      </c>
    </row>
    <row r="2728" spans="1:21" x14ac:dyDescent="0.2">
      <c r="A2728" s="3">
        <v>2727</v>
      </c>
      <c r="B2728" s="1" t="s">
        <v>4875</v>
      </c>
      <c r="D2728" s="1" t="s">
        <v>4876</v>
      </c>
      <c r="F2728" s="1" t="s">
        <v>4880</v>
      </c>
      <c r="H2728" s="1" t="s">
        <v>4881</v>
      </c>
      <c r="N2728" s="1" t="s">
        <v>5196</v>
      </c>
      <c r="P2728" s="1" t="s">
        <v>11443</v>
      </c>
      <c r="Q2728" s="30" t="s">
        <v>2565</v>
      </c>
      <c r="R2728" s="33" t="s">
        <v>3473</v>
      </c>
      <c r="S2728">
        <v>37</v>
      </c>
      <c r="T2728" s="1" t="s">
        <v>13878</v>
      </c>
      <c r="U2728" s="1" t="str">
        <f>HYPERLINK("http://ictvonline.org/taxonomy/p/taxonomy-history?taxnode_id=202107845","ICTVonline=202107845")</f>
        <v>ICTVonline=202107845</v>
      </c>
    </row>
    <row r="2729" spans="1:21" x14ac:dyDescent="0.2">
      <c r="A2729" s="3">
        <v>2728</v>
      </c>
      <c r="B2729" s="1" t="s">
        <v>4875</v>
      </c>
      <c r="D2729" s="1" t="s">
        <v>4876</v>
      </c>
      <c r="F2729" s="1" t="s">
        <v>4880</v>
      </c>
      <c r="H2729" s="1" t="s">
        <v>4881</v>
      </c>
      <c r="N2729" s="1" t="s">
        <v>5196</v>
      </c>
      <c r="P2729" s="1" t="s">
        <v>11444</v>
      </c>
      <c r="Q2729" s="30" t="s">
        <v>2565</v>
      </c>
      <c r="R2729" s="33" t="s">
        <v>3473</v>
      </c>
      <c r="S2729">
        <v>37</v>
      </c>
      <c r="T2729" s="1" t="s">
        <v>13878</v>
      </c>
      <c r="U2729" s="1" t="str">
        <f>HYPERLINK("http://ictvonline.org/taxonomy/p/taxonomy-history?taxnode_id=202107844","ICTVonline=202107844")</f>
        <v>ICTVonline=202107844</v>
      </c>
    </row>
    <row r="2730" spans="1:21" x14ac:dyDescent="0.2">
      <c r="A2730" s="3">
        <v>2729</v>
      </c>
      <c r="B2730" s="1" t="s">
        <v>4875</v>
      </c>
      <c r="D2730" s="1" t="s">
        <v>4876</v>
      </c>
      <c r="F2730" s="1" t="s">
        <v>4880</v>
      </c>
      <c r="H2730" s="1" t="s">
        <v>4881</v>
      </c>
      <c r="N2730" s="1" t="s">
        <v>4542</v>
      </c>
      <c r="P2730" s="1" t="s">
        <v>11445</v>
      </c>
      <c r="Q2730" s="30" t="s">
        <v>2565</v>
      </c>
      <c r="R2730" s="33" t="s">
        <v>3473</v>
      </c>
      <c r="S2730">
        <v>37</v>
      </c>
      <c r="T2730" s="1" t="s">
        <v>13878</v>
      </c>
      <c r="U2730" s="1" t="str">
        <f>HYPERLINK("http://ictvonline.org/taxonomy/p/taxonomy-history?taxnode_id=202106949","ICTVonline=202106949")</f>
        <v>ICTVonline=202106949</v>
      </c>
    </row>
    <row r="2731" spans="1:21" x14ac:dyDescent="0.2">
      <c r="A2731" s="3">
        <v>2730</v>
      </c>
      <c r="B2731" s="1" t="s">
        <v>4875</v>
      </c>
      <c r="D2731" s="1" t="s">
        <v>4876</v>
      </c>
      <c r="F2731" s="1" t="s">
        <v>4880</v>
      </c>
      <c r="H2731" s="1" t="s">
        <v>4881</v>
      </c>
      <c r="N2731" s="1" t="s">
        <v>4542</v>
      </c>
      <c r="P2731" s="1" t="s">
        <v>11446</v>
      </c>
      <c r="Q2731" s="30" t="s">
        <v>2565</v>
      </c>
      <c r="R2731" s="33" t="s">
        <v>3473</v>
      </c>
      <c r="S2731">
        <v>37</v>
      </c>
      <c r="T2731" s="1" t="s">
        <v>13878</v>
      </c>
      <c r="U2731" s="1" t="str">
        <f>HYPERLINK("http://ictvonline.org/taxonomy/p/taxonomy-history?taxnode_id=202106950","ICTVonline=202106950")</f>
        <v>ICTVonline=202106950</v>
      </c>
    </row>
    <row r="2732" spans="1:21" x14ac:dyDescent="0.2">
      <c r="A2732" s="3">
        <v>2731</v>
      </c>
      <c r="B2732" s="1" t="s">
        <v>4875</v>
      </c>
      <c r="D2732" s="1" t="s">
        <v>4876</v>
      </c>
      <c r="F2732" s="1" t="s">
        <v>4880</v>
      </c>
      <c r="H2732" s="1" t="s">
        <v>4881</v>
      </c>
      <c r="N2732" s="1" t="s">
        <v>11447</v>
      </c>
      <c r="P2732" s="1" t="s">
        <v>11448</v>
      </c>
      <c r="Q2732" s="30" t="s">
        <v>2565</v>
      </c>
      <c r="R2732" s="33" t="s">
        <v>3472</v>
      </c>
      <c r="S2732">
        <v>37</v>
      </c>
      <c r="T2732" s="1" t="s">
        <v>13941</v>
      </c>
      <c r="U2732" s="1" t="str">
        <f>HYPERLINK("http://ictvonline.org/taxonomy/p/taxonomy-history?taxnode_id=202113526","ICTVonline=202113526")</f>
        <v>ICTVonline=202113526</v>
      </c>
    </row>
    <row r="2733" spans="1:21" x14ac:dyDescent="0.2">
      <c r="A2733" s="3">
        <v>2732</v>
      </c>
      <c r="B2733" s="1" t="s">
        <v>4875</v>
      </c>
      <c r="D2733" s="1" t="s">
        <v>4876</v>
      </c>
      <c r="F2733" s="1" t="s">
        <v>4880</v>
      </c>
      <c r="H2733" s="1" t="s">
        <v>4881</v>
      </c>
      <c r="N2733" s="1" t="s">
        <v>4603</v>
      </c>
      <c r="P2733" s="1" t="s">
        <v>11449</v>
      </c>
      <c r="Q2733" s="30" t="s">
        <v>2565</v>
      </c>
      <c r="R2733" s="33" t="s">
        <v>3473</v>
      </c>
      <c r="S2733">
        <v>37</v>
      </c>
      <c r="T2733" s="1" t="s">
        <v>13878</v>
      </c>
      <c r="U2733" s="1" t="str">
        <f>HYPERLINK("http://ictvonline.org/taxonomy/p/taxonomy-history?taxnode_id=202106952","ICTVonline=202106952")</f>
        <v>ICTVonline=202106952</v>
      </c>
    </row>
    <row r="2734" spans="1:21" x14ac:dyDescent="0.2">
      <c r="A2734" s="3">
        <v>2733</v>
      </c>
      <c r="B2734" s="1" t="s">
        <v>4875</v>
      </c>
      <c r="D2734" s="1" t="s">
        <v>4876</v>
      </c>
      <c r="F2734" s="1" t="s">
        <v>4880</v>
      </c>
      <c r="H2734" s="1" t="s">
        <v>4881</v>
      </c>
      <c r="N2734" s="1" t="s">
        <v>4603</v>
      </c>
      <c r="P2734" s="1" t="s">
        <v>11450</v>
      </c>
      <c r="Q2734" s="30" t="s">
        <v>2565</v>
      </c>
      <c r="R2734" s="33" t="s">
        <v>3473</v>
      </c>
      <c r="S2734">
        <v>37</v>
      </c>
      <c r="T2734" s="1" t="s">
        <v>13878</v>
      </c>
      <c r="U2734" s="1" t="str">
        <f>HYPERLINK("http://ictvonline.org/taxonomy/p/taxonomy-history?taxnode_id=202106953","ICTVonline=202106953")</f>
        <v>ICTVonline=202106953</v>
      </c>
    </row>
    <row r="2735" spans="1:21" x14ac:dyDescent="0.2">
      <c r="A2735" s="3">
        <v>2734</v>
      </c>
      <c r="B2735" s="1" t="s">
        <v>4875</v>
      </c>
      <c r="D2735" s="1" t="s">
        <v>4876</v>
      </c>
      <c r="F2735" s="1" t="s">
        <v>4880</v>
      </c>
      <c r="H2735" s="1" t="s">
        <v>4881</v>
      </c>
      <c r="N2735" s="1" t="s">
        <v>6062</v>
      </c>
      <c r="P2735" s="1" t="s">
        <v>11451</v>
      </c>
      <c r="Q2735" s="30" t="s">
        <v>2565</v>
      </c>
      <c r="R2735" s="33" t="s">
        <v>3473</v>
      </c>
      <c r="S2735">
        <v>37</v>
      </c>
      <c r="T2735" s="1" t="s">
        <v>13878</v>
      </c>
      <c r="U2735" s="1" t="str">
        <f>HYPERLINK("http://ictvonline.org/taxonomy/p/taxonomy-history?taxnode_id=202111660","ICTVonline=202111660")</f>
        <v>ICTVonline=202111660</v>
      </c>
    </row>
    <row r="2736" spans="1:21" x14ac:dyDescent="0.2">
      <c r="A2736" s="3">
        <v>2735</v>
      </c>
      <c r="B2736" s="1" t="s">
        <v>4875</v>
      </c>
      <c r="D2736" s="1" t="s">
        <v>4876</v>
      </c>
      <c r="F2736" s="1" t="s">
        <v>4880</v>
      </c>
      <c r="H2736" s="1" t="s">
        <v>4881</v>
      </c>
      <c r="N2736" s="1" t="s">
        <v>6062</v>
      </c>
      <c r="P2736" s="1" t="s">
        <v>11452</v>
      </c>
      <c r="Q2736" s="30" t="s">
        <v>2565</v>
      </c>
      <c r="R2736" s="33" t="s">
        <v>3473</v>
      </c>
      <c r="S2736">
        <v>37</v>
      </c>
      <c r="T2736" s="1" t="s">
        <v>13878</v>
      </c>
      <c r="U2736" s="1" t="str">
        <f>HYPERLINK("http://ictvonline.org/taxonomy/p/taxonomy-history?taxnode_id=202111661","ICTVonline=202111661")</f>
        <v>ICTVonline=202111661</v>
      </c>
    </row>
    <row r="2737" spans="1:21" x14ac:dyDescent="0.2">
      <c r="A2737" s="3">
        <v>2736</v>
      </c>
      <c r="B2737" s="1" t="s">
        <v>4875</v>
      </c>
      <c r="D2737" s="1" t="s">
        <v>4876</v>
      </c>
      <c r="F2737" s="1" t="s">
        <v>4880</v>
      </c>
      <c r="H2737" s="1" t="s">
        <v>4881</v>
      </c>
      <c r="N2737" s="1" t="s">
        <v>4543</v>
      </c>
      <c r="P2737" s="1" t="s">
        <v>11453</v>
      </c>
      <c r="Q2737" s="30" t="s">
        <v>2565</v>
      </c>
      <c r="R2737" s="33" t="s">
        <v>3473</v>
      </c>
      <c r="S2737">
        <v>37</v>
      </c>
      <c r="T2737" s="1" t="s">
        <v>13878</v>
      </c>
      <c r="U2737" s="1" t="str">
        <f>HYPERLINK("http://ictvonline.org/taxonomy/p/taxonomy-history?taxnode_id=202106824","ICTVonline=202106824")</f>
        <v>ICTVonline=202106824</v>
      </c>
    </row>
    <row r="2738" spans="1:21" x14ac:dyDescent="0.2">
      <c r="A2738" s="3">
        <v>2737</v>
      </c>
      <c r="B2738" s="1" t="s">
        <v>4875</v>
      </c>
      <c r="D2738" s="1" t="s">
        <v>4876</v>
      </c>
      <c r="F2738" s="1" t="s">
        <v>4880</v>
      </c>
      <c r="H2738" s="1" t="s">
        <v>4881</v>
      </c>
      <c r="N2738" s="1" t="s">
        <v>4543</v>
      </c>
      <c r="P2738" s="1" t="s">
        <v>11454</v>
      </c>
      <c r="Q2738" s="30" t="s">
        <v>2565</v>
      </c>
      <c r="R2738" s="33" t="s">
        <v>3473</v>
      </c>
      <c r="S2738">
        <v>37</v>
      </c>
      <c r="T2738" s="1" t="s">
        <v>13878</v>
      </c>
      <c r="U2738" s="1" t="str">
        <f>HYPERLINK("http://ictvonline.org/taxonomy/p/taxonomy-history?taxnode_id=202106823","ICTVonline=202106823")</f>
        <v>ICTVonline=202106823</v>
      </c>
    </row>
    <row r="2739" spans="1:21" x14ac:dyDescent="0.2">
      <c r="A2739" s="3">
        <v>2738</v>
      </c>
      <c r="B2739" s="1" t="s">
        <v>4875</v>
      </c>
      <c r="D2739" s="1" t="s">
        <v>4876</v>
      </c>
      <c r="F2739" s="1" t="s">
        <v>4880</v>
      </c>
      <c r="H2739" s="1" t="s">
        <v>4881</v>
      </c>
      <c r="N2739" s="1" t="s">
        <v>6183</v>
      </c>
      <c r="P2739" s="1" t="s">
        <v>11455</v>
      </c>
      <c r="Q2739" s="30" t="s">
        <v>2565</v>
      </c>
      <c r="R2739" s="33" t="s">
        <v>3473</v>
      </c>
      <c r="S2739">
        <v>37</v>
      </c>
      <c r="T2739" s="1" t="s">
        <v>13878</v>
      </c>
      <c r="U2739" s="1" t="str">
        <f>HYPERLINK("http://ictvonline.org/taxonomy/p/taxonomy-history?taxnode_id=202109913","ICTVonline=202109913")</f>
        <v>ICTVonline=202109913</v>
      </c>
    </row>
    <row r="2740" spans="1:21" x14ac:dyDescent="0.2">
      <c r="A2740" s="3">
        <v>2739</v>
      </c>
      <c r="B2740" s="1" t="s">
        <v>4875</v>
      </c>
      <c r="D2740" s="1" t="s">
        <v>4876</v>
      </c>
      <c r="F2740" s="1" t="s">
        <v>4880</v>
      </c>
      <c r="H2740" s="1" t="s">
        <v>4881</v>
      </c>
      <c r="N2740" s="1" t="s">
        <v>11456</v>
      </c>
      <c r="P2740" s="1" t="s">
        <v>11457</v>
      </c>
      <c r="Q2740" s="30" t="s">
        <v>2565</v>
      </c>
      <c r="R2740" s="33" t="s">
        <v>3472</v>
      </c>
      <c r="S2740">
        <v>37</v>
      </c>
      <c r="T2740" s="1" t="s">
        <v>13942</v>
      </c>
      <c r="U2740" s="1" t="str">
        <f>HYPERLINK("http://ictvonline.org/taxonomy/p/taxonomy-history?taxnode_id=202113577","ICTVonline=202113577")</f>
        <v>ICTVonline=202113577</v>
      </c>
    </row>
    <row r="2741" spans="1:21" x14ac:dyDescent="0.2">
      <c r="A2741" s="3">
        <v>2740</v>
      </c>
      <c r="B2741" s="1" t="s">
        <v>4875</v>
      </c>
      <c r="D2741" s="1" t="s">
        <v>4876</v>
      </c>
      <c r="F2741" s="1" t="s">
        <v>4880</v>
      </c>
      <c r="H2741" s="1" t="s">
        <v>4881</v>
      </c>
      <c r="N2741" s="1" t="s">
        <v>11458</v>
      </c>
      <c r="P2741" s="1" t="s">
        <v>11459</v>
      </c>
      <c r="Q2741" s="30" t="s">
        <v>2565</v>
      </c>
      <c r="R2741" s="33" t="s">
        <v>3472</v>
      </c>
      <c r="S2741">
        <v>37</v>
      </c>
      <c r="T2741" s="1" t="s">
        <v>13943</v>
      </c>
      <c r="U2741" s="1" t="str">
        <f>HYPERLINK("http://ictvonline.org/taxonomy/p/taxonomy-history?taxnode_id=202113579","ICTVonline=202113579")</f>
        <v>ICTVonline=202113579</v>
      </c>
    </row>
    <row r="2742" spans="1:21" x14ac:dyDescent="0.2">
      <c r="A2742" s="3">
        <v>2741</v>
      </c>
      <c r="B2742" s="1" t="s">
        <v>4875</v>
      </c>
      <c r="D2742" s="1" t="s">
        <v>4876</v>
      </c>
      <c r="F2742" s="1" t="s">
        <v>4880</v>
      </c>
      <c r="H2742" s="1" t="s">
        <v>4881</v>
      </c>
      <c r="N2742" s="1" t="s">
        <v>11458</v>
      </c>
      <c r="P2742" s="1" t="s">
        <v>11460</v>
      </c>
      <c r="Q2742" s="30" t="s">
        <v>2565</v>
      </c>
      <c r="R2742" s="33" t="s">
        <v>3472</v>
      </c>
      <c r="S2742">
        <v>37</v>
      </c>
      <c r="T2742" s="1" t="s">
        <v>13943</v>
      </c>
      <c r="U2742" s="1" t="str">
        <f>HYPERLINK("http://ictvonline.org/taxonomy/p/taxonomy-history?taxnode_id=202113580","ICTVonline=202113580")</f>
        <v>ICTVonline=202113580</v>
      </c>
    </row>
    <row r="2743" spans="1:21" x14ac:dyDescent="0.2">
      <c r="A2743" s="3">
        <v>2742</v>
      </c>
      <c r="B2743" s="1" t="s">
        <v>4875</v>
      </c>
      <c r="D2743" s="1" t="s">
        <v>4876</v>
      </c>
      <c r="F2743" s="1" t="s">
        <v>4880</v>
      </c>
      <c r="H2743" s="1" t="s">
        <v>4881</v>
      </c>
      <c r="N2743" s="1" t="s">
        <v>11458</v>
      </c>
      <c r="P2743" s="1" t="s">
        <v>11461</v>
      </c>
      <c r="Q2743" s="30" t="s">
        <v>2565</v>
      </c>
      <c r="R2743" s="33" t="s">
        <v>3472</v>
      </c>
      <c r="S2743">
        <v>37</v>
      </c>
      <c r="T2743" s="1" t="s">
        <v>13943</v>
      </c>
      <c r="U2743" s="1" t="str">
        <f>HYPERLINK("http://ictvonline.org/taxonomy/p/taxonomy-history?taxnode_id=202113581","ICTVonline=202113581")</f>
        <v>ICTVonline=202113581</v>
      </c>
    </row>
    <row r="2744" spans="1:21" x14ac:dyDescent="0.2">
      <c r="A2744" s="3">
        <v>2743</v>
      </c>
      <c r="B2744" s="1" t="s">
        <v>4875</v>
      </c>
      <c r="D2744" s="1" t="s">
        <v>4876</v>
      </c>
      <c r="F2744" s="1" t="s">
        <v>4880</v>
      </c>
      <c r="H2744" s="1" t="s">
        <v>4881</v>
      </c>
      <c r="N2744" s="1" t="s">
        <v>11458</v>
      </c>
      <c r="P2744" s="1" t="s">
        <v>11462</v>
      </c>
      <c r="Q2744" s="30" t="s">
        <v>2565</v>
      </c>
      <c r="R2744" s="33" t="s">
        <v>3472</v>
      </c>
      <c r="S2744">
        <v>37</v>
      </c>
      <c r="T2744" s="1" t="s">
        <v>13943</v>
      </c>
      <c r="U2744" s="1" t="str">
        <f>HYPERLINK("http://ictvonline.org/taxonomy/p/taxonomy-history?taxnode_id=202113582","ICTVonline=202113582")</f>
        <v>ICTVonline=202113582</v>
      </c>
    </row>
    <row r="2745" spans="1:21" x14ac:dyDescent="0.2">
      <c r="A2745" s="3">
        <v>2744</v>
      </c>
      <c r="B2745" s="1" t="s">
        <v>4875</v>
      </c>
      <c r="D2745" s="1" t="s">
        <v>4876</v>
      </c>
      <c r="F2745" s="1" t="s">
        <v>4880</v>
      </c>
      <c r="H2745" s="1" t="s">
        <v>4881</v>
      </c>
      <c r="N2745" s="1" t="s">
        <v>5197</v>
      </c>
      <c r="P2745" s="1" t="s">
        <v>11463</v>
      </c>
      <c r="Q2745" s="30" t="s">
        <v>2565</v>
      </c>
      <c r="R2745" s="33" t="s">
        <v>3473</v>
      </c>
      <c r="S2745">
        <v>37</v>
      </c>
      <c r="T2745" s="1" t="s">
        <v>13878</v>
      </c>
      <c r="U2745" s="1" t="str">
        <f>HYPERLINK("http://ictvonline.org/taxonomy/p/taxonomy-history?taxnode_id=202107850","ICTVonline=202107850")</f>
        <v>ICTVonline=202107850</v>
      </c>
    </row>
    <row r="2746" spans="1:21" x14ac:dyDescent="0.2">
      <c r="A2746" s="3">
        <v>2745</v>
      </c>
      <c r="B2746" s="1" t="s">
        <v>4875</v>
      </c>
      <c r="D2746" s="1" t="s">
        <v>4876</v>
      </c>
      <c r="F2746" s="1" t="s">
        <v>4880</v>
      </c>
      <c r="H2746" s="1" t="s">
        <v>4881</v>
      </c>
      <c r="N2746" s="1" t="s">
        <v>6184</v>
      </c>
      <c r="P2746" s="1" t="s">
        <v>11464</v>
      </c>
      <c r="Q2746" s="30" t="s">
        <v>2565</v>
      </c>
      <c r="R2746" s="33" t="s">
        <v>3473</v>
      </c>
      <c r="S2746">
        <v>37</v>
      </c>
      <c r="T2746" s="1" t="s">
        <v>13878</v>
      </c>
      <c r="U2746" s="1" t="str">
        <f>HYPERLINK("http://ictvonline.org/taxonomy/p/taxonomy-history?taxnode_id=202110037","ICTVonline=202110037")</f>
        <v>ICTVonline=202110037</v>
      </c>
    </row>
    <row r="2747" spans="1:21" x14ac:dyDescent="0.2">
      <c r="A2747" s="3">
        <v>2746</v>
      </c>
      <c r="B2747" s="1" t="s">
        <v>4875</v>
      </c>
      <c r="D2747" s="1" t="s">
        <v>4876</v>
      </c>
      <c r="F2747" s="1" t="s">
        <v>4880</v>
      </c>
      <c r="H2747" s="1" t="s">
        <v>4881</v>
      </c>
      <c r="N2747" s="1" t="s">
        <v>6184</v>
      </c>
      <c r="P2747" s="1" t="s">
        <v>11465</v>
      </c>
      <c r="Q2747" s="30" t="s">
        <v>2565</v>
      </c>
      <c r="R2747" s="33" t="s">
        <v>3473</v>
      </c>
      <c r="S2747">
        <v>37</v>
      </c>
      <c r="T2747" s="1" t="s">
        <v>13878</v>
      </c>
      <c r="U2747" s="1" t="str">
        <f>HYPERLINK("http://ictvonline.org/taxonomy/p/taxonomy-history?taxnode_id=202110036","ICTVonline=202110036")</f>
        <v>ICTVonline=202110036</v>
      </c>
    </row>
    <row r="2748" spans="1:21" x14ac:dyDescent="0.2">
      <c r="A2748" s="3">
        <v>2747</v>
      </c>
      <c r="B2748" s="1" t="s">
        <v>4875</v>
      </c>
      <c r="D2748" s="1" t="s">
        <v>4876</v>
      </c>
      <c r="F2748" s="1" t="s">
        <v>4880</v>
      </c>
      <c r="H2748" s="1" t="s">
        <v>4881</v>
      </c>
      <c r="N2748" s="1" t="s">
        <v>4674</v>
      </c>
      <c r="P2748" s="1" t="s">
        <v>11466</v>
      </c>
      <c r="Q2748" s="30" t="s">
        <v>2565</v>
      </c>
      <c r="R2748" s="33" t="s">
        <v>3473</v>
      </c>
      <c r="S2748">
        <v>37</v>
      </c>
      <c r="T2748" s="1" t="s">
        <v>13878</v>
      </c>
      <c r="U2748" s="1" t="str">
        <f>HYPERLINK("http://ictvonline.org/taxonomy/p/taxonomy-history?taxnode_id=202101009","ICTVonline=202101009")</f>
        <v>ICTVonline=202101009</v>
      </c>
    </row>
    <row r="2749" spans="1:21" x14ac:dyDescent="0.2">
      <c r="A2749" s="3">
        <v>2748</v>
      </c>
      <c r="B2749" s="1" t="s">
        <v>4875</v>
      </c>
      <c r="D2749" s="1" t="s">
        <v>4876</v>
      </c>
      <c r="F2749" s="1" t="s">
        <v>4880</v>
      </c>
      <c r="H2749" s="1" t="s">
        <v>4881</v>
      </c>
      <c r="N2749" s="1" t="s">
        <v>4674</v>
      </c>
      <c r="P2749" s="1" t="s">
        <v>11467</v>
      </c>
      <c r="Q2749" s="30" t="s">
        <v>2565</v>
      </c>
      <c r="R2749" s="33" t="s">
        <v>3473</v>
      </c>
      <c r="S2749">
        <v>37</v>
      </c>
      <c r="T2749" s="1" t="s">
        <v>13878</v>
      </c>
      <c r="U2749" s="1" t="str">
        <f>HYPERLINK("http://ictvonline.org/taxonomy/p/taxonomy-history?taxnode_id=202101011","ICTVonline=202101011")</f>
        <v>ICTVonline=202101011</v>
      </c>
    </row>
    <row r="2750" spans="1:21" x14ac:dyDescent="0.2">
      <c r="A2750" s="3">
        <v>2749</v>
      </c>
      <c r="B2750" s="1" t="s">
        <v>4875</v>
      </c>
      <c r="D2750" s="1" t="s">
        <v>4876</v>
      </c>
      <c r="F2750" s="1" t="s">
        <v>4880</v>
      </c>
      <c r="H2750" s="1" t="s">
        <v>4881</v>
      </c>
      <c r="N2750" s="1" t="s">
        <v>4674</v>
      </c>
      <c r="P2750" s="1" t="s">
        <v>11468</v>
      </c>
      <c r="Q2750" s="30" t="s">
        <v>2565</v>
      </c>
      <c r="R2750" s="33" t="s">
        <v>3473</v>
      </c>
      <c r="S2750">
        <v>37</v>
      </c>
      <c r="T2750" s="1" t="s">
        <v>13878</v>
      </c>
      <c r="U2750" s="1" t="str">
        <f>HYPERLINK("http://ictvonline.org/taxonomy/p/taxonomy-history?taxnode_id=202101015","ICTVonline=202101015")</f>
        <v>ICTVonline=202101015</v>
      </c>
    </row>
    <row r="2751" spans="1:21" x14ac:dyDescent="0.2">
      <c r="A2751" s="3">
        <v>2750</v>
      </c>
      <c r="B2751" s="1" t="s">
        <v>4875</v>
      </c>
      <c r="D2751" s="1" t="s">
        <v>4876</v>
      </c>
      <c r="F2751" s="1" t="s">
        <v>4880</v>
      </c>
      <c r="H2751" s="1" t="s">
        <v>4881</v>
      </c>
      <c r="N2751" s="1" t="s">
        <v>4674</v>
      </c>
      <c r="P2751" s="1" t="s">
        <v>11469</v>
      </c>
      <c r="Q2751" s="30" t="s">
        <v>2565</v>
      </c>
      <c r="R2751" s="33" t="s">
        <v>3473</v>
      </c>
      <c r="S2751">
        <v>37</v>
      </c>
      <c r="T2751" s="1" t="s">
        <v>13878</v>
      </c>
      <c r="U2751" s="1" t="str">
        <f>HYPERLINK("http://ictvonline.org/taxonomy/p/taxonomy-history?taxnode_id=202101016","ICTVonline=202101016")</f>
        <v>ICTVonline=202101016</v>
      </c>
    </row>
    <row r="2752" spans="1:21" x14ac:dyDescent="0.2">
      <c r="A2752" s="3">
        <v>2751</v>
      </c>
      <c r="B2752" s="1" t="s">
        <v>4875</v>
      </c>
      <c r="D2752" s="1" t="s">
        <v>4876</v>
      </c>
      <c r="F2752" s="1" t="s">
        <v>4880</v>
      </c>
      <c r="H2752" s="1" t="s">
        <v>4881</v>
      </c>
      <c r="N2752" s="1" t="s">
        <v>4674</v>
      </c>
      <c r="P2752" s="1" t="s">
        <v>11470</v>
      </c>
      <c r="Q2752" s="30" t="s">
        <v>2565</v>
      </c>
      <c r="R2752" s="33" t="s">
        <v>3473</v>
      </c>
      <c r="S2752">
        <v>37</v>
      </c>
      <c r="T2752" s="1" t="s">
        <v>13878</v>
      </c>
      <c r="U2752" s="1" t="str">
        <f>HYPERLINK("http://ictvonline.org/taxonomy/p/taxonomy-history?taxnode_id=202101013","ICTVonline=202101013")</f>
        <v>ICTVonline=202101013</v>
      </c>
    </row>
    <row r="2753" spans="1:21" x14ac:dyDescent="0.2">
      <c r="A2753" s="3">
        <v>2752</v>
      </c>
      <c r="B2753" s="1" t="s">
        <v>4875</v>
      </c>
      <c r="D2753" s="1" t="s">
        <v>4876</v>
      </c>
      <c r="F2753" s="1" t="s">
        <v>4880</v>
      </c>
      <c r="H2753" s="1" t="s">
        <v>4881</v>
      </c>
      <c r="N2753" s="1" t="s">
        <v>4674</v>
      </c>
      <c r="P2753" s="1" t="s">
        <v>11471</v>
      </c>
      <c r="Q2753" s="30" t="s">
        <v>2565</v>
      </c>
      <c r="R2753" s="33" t="s">
        <v>3473</v>
      </c>
      <c r="S2753">
        <v>37</v>
      </c>
      <c r="T2753" s="1" t="s">
        <v>13878</v>
      </c>
      <c r="U2753" s="1" t="str">
        <f>HYPERLINK("http://ictvonline.org/taxonomy/p/taxonomy-history?taxnode_id=202101017","ICTVonline=202101017")</f>
        <v>ICTVonline=202101017</v>
      </c>
    </row>
    <row r="2754" spans="1:21" x14ac:dyDescent="0.2">
      <c r="A2754" s="3">
        <v>2753</v>
      </c>
      <c r="B2754" s="1" t="s">
        <v>4875</v>
      </c>
      <c r="D2754" s="1" t="s">
        <v>4876</v>
      </c>
      <c r="F2754" s="1" t="s">
        <v>4880</v>
      </c>
      <c r="H2754" s="1" t="s">
        <v>4881</v>
      </c>
      <c r="N2754" s="1" t="s">
        <v>4674</v>
      </c>
      <c r="P2754" s="1" t="s">
        <v>11472</v>
      </c>
      <c r="Q2754" s="30" t="s">
        <v>2565</v>
      </c>
      <c r="R2754" s="33" t="s">
        <v>3473</v>
      </c>
      <c r="S2754">
        <v>37</v>
      </c>
      <c r="T2754" s="1" t="s">
        <v>13878</v>
      </c>
      <c r="U2754" s="1" t="str">
        <f>HYPERLINK("http://ictvonline.org/taxonomy/p/taxonomy-history?taxnode_id=202101018","ICTVonline=202101018")</f>
        <v>ICTVonline=202101018</v>
      </c>
    </row>
    <row r="2755" spans="1:21" x14ac:dyDescent="0.2">
      <c r="A2755" s="3">
        <v>2754</v>
      </c>
      <c r="B2755" s="1" t="s">
        <v>4875</v>
      </c>
      <c r="D2755" s="1" t="s">
        <v>4876</v>
      </c>
      <c r="F2755" s="1" t="s">
        <v>4880</v>
      </c>
      <c r="H2755" s="1" t="s">
        <v>4881</v>
      </c>
      <c r="N2755" s="1" t="s">
        <v>4674</v>
      </c>
      <c r="P2755" s="1" t="s">
        <v>11473</v>
      </c>
      <c r="Q2755" s="30" t="s">
        <v>2565</v>
      </c>
      <c r="R2755" s="33" t="s">
        <v>3473</v>
      </c>
      <c r="S2755">
        <v>37</v>
      </c>
      <c r="T2755" s="1" t="s">
        <v>13878</v>
      </c>
      <c r="U2755" s="1" t="str">
        <f>HYPERLINK("http://ictvonline.org/taxonomy/p/taxonomy-history?taxnode_id=202101020","ICTVonline=202101020")</f>
        <v>ICTVonline=202101020</v>
      </c>
    </row>
    <row r="2756" spans="1:21" x14ac:dyDescent="0.2">
      <c r="A2756" s="3">
        <v>2755</v>
      </c>
      <c r="B2756" s="1" t="s">
        <v>4875</v>
      </c>
      <c r="D2756" s="1" t="s">
        <v>4876</v>
      </c>
      <c r="F2756" s="1" t="s">
        <v>4880</v>
      </c>
      <c r="H2756" s="1" t="s">
        <v>4881</v>
      </c>
      <c r="N2756" s="1" t="s">
        <v>4674</v>
      </c>
      <c r="P2756" s="1" t="s">
        <v>11474</v>
      </c>
      <c r="Q2756" s="30" t="s">
        <v>2565</v>
      </c>
      <c r="R2756" s="33" t="s">
        <v>3473</v>
      </c>
      <c r="S2756">
        <v>37</v>
      </c>
      <c r="T2756" s="1" t="s">
        <v>13878</v>
      </c>
      <c r="U2756" s="1" t="str">
        <f>HYPERLINK("http://ictvonline.org/taxonomy/p/taxonomy-history?taxnode_id=202101022","ICTVonline=202101022")</f>
        <v>ICTVonline=202101022</v>
      </c>
    </row>
    <row r="2757" spans="1:21" x14ac:dyDescent="0.2">
      <c r="A2757" s="3">
        <v>2756</v>
      </c>
      <c r="B2757" s="1" t="s">
        <v>4875</v>
      </c>
      <c r="D2757" s="1" t="s">
        <v>4876</v>
      </c>
      <c r="F2757" s="1" t="s">
        <v>4880</v>
      </c>
      <c r="H2757" s="1" t="s">
        <v>4881</v>
      </c>
      <c r="N2757" s="1" t="s">
        <v>4674</v>
      </c>
      <c r="P2757" s="1" t="s">
        <v>11475</v>
      </c>
      <c r="Q2757" s="30" t="s">
        <v>2565</v>
      </c>
      <c r="R2757" s="33" t="s">
        <v>3473</v>
      </c>
      <c r="S2757">
        <v>37</v>
      </c>
      <c r="T2757" s="1" t="s">
        <v>13878</v>
      </c>
      <c r="U2757" s="1" t="str">
        <f>HYPERLINK("http://ictvonline.org/taxonomy/p/taxonomy-history?taxnode_id=202101023","ICTVonline=202101023")</f>
        <v>ICTVonline=202101023</v>
      </c>
    </row>
    <row r="2758" spans="1:21" x14ac:dyDescent="0.2">
      <c r="A2758" s="3">
        <v>2757</v>
      </c>
      <c r="B2758" s="1" t="s">
        <v>4875</v>
      </c>
      <c r="D2758" s="1" t="s">
        <v>4876</v>
      </c>
      <c r="F2758" s="1" t="s">
        <v>4880</v>
      </c>
      <c r="H2758" s="1" t="s">
        <v>4881</v>
      </c>
      <c r="N2758" s="1" t="s">
        <v>4674</v>
      </c>
      <c r="P2758" s="1" t="s">
        <v>11476</v>
      </c>
      <c r="Q2758" s="30" t="s">
        <v>2565</v>
      </c>
      <c r="R2758" s="33" t="s">
        <v>3473</v>
      </c>
      <c r="S2758">
        <v>37</v>
      </c>
      <c r="T2758" s="1" t="s">
        <v>13878</v>
      </c>
      <c r="U2758" s="1" t="str">
        <f>HYPERLINK("http://ictvonline.org/taxonomy/p/taxonomy-history?taxnode_id=202101025","ICTVonline=202101025")</f>
        <v>ICTVonline=202101025</v>
      </c>
    </row>
    <row r="2759" spans="1:21" x14ac:dyDescent="0.2">
      <c r="A2759" s="3">
        <v>2758</v>
      </c>
      <c r="B2759" s="1" t="s">
        <v>4875</v>
      </c>
      <c r="D2759" s="1" t="s">
        <v>4876</v>
      </c>
      <c r="F2759" s="1" t="s">
        <v>4880</v>
      </c>
      <c r="H2759" s="1" t="s">
        <v>4881</v>
      </c>
      <c r="N2759" s="1" t="s">
        <v>4674</v>
      </c>
      <c r="P2759" s="1" t="s">
        <v>11477</v>
      </c>
      <c r="Q2759" s="30" t="s">
        <v>2565</v>
      </c>
      <c r="R2759" s="33" t="s">
        <v>3473</v>
      </c>
      <c r="S2759">
        <v>37</v>
      </c>
      <c r="T2759" s="1" t="s">
        <v>13878</v>
      </c>
      <c r="U2759" s="1" t="str">
        <f>HYPERLINK("http://ictvonline.org/taxonomy/p/taxonomy-history?taxnode_id=202101026","ICTVonline=202101026")</f>
        <v>ICTVonline=202101026</v>
      </c>
    </row>
    <row r="2760" spans="1:21" x14ac:dyDescent="0.2">
      <c r="A2760" s="3">
        <v>2759</v>
      </c>
      <c r="B2760" s="1" t="s">
        <v>4875</v>
      </c>
      <c r="D2760" s="1" t="s">
        <v>4876</v>
      </c>
      <c r="F2760" s="1" t="s">
        <v>4880</v>
      </c>
      <c r="H2760" s="1" t="s">
        <v>4881</v>
      </c>
      <c r="N2760" s="1" t="s">
        <v>4674</v>
      </c>
      <c r="P2760" s="1" t="s">
        <v>11478</v>
      </c>
      <c r="Q2760" s="30" t="s">
        <v>2565</v>
      </c>
      <c r="R2760" s="33" t="s">
        <v>3473</v>
      </c>
      <c r="S2760">
        <v>37</v>
      </c>
      <c r="T2760" s="1" t="s">
        <v>13878</v>
      </c>
      <c r="U2760" s="1" t="str">
        <f>HYPERLINK("http://ictvonline.org/taxonomy/p/taxonomy-history?taxnode_id=202101028","ICTVonline=202101028")</f>
        <v>ICTVonline=202101028</v>
      </c>
    </row>
    <row r="2761" spans="1:21" x14ac:dyDescent="0.2">
      <c r="A2761" s="3">
        <v>2760</v>
      </c>
      <c r="B2761" s="1" t="s">
        <v>4875</v>
      </c>
      <c r="D2761" s="1" t="s">
        <v>4876</v>
      </c>
      <c r="F2761" s="1" t="s">
        <v>4880</v>
      </c>
      <c r="H2761" s="1" t="s">
        <v>4881</v>
      </c>
      <c r="N2761" s="1" t="s">
        <v>4674</v>
      </c>
      <c r="P2761" s="1" t="s">
        <v>11479</v>
      </c>
      <c r="Q2761" s="30" t="s">
        <v>2565</v>
      </c>
      <c r="R2761" s="33" t="s">
        <v>3473</v>
      </c>
      <c r="S2761">
        <v>37</v>
      </c>
      <c r="T2761" s="1" t="s">
        <v>13878</v>
      </c>
      <c r="U2761" s="1" t="str">
        <f>HYPERLINK("http://ictvonline.org/taxonomy/p/taxonomy-history?taxnode_id=202101031","ICTVonline=202101031")</f>
        <v>ICTVonline=202101031</v>
      </c>
    </row>
    <row r="2762" spans="1:21" x14ac:dyDescent="0.2">
      <c r="A2762" s="3">
        <v>2761</v>
      </c>
      <c r="B2762" s="1" t="s">
        <v>4875</v>
      </c>
      <c r="D2762" s="1" t="s">
        <v>4876</v>
      </c>
      <c r="F2762" s="1" t="s">
        <v>4880</v>
      </c>
      <c r="H2762" s="1" t="s">
        <v>4881</v>
      </c>
      <c r="N2762" s="1" t="s">
        <v>4674</v>
      </c>
      <c r="P2762" s="1" t="s">
        <v>11480</v>
      </c>
      <c r="Q2762" s="30" t="s">
        <v>2565</v>
      </c>
      <c r="R2762" s="33" t="s">
        <v>3473</v>
      </c>
      <c r="S2762">
        <v>37</v>
      </c>
      <c r="T2762" s="1" t="s">
        <v>13878</v>
      </c>
      <c r="U2762" s="1" t="str">
        <f>HYPERLINK("http://ictvonline.org/taxonomy/p/taxonomy-history?taxnode_id=202101032","ICTVonline=202101032")</f>
        <v>ICTVonline=202101032</v>
      </c>
    </row>
    <row r="2763" spans="1:21" x14ac:dyDescent="0.2">
      <c r="A2763" s="3">
        <v>2762</v>
      </c>
      <c r="B2763" s="1" t="s">
        <v>4875</v>
      </c>
      <c r="D2763" s="1" t="s">
        <v>4876</v>
      </c>
      <c r="F2763" s="1" t="s">
        <v>4880</v>
      </c>
      <c r="H2763" s="1" t="s">
        <v>4881</v>
      </c>
      <c r="N2763" s="1" t="s">
        <v>4674</v>
      </c>
      <c r="P2763" s="1" t="s">
        <v>11481</v>
      </c>
      <c r="Q2763" s="30" t="s">
        <v>2565</v>
      </c>
      <c r="R2763" s="33" t="s">
        <v>3473</v>
      </c>
      <c r="S2763">
        <v>37</v>
      </c>
      <c r="T2763" s="1" t="s">
        <v>13878</v>
      </c>
      <c r="U2763" s="1" t="str">
        <f>HYPERLINK("http://ictvonline.org/taxonomy/p/taxonomy-history?taxnode_id=202101035","ICTVonline=202101035")</f>
        <v>ICTVonline=202101035</v>
      </c>
    </row>
    <row r="2764" spans="1:21" x14ac:dyDescent="0.2">
      <c r="A2764" s="3">
        <v>2763</v>
      </c>
      <c r="B2764" s="1" t="s">
        <v>4875</v>
      </c>
      <c r="D2764" s="1" t="s">
        <v>4876</v>
      </c>
      <c r="F2764" s="1" t="s">
        <v>4880</v>
      </c>
      <c r="H2764" s="1" t="s">
        <v>4881</v>
      </c>
      <c r="N2764" s="1" t="s">
        <v>4674</v>
      </c>
      <c r="P2764" s="1" t="s">
        <v>11482</v>
      </c>
      <c r="Q2764" s="30" t="s">
        <v>2565</v>
      </c>
      <c r="R2764" s="33" t="s">
        <v>3473</v>
      </c>
      <c r="S2764">
        <v>37</v>
      </c>
      <c r="T2764" s="1" t="s">
        <v>13878</v>
      </c>
      <c r="U2764" s="1" t="str">
        <f>HYPERLINK("http://ictvonline.org/taxonomy/p/taxonomy-history?taxnode_id=202101036","ICTVonline=202101036")</f>
        <v>ICTVonline=202101036</v>
      </c>
    </row>
    <row r="2765" spans="1:21" x14ac:dyDescent="0.2">
      <c r="A2765" s="3">
        <v>2764</v>
      </c>
      <c r="B2765" s="1" t="s">
        <v>4875</v>
      </c>
      <c r="D2765" s="1" t="s">
        <v>4876</v>
      </c>
      <c r="F2765" s="1" t="s">
        <v>4880</v>
      </c>
      <c r="H2765" s="1" t="s">
        <v>4881</v>
      </c>
      <c r="N2765" s="1" t="s">
        <v>4674</v>
      </c>
      <c r="P2765" s="1" t="s">
        <v>11483</v>
      </c>
      <c r="Q2765" s="30" t="s">
        <v>2565</v>
      </c>
      <c r="R2765" s="33" t="s">
        <v>3473</v>
      </c>
      <c r="S2765">
        <v>37</v>
      </c>
      <c r="T2765" s="1" t="s">
        <v>13878</v>
      </c>
      <c r="U2765" s="1" t="str">
        <f>HYPERLINK("http://ictvonline.org/taxonomy/p/taxonomy-history?taxnode_id=202101037","ICTVonline=202101037")</f>
        <v>ICTVonline=202101037</v>
      </c>
    </row>
    <row r="2766" spans="1:21" x14ac:dyDescent="0.2">
      <c r="A2766" s="3">
        <v>2765</v>
      </c>
      <c r="B2766" s="1" t="s">
        <v>4875</v>
      </c>
      <c r="D2766" s="1" t="s">
        <v>4876</v>
      </c>
      <c r="F2766" s="1" t="s">
        <v>4880</v>
      </c>
      <c r="H2766" s="1" t="s">
        <v>4881</v>
      </c>
      <c r="N2766" s="1" t="s">
        <v>4674</v>
      </c>
      <c r="P2766" s="1" t="s">
        <v>11484</v>
      </c>
      <c r="Q2766" s="30" t="s">
        <v>2565</v>
      </c>
      <c r="R2766" s="33" t="s">
        <v>3473</v>
      </c>
      <c r="S2766">
        <v>37</v>
      </c>
      <c r="T2766" s="1" t="s">
        <v>13878</v>
      </c>
      <c r="U2766" s="1" t="str">
        <f>HYPERLINK("http://ictvonline.org/taxonomy/p/taxonomy-history?taxnode_id=202101038","ICTVonline=202101038")</f>
        <v>ICTVonline=202101038</v>
      </c>
    </row>
    <row r="2767" spans="1:21" x14ac:dyDescent="0.2">
      <c r="A2767" s="3">
        <v>2766</v>
      </c>
      <c r="B2767" s="1" t="s">
        <v>4875</v>
      </c>
      <c r="D2767" s="1" t="s">
        <v>4876</v>
      </c>
      <c r="F2767" s="1" t="s">
        <v>4880</v>
      </c>
      <c r="H2767" s="1" t="s">
        <v>4881</v>
      </c>
      <c r="N2767" s="1" t="s">
        <v>4674</v>
      </c>
      <c r="P2767" s="1" t="s">
        <v>11485</v>
      </c>
      <c r="Q2767" s="30" t="s">
        <v>2565</v>
      </c>
      <c r="R2767" s="33" t="s">
        <v>3473</v>
      </c>
      <c r="S2767">
        <v>37</v>
      </c>
      <c r="T2767" s="1" t="s">
        <v>13878</v>
      </c>
      <c r="U2767" s="1" t="str">
        <f>HYPERLINK("http://ictvonline.org/taxonomy/p/taxonomy-history?taxnode_id=202101039","ICTVonline=202101039")</f>
        <v>ICTVonline=202101039</v>
      </c>
    </row>
    <row r="2768" spans="1:21" x14ac:dyDescent="0.2">
      <c r="A2768" s="3">
        <v>2767</v>
      </c>
      <c r="B2768" s="1" t="s">
        <v>4875</v>
      </c>
      <c r="D2768" s="1" t="s">
        <v>4876</v>
      </c>
      <c r="F2768" s="1" t="s">
        <v>4880</v>
      </c>
      <c r="H2768" s="1" t="s">
        <v>4881</v>
      </c>
      <c r="N2768" s="1" t="s">
        <v>4674</v>
      </c>
      <c r="P2768" s="1" t="s">
        <v>11486</v>
      </c>
      <c r="Q2768" s="30" t="s">
        <v>2565</v>
      </c>
      <c r="R2768" s="33" t="s">
        <v>3473</v>
      </c>
      <c r="S2768">
        <v>37</v>
      </c>
      <c r="T2768" s="1" t="s">
        <v>13878</v>
      </c>
      <c r="U2768" s="1" t="str">
        <f>HYPERLINK("http://ictvonline.org/taxonomy/p/taxonomy-history?taxnode_id=202101041","ICTVonline=202101041")</f>
        <v>ICTVonline=202101041</v>
      </c>
    </row>
    <row r="2769" spans="1:21" x14ac:dyDescent="0.2">
      <c r="A2769" s="3">
        <v>2768</v>
      </c>
      <c r="B2769" s="1" t="s">
        <v>4875</v>
      </c>
      <c r="D2769" s="1" t="s">
        <v>4876</v>
      </c>
      <c r="F2769" s="1" t="s">
        <v>4880</v>
      </c>
      <c r="H2769" s="1" t="s">
        <v>4881</v>
      </c>
      <c r="N2769" s="1" t="s">
        <v>4674</v>
      </c>
      <c r="P2769" s="1" t="s">
        <v>11487</v>
      </c>
      <c r="Q2769" s="30" t="s">
        <v>2565</v>
      </c>
      <c r="R2769" s="33" t="s">
        <v>3473</v>
      </c>
      <c r="S2769">
        <v>37</v>
      </c>
      <c r="T2769" s="1" t="s">
        <v>13878</v>
      </c>
      <c r="U2769" s="1" t="str">
        <f>HYPERLINK("http://ictvonline.org/taxonomy/p/taxonomy-history?taxnode_id=202101042","ICTVonline=202101042")</f>
        <v>ICTVonline=202101042</v>
      </c>
    </row>
    <row r="2770" spans="1:21" x14ac:dyDescent="0.2">
      <c r="A2770" s="3">
        <v>2769</v>
      </c>
      <c r="B2770" s="1" t="s">
        <v>4875</v>
      </c>
      <c r="D2770" s="1" t="s">
        <v>4876</v>
      </c>
      <c r="F2770" s="1" t="s">
        <v>4880</v>
      </c>
      <c r="H2770" s="1" t="s">
        <v>4881</v>
      </c>
      <c r="N2770" s="1" t="s">
        <v>4674</v>
      </c>
      <c r="P2770" s="1" t="s">
        <v>11488</v>
      </c>
      <c r="Q2770" s="30" t="s">
        <v>2565</v>
      </c>
      <c r="R2770" s="33" t="s">
        <v>3473</v>
      </c>
      <c r="S2770">
        <v>37</v>
      </c>
      <c r="T2770" s="1" t="s">
        <v>13878</v>
      </c>
      <c r="U2770" s="1" t="str">
        <f>HYPERLINK("http://ictvonline.org/taxonomy/p/taxonomy-history?taxnode_id=202101044","ICTVonline=202101044")</f>
        <v>ICTVonline=202101044</v>
      </c>
    </row>
    <row r="2771" spans="1:21" x14ac:dyDescent="0.2">
      <c r="A2771" s="3">
        <v>2770</v>
      </c>
      <c r="B2771" s="1" t="s">
        <v>4875</v>
      </c>
      <c r="D2771" s="1" t="s">
        <v>4876</v>
      </c>
      <c r="F2771" s="1" t="s">
        <v>4880</v>
      </c>
      <c r="H2771" s="1" t="s">
        <v>4881</v>
      </c>
      <c r="N2771" s="1" t="s">
        <v>4674</v>
      </c>
      <c r="P2771" s="1" t="s">
        <v>11489</v>
      </c>
      <c r="Q2771" s="30" t="s">
        <v>2565</v>
      </c>
      <c r="R2771" s="33" t="s">
        <v>3473</v>
      </c>
      <c r="S2771">
        <v>37</v>
      </c>
      <c r="T2771" s="1" t="s">
        <v>13878</v>
      </c>
      <c r="U2771" s="1" t="str">
        <f>HYPERLINK("http://ictvonline.org/taxonomy/p/taxonomy-history?taxnode_id=202101045","ICTVonline=202101045")</f>
        <v>ICTVonline=202101045</v>
      </c>
    </row>
    <row r="2772" spans="1:21" x14ac:dyDescent="0.2">
      <c r="A2772" s="3">
        <v>2771</v>
      </c>
      <c r="B2772" s="1" t="s">
        <v>4875</v>
      </c>
      <c r="D2772" s="1" t="s">
        <v>4876</v>
      </c>
      <c r="F2772" s="1" t="s">
        <v>4880</v>
      </c>
      <c r="H2772" s="1" t="s">
        <v>4881</v>
      </c>
      <c r="N2772" s="1" t="s">
        <v>4674</v>
      </c>
      <c r="P2772" s="1" t="s">
        <v>11490</v>
      </c>
      <c r="Q2772" s="30" t="s">
        <v>2565</v>
      </c>
      <c r="R2772" s="33" t="s">
        <v>3473</v>
      </c>
      <c r="S2772">
        <v>37</v>
      </c>
      <c r="T2772" s="1" t="s">
        <v>13878</v>
      </c>
      <c r="U2772" s="1" t="str">
        <f>HYPERLINK("http://ictvonline.org/taxonomy/p/taxonomy-history?taxnode_id=202101046","ICTVonline=202101046")</f>
        <v>ICTVonline=202101046</v>
      </c>
    </row>
    <row r="2773" spans="1:21" x14ac:dyDescent="0.2">
      <c r="A2773" s="3">
        <v>2772</v>
      </c>
      <c r="B2773" s="1" t="s">
        <v>4875</v>
      </c>
      <c r="D2773" s="1" t="s">
        <v>4876</v>
      </c>
      <c r="F2773" s="1" t="s">
        <v>4880</v>
      </c>
      <c r="H2773" s="1" t="s">
        <v>4881</v>
      </c>
      <c r="N2773" s="1" t="s">
        <v>4674</v>
      </c>
      <c r="P2773" s="1" t="s">
        <v>11491</v>
      </c>
      <c r="Q2773" s="30" t="s">
        <v>2565</v>
      </c>
      <c r="R2773" s="33" t="s">
        <v>3473</v>
      </c>
      <c r="S2773">
        <v>37</v>
      </c>
      <c r="T2773" s="1" t="s">
        <v>13878</v>
      </c>
      <c r="U2773" s="1" t="str">
        <f>HYPERLINK("http://ictvonline.org/taxonomy/p/taxonomy-history?taxnode_id=202101047","ICTVonline=202101047")</f>
        <v>ICTVonline=202101047</v>
      </c>
    </row>
    <row r="2774" spans="1:21" x14ac:dyDescent="0.2">
      <c r="A2774" s="3">
        <v>2773</v>
      </c>
      <c r="B2774" s="1" t="s">
        <v>4875</v>
      </c>
      <c r="D2774" s="1" t="s">
        <v>4876</v>
      </c>
      <c r="F2774" s="1" t="s">
        <v>4880</v>
      </c>
      <c r="H2774" s="1" t="s">
        <v>4881</v>
      </c>
      <c r="N2774" s="1" t="s">
        <v>4674</v>
      </c>
      <c r="P2774" s="1" t="s">
        <v>11492</v>
      </c>
      <c r="Q2774" s="30" t="s">
        <v>2565</v>
      </c>
      <c r="R2774" s="33" t="s">
        <v>3473</v>
      </c>
      <c r="S2774">
        <v>37</v>
      </c>
      <c r="T2774" s="1" t="s">
        <v>13878</v>
      </c>
      <c r="U2774" s="1" t="str">
        <f>HYPERLINK("http://ictvonline.org/taxonomy/p/taxonomy-history?taxnode_id=202101049","ICTVonline=202101049")</f>
        <v>ICTVonline=202101049</v>
      </c>
    </row>
    <row r="2775" spans="1:21" x14ac:dyDescent="0.2">
      <c r="A2775" s="3">
        <v>2774</v>
      </c>
      <c r="B2775" s="1" t="s">
        <v>4875</v>
      </c>
      <c r="D2775" s="1" t="s">
        <v>4876</v>
      </c>
      <c r="F2775" s="1" t="s">
        <v>4880</v>
      </c>
      <c r="H2775" s="1" t="s">
        <v>4881</v>
      </c>
      <c r="N2775" s="1" t="s">
        <v>4674</v>
      </c>
      <c r="P2775" s="1" t="s">
        <v>11493</v>
      </c>
      <c r="Q2775" s="30" t="s">
        <v>2565</v>
      </c>
      <c r="R2775" s="33" t="s">
        <v>3473</v>
      </c>
      <c r="S2775">
        <v>37</v>
      </c>
      <c r="T2775" s="1" t="s">
        <v>13878</v>
      </c>
      <c r="U2775" s="1" t="str">
        <f>HYPERLINK("http://ictvonline.org/taxonomy/p/taxonomy-history?taxnode_id=202101051","ICTVonline=202101051")</f>
        <v>ICTVonline=202101051</v>
      </c>
    </row>
    <row r="2776" spans="1:21" x14ac:dyDescent="0.2">
      <c r="A2776" s="3">
        <v>2775</v>
      </c>
      <c r="B2776" s="1" t="s">
        <v>4875</v>
      </c>
      <c r="D2776" s="1" t="s">
        <v>4876</v>
      </c>
      <c r="F2776" s="1" t="s">
        <v>4880</v>
      </c>
      <c r="H2776" s="1" t="s">
        <v>4881</v>
      </c>
      <c r="N2776" s="1" t="s">
        <v>4674</v>
      </c>
      <c r="P2776" s="1" t="s">
        <v>11494</v>
      </c>
      <c r="Q2776" s="30" t="s">
        <v>2565</v>
      </c>
      <c r="R2776" s="33" t="s">
        <v>3473</v>
      </c>
      <c r="S2776">
        <v>37</v>
      </c>
      <c r="T2776" s="1" t="s">
        <v>13878</v>
      </c>
      <c r="U2776" s="1" t="str">
        <f>HYPERLINK("http://ictvonline.org/taxonomy/p/taxonomy-history?taxnode_id=202101052","ICTVonline=202101052")</f>
        <v>ICTVonline=202101052</v>
      </c>
    </row>
    <row r="2777" spans="1:21" x14ac:dyDescent="0.2">
      <c r="A2777" s="3">
        <v>2776</v>
      </c>
      <c r="B2777" s="1" t="s">
        <v>4875</v>
      </c>
      <c r="D2777" s="1" t="s">
        <v>4876</v>
      </c>
      <c r="F2777" s="1" t="s">
        <v>4880</v>
      </c>
      <c r="H2777" s="1" t="s">
        <v>4881</v>
      </c>
      <c r="N2777" s="1" t="s">
        <v>4674</v>
      </c>
      <c r="P2777" s="1" t="s">
        <v>11495</v>
      </c>
      <c r="Q2777" s="30" t="s">
        <v>2565</v>
      </c>
      <c r="R2777" s="33" t="s">
        <v>3473</v>
      </c>
      <c r="S2777">
        <v>37</v>
      </c>
      <c r="T2777" s="1" t="s">
        <v>13878</v>
      </c>
      <c r="U2777" s="1" t="str">
        <f>HYPERLINK("http://ictvonline.org/taxonomy/p/taxonomy-history?taxnode_id=202101053","ICTVonline=202101053")</f>
        <v>ICTVonline=202101053</v>
      </c>
    </row>
    <row r="2778" spans="1:21" x14ac:dyDescent="0.2">
      <c r="A2778" s="3">
        <v>2777</v>
      </c>
      <c r="B2778" s="1" t="s">
        <v>4875</v>
      </c>
      <c r="D2778" s="1" t="s">
        <v>4876</v>
      </c>
      <c r="F2778" s="1" t="s">
        <v>4880</v>
      </c>
      <c r="H2778" s="1" t="s">
        <v>4881</v>
      </c>
      <c r="N2778" s="1" t="s">
        <v>4674</v>
      </c>
      <c r="P2778" s="1" t="s">
        <v>11496</v>
      </c>
      <c r="Q2778" s="30" t="s">
        <v>2565</v>
      </c>
      <c r="R2778" s="33" t="s">
        <v>3473</v>
      </c>
      <c r="S2778">
        <v>37</v>
      </c>
      <c r="T2778" s="1" t="s">
        <v>13878</v>
      </c>
      <c r="U2778" s="1" t="str">
        <f>HYPERLINK("http://ictvonline.org/taxonomy/p/taxonomy-history?taxnode_id=202101055","ICTVonline=202101055")</f>
        <v>ICTVonline=202101055</v>
      </c>
    </row>
    <row r="2779" spans="1:21" x14ac:dyDescent="0.2">
      <c r="A2779" s="3">
        <v>2778</v>
      </c>
      <c r="B2779" s="1" t="s">
        <v>4875</v>
      </c>
      <c r="D2779" s="1" t="s">
        <v>4876</v>
      </c>
      <c r="F2779" s="1" t="s">
        <v>4880</v>
      </c>
      <c r="H2779" s="1" t="s">
        <v>4881</v>
      </c>
      <c r="N2779" s="1" t="s">
        <v>4674</v>
      </c>
      <c r="P2779" s="1" t="s">
        <v>11497</v>
      </c>
      <c r="Q2779" s="30" t="s">
        <v>2565</v>
      </c>
      <c r="R2779" s="33" t="s">
        <v>3473</v>
      </c>
      <c r="S2779">
        <v>37</v>
      </c>
      <c r="T2779" s="1" t="s">
        <v>13878</v>
      </c>
      <c r="U2779" s="1" t="str">
        <f>HYPERLINK("http://ictvonline.org/taxonomy/p/taxonomy-history?taxnode_id=202101056","ICTVonline=202101056")</f>
        <v>ICTVonline=202101056</v>
      </c>
    </row>
    <row r="2780" spans="1:21" x14ac:dyDescent="0.2">
      <c r="A2780" s="3">
        <v>2779</v>
      </c>
      <c r="B2780" s="1" t="s">
        <v>4875</v>
      </c>
      <c r="D2780" s="1" t="s">
        <v>4876</v>
      </c>
      <c r="F2780" s="1" t="s">
        <v>4880</v>
      </c>
      <c r="H2780" s="1" t="s">
        <v>4881</v>
      </c>
      <c r="N2780" s="1" t="s">
        <v>4674</v>
      </c>
      <c r="P2780" s="1" t="s">
        <v>11498</v>
      </c>
      <c r="Q2780" s="30" t="s">
        <v>2565</v>
      </c>
      <c r="R2780" s="33" t="s">
        <v>3473</v>
      </c>
      <c r="S2780">
        <v>37</v>
      </c>
      <c r="T2780" s="1" t="s">
        <v>13878</v>
      </c>
      <c r="U2780" s="1" t="str">
        <f>HYPERLINK("http://ictvonline.org/taxonomy/p/taxonomy-history?taxnode_id=202101057","ICTVonline=202101057")</f>
        <v>ICTVonline=202101057</v>
      </c>
    </row>
    <row r="2781" spans="1:21" x14ac:dyDescent="0.2">
      <c r="A2781" s="3">
        <v>2780</v>
      </c>
      <c r="B2781" s="1" t="s">
        <v>4875</v>
      </c>
      <c r="D2781" s="1" t="s">
        <v>4876</v>
      </c>
      <c r="F2781" s="1" t="s">
        <v>4880</v>
      </c>
      <c r="H2781" s="1" t="s">
        <v>4881</v>
      </c>
      <c r="N2781" s="1" t="s">
        <v>4674</v>
      </c>
      <c r="P2781" s="1" t="s">
        <v>11499</v>
      </c>
      <c r="Q2781" s="30" t="s">
        <v>2565</v>
      </c>
      <c r="R2781" s="33" t="s">
        <v>3473</v>
      </c>
      <c r="S2781">
        <v>37</v>
      </c>
      <c r="T2781" s="1" t="s">
        <v>13878</v>
      </c>
      <c r="U2781" s="1" t="str">
        <f>HYPERLINK("http://ictvonline.org/taxonomy/p/taxonomy-history?taxnode_id=202101058","ICTVonline=202101058")</f>
        <v>ICTVonline=202101058</v>
      </c>
    </row>
    <row r="2782" spans="1:21" x14ac:dyDescent="0.2">
      <c r="A2782" s="3">
        <v>2781</v>
      </c>
      <c r="B2782" s="1" t="s">
        <v>4875</v>
      </c>
      <c r="D2782" s="1" t="s">
        <v>4876</v>
      </c>
      <c r="F2782" s="1" t="s">
        <v>4880</v>
      </c>
      <c r="H2782" s="1" t="s">
        <v>4881</v>
      </c>
      <c r="N2782" s="1" t="s">
        <v>4674</v>
      </c>
      <c r="P2782" s="1" t="s">
        <v>11500</v>
      </c>
      <c r="Q2782" s="30" t="s">
        <v>2565</v>
      </c>
      <c r="R2782" s="33" t="s">
        <v>3473</v>
      </c>
      <c r="S2782">
        <v>37</v>
      </c>
      <c r="T2782" s="1" t="s">
        <v>13878</v>
      </c>
      <c r="U2782" s="1" t="str">
        <f>HYPERLINK("http://ictvonline.org/taxonomy/p/taxonomy-history?taxnode_id=202101059","ICTVonline=202101059")</f>
        <v>ICTVonline=202101059</v>
      </c>
    </row>
    <row r="2783" spans="1:21" x14ac:dyDescent="0.2">
      <c r="A2783" s="3">
        <v>2782</v>
      </c>
      <c r="B2783" s="1" t="s">
        <v>4875</v>
      </c>
      <c r="D2783" s="1" t="s">
        <v>4876</v>
      </c>
      <c r="F2783" s="1" t="s">
        <v>4880</v>
      </c>
      <c r="H2783" s="1" t="s">
        <v>4881</v>
      </c>
      <c r="N2783" s="1" t="s">
        <v>4674</v>
      </c>
      <c r="P2783" s="1" t="s">
        <v>11501</v>
      </c>
      <c r="Q2783" s="30" t="s">
        <v>2565</v>
      </c>
      <c r="R2783" s="33" t="s">
        <v>3473</v>
      </c>
      <c r="S2783">
        <v>37</v>
      </c>
      <c r="T2783" s="1" t="s">
        <v>13878</v>
      </c>
      <c r="U2783" s="1" t="str">
        <f>HYPERLINK("http://ictvonline.org/taxonomy/p/taxonomy-history?taxnode_id=202101063","ICTVonline=202101063")</f>
        <v>ICTVonline=202101063</v>
      </c>
    </row>
    <row r="2784" spans="1:21" x14ac:dyDescent="0.2">
      <c r="A2784" s="3">
        <v>2783</v>
      </c>
      <c r="B2784" s="1" t="s">
        <v>4875</v>
      </c>
      <c r="D2784" s="1" t="s">
        <v>4876</v>
      </c>
      <c r="F2784" s="1" t="s">
        <v>4880</v>
      </c>
      <c r="H2784" s="1" t="s">
        <v>4881</v>
      </c>
      <c r="N2784" s="1" t="s">
        <v>4674</v>
      </c>
      <c r="P2784" s="1" t="s">
        <v>11502</v>
      </c>
      <c r="Q2784" s="30" t="s">
        <v>2565</v>
      </c>
      <c r="R2784" s="33" t="s">
        <v>3473</v>
      </c>
      <c r="S2784">
        <v>37</v>
      </c>
      <c r="T2784" s="1" t="s">
        <v>13878</v>
      </c>
      <c r="U2784" s="1" t="str">
        <f>HYPERLINK("http://ictvonline.org/taxonomy/p/taxonomy-history?taxnode_id=202101065","ICTVonline=202101065")</f>
        <v>ICTVonline=202101065</v>
      </c>
    </row>
    <row r="2785" spans="1:21" x14ac:dyDescent="0.2">
      <c r="A2785" s="3">
        <v>2784</v>
      </c>
      <c r="B2785" s="1" t="s">
        <v>4875</v>
      </c>
      <c r="D2785" s="1" t="s">
        <v>4876</v>
      </c>
      <c r="F2785" s="1" t="s">
        <v>4880</v>
      </c>
      <c r="H2785" s="1" t="s">
        <v>4881</v>
      </c>
      <c r="N2785" s="1" t="s">
        <v>4674</v>
      </c>
      <c r="P2785" s="1" t="s">
        <v>11503</v>
      </c>
      <c r="Q2785" s="30" t="s">
        <v>2565</v>
      </c>
      <c r="R2785" s="33" t="s">
        <v>3473</v>
      </c>
      <c r="S2785">
        <v>37</v>
      </c>
      <c r="T2785" s="1" t="s">
        <v>13878</v>
      </c>
      <c r="U2785" s="1" t="str">
        <f>HYPERLINK("http://ictvonline.org/taxonomy/p/taxonomy-history?taxnode_id=202101066","ICTVonline=202101066")</f>
        <v>ICTVonline=202101066</v>
      </c>
    </row>
    <row r="2786" spans="1:21" x14ac:dyDescent="0.2">
      <c r="A2786" s="3">
        <v>2785</v>
      </c>
      <c r="B2786" s="1" t="s">
        <v>4875</v>
      </c>
      <c r="D2786" s="1" t="s">
        <v>4876</v>
      </c>
      <c r="F2786" s="1" t="s">
        <v>4880</v>
      </c>
      <c r="H2786" s="1" t="s">
        <v>4881</v>
      </c>
      <c r="N2786" s="1" t="s">
        <v>4674</v>
      </c>
      <c r="P2786" s="1" t="s">
        <v>11504</v>
      </c>
      <c r="Q2786" s="30" t="s">
        <v>2565</v>
      </c>
      <c r="R2786" s="33" t="s">
        <v>3473</v>
      </c>
      <c r="S2786">
        <v>37</v>
      </c>
      <c r="T2786" s="1" t="s">
        <v>13878</v>
      </c>
      <c r="U2786" s="1" t="str">
        <f>HYPERLINK("http://ictvonline.org/taxonomy/p/taxonomy-history?taxnode_id=202101067","ICTVonline=202101067")</f>
        <v>ICTVonline=202101067</v>
      </c>
    </row>
    <row r="2787" spans="1:21" x14ac:dyDescent="0.2">
      <c r="A2787" s="3">
        <v>2786</v>
      </c>
      <c r="B2787" s="1" t="s">
        <v>4875</v>
      </c>
      <c r="D2787" s="1" t="s">
        <v>4876</v>
      </c>
      <c r="F2787" s="1" t="s">
        <v>4880</v>
      </c>
      <c r="H2787" s="1" t="s">
        <v>4881</v>
      </c>
      <c r="N2787" s="1" t="s">
        <v>6018</v>
      </c>
      <c r="P2787" s="1" t="s">
        <v>11505</v>
      </c>
      <c r="Q2787" s="30" t="s">
        <v>2565</v>
      </c>
      <c r="R2787" s="33" t="s">
        <v>3473</v>
      </c>
      <c r="S2787">
        <v>37</v>
      </c>
      <c r="T2787" s="1" t="s">
        <v>13878</v>
      </c>
      <c r="U2787" s="1" t="str">
        <f>HYPERLINK("http://ictvonline.org/taxonomy/p/taxonomy-history?taxnode_id=202100515","ICTVonline=202100515")</f>
        <v>ICTVonline=202100515</v>
      </c>
    </row>
    <row r="2788" spans="1:21" x14ac:dyDescent="0.2">
      <c r="A2788" s="3">
        <v>2787</v>
      </c>
      <c r="B2788" s="1" t="s">
        <v>4875</v>
      </c>
      <c r="D2788" s="1" t="s">
        <v>4876</v>
      </c>
      <c r="F2788" s="1" t="s">
        <v>4880</v>
      </c>
      <c r="H2788" s="1" t="s">
        <v>4881</v>
      </c>
      <c r="N2788" s="1" t="s">
        <v>6018</v>
      </c>
      <c r="P2788" s="1" t="s">
        <v>11506</v>
      </c>
      <c r="Q2788" s="30" t="s">
        <v>2565</v>
      </c>
      <c r="R2788" s="33" t="s">
        <v>3473</v>
      </c>
      <c r="S2788">
        <v>37</v>
      </c>
      <c r="T2788" s="1" t="s">
        <v>13878</v>
      </c>
      <c r="U2788" s="1" t="str">
        <f>HYPERLINK("http://ictvonline.org/taxonomy/p/taxonomy-history?taxnode_id=202110039","ICTVonline=202110039")</f>
        <v>ICTVonline=202110039</v>
      </c>
    </row>
    <row r="2789" spans="1:21" x14ac:dyDescent="0.2">
      <c r="A2789" s="3">
        <v>2788</v>
      </c>
      <c r="B2789" s="1" t="s">
        <v>4875</v>
      </c>
      <c r="D2789" s="1" t="s">
        <v>4876</v>
      </c>
      <c r="F2789" s="1" t="s">
        <v>4880</v>
      </c>
      <c r="H2789" s="1" t="s">
        <v>4881</v>
      </c>
      <c r="N2789" s="1" t="s">
        <v>3201</v>
      </c>
      <c r="P2789" s="1" t="s">
        <v>11507</v>
      </c>
      <c r="Q2789" s="30" t="s">
        <v>2565</v>
      </c>
      <c r="R2789" s="33" t="s">
        <v>3473</v>
      </c>
      <c r="S2789">
        <v>37</v>
      </c>
      <c r="T2789" s="1" t="s">
        <v>13878</v>
      </c>
      <c r="U2789" s="1" t="str">
        <f>HYPERLINK("http://ictvonline.org/taxonomy/p/taxonomy-history?taxnode_id=202100972","ICTVonline=202100972")</f>
        <v>ICTVonline=202100972</v>
      </c>
    </row>
    <row r="2790" spans="1:21" x14ac:dyDescent="0.2">
      <c r="A2790" s="3">
        <v>2789</v>
      </c>
      <c r="B2790" s="1" t="s">
        <v>4875</v>
      </c>
      <c r="D2790" s="1" t="s">
        <v>4876</v>
      </c>
      <c r="F2790" s="1" t="s">
        <v>4880</v>
      </c>
      <c r="H2790" s="1" t="s">
        <v>4881</v>
      </c>
      <c r="N2790" s="1" t="s">
        <v>4675</v>
      </c>
      <c r="P2790" s="1" t="s">
        <v>11508</v>
      </c>
      <c r="Q2790" s="30" t="s">
        <v>2565</v>
      </c>
      <c r="R2790" s="33" t="s">
        <v>3473</v>
      </c>
      <c r="S2790">
        <v>37</v>
      </c>
      <c r="T2790" s="1" t="s">
        <v>13878</v>
      </c>
      <c r="U2790" s="1" t="str">
        <f>HYPERLINK("http://ictvonline.org/taxonomy/p/taxonomy-history?taxnode_id=202106628","ICTVonline=202106628")</f>
        <v>ICTVonline=202106628</v>
      </c>
    </row>
    <row r="2791" spans="1:21" x14ac:dyDescent="0.2">
      <c r="A2791" s="3">
        <v>2790</v>
      </c>
      <c r="B2791" s="1" t="s">
        <v>4875</v>
      </c>
      <c r="D2791" s="1" t="s">
        <v>4876</v>
      </c>
      <c r="F2791" s="1" t="s">
        <v>4880</v>
      </c>
      <c r="H2791" s="1" t="s">
        <v>4881</v>
      </c>
      <c r="N2791" s="1" t="s">
        <v>4675</v>
      </c>
      <c r="P2791" s="1" t="s">
        <v>11509</v>
      </c>
      <c r="Q2791" s="30" t="s">
        <v>2565</v>
      </c>
      <c r="R2791" s="33" t="s">
        <v>3473</v>
      </c>
      <c r="S2791">
        <v>37</v>
      </c>
      <c r="T2791" s="1" t="s">
        <v>13878</v>
      </c>
      <c r="U2791" s="1" t="str">
        <f>HYPERLINK("http://ictvonline.org/taxonomy/p/taxonomy-history?taxnode_id=202106627","ICTVonline=202106627")</f>
        <v>ICTVonline=202106627</v>
      </c>
    </row>
    <row r="2792" spans="1:21" x14ac:dyDescent="0.2">
      <c r="A2792" s="3">
        <v>2791</v>
      </c>
      <c r="B2792" s="1" t="s">
        <v>4875</v>
      </c>
      <c r="D2792" s="1" t="s">
        <v>4876</v>
      </c>
      <c r="F2792" s="1" t="s">
        <v>4880</v>
      </c>
      <c r="H2792" s="1" t="s">
        <v>4881</v>
      </c>
      <c r="N2792" s="1" t="s">
        <v>4676</v>
      </c>
      <c r="P2792" s="1" t="s">
        <v>11510</v>
      </c>
      <c r="Q2792" s="30" t="s">
        <v>2565</v>
      </c>
      <c r="R2792" s="33" t="s">
        <v>3473</v>
      </c>
      <c r="S2792">
        <v>37</v>
      </c>
      <c r="T2792" s="1" t="s">
        <v>13878</v>
      </c>
      <c r="U2792" s="1" t="str">
        <f>HYPERLINK("http://ictvonline.org/taxonomy/p/taxonomy-history?taxnode_id=202106444","ICTVonline=202106444")</f>
        <v>ICTVonline=202106444</v>
      </c>
    </row>
    <row r="2793" spans="1:21" x14ac:dyDescent="0.2">
      <c r="A2793" s="3">
        <v>2792</v>
      </c>
      <c r="B2793" s="1" t="s">
        <v>4875</v>
      </c>
      <c r="D2793" s="1" t="s">
        <v>4876</v>
      </c>
      <c r="F2793" s="1" t="s">
        <v>4880</v>
      </c>
      <c r="H2793" s="1" t="s">
        <v>4881</v>
      </c>
      <c r="N2793" s="1" t="s">
        <v>4677</v>
      </c>
      <c r="P2793" s="1" t="s">
        <v>11511</v>
      </c>
      <c r="Q2793" s="30" t="s">
        <v>2565</v>
      </c>
      <c r="R2793" s="33" t="s">
        <v>3473</v>
      </c>
      <c r="S2793">
        <v>37</v>
      </c>
      <c r="T2793" s="1" t="s">
        <v>13878</v>
      </c>
      <c r="U2793" s="1" t="str">
        <f>HYPERLINK("http://ictvonline.org/taxonomy/p/taxonomy-history?taxnode_id=202106480","ICTVonline=202106480")</f>
        <v>ICTVonline=202106480</v>
      </c>
    </row>
    <row r="2794" spans="1:21" x14ac:dyDescent="0.2">
      <c r="A2794" s="3">
        <v>2793</v>
      </c>
      <c r="B2794" s="1" t="s">
        <v>4875</v>
      </c>
      <c r="D2794" s="1" t="s">
        <v>4876</v>
      </c>
      <c r="F2794" s="1" t="s">
        <v>4880</v>
      </c>
      <c r="H2794" s="1" t="s">
        <v>4881</v>
      </c>
      <c r="N2794" s="1" t="s">
        <v>6063</v>
      </c>
      <c r="P2794" s="1" t="s">
        <v>11512</v>
      </c>
      <c r="Q2794" s="30" t="s">
        <v>2565</v>
      </c>
      <c r="R2794" s="33" t="s">
        <v>3473</v>
      </c>
      <c r="S2794">
        <v>37</v>
      </c>
      <c r="T2794" s="1" t="s">
        <v>13878</v>
      </c>
      <c r="U2794" s="1" t="str">
        <f>HYPERLINK("http://ictvonline.org/taxonomy/p/taxonomy-history?taxnode_id=202111663","ICTVonline=202111663")</f>
        <v>ICTVonline=202111663</v>
      </c>
    </row>
    <row r="2795" spans="1:21" x14ac:dyDescent="0.2">
      <c r="A2795" s="3">
        <v>2794</v>
      </c>
      <c r="B2795" s="1" t="s">
        <v>4875</v>
      </c>
      <c r="D2795" s="1" t="s">
        <v>4876</v>
      </c>
      <c r="F2795" s="1" t="s">
        <v>4880</v>
      </c>
      <c r="H2795" s="1" t="s">
        <v>4881</v>
      </c>
      <c r="N2795" s="1" t="s">
        <v>6063</v>
      </c>
      <c r="P2795" s="1" t="s">
        <v>11513</v>
      </c>
      <c r="Q2795" s="30" t="s">
        <v>2565</v>
      </c>
      <c r="R2795" s="33" t="s">
        <v>3473</v>
      </c>
      <c r="S2795">
        <v>37</v>
      </c>
      <c r="T2795" s="1" t="s">
        <v>13878</v>
      </c>
      <c r="U2795" s="1" t="str">
        <f>HYPERLINK("http://ictvonline.org/taxonomy/p/taxonomy-history?taxnode_id=202111664","ICTVonline=202111664")</f>
        <v>ICTVonline=202111664</v>
      </c>
    </row>
    <row r="2796" spans="1:21" x14ac:dyDescent="0.2">
      <c r="A2796" s="3">
        <v>2795</v>
      </c>
      <c r="B2796" s="1" t="s">
        <v>4875</v>
      </c>
      <c r="D2796" s="1" t="s">
        <v>4876</v>
      </c>
      <c r="F2796" s="1" t="s">
        <v>4880</v>
      </c>
      <c r="H2796" s="1" t="s">
        <v>4881</v>
      </c>
      <c r="N2796" s="1" t="s">
        <v>6063</v>
      </c>
      <c r="P2796" s="1" t="s">
        <v>11514</v>
      </c>
      <c r="Q2796" s="30" t="s">
        <v>2565</v>
      </c>
      <c r="R2796" s="33" t="s">
        <v>3473</v>
      </c>
      <c r="S2796">
        <v>37</v>
      </c>
      <c r="T2796" s="1" t="s">
        <v>13878</v>
      </c>
      <c r="U2796" s="1" t="str">
        <f>HYPERLINK("http://ictvonline.org/taxonomy/p/taxonomy-history?taxnode_id=202111665","ICTVonline=202111665")</f>
        <v>ICTVonline=202111665</v>
      </c>
    </row>
    <row r="2797" spans="1:21" x14ac:dyDescent="0.2">
      <c r="A2797" s="3">
        <v>2796</v>
      </c>
      <c r="B2797" s="1" t="s">
        <v>4875</v>
      </c>
      <c r="D2797" s="1" t="s">
        <v>4876</v>
      </c>
      <c r="F2797" s="1" t="s">
        <v>4880</v>
      </c>
      <c r="H2797" s="1" t="s">
        <v>4881</v>
      </c>
      <c r="N2797" s="1" t="s">
        <v>4679</v>
      </c>
      <c r="P2797" s="1" t="s">
        <v>11515</v>
      </c>
      <c r="Q2797" s="30" t="s">
        <v>2565</v>
      </c>
      <c r="R2797" s="33" t="s">
        <v>3473</v>
      </c>
      <c r="S2797">
        <v>37</v>
      </c>
      <c r="T2797" s="1" t="s">
        <v>13878</v>
      </c>
      <c r="U2797" s="1" t="str">
        <f>HYPERLINK("http://ictvonline.org/taxonomy/p/taxonomy-history?taxnode_id=202106827","ICTVonline=202106827")</f>
        <v>ICTVonline=202106827</v>
      </c>
    </row>
    <row r="2798" spans="1:21" x14ac:dyDescent="0.2">
      <c r="A2798" s="3">
        <v>2797</v>
      </c>
      <c r="B2798" s="1" t="s">
        <v>4875</v>
      </c>
      <c r="D2798" s="1" t="s">
        <v>4876</v>
      </c>
      <c r="F2798" s="1" t="s">
        <v>4880</v>
      </c>
      <c r="H2798" s="1" t="s">
        <v>4881</v>
      </c>
      <c r="N2798" s="1" t="s">
        <v>4679</v>
      </c>
      <c r="P2798" s="1" t="s">
        <v>11516</v>
      </c>
      <c r="Q2798" s="30" t="s">
        <v>2565</v>
      </c>
      <c r="R2798" s="33" t="s">
        <v>3473</v>
      </c>
      <c r="S2798">
        <v>37</v>
      </c>
      <c r="T2798" s="1" t="s">
        <v>13878</v>
      </c>
      <c r="U2798" s="1" t="str">
        <f>HYPERLINK("http://ictvonline.org/taxonomy/p/taxonomy-history?taxnode_id=202106826","ICTVonline=202106826")</f>
        <v>ICTVonline=202106826</v>
      </c>
    </row>
    <row r="2799" spans="1:21" x14ac:dyDescent="0.2">
      <c r="A2799" s="3">
        <v>2798</v>
      </c>
      <c r="B2799" s="1" t="s">
        <v>4875</v>
      </c>
      <c r="D2799" s="1" t="s">
        <v>4876</v>
      </c>
      <c r="F2799" s="1" t="s">
        <v>4880</v>
      </c>
      <c r="H2799" s="1" t="s">
        <v>4881</v>
      </c>
      <c r="N2799" s="1" t="s">
        <v>4680</v>
      </c>
      <c r="P2799" s="1" t="s">
        <v>11517</v>
      </c>
      <c r="Q2799" s="30" t="s">
        <v>2565</v>
      </c>
      <c r="R2799" s="33" t="s">
        <v>3473</v>
      </c>
      <c r="S2799">
        <v>37</v>
      </c>
      <c r="T2799" s="1" t="s">
        <v>13878</v>
      </c>
      <c r="U2799" s="1" t="str">
        <f>HYPERLINK("http://ictvonline.org/taxonomy/p/taxonomy-history?taxnode_id=202106635","ICTVonline=202106635")</f>
        <v>ICTVonline=202106635</v>
      </c>
    </row>
    <row r="2800" spans="1:21" x14ac:dyDescent="0.2">
      <c r="A2800" s="3">
        <v>2799</v>
      </c>
      <c r="B2800" s="1" t="s">
        <v>4875</v>
      </c>
      <c r="D2800" s="1" t="s">
        <v>4876</v>
      </c>
      <c r="F2800" s="1" t="s">
        <v>4880</v>
      </c>
      <c r="H2800" s="1" t="s">
        <v>4881</v>
      </c>
      <c r="N2800" s="1" t="s">
        <v>3202</v>
      </c>
      <c r="P2800" s="1" t="s">
        <v>11518</v>
      </c>
      <c r="Q2800" s="30" t="s">
        <v>2565</v>
      </c>
      <c r="R2800" s="33" t="s">
        <v>3473</v>
      </c>
      <c r="S2800">
        <v>37</v>
      </c>
      <c r="T2800" s="1" t="s">
        <v>13878</v>
      </c>
      <c r="U2800" s="1" t="str">
        <f>HYPERLINK("http://ictvonline.org/taxonomy/p/taxonomy-history?taxnode_id=202100974","ICTVonline=202100974")</f>
        <v>ICTVonline=202100974</v>
      </c>
    </row>
    <row r="2801" spans="1:21" x14ac:dyDescent="0.2">
      <c r="A2801" s="3">
        <v>2800</v>
      </c>
      <c r="B2801" s="1" t="s">
        <v>4875</v>
      </c>
      <c r="D2801" s="1" t="s">
        <v>4876</v>
      </c>
      <c r="F2801" s="1" t="s">
        <v>4880</v>
      </c>
      <c r="H2801" s="1" t="s">
        <v>4881</v>
      </c>
      <c r="N2801" s="1" t="s">
        <v>5198</v>
      </c>
      <c r="P2801" s="1" t="s">
        <v>11519</v>
      </c>
      <c r="Q2801" s="30" t="s">
        <v>2565</v>
      </c>
      <c r="R2801" s="33" t="s">
        <v>3473</v>
      </c>
      <c r="S2801">
        <v>37</v>
      </c>
      <c r="T2801" s="1" t="s">
        <v>13878</v>
      </c>
      <c r="U2801" s="1" t="str">
        <f>HYPERLINK("http://ictvonline.org/taxonomy/p/taxonomy-history?taxnode_id=202107308","ICTVonline=202107308")</f>
        <v>ICTVonline=202107308</v>
      </c>
    </row>
    <row r="2802" spans="1:21" x14ac:dyDescent="0.2">
      <c r="A2802" s="3">
        <v>2801</v>
      </c>
      <c r="B2802" s="1" t="s">
        <v>4875</v>
      </c>
      <c r="D2802" s="1" t="s">
        <v>4876</v>
      </c>
      <c r="F2802" s="1" t="s">
        <v>4880</v>
      </c>
      <c r="H2802" s="1" t="s">
        <v>4881</v>
      </c>
      <c r="N2802" s="1" t="s">
        <v>6185</v>
      </c>
      <c r="P2802" s="1" t="s">
        <v>11520</v>
      </c>
      <c r="Q2802" s="30" t="s">
        <v>2565</v>
      </c>
      <c r="R2802" s="33" t="s">
        <v>3473</v>
      </c>
      <c r="S2802">
        <v>37</v>
      </c>
      <c r="T2802" s="1" t="s">
        <v>13878</v>
      </c>
      <c r="U2802" s="1" t="str">
        <f>HYPERLINK("http://ictvonline.org/taxonomy/p/taxonomy-history?taxnode_id=202110042","ICTVonline=202110042")</f>
        <v>ICTVonline=202110042</v>
      </c>
    </row>
    <row r="2803" spans="1:21" x14ac:dyDescent="0.2">
      <c r="A2803" s="3">
        <v>2802</v>
      </c>
      <c r="B2803" s="1" t="s">
        <v>4875</v>
      </c>
      <c r="D2803" s="1" t="s">
        <v>4876</v>
      </c>
      <c r="F2803" s="1" t="s">
        <v>4880</v>
      </c>
      <c r="H2803" s="1" t="s">
        <v>4881</v>
      </c>
      <c r="N2803" s="1" t="s">
        <v>6185</v>
      </c>
      <c r="P2803" s="1" t="s">
        <v>11521</v>
      </c>
      <c r="Q2803" s="30" t="s">
        <v>2565</v>
      </c>
      <c r="R2803" s="33" t="s">
        <v>3473</v>
      </c>
      <c r="S2803">
        <v>37</v>
      </c>
      <c r="T2803" s="1" t="s">
        <v>13878</v>
      </c>
      <c r="U2803" s="1" t="str">
        <f>HYPERLINK("http://ictvonline.org/taxonomy/p/taxonomy-history?taxnode_id=202110041","ICTVonline=202110041")</f>
        <v>ICTVonline=202110041</v>
      </c>
    </row>
    <row r="2804" spans="1:21" x14ac:dyDescent="0.2">
      <c r="A2804" s="3">
        <v>2803</v>
      </c>
      <c r="B2804" s="1" t="s">
        <v>4875</v>
      </c>
      <c r="D2804" s="1" t="s">
        <v>4876</v>
      </c>
      <c r="F2804" s="1" t="s">
        <v>4880</v>
      </c>
      <c r="H2804" s="1" t="s">
        <v>4881</v>
      </c>
      <c r="N2804" s="1" t="s">
        <v>11522</v>
      </c>
      <c r="P2804" s="1" t="s">
        <v>11523</v>
      </c>
      <c r="Q2804" s="30" t="s">
        <v>2565</v>
      </c>
      <c r="R2804" s="33" t="s">
        <v>3472</v>
      </c>
      <c r="S2804">
        <v>37</v>
      </c>
      <c r="T2804" s="1" t="s">
        <v>13944</v>
      </c>
      <c r="U2804" s="1" t="str">
        <f>HYPERLINK("http://ictvonline.org/taxonomy/p/taxonomy-history?taxnode_id=202113602","ICTVonline=202113602")</f>
        <v>ICTVonline=202113602</v>
      </c>
    </row>
    <row r="2805" spans="1:21" x14ac:dyDescent="0.2">
      <c r="A2805" s="3">
        <v>2804</v>
      </c>
      <c r="B2805" s="1" t="s">
        <v>4875</v>
      </c>
      <c r="D2805" s="1" t="s">
        <v>4876</v>
      </c>
      <c r="F2805" s="1" t="s">
        <v>4880</v>
      </c>
      <c r="H2805" s="1" t="s">
        <v>4881</v>
      </c>
      <c r="N2805" s="1" t="s">
        <v>11522</v>
      </c>
      <c r="P2805" s="1" t="s">
        <v>11524</v>
      </c>
      <c r="Q2805" s="30" t="s">
        <v>2565</v>
      </c>
      <c r="R2805" s="33" t="s">
        <v>3472</v>
      </c>
      <c r="S2805">
        <v>37</v>
      </c>
      <c r="T2805" s="1" t="s">
        <v>13944</v>
      </c>
      <c r="U2805" s="1" t="str">
        <f>HYPERLINK("http://ictvonline.org/taxonomy/p/taxonomy-history?taxnode_id=202112254","ICTVonline=202112254")</f>
        <v>ICTVonline=202112254</v>
      </c>
    </row>
    <row r="2806" spans="1:21" x14ac:dyDescent="0.2">
      <c r="A2806" s="3">
        <v>2805</v>
      </c>
      <c r="B2806" s="1" t="s">
        <v>4875</v>
      </c>
      <c r="D2806" s="1" t="s">
        <v>4876</v>
      </c>
      <c r="F2806" s="1" t="s">
        <v>4880</v>
      </c>
      <c r="H2806" s="1" t="s">
        <v>4881</v>
      </c>
      <c r="N2806" s="1" t="s">
        <v>11522</v>
      </c>
      <c r="P2806" s="1" t="s">
        <v>11525</v>
      </c>
      <c r="Q2806" s="30" t="s">
        <v>2565</v>
      </c>
      <c r="R2806" s="33" t="s">
        <v>3473</v>
      </c>
      <c r="S2806">
        <v>37</v>
      </c>
      <c r="T2806" s="1" t="s">
        <v>13944</v>
      </c>
      <c r="U2806" s="1" t="str">
        <f>HYPERLINK("http://ictvonline.org/taxonomy/p/taxonomy-history?taxnode_id=202101024","ICTVonline=202101024")</f>
        <v>ICTVonline=202101024</v>
      </c>
    </row>
    <row r="2807" spans="1:21" x14ac:dyDescent="0.2">
      <c r="A2807" s="3">
        <v>2806</v>
      </c>
      <c r="B2807" s="1" t="s">
        <v>4875</v>
      </c>
      <c r="D2807" s="1" t="s">
        <v>4876</v>
      </c>
      <c r="F2807" s="1" t="s">
        <v>4880</v>
      </c>
      <c r="H2807" s="1" t="s">
        <v>4881</v>
      </c>
      <c r="N2807" s="1" t="s">
        <v>11522</v>
      </c>
      <c r="P2807" s="1" t="s">
        <v>11526</v>
      </c>
      <c r="Q2807" s="30" t="s">
        <v>2565</v>
      </c>
      <c r="R2807" s="33" t="s">
        <v>3473</v>
      </c>
      <c r="S2807">
        <v>37</v>
      </c>
      <c r="T2807" s="1" t="s">
        <v>13944</v>
      </c>
      <c r="U2807" s="1" t="str">
        <f>HYPERLINK("http://ictvonline.org/taxonomy/p/taxonomy-history?taxnode_id=202101027","ICTVonline=202101027")</f>
        <v>ICTVonline=202101027</v>
      </c>
    </row>
    <row r="2808" spans="1:21" x14ac:dyDescent="0.2">
      <c r="A2808" s="3">
        <v>2807</v>
      </c>
      <c r="B2808" s="1" t="s">
        <v>4875</v>
      </c>
      <c r="D2808" s="1" t="s">
        <v>4876</v>
      </c>
      <c r="F2808" s="1" t="s">
        <v>4880</v>
      </c>
      <c r="H2808" s="1" t="s">
        <v>4881</v>
      </c>
      <c r="N2808" s="1" t="s">
        <v>11522</v>
      </c>
      <c r="P2808" s="1" t="s">
        <v>11527</v>
      </c>
      <c r="Q2808" s="30" t="s">
        <v>2565</v>
      </c>
      <c r="R2808" s="33" t="s">
        <v>3473</v>
      </c>
      <c r="S2808">
        <v>37</v>
      </c>
      <c r="T2808" s="1" t="s">
        <v>13944</v>
      </c>
      <c r="U2808" s="1" t="str">
        <f>HYPERLINK("http://ictvonline.org/taxonomy/p/taxonomy-history?taxnode_id=202101029","ICTVonline=202101029")</f>
        <v>ICTVonline=202101029</v>
      </c>
    </row>
    <row r="2809" spans="1:21" x14ac:dyDescent="0.2">
      <c r="A2809" s="3">
        <v>2808</v>
      </c>
      <c r="B2809" s="1" t="s">
        <v>4875</v>
      </c>
      <c r="D2809" s="1" t="s">
        <v>4876</v>
      </c>
      <c r="F2809" s="1" t="s">
        <v>4880</v>
      </c>
      <c r="H2809" s="1" t="s">
        <v>4881</v>
      </c>
      <c r="N2809" s="1" t="s">
        <v>11522</v>
      </c>
      <c r="P2809" s="1" t="s">
        <v>11528</v>
      </c>
      <c r="Q2809" s="30" t="s">
        <v>2565</v>
      </c>
      <c r="R2809" s="33" t="s">
        <v>3473</v>
      </c>
      <c r="S2809">
        <v>37</v>
      </c>
      <c r="T2809" s="1" t="s">
        <v>13944</v>
      </c>
      <c r="U2809" s="1" t="str">
        <f>HYPERLINK("http://ictvonline.org/taxonomy/p/taxonomy-history?taxnode_id=202101033","ICTVonline=202101033")</f>
        <v>ICTVonline=202101033</v>
      </c>
    </row>
    <row r="2810" spans="1:21" x14ac:dyDescent="0.2">
      <c r="A2810" s="3">
        <v>2809</v>
      </c>
      <c r="B2810" s="1" t="s">
        <v>4875</v>
      </c>
      <c r="D2810" s="1" t="s">
        <v>4876</v>
      </c>
      <c r="F2810" s="1" t="s">
        <v>4880</v>
      </c>
      <c r="H2810" s="1" t="s">
        <v>4881</v>
      </c>
      <c r="N2810" s="1" t="s">
        <v>11522</v>
      </c>
      <c r="P2810" s="1" t="s">
        <v>11529</v>
      </c>
      <c r="Q2810" s="30" t="s">
        <v>2565</v>
      </c>
      <c r="R2810" s="33" t="s">
        <v>3472</v>
      </c>
      <c r="S2810">
        <v>37</v>
      </c>
      <c r="T2810" s="1" t="s">
        <v>13944</v>
      </c>
      <c r="U2810" s="1" t="str">
        <f>HYPERLINK("http://ictvonline.org/taxonomy/p/taxonomy-history?taxnode_id=202113604","ICTVonline=202113604")</f>
        <v>ICTVonline=202113604</v>
      </c>
    </row>
    <row r="2811" spans="1:21" x14ac:dyDescent="0.2">
      <c r="A2811" s="3">
        <v>2810</v>
      </c>
      <c r="B2811" s="1" t="s">
        <v>4875</v>
      </c>
      <c r="D2811" s="1" t="s">
        <v>4876</v>
      </c>
      <c r="F2811" s="1" t="s">
        <v>4880</v>
      </c>
      <c r="H2811" s="1" t="s">
        <v>4881</v>
      </c>
      <c r="N2811" s="1" t="s">
        <v>11522</v>
      </c>
      <c r="P2811" s="1" t="s">
        <v>11530</v>
      </c>
      <c r="Q2811" s="30" t="s">
        <v>2565</v>
      </c>
      <c r="R2811" s="33" t="s">
        <v>3472</v>
      </c>
      <c r="S2811">
        <v>37</v>
      </c>
      <c r="T2811" s="1" t="s">
        <v>13944</v>
      </c>
      <c r="U2811" s="1" t="str">
        <f>HYPERLINK("http://ictvonline.org/taxonomy/p/taxonomy-history?taxnode_id=202112253","ICTVonline=202112253")</f>
        <v>ICTVonline=202112253</v>
      </c>
    </row>
    <row r="2812" spans="1:21" x14ac:dyDescent="0.2">
      <c r="A2812" s="3">
        <v>2811</v>
      </c>
      <c r="B2812" s="1" t="s">
        <v>4875</v>
      </c>
      <c r="D2812" s="1" t="s">
        <v>4876</v>
      </c>
      <c r="F2812" s="1" t="s">
        <v>4880</v>
      </c>
      <c r="H2812" s="1" t="s">
        <v>4881</v>
      </c>
      <c r="N2812" s="1" t="s">
        <v>11522</v>
      </c>
      <c r="P2812" s="1" t="s">
        <v>11531</v>
      </c>
      <c r="Q2812" s="30" t="s">
        <v>2565</v>
      </c>
      <c r="R2812" s="33" t="s">
        <v>3472</v>
      </c>
      <c r="S2812">
        <v>37</v>
      </c>
      <c r="T2812" s="1" t="s">
        <v>13944</v>
      </c>
      <c r="U2812" s="1" t="str">
        <f>HYPERLINK("http://ictvonline.org/taxonomy/p/taxonomy-history?taxnode_id=202112252","ICTVonline=202112252")</f>
        <v>ICTVonline=202112252</v>
      </c>
    </row>
    <row r="2813" spans="1:21" x14ac:dyDescent="0.2">
      <c r="A2813" s="3">
        <v>2812</v>
      </c>
      <c r="B2813" s="1" t="s">
        <v>4875</v>
      </c>
      <c r="D2813" s="1" t="s">
        <v>4876</v>
      </c>
      <c r="F2813" s="1" t="s">
        <v>4880</v>
      </c>
      <c r="H2813" s="1" t="s">
        <v>4881</v>
      </c>
      <c r="N2813" s="1" t="s">
        <v>11522</v>
      </c>
      <c r="P2813" s="1" t="s">
        <v>11532</v>
      </c>
      <c r="Q2813" s="30" t="s">
        <v>2565</v>
      </c>
      <c r="R2813" s="33" t="s">
        <v>3472</v>
      </c>
      <c r="S2813">
        <v>37</v>
      </c>
      <c r="T2813" s="1" t="s">
        <v>13944</v>
      </c>
      <c r="U2813" s="1" t="str">
        <f>HYPERLINK("http://ictvonline.org/taxonomy/p/taxonomy-history?taxnode_id=202113603","ICTVonline=202113603")</f>
        <v>ICTVonline=202113603</v>
      </c>
    </row>
    <row r="2814" spans="1:21" x14ac:dyDescent="0.2">
      <c r="A2814" s="3">
        <v>2813</v>
      </c>
      <c r="B2814" s="1" t="s">
        <v>4875</v>
      </c>
      <c r="D2814" s="1" t="s">
        <v>4876</v>
      </c>
      <c r="F2814" s="1" t="s">
        <v>4880</v>
      </c>
      <c r="H2814" s="1" t="s">
        <v>4881</v>
      </c>
      <c r="N2814" s="1" t="s">
        <v>6186</v>
      </c>
      <c r="P2814" s="1" t="s">
        <v>11533</v>
      </c>
      <c r="Q2814" s="30" t="s">
        <v>2565</v>
      </c>
      <c r="R2814" s="33" t="s">
        <v>3473</v>
      </c>
      <c r="S2814">
        <v>37</v>
      </c>
      <c r="T2814" s="1" t="s">
        <v>13878</v>
      </c>
      <c r="U2814" s="1" t="str">
        <f>HYPERLINK("http://ictvonline.org/taxonomy/p/taxonomy-history?taxnode_id=202109350","ICTVonline=202109350")</f>
        <v>ICTVonline=202109350</v>
      </c>
    </row>
    <row r="2815" spans="1:21" x14ac:dyDescent="0.2">
      <c r="A2815" s="3">
        <v>2814</v>
      </c>
      <c r="B2815" s="1" t="s">
        <v>4875</v>
      </c>
      <c r="D2815" s="1" t="s">
        <v>4876</v>
      </c>
      <c r="F2815" s="1" t="s">
        <v>4880</v>
      </c>
      <c r="H2815" s="1" t="s">
        <v>4881</v>
      </c>
      <c r="N2815" s="1" t="s">
        <v>5199</v>
      </c>
      <c r="P2815" s="1" t="s">
        <v>11534</v>
      </c>
      <c r="Q2815" s="30" t="s">
        <v>2565</v>
      </c>
      <c r="R2815" s="33" t="s">
        <v>3473</v>
      </c>
      <c r="S2815">
        <v>37</v>
      </c>
      <c r="T2815" s="1" t="s">
        <v>13878</v>
      </c>
      <c r="U2815" s="1" t="str">
        <f>HYPERLINK("http://ictvonline.org/taxonomy/p/taxonomy-history?taxnode_id=202107287","ICTVonline=202107287")</f>
        <v>ICTVonline=202107287</v>
      </c>
    </row>
    <row r="2816" spans="1:21" x14ac:dyDescent="0.2">
      <c r="A2816" s="3">
        <v>2815</v>
      </c>
      <c r="B2816" s="1" t="s">
        <v>4875</v>
      </c>
      <c r="D2816" s="1" t="s">
        <v>4876</v>
      </c>
      <c r="F2816" s="1" t="s">
        <v>4880</v>
      </c>
      <c r="H2816" s="1" t="s">
        <v>4881</v>
      </c>
      <c r="N2816" s="1" t="s">
        <v>4544</v>
      </c>
      <c r="P2816" s="1" t="s">
        <v>11535</v>
      </c>
      <c r="Q2816" s="30" t="s">
        <v>2565</v>
      </c>
      <c r="R2816" s="33" t="s">
        <v>3472</v>
      </c>
      <c r="S2816">
        <v>37</v>
      </c>
      <c r="T2816" s="1" t="s">
        <v>13945</v>
      </c>
      <c r="U2816" s="1" t="str">
        <f>HYPERLINK("http://ictvonline.org/taxonomy/p/taxonomy-history?taxnode_id=202112255","ICTVonline=202112255")</f>
        <v>ICTVonline=202112255</v>
      </c>
    </row>
    <row r="2817" spans="1:21" x14ac:dyDescent="0.2">
      <c r="A2817" s="3">
        <v>2816</v>
      </c>
      <c r="B2817" s="1" t="s">
        <v>4875</v>
      </c>
      <c r="D2817" s="1" t="s">
        <v>4876</v>
      </c>
      <c r="F2817" s="1" t="s">
        <v>4880</v>
      </c>
      <c r="H2817" s="1" t="s">
        <v>4881</v>
      </c>
      <c r="N2817" s="1" t="s">
        <v>4544</v>
      </c>
      <c r="P2817" s="1" t="s">
        <v>11536</v>
      </c>
      <c r="Q2817" s="30" t="s">
        <v>2565</v>
      </c>
      <c r="R2817" s="33" t="s">
        <v>3473</v>
      </c>
      <c r="S2817">
        <v>37</v>
      </c>
      <c r="T2817" s="1" t="s">
        <v>13878</v>
      </c>
      <c r="U2817" s="1" t="str">
        <f>HYPERLINK("http://ictvonline.org/taxonomy/p/taxonomy-history?taxnode_id=202106769","ICTVonline=202106769")</f>
        <v>ICTVonline=202106769</v>
      </c>
    </row>
    <row r="2818" spans="1:21" x14ac:dyDescent="0.2">
      <c r="A2818" s="3">
        <v>2817</v>
      </c>
      <c r="B2818" s="1" t="s">
        <v>4875</v>
      </c>
      <c r="D2818" s="1" t="s">
        <v>4876</v>
      </c>
      <c r="F2818" s="1" t="s">
        <v>4880</v>
      </c>
      <c r="H2818" s="1" t="s">
        <v>4881</v>
      </c>
      <c r="N2818" s="1" t="s">
        <v>5200</v>
      </c>
      <c r="P2818" s="1" t="s">
        <v>11537</v>
      </c>
      <c r="Q2818" s="30" t="s">
        <v>2565</v>
      </c>
      <c r="R2818" s="33" t="s">
        <v>3473</v>
      </c>
      <c r="S2818">
        <v>37</v>
      </c>
      <c r="T2818" s="1" t="s">
        <v>13878</v>
      </c>
      <c r="U2818" s="1" t="str">
        <f>HYPERLINK("http://ictvonline.org/taxonomy/p/taxonomy-history?taxnode_id=202107361","ICTVonline=202107361")</f>
        <v>ICTVonline=202107361</v>
      </c>
    </row>
    <row r="2819" spans="1:21" x14ac:dyDescent="0.2">
      <c r="A2819" s="3">
        <v>2818</v>
      </c>
      <c r="B2819" s="1" t="s">
        <v>4875</v>
      </c>
      <c r="D2819" s="1" t="s">
        <v>4876</v>
      </c>
      <c r="F2819" s="1" t="s">
        <v>4880</v>
      </c>
      <c r="H2819" s="1" t="s">
        <v>4881</v>
      </c>
      <c r="N2819" s="1" t="s">
        <v>3203</v>
      </c>
      <c r="P2819" s="1" t="s">
        <v>11538</v>
      </c>
      <c r="Q2819" s="30" t="s">
        <v>2565</v>
      </c>
      <c r="R2819" s="33" t="s">
        <v>3473</v>
      </c>
      <c r="S2819">
        <v>37</v>
      </c>
      <c r="T2819" s="1" t="s">
        <v>13878</v>
      </c>
      <c r="U2819" s="1" t="str">
        <f>HYPERLINK("http://ictvonline.org/taxonomy/p/taxonomy-history?taxnode_id=202100976","ICTVonline=202100976")</f>
        <v>ICTVonline=202100976</v>
      </c>
    </row>
    <row r="2820" spans="1:21" x14ac:dyDescent="0.2">
      <c r="A2820" s="3">
        <v>2819</v>
      </c>
      <c r="B2820" s="1" t="s">
        <v>4875</v>
      </c>
      <c r="D2820" s="1" t="s">
        <v>4876</v>
      </c>
      <c r="F2820" s="1" t="s">
        <v>4880</v>
      </c>
      <c r="H2820" s="1" t="s">
        <v>4881</v>
      </c>
      <c r="N2820" s="1" t="s">
        <v>3203</v>
      </c>
      <c r="P2820" s="1" t="s">
        <v>11539</v>
      </c>
      <c r="Q2820" s="30" t="s">
        <v>2565</v>
      </c>
      <c r="R2820" s="33" t="s">
        <v>3473</v>
      </c>
      <c r="S2820">
        <v>37</v>
      </c>
      <c r="T2820" s="1" t="s">
        <v>13878</v>
      </c>
      <c r="U2820" s="1" t="str">
        <f>HYPERLINK("http://ictvonline.org/taxonomy/p/taxonomy-history?taxnode_id=202100977","ICTVonline=202100977")</f>
        <v>ICTVonline=202100977</v>
      </c>
    </row>
    <row r="2821" spans="1:21" x14ac:dyDescent="0.2">
      <c r="A2821" s="3">
        <v>2820</v>
      </c>
      <c r="B2821" s="1" t="s">
        <v>4875</v>
      </c>
      <c r="D2821" s="1" t="s">
        <v>4876</v>
      </c>
      <c r="F2821" s="1" t="s">
        <v>4880</v>
      </c>
      <c r="H2821" s="1" t="s">
        <v>4881</v>
      </c>
      <c r="N2821" s="1" t="s">
        <v>3204</v>
      </c>
      <c r="P2821" s="1" t="s">
        <v>11540</v>
      </c>
      <c r="Q2821" s="30" t="s">
        <v>2565</v>
      </c>
      <c r="R2821" s="33" t="s">
        <v>3473</v>
      </c>
      <c r="S2821">
        <v>37</v>
      </c>
      <c r="T2821" s="1" t="s">
        <v>13878</v>
      </c>
      <c r="U2821" s="1" t="str">
        <f>HYPERLINK("http://ictvonline.org/taxonomy/p/taxonomy-history?taxnode_id=202100979","ICTVonline=202100979")</f>
        <v>ICTVonline=202100979</v>
      </c>
    </row>
    <row r="2822" spans="1:21" x14ac:dyDescent="0.2">
      <c r="A2822" s="3">
        <v>2821</v>
      </c>
      <c r="B2822" s="1" t="s">
        <v>4875</v>
      </c>
      <c r="D2822" s="1" t="s">
        <v>4876</v>
      </c>
      <c r="F2822" s="1" t="s">
        <v>4880</v>
      </c>
      <c r="H2822" s="1" t="s">
        <v>4881</v>
      </c>
      <c r="N2822" s="1" t="s">
        <v>4681</v>
      </c>
      <c r="P2822" s="1" t="s">
        <v>11541</v>
      </c>
      <c r="Q2822" s="30" t="s">
        <v>2565</v>
      </c>
      <c r="R2822" s="33" t="s">
        <v>3473</v>
      </c>
      <c r="S2822">
        <v>37</v>
      </c>
      <c r="T2822" s="1" t="s">
        <v>13878</v>
      </c>
      <c r="U2822" s="1" t="str">
        <f>HYPERLINK("http://ictvonline.org/taxonomy/p/taxonomy-history?taxnode_id=202106985","ICTVonline=202106985")</f>
        <v>ICTVonline=202106985</v>
      </c>
    </row>
    <row r="2823" spans="1:21" x14ac:dyDescent="0.2">
      <c r="A2823" s="3">
        <v>2822</v>
      </c>
      <c r="B2823" s="1" t="s">
        <v>4875</v>
      </c>
      <c r="D2823" s="1" t="s">
        <v>4876</v>
      </c>
      <c r="F2823" s="1" t="s">
        <v>4880</v>
      </c>
      <c r="H2823" s="1" t="s">
        <v>4881</v>
      </c>
      <c r="N2823" s="1" t="s">
        <v>4682</v>
      </c>
      <c r="P2823" s="1" t="s">
        <v>11542</v>
      </c>
      <c r="Q2823" s="30" t="s">
        <v>2565</v>
      </c>
      <c r="R2823" s="33" t="s">
        <v>3473</v>
      </c>
      <c r="S2823">
        <v>37</v>
      </c>
      <c r="T2823" s="1" t="s">
        <v>13878</v>
      </c>
      <c r="U2823" s="1" t="str">
        <f>HYPERLINK("http://ictvonline.org/taxonomy/p/taxonomy-history?taxnode_id=202106485","ICTVonline=202106485")</f>
        <v>ICTVonline=202106485</v>
      </c>
    </row>
    <row r="2824" spans="1:21" x14ac:dyDescent="0.2">
      <c r="A2824" s="3">
        <v>2823</v>
      </c>
      <c r="B2824" s="1" t="s">
        <v>4875</v>
      </c>
      <c r="D2824" s="1" t="s">
        <v>4876</v>
      </c>
      <c r="F2824" s="1" t="s">
        <v>4880</v>
      </c>
      <c r="H2824" s="1" t="s">
        <v>4881</v>
      </c>
      <c r="N2824" s="1" t="s">
        <v>5111</v>
      </c>
      <c r="P2824" s="1" t="s">
        <v>11543</v>
      </c>
      <c r="Q2824" s="30" t="s">
        <v>2565</v>
      </c>
      <c r="R2824" s="33" t="s">
        <v>3473</v>
      </c>
      <c r="S2824">
        <v>37</v>
      </c>
      <c r="T2824" s="1" t="s">
        <v>13878</v>
      </c>
      <c r="U2824" s="1" t="str">
        <f>HYPERLINK("http://ictvonline.org/taxonomy/p/taxonomy-history?taxnode_id=202107371","ICTVonline=202107371")</f>
        <v>ICTVonline=202107371</v>
      </c>
    </row>
    <row r="2825" spans="1:21" x14ac:dyDescent="0.2">
      <c r="A2825" s="3">
        <v>2824</v>
      </c>
      <c r="B2825" s="1" t="s">
        <v>4875</v>
      </c>
      <c r="D2825" s="1" t="s">
        <v>4876</v>
      </c>
      <c r="F2825" s="1" t="s">
        <v>4880</v>
      </c>
      <c r="H2825" s="1" t="s">
        <v>4881</v>
      </c>
      <c r="N2825" s="1" t="s">
        <v>4683</v>
      </c>
      <c r="P2825" s="1" t="s">
        <v>11544</v>
      </c>
      <c r="Q2825" s="30" t="s">
        <v>2565</v>
      </c>
      <c r="R2825" s="33" t="s">
        <v>3473</v>
      </c>
      <c r="S2825">
        <v>37</v>
      </c>
      <c r="T2825" s="1" t="s">
        <v>13878</v>
      </c>
      <c r="U2825" s="1" t="str">
        <f>HYPERLINK("http://ictvonline.org/taxonomy/p/taxonomy-history?taxnode_id=202106638","ICTVonline=202106638")</f>
        <v>ICTVonline=202106638</v>
      </c>
    </row>
    <row r="2826" spans="1:21" x14ac:dyDescent="0.2">
      <c r="A2826" s="3">
        <v>2825</v>
      </c>
      <c r="B2826" s="1" t="s">
        <v>4875</v>
      </c>
      <c r="D2826" s="1" t="s">
        <v>4876</v>
      </c>
      <c r="F2826" s="1" t="s">
        <v>4880</v>
      </c>
      <c r="H2826" s="1" t="s">
        <v>4881</v>
      </c>
      <c r="N2826" s="1" t="s">
        <v>4683</v>
      </c>
      <c r="P2826" s="1" t="s">
        <v>11545</v>
      </c>
      <c r="Q2826" s="30" t="s">
        <v>2565</v>
      </c>
      <c r="R2826" s="33" t="s">
        <v>3473</v>
      </c>
      <c r="S2826">
        <v>37</v>
      </c>
      <c r="T2826" s="1" t="s">
        <v>13878</v>
      </c>
      <c r="U2826" s="1" t="str">
        <f>HYPERLINK("http://ictvonline.org/taxonomy/p/taxonomy-history?taxnode_id=202106639","ICTVonline=202106639")</f>
        <v>ICTVonline=202106639</v>
      </c>
    </row>
    <row r="2827" spans="1:21" x14ac:dyDescent="0.2">
      <c r="A2827" s="3">
        <v>2826</v>
      </c>
      <c r="B2827" s="1" t="s">
        <v>4875</v>
      </c>
      <c r="D2827" s="1" t="s">
        <v>4876</v>
      </c>
      <c r="F2827" s="1" t="s">
        <v>4880</v>
      </c>
      <c r="H2827" s="1" t="s">
        <v>4881</v>
      </c>
      <c r="N2827" s="1" t="s">
        <v>6187</v>
      </c>
      <c r="P2827" s="1" t="s">
        <v>11546</v>
      </c>
      <c r="Q2827" s="30" t="s">
        <v>2565</v>
      </c>
      <c r="R2827" s="33" t="s">
        <v>3473</v>
      </c>
      <c r="S2827">
        <v>37</v>
      </c>
      <c r="T2827" s="1" t="s">
        <v>13878</v>
      </c>
      <c r="U2827" s="1" t="str">
        <f>HYPERLINK("http://ictvonline.org/taxonomy/p/taxonomy-history?taxnode_id=202110078","ICTVonline=202110078")</f>
        <v>ICTVonline=202110078</v>
      </c>
    </row>
    <row r="2828" spans="1:21" x14ac:dyDescent="0.2">
      <c r="A2828" s="3">
        <v>2827</v>
      </c>
      <c r="B2828" s="1" t="s">
        <v>4875</v>
      </c>
      <c r="D2828" s="1" t="s">
        <v>4876</v>
      </c>
      <c r="F2828" s="1" t="s">
        <v>4880</v>
      </c>
      <c r="H2828" s="1" t="s">
        <v>4881</v>
      </c>
      <c r="N2828" s="1" t="s">
        <v>6187</v>
      </c>
      <c r="P2828" s="1" t="s">
        <v>11547</v>
      </c>
      <c r="Q2828" s="30" t="s">
        <v>2565</v>
      </c>
      <c r="R2828" s="33" t="s">
        <v>3473</v>
      </c>
      <c r="S2828">
        <v>37</v>
      </c>
      <c r="T2828" s="1" t="s">
        <v>13878</v>
      </c>
      <c r="U2828" s="1" t="str">
        <f>HYPERLINK("http://ictvonline.org/taxonomy/p/taxonomy-history?taxnode_id=202110075","ICTVonline=202110075")</f>
        <v>ICTVonline=202110075</v>
      </c>
    </row>
    <row r="2829" spans="1:21" x14ac:dyDescent="0.2">
      <c r="A2829" s="3">
        <v>2828</v>
      </c>
      <c r="B2829" s="1" t="s">
        <v>4875</v>
      </c>
      <c r="D2829" s="1" t="s">
        <v>4876</v>
      </c>
      <c r="F2829" s="1" t="s">
        <v>4880</v>
      </c>
      <c r="H2829" s="1" t="s">
        <v>4881</v>
      </c>
      <c r="N2829" s="1" t="s">
        <v>6187</v>
      </c>
      <c r="P2829" s="1" t="s">
        <v>11548</v>
      </c>
      <c r="Q2829" s="30" t="s">
        <v>2565</v>
      </c>
      <c r="R2829" s="33" t="s">
        <v>3473</v>
      </c>
      <c r="S2829">
        <v>37</v>
      </c>
      <c r="T2829" s="1" t="s">
        <v>13878</v>
      </c>
      <c r="U2829" s="1" t="str">
        <f>HYPERLINK("http://ictvonline.org/taxonomy/p/taxonomy-history?taxnode_id=202110077","ICTVonline=202110077")</f>
        <v>ICTVonline=202110077</v>
      </c>
    </row>
    <row r="2830" spans="1:21" x14ac:dyDescent="0.2">
      <c r="A2830" s="3">
        <v>2829</v>
      </c>
      <c r="B2830" s="1" t="s">
        <v>4875</v>
      </c>
      <c r="D2830" s="1" t="s">
        <v>4876</v>
      </c>
      <c r="F2830" s="1" t="s">
        <v>4880</v>
      </c>
      <c r="H2830" s="1" t="s">
        <v>4881</v>
      </c>
      <c r="N2830" s="1" t="s">
        <v>6187</v>
      </c>
      <c r="P2830" s="1" t="s">
        <v>11549</v>
      </c>
      <c r="Q2830" s="30" t="s">
        <v>2565</v>
      </c>
      <c r="R2830" s="33" t="s">
        <v>3473</v>
      </c>
      <c r="S2830">
        <v>37</v>
      </c>
      <c r="T2830" s="1" t="s">
        <v>13878</v>
      </c>
      <c r="U2830" s="1" t="str">
        <f>HYPERLINK("http://ictvonline.org/taxonomy/p/taxonomy-history?taxnode_id=202106895","ICTVonline=202106895")</f>
        <v>ICTVonline=202106895</v>
      </c>
    </row>
    <row r="2831" spans="1:21" x14ac:dyDescent="0.2">
      <c r="A2831" s="3">
        <v>2830</v>
      </c>
      <c r="B2831" s="1" t="s">
        <v>4875</v>
      </c>
      <c r="D2831" s="1" t="s">
        <v>4876</v>
      </c>
      <c r="F2831" s="1" t="s">
        <v>4880</v>
      </c>
      <c r="H2831" s="1" t="s">
        <v>4881</v>
      </c>
      <c r="N2831" s="1" t="s">
        <v>6187</v>
      </c>
      <c r="P2831" s="1" t="s">
        <v>11550</v>
      </c>
      <c r="Q2831" s="30" t="s">
        <v>2565</v>
      </c>
      <c r="R2831" s="33" t="s">
        <v>3473</v>
      </c>
      <c r="S2831">
        <v>37</v>
      </c>
      <c r="T2831" s="1" t="s">
        <v>13878</v>
      </c>
      <c r="U2831" s="1" t="str">
        <f>HYPERLINK("http://ictvonline.org/taxonomy/p/taxonomy-history?taxnode_id=202110076","ICTVonline=202110076")</f>
        <v>ICTVonline=202110076</v>
      </c>
    </row>
    <row r="2832" spans="1:21" x14ac:dyDescent="0.2">
      <c r="A2832" s="3">
        <v>2831</v>
      </c>
      <c r="B2832" s="1" t="s">
        <v>4875</v>
      </c>
      <c r="D2832" s="1" t="s">
        <v>4876</v>
      </c>
      <c r="F2832" s="1" t="s">
        <v>4880</v>
      </c>
      <c r="H2832" s="1" t="s">
        <v>4881</v>
      </c>
      <c r="N2832" s="1" t="s">
        <v>2587</v>
      </c>
      <c r="P2832" s="1" t="s">
        <v>11551</v>
      </c>
      <c r="Q2832" s="30" t="s">
        <v>2565</v>
      </c>
      <c r="R2832" s="33" t="s">
        <v>3473</v>
      </c>
      <c r="S2832">
        <v>37</v>
      </c>
      <c r="T2832" s="1" t="s">
        <v>13878</v>
      </c>
      <c r="U2832" s="1" t="str">
        <f>HYPERLINK("http://ictvonline.org/taxonomy/p/taxonomy-history?taxnode_id=202100434","ICTVonline=202100434")</f>
        <v>ICTVonline=202100434</v>
      </c>
    </row>
    <row r="2833" spans="1:21" x14ac:dyDescent="0.2">
      <c r="A2833" s="3">
        <v>2832</v>
      </c>
      <c r="B2833" s="1" t="s">
        <v>4875</v>
      </c>
      <c r="D2833" s="1" t="s">
        <v>4876</v>
      </c>
      <c r="F2833" s="1" t="s">
        <v>4880</v>
      </c>
      <c r="H2833" s="1" t="s">
        <v>4881</v>
      </c>
      <c r="N2833" s="1" t="s">
        <v>2587</v>
      </c>
      <c r="P2833" s="1" t="s">
        <v>11552</v>
      </c>
      <c r="Q2833" s="30" t="s">
        <v>2565</v>
      </c>
      <c r="R2833" s="33" t="s">
        <v>3473</v>
      </c>
      <c r="S2833">
        <v>37</v>
      </c>
      <c r="T2833" s="1" t="s">
        <v>13878</v>
      </c>
      <c r="U2833" s="1" t="str">
        <f>HYPERLINK("http://ictvonline.org/taxonomy/p/taxonomy-history?taxnode_id=202100435","ICTVonline=202100435")</f>
        <v>ICTVonline=202100435</v>
      </c>
    </row>
    <row r="2834" spans="1:21" x14ac:dyDescent="0.2">
      <c r="A2834" s="3">
        <v>2833</v>
      </c>
      <c r="B2834" s="1" t="s">
        <v>4875</v>
      </c>
      <c r="D2834" s="1" t="s">
        <v>4876</v>
      </c>
      <c r="F2834" s="1" t="s">
        <v>4880</v>
      </c>
      <c r="H2834" s="1" t="s">
        <v>4881</v>
      </c>
      <c r="N2834" s="1" t="s">
        <v>11553</v>
      </c>
      <c r="P2834" s="1" t="s">
        <v>11554</v>
      </c>
      <c r="Q2834" s="30" t="s">
        <v>2565</v>
      </c>
      <c r="R2834" s="33" t="s">
        <v>3472</v>
      </c>
      <c r="S2834">
        <v>37</v>
      </c>
      <c r="T2834" s="1" t="s">
        <v>13946</v>
      </c>
      <c r="U2834" s="1" t="str">
        <f>HYPERLINK("http://ictvonline.org/taxonomy/p/taxonomy-history?taxnode_id=202112344","ICTVonline=202112344")</f>
        <v>ICTVonline=202112344</v>
      </c>
    </row>
    <row r="2835" spans="1:21" x14ac:dyDescent="0.2">
      <c r="A2835" s="3">
        <v>2834</v>
      </c>
      <c r="B2835" s="1" t="s">
        <v>4875</v>
      </c>
      <c r="D2835" s="1" t="s">
        <v>4876</v>
      </c>
      <c r="F2835" s="1" t="s">
        <v>4880</v>
      </c>
      <c r="H2835" s="1" t="s">
        <v>4881</v>
      </c>
      <c r="N2835" s="1" t="s">
        <v>6188</v>
      </c>
      <c r="P2835" s="1" t="s">
        <v>11555</v>
      </c>
      <c r="Q2835" s="30" t="s">
        <v>2565</v>
      </c>
      <c r="R2835" s="33" t="s">
        <v>3473</v>
      </c>
      <c r="S2835">
        <v>37</v>
      </c>
      <c r="T2835" s="1" t="s">
        <v>13878</v>
      </c>
      <c r="U2835" s="1" t="str">
        <f>HYPERLINK("http://ictvonline.org/taxonomy/p/taxonomy-history?taxnode_id=202110025","ICTVonline=202110025")</f>
        <v>ICTVonline=202110025</v>
      </c>
    </row>
    <row r="2836" spans="1:21" x14ac:dyDescent="0.2">
      <c r="A2836" s="3">
        <v>2835</v>
      </c>
      <c r="B2836" s="1" t="s">
        <v>4875</v>
      </c>
      <c r="D2836" s="1" t="s">
        <v>4876</v>
      </c>
      <c r="F2836" s="1" t="s">
        <v>4880</v>
      </c>
      <c r="H2836" s="1" t="s">
        <v>4881</v>
      </c>
      <c r="N2836" s="1" t="s">
        <v>4684</v>
      </c>
      <c r="P2836" s="1" t="s">
        <v>11556</v>
      </c>
      <c r="Q2836" s="30" t="s">
        <v>2565</v>
      </c>
      <c r="R2836" s="33" t="s">
        <v>3473</v>
      </c>
      <c r="S2836">
        <v>37</v>
      </c>
      <c r="T2836" s="1" t="s">
        <v>13878</v>
      </c>
      <c r="U2836" s="1" t="str">
        <f>HYPERLINK("http://ictvonline.org/taxonomy/p/taxonomy-history?taxnode_id=202106684","ICTVonline=202106684")</f>
        <v>ICTVonline=202106684</v>
      </c>
    </row>
    <row r="2837" spans="1:21" x14ac:dyDescent="0.2">
      <c r="A2837" s="3">
        <v>2836</v>
      </c>
      <c r="B2837" s="1" t="s">
        <v>4875</v>
      </c>
      <c r="D2837" s="1" t="s">
        <v>4876</v>
      </c>
      <c r="F2837" s="1" t="s">
        <v>4880</v>
      </c>
      <c r="H2837" s="1" t="s">
        <v>4881</v>
      </c>
      <c r="N2837" s="1" t="s">
        <v>5112</v>
      </c>
      <c r="P2837" s="1" t="s">
        <v>11557</v>
      </c>
      <c r="Q2837" s="30" t="s">
        <v>2565</v>
      </c>
      <c r="R2837" s="33" t="s">
        <v>3473</v>
      </c>
      <c r="S2837">
        <v>37</v>
      </c>
      <c r="T2837" s="1" t="s">
        <v>13878</v>
      </c>
      <c r="U2837" s="1" t="str">
        <f>HYPERLINK("http://ictvonline.org/taxonomy/p/taxonomy-history?taxnode_id=202107908","ICTVonline=202107908")</f>
        <v>ICTVonline=202107908</v>
      </c>
    </row>
    <row r="2838" spans="1:21" x14ac:dyDescent="0.2">
      <c r="A2838" s="3">
        <v>2837</v>
      </c>
      <c r="B2838" s="1" t="s">
        <v>4875</v>
      </c>
      <c r="D2838" s="1" t="s">
        <v>4876</v>
      </c>
      <c r="F2838" s="1" t="s">
        <v>4880</v>
      </c>
      <c r="H2838" s="1" t="s">
        <v>4881</v>
      </c>
      <c r="N2838" s="1" t="s">
        <v>4685</v>
      </c>
      <c r="P2838" s="1" t="s">
        <v>11558</v>
      </c>
      <c r="Q2838" s="30" t="s">
        <v>2565</v>
      </c>
      <c r="R2838" s="33" t="s">
        <v>3473</v>
      </c>
      <c r="S2838">
        <v>37</v>
      </c>
      <c r="T2838" s="1" t="s">
        <v>13878</v>
      </c>
      <c r="U2838" s="1" t="str">
        <f>HYPERLINK("http://ictvonline.org/taxonomy/p/taxonomy-history?taxnode_id=202100879","ICTVonline=202100879")</f>
        <v>ICTVonline=202100879</v>
      </c>
    </row>
    <row r="2839" spans="1:21" x14ac:dyDescent="0.2">
      <c r="A2839" s="3">
        <v>2838</v>
      </c>
      <c r="B2839" s="1" t="s">
        <v>4875</v>
      </c>
      <c r="D2839" s="1" t="s">
        <v>4876</v>
      </c>
      <c r="F2839" s="1" t="s">
        <v>4880</v>
      </c>
      <c r="H2839" s="1" t="s">
        <v>4881</v>
      </c>
      <c r="N2839" s="1" t="s">
        <v>4685</v>
      </c>
      <c r="P2839" s="1" t="s">
        <v>11559</v>
      </c>
      <c r="Q2839" s="30" t="s">
        <v>2565</v>
      </c>
      <c r="R2839" s="33" t="s">
        <v>3473</v>
      </c>
      <c r="S2839">
        <v>37</v>
      </c>
      <c r="T2839" s="1" t="s">
        <v>13878</v>
      </c>
      <c r="U2839" s="1" t="str">
        <f>HYPERLINK("http://ictvonline.org/taxonomy/p/taxonomy-history?taxnode_id=202100880","ICTVonline=202100880")</f>
        <v>ICTVonline=202100880</v>
      </c>
    </row>
    <row r="2840" spans="1:21" x14ac:dyDescent="0.2">
      <c r="A2840" s="3">
        <v>2839</v>
      </c>
      <c r="B2840" s="1" t="s">
        <v>4875</v>
      </c>
      <c r="D2840" s="1" t="s">
        <v>4876</v>
      </c>
      <c r="F2840" s="1" t="s">
        <v>4880</v>
      </c>
      <c r="H2840" s="1" t="s">
        <v>4881</v>
      </c>
      <c r="N2840" s="1" t="s">
        <v>4685</v>
      </c>
      <c r="P2840" s="1" t="s">
        <v>11560</v>
      </c>
      <c r="Q2840" s="30" t="s">
        <v>2565</v>
      </c>
      <c r="R2840" s="33" t="s">
        <v>3473</v>
      </c>
      <c r="S2840">
        <v>37</v>
      </c>
      <c r="T2840" s="1" t="s">
        <v>13878</v>
      </c>
      <c r="U2840" s="1" t="str">
        <f>HYPERLINK("http://ictvonline.org/taxonomy/p/taxonomy-history?taxnode_id=202100881","ICTVonline=202100881")</f>
        <v>ICTVonline=202100881</v>
      </c>
    </row>
    <row r="2841" spans="1:21" x14ac:dyDescent="0.2">
      <c r="A2841" s="3">
        <v>2840</v>
      </c>
      <c r="B2841" s="1" t="s">
        <v>4875</v>
      </c>
      <c r="D2841" s="1" t="s">
        <v>4876</v>
      </c>
      <c r="F2841" s="1" t="s">
        <v>4880</v>
      </c>
      <c r="H2841" s="1" t="s">
        <v>4881</v>
      </c>
      <c r="N2841" s="1" t="s">
        <v>5201</v>
      </c>
      <c r="P2841" s="1" t="s">
        <v>11561</v>
      </c>
      <c r="Q2841" s="30" t="s">
        <v>2565</v>
      </c>
      <c r="R2841" s="33" t="s">
        <v>3473</v>
      </c>
      <c r="S2841">
        <v>37</v>
      </c>
      <c r="T2841" s="1" t="s">
        <v>13878</v>
      </c>
      <c r="U2841" s="1" t="str">
        <f>HYPERLINK("http://ictvonline.org/taxonomy/p/taxonomy-history?taxnode_id=202107853","ICTVonline=202107853")</f>
        <v>ICTVonline=202107853</v>
      </c>
    </row>
    <row r="2842" spans="1:21" x14ac:dyDescent="0.2">
      <c r="A2842" s="3">
        <v>2841</v>
      </c>
      <c r="B2842" s="1" t="s">
        <v>4875</v>
      </c>
      <c r="D2842" s="1" t="s">
        <v>4876</v>
      </c>
      <c r="F2842" s="1" t="s">
        <v>4880</v>
      </c>
      <c r="H2842" s="1" t="s">
        <v>4881</v>
      </c>
      <c r="N2842" s="1" t="s">
        <v>6189</v>
      </c>
      <c r="P2842" s="1" t="s">
        <v>11562</v>
      </c>
      <c r="Q2842" s="30" t="s">
        <v>2565</v>
      </c>
      <c r="R2842" s="33" t="s">
        <v>3473</v>
      </c>
      <c r="S2842">
        <v>37</v>
      </c>
      <c r="T2842" s="1" t="s">
        <v>13878</v>
      </c>
      <c r="U2842" s="1" t="str">
        <f>HYPERLINK("http://ictvonline.org/taxonomy/p/taxonomy-history?taxnode_id=202110130","ICTVonline=202110130")</f>
        <v>ICTVonline=202110130</v>
      </c>
    </row>
    <row r="2843" spans="1:21" x14ac:dyDescent="0.2">
      <c r="A2843" s="3">
        <v>2842</v>
      </c>
      <c r="B2843" s="1" t="s">
        <v>4875</v>
      </c>
      <c r="D2843" s="1" t="s">
        <v>4876</v>
      </c>
      <c r="F2843" s="1" t="s">
        <v>4880</v>
      </c>
      <c r="H2843" s="1" t="s">
        <v>4881</v>
      </c>
      <c r="N2843" s="1" t="s">
        <v>4605</v>
      </c>
      <c r="P2843" s="1" t="s">
        <v>11563</v>
      </c>
      <c r="Q2843" s="30" t="s">
        <v>2565</v>
      </c>
      <c r="R2843" s="33" t="s">
        <v>3473</v>
      </c>
      <c r="S2843">
        <v>37</v>
      </c>
      <c r="T2843" s="1" t="s">
        <v>13878</v>
      </c>
      <c r="U2843" s="1" t="str">
        <f>HYPERLINK("http://ictvonline.org/taxonomy/p/taxonomy-history?taxnode_id=202100640","ICTVonline=202100640")</f>
        <v>ICTVonline=202100640</v>
      </c>
    </row>
    <row r="2844" spans="1:21" x14ac:dyDescent="0.2">
      <c r="A2844" s="3">
        <v>2843</v>
      </c>
      <c r="B2844" s="1" t="s">
        <v>4875</v>
      </c>
      <c r="D2844" s="1" t="s">
        <v>4876</v>
      </c>
      <c r="F2844" s="1" t="s">
        <v>4880</v>
      </c>
      <c r="H2844" s="1" t="s">
        <v>4881</v>
      </c>
      <c r="N2844" s="1" t="s">
        <v>4605</v>
      </c>
      <c r="P2844" s="1" t="s">
        <v>11564</v>
      </c>
      <c r="Q2844" s="30" t="s">
        <v>2565</v>
      </c>
      <c r="R2844" s="33" t="s">
        <v>3473</v>
      </c>
      <c r="S2844">
        <v>37</v>
      </c>
      <c r="T2844" s="1" t="s">
        <v>13878</v>
      </c>
      <c r="U2844" s="1" t="str">
        <f>HYPERLINK("http://ictvonline.org/taxonomy/p/taxonomy-history?taxnode_id=202100641","ICTVonline=202100641")</f>
        <v>ICTVonline=202100641</v>
      </c>
    </row>
    <row r="2845" spans="1:21" x14ac:dyDescent="0.2">
      <c r="A2845" s="3">
        <v>2844</v>
      </c>
      <c r="B2845" s="1" t="s">
        <v>4875</v>
      </c>
      <c r="D2845" s="1" t="s">
        <v>4876</v>
      </c>
      <c r="F2845" s="1" t="s">
        <v>4880</v>
      </c>
      <c r="H2845" s="1" t="s">
        <v>4881</v>
      </c>
      <c r="N2845" s="1" t="s">
        <v>4686</v>
      </c>
      <c r="P2845" s="1" t="s">
        <v>11565</v>
      </c>
      <c r="Q2845" s="30" t="s">
        <v>2565</v>
      </c>
      <c r="R2845" s="33" t="s">
        <v>3473</v>
      </c>
      <c r="S2845">
        <v>37</v>
      </c>
      <c r="T2845" s="1" t="s">
        <v>13878</v>
      </c>
      <c r="U2845" s="1" t="str">
        <f>HYPERLINK("http://ictvonline.org/taxonomy/p/taxonomy-history?taxnode_id=202106830","ICTVonline=202106830")</f>
        <v>ICTVonline=202106830</v>
      </c>
    </row>
    <row r="2846" spans="1:21" x14ac:dyDescent="0.2">
      <c r="A2846" s="3">
        <v>2845</v>
      </c>
      <c r="B2846" s="1" t="s">
        <v>4875</v>
      </c>
      <c r="D2846" s="1" t="s">
        <v>4876</v>
      </c>
      <c r="F2846" s="1" t="s">
        <v>4880</v>
      </c>
      <c r="H2846" s="1" t="s">
        <v>4881</v>
      </c>
      <c r="N2846" s="1" t="s">
        <v>4686</v>
      </c>
      <c r="P2846" s="1" t="s">
        <v>11566</v>
      </c>
      <c r="Q2846" s="30" t="s">
        <v>2565</v>
      </c>
      <c r="R2846" s="33" t="s">
        <v>3473</v>
      </c>
      <c r="S2846">
        <v>37</v>
      </c>
      <c r="T2846" s="1" t="s">
        <v>13878</v>
      </c>
      <c r="U2846" s="1" t="str">
        <f>HYPERLINK("http://ictvonline.org/taxonomy/p/taxonomy-history?taxnode_id=202106829","ICTVonline=202106829")</f>
        <v>ICTVonline=202106829</v>
      </c>
    </row>
    <row r="2847" spans="1:21" x14ac:dyDescent="0.2">
      <c r="A2847" s="3">
        <v>2846</v>
      </c>
      <c r="B2847" s="1" t="s">
        <v>4875</v>
      </c>
      <c r="D2847" s="1" t="s">
        <v>4876</v>
      </c>
      <c r="F2847" s="1" t="s">
        <v>4880</v>
      </c>
      <c r="H2847" s="1" t="s">
        <v>4881</v>
      </c>
      <c r="N2847" s="1" t="s">
        <v>4687</v>
      </c>
      <c r="P2847" s="1" t="s">
        <v>11567</v>
      </c>
      <c r="Q2847" s="30" t="s">
        <v>2565</v>
      </c>
      <c r="R2847" s="33" t="s">
        <v>3473</v>
      </c>
      <c r="S2847">
        <v>37</v>
      </c>
      <c r="T2847" s="1" t="s">
        <v>13878</v>
      </c>
      <c r="U2847" s="1" t="str">
        <f>HYPERLINK("http://ictvonline.org/taxonomy/p/taxonomy-history?taxnode_id=202101111","ICTVonline=202101111")</f>
        <v>ICTVonline=202101111</v>
      </c>
    </row>
    <row r="2848" spans="1:21" x14ac:dyDescent="0.2">
      <c r="A2848" s="3">
        <v>2847</v>
      </c>
      <c r="B2848" s="1" t="s">
        <v>4875</v>
      </c>
      <c r="D2848" s="1" t="s">
        <v>4876</v>
      </c>
      <c r="F2848" s="1" t="s">
        <v>4880</v>
      </c>
      <c r="H2848" s="1" t="s">
        <v>4881</v>
      </c>
      <c r="N2848" s="1" t="s">
        <v>4687</v>
      </c>
      <c r="P2848" s="1" t="s">
        <v>11568</v>
      </c>
      <c r="Q2848" s="30" t="s">
        <v>2565</v>
      </c>
      <c r="R2848" s="33" t="s">
        <v>3473</v>
      </c>
      <c r="S2848">
        <v>37</v>
      </c>
      <c r="T2848" s="1" t="s">
        <v>13878</v>
      </c>
      <c r="U2848" s="1" t="str">
        <f>HYPERLINK("http://ictvonline.org/taxonomy/p/taxonomy-history?taxnode_id=202101112","ICTVonline=202101112")</f>
        <v>ICTVonline=202101112</v>
      </c>
    </row>
    <row r="2849" spans="1:21" x14ac:dyDescent="0.2">
      <c r="A2849" s="3">
        <v>2848</v>
      </c>
      <c r="B2849" s="1" t="s">
        <v>4875</v>
      </c>
      <c r="D2849" s="1" t="s">
        <v>4876</v>
      </c>
      <c r="F2849" s="1" t="s">
        <v>4880</v>
      </c>
      <c r="H2849" s="1" t="s">
        <v>4881</v>
      </c>
      <c r="N2849" s="1" t="s">
        <v>4687</v>
      </c>
      <c r="P2849" s="1" t="s">
        <v>11569</v>
      </c>
      <c r="Q2849" s="30" t="s">
        <v>2565</v>
      </c>
      <c r="R2849" s="33" t="s">
        <v>3473</v>
      </c>
      <c r="S2849">
        <v>37</v>
      </c>
      <c r="T2849" s="1" t="s">
        <v>13878</v>
      </c>
      <c r="U2849" s="1" t="str">
        <f>HYPERLINK("http://ictvonline.org/taxonomy/p/taxonomy-history?taxnode_id=202101113","ICTVonline=202101113")</f>
        <v>ICTVonline=202101113</v>
      </c>
    </row>
    <row r="2850" spans="1:21" x14ac:dyDescent="0.2">
      <c r="A2850" s="3">
        <v>2849</v>
      </c>
      <c r="B2850" s="1" t="s">
        <v>4875</v>
      </c>
      <c r="D2850" s="1" t="s">
        <v>4876</v>
      </c>
      <c r="F2850" s="1" t="s">
        <v>4880</v>
      </c>
      <c r="H2850" s="1" t="s">
        <v>4881</v>
      </c>
      <c r="N2850" s="1" t="s">
        <v>4687</v>
      </c>
      <c r="P2850" s="1" t="s">
        <v>11570</v>
      </c>
      <c r="Q2850" s="30" t="s">
        <v>2565</v>
      </c>
      <c r="R2850" s="33" t="s">
        <v>3473</v>
      </c>
      <c r="S2850">
        <v>37</v>
      </c>
      <c r="T2850" s="1" t="s">
        <v>13878</v>
      </c>
      <c r="U2850" s="1" t="str">
        <f>HYPERLINK("http://ictvonline.org/taxonomy/p/taxonomy-history?taxnode_id=202101114","ICTVonline=202101114")</f>
        <v>ICTVonline=202101114</v>
      </c>
    </row>
    <row r="2851" spans="1:21" x14ac:dyDescent="0.2">
      <c r="A2851" s="3">
        <v>2850</v>
      </c>
      <c r="B2851" s="1" t="s">
        <v>4875</v>
      </c>
      <c r="D2851" s="1" t="s">
        <v>4876</v>
      </c>
      <c r="F2851" s="1" t="s">
        <v>4880</v>
      </c>
      <c r="H2851" s="1" t="s">
        <v>4881</v>
      </c>
      <c r="N2851" s="1" t="s">
        <v>4687</v>
      </c>
      <c r="P2851" s="1" t="s">
        <v>11571</v>
      </c>
      <c r="Q2851" s="30" t="s">
        <v>2565</v>
      </c>
      <c r="R2851" s="33" t="s">
        <v>3473</v>
      </c>
      <c r="S2851">
        <v>37</v>
      </c>
      <c r="T2851" s="1" t="s">
        <v>13878</v>
      </c>
      <c r="U2851" s="1" t="str">
        <f>HYPERLINK("http://ictvonline.org/taxonomy/p/taxonomy-history?taxnode_id=202101115","ICTVonline=202101115")</f>
        <v>ICTVonline=202101115</v>
      </c>
    </row>
    <row r="2852" spans="1:21" x14ac:dyDescent="0.2">
      <c r="A2852" s="3">
        <v>2851</v>
      </c>
      <c r="B2852" s="1" t="s">
        <v>4875</v>
      </c>
      <c r="D2852" s="1" t="s">
        <v>4876</v>
      </c>
      <c r="F2852" s="1" t="s">
        <v>4880</v>
      </c>
      <c r="H2852" s="1" t="s">
        <v>4881</v>
      </c>
      <c r="N2852" s="1" t="s">
        <v>6190</v>
      </c>
      <c r="P2852" s="1" t="s">
        <v>11572</v>
      </c>
      <c r="Q2852" s="30" t="s">
        <v>2565</v>
      </c>
      <c r="R2852" s="33" t="s">
        <v>3473</v>
      </c>
      <c r="S2852">
        <v>37</v>
      </c>
      <c r="T2852" s="1" t="s">
        <v>13878</v>
      </c>
      <c r="U2852" s="1" t="str">
        <f>HYPERLINK("http://ictvonline.org/taxonomy/p/taxonomy-history?taxnode_id=202110133","ICTVonline=202110133")</f>
        <v>ICTVonline=202110133</v>
      </c>
    </row>
    <row r="2853" spans="1:21" x14ac:dyDescent="0.2">
      <c r="A2853" s="3">
        <v>2852</v>
      </c>
      <c r="B2853" s="1" t="s">
        <v>4875</v>
      </c>
      <c r="D2853" s="1" t="s">
        <v>4876</v>
      </c>
      <c r="F2853" s="1" t="s">
        <v>4880</v>
      </c>
      <c r="H2853" s="1" t="s">
        <v>4881</v>
      </c>
      <c r="N2853" s="1" t="s">
        <v>6190</v>
      </c>
      <c r="P2853" s="1" t="s">
        <v>11573</v>
      </c>
      <c r="Q2853" s="30" t="s">
        <v>2565</v>
      </c>
      <c r="R2853" s="33" t="s">
        <v>3473</v>
      </c>
      <c r="S2853">
        <v>37</v>
      </c>
      <c r="T2853" s="1" t="s">
        <v>13878</v>
      </c>
      <c r="U2853" s="1" t="str">
        <f>HYPERLINK("http://ictvonline.org/taxonomy/p/taxonomy-history?taxnode_id=202110132","ICTVonline=202110132")</f>
        <v>ICTVonline=202110132</v>
      </c>
    </row>
    <row r="2854" spans="1:21" x14ac:dyDescent="0.2">
      <c r="A2854" s="3">
        <v>2853</v>
      </c>
      <c r="B2854" s="1" t="s">
        <v>4875</v>
      </c>
      <c r="D2854" s="1" t="s">
        <v>4876</v>
      </c>
      <c r="F2854" s="1" t="s">
        <v>4880</v>
      </c>
      <c r="H2854" s="1" t="s">
        <v>4881</v>
      </c>
      <c r="N2854" s="1" t="s">
        <v>11574</v>
      </c>
      <c r="P2854" s="1" t="s">
        <v>11575</v>
      </c>
      <c r="Q2854" s="30" t="s">
        <v>2565</v>
      </c>
      <c r="R2854" s="33" t="s">
        <v>3473</v>
      </c>
      <c r="S2854">
        <v>37</v>
      </c>
      <c r="T2854" s="1" t="s">
        <v>13947</v>
      </c>
      <c r="U2854" s="1" t="str">
        <f>HYPERLINK("http://ictvonline.org/taxonomy/p/taxonomy-history?taxnode_id=202107995","ICTVonline=202107995")</f>
        <v>ICTVonline=202107995</v>
      </c>
    </row>
    <row r="2855" spans="1:21" x14ac:dyDescent="0.2">
      <c r="A2855" s="3">
        <v>2854</v>
      </c>
      <c r="B2855" s="1" t="s">
        <v>4875</v>
      </c>
      <c r="D2855" s="1" t="s">
        <v>4876</v>
      </c>
      <c r="F2855" s="1" t="s">
        <v>4880</v>
      </c>
      <c r="H2855" s="1" t="s">
        <v>4881</v>
      </c>
      <c r="N2855" s="1" t="s">
        <v>6191</v>
      </c>
      <c r="P2855" s="1" t="s">
        <v>11576</v>
      </c>
      <c r="Q2855" s="30" t="s">
        <v>2565</v>
      </c>
      <c r="R2855" s="33" t="s">
        <v>3473</v>
      </c>
      <c r="S2855">
        <v>37</v>
      </c>
      <c r="T2855" s="1" t="s">
        <v>13878</v>
      </c>
      <c r="U2855" s="1" t="str">
        <f>HYPERLINK("http://ictvonline.org/taxonomy/p/taxonomy-history?taxnode_id=202110189","ICTVonline=202110189")</f>
        <v>ICTVonline=202110189</v>
      </c>
    </row>
    <row r="2856" spans="1:21" x14ac:dyDescent="0.2">
      <c r="A2856" s="3">
        <v>2855</v>
      </c>
      <c r="B2856" s="1" t="s">
        <v>4875</v>
      </c>
      <c r="D2856" s="1" t="s">
        <v>4876</v>
      </c>
      <c r="F2856" s="1" t="s">
        <v>4880</v>
      </c>
      <c r="H2856" s="1" t="s">
        <v>4881</v>
      </c>
      <c r="N2856" s="1" t="s">
        <v>4545</v>
      </c>
      <c r="P2856" s="1" t="s">
        <v>11577</v>
      </c>
      <c r="Q2856" s="30" t="s">
        <v>2565</v>
      </c>
      <c r="R2856" s="33" t="s">
        <v>3473</v>
      </c>
      <c r="S2856">
        <v>37</v>
      </c>
      <c r="T2856" s="1" t="s">
        <v>13878</v>
      </c>
      <c r="U2856" s="1" t="str">
        <f>HYPERLINK("http://ictvonline.org/taxonomy/p/taxonomy-history?taxnode_id=202106317","ICTVonline=202106317")</f>
        <v>ICTVonline=202106317</v>
      </c>
    </row>
    <row r="2857" spans="1:21" x14ac:dyDescent="0.2">
      <c r="A2857" s="3">
        <v>2856</v>
      </c>
      <c r="B2857" s="1" t="s">
        <v>4875</v>
      </c>
      <c r="D2857" s="1" t="s">
        <v>4876</v>
      </c>
      <c r="F2857" s="1" t="s">
        <v>4880</v>
      </c>
      <c r="H2857" s="1" t="s">
        <v>4881</v>
      </c>
      <c r="N2857" s="1" t="s">
        <v>4688</v>
      </c>
      <c r="P2857" s="1" t="s">
        <v>11578</v>
      </c>
      <c r="Q2857" s="30" t="s">
        <v>2565</v>
      </c>
      <c r="R2857" s="33" t="s">
        <v>3473</v>
      </c>
      <c r="S2857">
        <v>37</v>
      </c>
      <c r="T2857" s="1" t="s">
        <v>13878</v>
      </c>
      <c r="U2857" s="1" t="str">
        <f>HYPERLINK("http://ictvonline.org/taxonomy/p/taxonomy-history?taxnode_id=202106771","ICTVonline=202106771")</f>
        <v>ICTVonline=202106771</v>
      </c>
    </row>
    <row r="2858" spans="1:21" x14ac:dyDescent="0.2">
      <c r="A2858" s="3">
        <v>2857</v>
      </c>
      <c r="B2858" s="1" t="s">
        <v>4875</v>
      </c>
      <c r="D2858" s="1" t="s">
        <v>4876</v>
      </c>
      <c r="F2858" s="1" t="s">
        <v>4880</v>
      </c>
      <c r="H2858" s="1" t="s">
        <v>4881</v>
      </c>
      <c r="N2858" s="1" t="s">
        <v>4688</v>
      </c>
      <c r="P2858" s="1" t="s">
        <v>11579</v>
      </c>
      <c r="Q2858" s="30" t="s">
        <v>2565</v>
      </c>
      <c r="R2858" s="33" t="s">
        <v>3473</v>
      </c>
      <c r="S2858">
        <v>37</v>
      </c>
      <c r="T2858" s="1" t="s">
        <v>13878</v>
      </c>
      <c r="U2858" s="1" t="str">
        <f>HYPERLINK("http://ictvonline.org/taxonomy/p/taxonomy-history?taxnode_id=202106772","ICTVonline=202106772")</f>
        <v>ICTVonline=202106772</v>
      </c>
    </row>
    <row r="2859" spans="1:21" x14ac:dyDescent="0.2">
      <c r="A2859" s="3">
        <v>2858</v>
      </c>
      <c r="B2859" s="1" t="s">
        <v>4875</v>
      </c>
      <c r="D2859" s="1" t="s">
        <v>4876</v>
      </c>
      <c r="F2859" s="1" t="s">
        <v>4880</v>
      </c>
      <c r="H2859" s="1" t="s">
        <v>4881</v>
      </c>
      <c r="N2859" s="1" t="s">
        <v>4689</v>
      </c>
      <c r="P2859" s="1" t="s">
        <v>11580</v>
      </c>
      <c r="Q2859" s="30" t="s">
        <v>2565</v>
      </c>
      <c r="R2859" s="33" t="s">
        <v>3473</v>
      </c>
      <c r="S2859">
        <v>37</v>
      </c>
      <c r="T2859" s="1" t="s">
        <v>13878</v>
      </c>
      <c r="U2859" s="1" t="str">
        <f>HYPERLINK("http://ictvonline.org/taxonomy/p/taxonomy-history?taxnode_id=202106742","ICTVonline=202106742")</f>
        <v>ICTVonline=202106742</v>
      </c>
    </row>
    <row r="2860" spans="1:21" x14ac:dyDescent="0.2">
      <c r="A2860" s="3">
        <v>2859</v>
      </c>
      <c r="B2860" s="1" t="s">
        <v>4875</v>
      </c>
      <c r="D2860" s="1" t="s">
        <v>4876</v>
      </c>
      <c r="F2860" s="1" t="s">
        <v>4880</v>
      </c>
      <c r="H2860" s="1" t="s">
        <v>4881</v>
      </c>
      <c r="N2860" s="1" t="s">
        <v>4689</v>
      </c>
      <c r="P2860" s="1" t="s">
        <v>11581</v>
      </c>
      <c r="Q2860" s="30" t="s">
        <v>2565</v>
      </c>
      <c r="R2860" s="33" t="s">
        <v>3473</v>
      </c>
      <c r="S2860">
        <v>37</v>
      </c>
      <c r="T2860" s="1" t="s">
        <v>13878</v>
      </c>
      <c r="U2860" s="1" t="str">
        <f>HYPERLINK("http://ictvonline.org/taxonomy/p/taxonomy-history?taxnode_id=202106741","ICTVonline=202106741")</f>
        <v>ICTVonline=202106741</v>
      </c>
    </row>
    <row r="2861" spans="1:21" x14ac:dyDescent="0.2">
      <c r="A2861" s="3">
        <v>2860</v>
      </c>
      <c r="B2861" s="1" t="s">
        <v>4875</v>
      </c>
      <c r="D2861" s="1" t="s">
        <v>4876</v>
      </c>
      <c r="F2861" s="1" t="s">
        <v>4880</v>
      </c>
      <c r="H2861" s="1" t="s">
        <v>4881</v>
      </c>
      <c r="N2861" s="1" t="s">
        <v>4689</v>
      </c>
      <c r="P2861" s="1" t="s">
        <v>11582</v>
      </c>
      <c r="Q2861" s="30" t="s">
        <v>2565</v>
      </c>
      <c r="R2861" s="33" t="s">
        <v>3473</v>
      </c>
      <c r="S2861">
        <v>37</v>
      </c>
      <c r="T2861" s="1" t="s">
        <v>13878</v>
      </c>
      <c r="U2861" s="1" t="str">
        <f>HYPERLINK("http://ictvonline.org/taxonomy/p/taxonomy-history?taxnode_id=202110134","ICTVonline=202110134")</f>
        <v>ICTVonline=202110134</v>
      </c>
    </row>
    <row r="2862" spans="1:21" x14ac:dyDescent="0.2">
      <c r="A2862" s="3">
        <v>2861</v>
      </c>
      <c r="B2862" s="1" t="s">
        <v>4875</v>
      </c>
      <c r="D2862" s="1" t="s">
        <v>4876</v>
      </c>
      <c r="F2862" s="1" t="s">
        <v>4880</v>
      </c>
      <c r="H2862" s="1" t="s">
        <v>4881</v>
      </c>
      <c r="N2862" s="1" t="s">
        <v>4689</v>
      </c>
      <c r="P2862" s="1" t="s">
        <v>11583</v>
      </c>
      <c r="Q2862" s="30" t="s">
        <v>2565</v>
      </c>
      <c r="R2862" s="33" t="s">
        <v>3473</v>
      </c>
      <c r="S2862">
        <v>37</v>
      </c>
      <c r="T2862" s="1" t="s">
        <v>13878</v>
      </c>
      <c r="U2862" s="1" t="str">
        <f>HYPERLINK("http://ictvonline.org/taxonomy/p/taxonomy-history?taxnode_id=202110135","ICTVonline=202110135")</f>
        <v>ICTVonline=202110135</v>
      </c>
    </row>
    <row r="2863" spans="1:21" x14ac:dyDescent="0.2">
      <c r="A2863" s="3">
        <v>2862</v>
      </c>
      <c r="B2863" s="1" t="s">
        <v>4875</v>
      </c>
      <c r="D2863" s="1" t="s">
        <v>4876</v>
      </c>
      <c r="F2863" s="1" t="s">
        <v>4880</v>
      </c>
      <c r="H2863" s="1" t="s">
        <v>4881</v>
      </c>
      <c r="N2863" s="1" t="s">
        <v>4689</v>
      </c>
      <c r="P2863" s="1" t="s">
        <v>11584</v>
      </c>
      <c r="Q2863" s="30" t="s">
        <v>2565</v>
      </c>
      <c r="R2863" s="33" t="s">
        <v>3473</v>
      </c>
      <c r="S2863">
        <v>37</v>
      </c>
      <c r="T2863" s="1" t="s">
        <v>13878</v>
      </c>
      <c r="U2863" s="1" t="str">
        <f>HYPERLINK("http://ictvonline.org/taxonomy/p/taxonomy-history?taxnode_id=202110136","ICTVonline=202110136")</f>
        <v>ICTVonline=202110136</v>
      </c>
    </row>
    <row r="2864" spans="1:21" x14ac:dyDescent="0.2">
      <c r="A2864" s="3">
        <v>2863</v>
      </c>
      <c r="B2864" s="1" t="s">
        <v>4875</v>
      </c>
      <c r="D2864" s="1" t="s">
        <v>4876</v>
      </c>
      <c r="F2864" s="1" t="s">
        <v>4880</v>
      </c>
      <c r="H2864" s="1" t="s">
        <v>4881</v>
      </c>
      <c r="N2864" s="1" t="s">
        <v>11585</v>
      </c>
      <c r="P2864" s="1" t="s">
        <v>11586</v>
      </c>
      <c r="Q2864" s="30" t="s">
        <v>2565</v>
      </c>
      <c r="R2864" s="33" t="s">
        <v>3472</v>
      </c>
      <c r="S2864">
        <v>37</v>
      </c>
      <c r="T2864" s="1" t="s">
        <v>13939</v>
      </c>
      <c r="U2864" s="1" t="str">
        <f>HYPERLINK("http://ictvonline.org/taxonomy/p/taxonomy-history?taxnode_id=202113528","ICTVonline=202113528")</f>
        <v>ICTVonline=202113528</v>
      </c>
    </row>
    <row r="2865" spans="1:21" x14ac:dyDescent="0.2">
      <c r="A2865" s="3">
        <v>2864</v>
      </c>
      <c r="B2865" s="1" t="s">
        <v>4875</v>
      </c>
      <c r="D2865" s="1" t="s">
        <v>4876</v>
      </c>
      <c r="F2865" s="1" t="s">
        <v>4880</v>
      </c>
      <c r="H2865" s="1" t="s">
        <v>4881</v>
      </c>
      <c r="N2865" s="1" t="s">
        <v>4690</v>
      </c>
      <c r="P2865" s="1" t="s">
        <v>11587</v>
      </c>
      <c r="Q2865" s="30" t="s">
        <v>2565</v>
      </c>
      <c r="R2865" s="33" t="s">
        <v>3473</v>
      </c>
      <c r="S2865">
        <v>37</v>
      </c>
      <c r="T2865" s="1" t="s">
        <v>13878</v>
      </c>
      <c r="U2865" s="1" t="str">
        <f>HYPERLINK("http://ictvonline.org/taxonomy/p/taxonomy-history?taxnode_id=202101102","ICTVonline=202101102")</f>
        <v>ICTVonline=202101102</v>
      </c>
    </row>
    <row r="2866" spans="1:21" x14ac:dyDescent="0.2">
      <c r="A2866" s="3">
        <v>2865</v>
      </c>
      <c r="B2866" s="1" t="s">
        <v>4875</v>
      </c>
      <c r="D2866" s="1" t="s">
        <v>4876</v>
      </c>
      <c r="F2866" s="1" t="s">
        <v>4880</v>
      </c>
      <c r="H2866" s="1" t="s">
        <v>4881</v>
      </c>
      <c r="N2866" s="1" t="s">
        <v>4690</v>
      </c>
      <c r="P2866" s="1" t="s">
        <v>11588</v>
      </c>
      <c r="Q2866" s="30" t="s">
        <v>2565</v>
      </c>
      <c r="R2866" s="33" t="s">
        <v>3473</v>
      </c>
      <c r="S2866">
        <v>37</v>
      </c>
      <c r="T2866" s="1" t="s">
        <v>13878</v>
      </c>
      <c r="U2866" s="1" t="str">
        <f>HYPERLINK("http://ictvonline.org/taxonomy/p/taxonomy-history?taxnode_id=202101103","ICTVonline=202101103")</f>
        <v>ICTVonline=202101103</v>
      </c>
    </row>
    <row r="2867" spans="1:21" x14ac:dyDescent="0.2">
      <c r="A2867" s="3">
        <v>2866</v>
      </c>
      <c r="B2867" s="1" t="s">
        <v>4875</v>
      </c>
      <c r="D2867" s="1" t="s">
        <v>4876</v>
      </c>
      <c r="F2867" s="1" t="s">
        <v>4880</v>
      </c>
      <c r="H2867" s="1" t="s">
        <v>4881</v>
      </c>
      <c r="N2867" s="1" t="s">
        <v>6192</v>
      </c>
      <c r="P2867" s="1" t="s">
        <v>11589</v>
      </c>
      <c r="Q2867" s="30" t="s">
        <v>2565</v>
      </c>
      <c r="R2867" s="33" t="s">
        <v>3473</v>
      </c>
      <c r="S2867">
        <v>37</v>
      </c>
      <c r="T2867" s="1" t="s">
        <v>13878</v>
      </c>
      <c r="U2867" s="1" t="str">
        <f>HYPERLINK("http://ictvonline.org/taxonomy/p/taxonomy-history?taxnode_id=202109915","ICTVonline=202109915")</f>
        <v>ICTVonline=202109915</v>
      </c>
    </row>
    <row r="2868" spans="1:21" x14ac:dyDescent="0.2">
      <c r="A2868" s="3">
        <v>2867</v>
      </c>
      <c r="B2868" s="1" t="s">
        <v>4875</v>
      </c>
      <c r="D2868" s="1" t="s">
        <v>4876</v>
      </c>
      <c r="F2868" s="1" t="s">
        <v>4880</v>
      </c>
      <c r="H2868" s="1" t="s">
        <v>4881</v>
      </c>
      <c r="N2868" s="1" t="s">
        <v>4691</v>
      </c>
      <c r="P2868" s="1" t="s">
        <v>11590</v>
      </c>
      <c r="Q2868" s="30" t="s">
        <v>2565</v>
      </c>
      <c r="R2868" s="33" t="s">
        <v>3473</v>
      </c>
      <c r="S2868">
        <v>37</v>
      </c>
      <c r="T2868" s="1" t="s">
        <v>13878</v>
      </c>
      <c r="U2868" s="1" t="str">
        <f>HYPERLINK("http://ictvonline.org/taxonomy/p/taxonomy-history?taxnode_id=202101105","ICTVonline=202101105")</f>
        <v>ICTVonline=202101105</v>
      </c>
    </row>
    <row r="2869" spans="1:21" x14ac:dyDescent="0.2">
      <c r="A2869" s="3">
        <v>2868</v>
      </c>
      <c r="B2869" s="1" t="s">
        <v>4875</v>
      </c>
      <c r="D2869" s="1" t="s">
        <v>4876</v>
      </c>
      <c r="F2869" s="1" t="s">
        <v>4880</v>
      </c>
      <c r="H2869" s="1" t="s">
        <v>4881</v>
      </c>
      <c r="N2869" s="1" t="s">
        <v>4691</v>
      </c>
      <c r="P2869" s="1" t="s">
        <v>11591</v>
      </c>
      <c r="Q2869" s="30" t="s">
        <v>2565</v>
      </c>
      <c r="R2869" s="33" t="s">
        <v>3473</v>
      </c>
      <c r="S2869">
        <v>37</v>
      </c>
      <c r="T2869" s="1" t="s">
        <v>13878</v>
      </c>
      <c r="U2869" s="1" t="str">
        <f>HYPERLINK("http://ictvonline.org/taxonomy/p/taxonomy-history?taxnode_id=202101106","ICTVonline=202101106")</f>
        <v>ICTVonline=202101106</v>
      </c>
    </row>
    <row r="2870" spans="1:21" x14ac:dyDescent="0.2">
      <c r="A2870" s="3">
        <v>2869</v>
      </c>
      <c r="B2870" s="1" t="s">
        <v>4875</v>
      </c>
      <c r="D2870" s="1" t="s">
        <v>4876</v>
      </c>
      <c r="F2870" s="1" t="s">
        <v>4880</v>
      </c>
      <c r="H2870" s="1" t="s">
        <v>4881</v>
      </c>
      <c r="N2870" s="1" t="s">
        <v>4546</v>
      </c>
      <c r="P2870" s="1" t="s">
        <v>11592</v>
      </c>
      <c r="Q2870" s="30" t="s">
        <v>2565</v>
      </c>
      <c r="R2870" s="33" t="s">
        <v>3473</v>
      </c>
      <c r="S2870">
        <v>37</v>
      </c>
      <c r="T2870" s="1" t="s">
        <v>13878</v>
      </c>
      <c r="U2870" s="1" t="str">
        <f>HYPERLINK("http://ictvonline.org/taxonomy/p/taxonomy-history?taxnode_id=202106507","ICTVonline=202106507")</f>
        <v>ICTVonline=202106507</v>
      </c>
    </row>
    <row r="2871" spans="1:21" x14ac:dyDescent="0.2">
      <c r="A2871" s="3">
        <v>2870</v>
      </c>
      <c r="B2871" s="1" t="s">
        <v>4875</v>
      </c>
      <c r="D2871" s="1" t="s">
        <v>4876</v>
      </c>
      <c r="F2871" s="1" t="s">
        <v>4880</v>
      </c>
      <c r="H2871" s="1" t="s">
        <v>4881</v>
      </c>
      <c r="N2871" s="1" t="s">
        <v>4547</v>
      </c>
      <c r="P2871" s="1" t="s">
        <v>11593</v>
      </c>
      <c r="Q2871" s="30" t="s">
        <v>2565</v>
      </c>
      <c r="R2871" s="33" t="s">
        <v>3473</v>
      </c>
      <c r="S2871">
        <v>37</v>
      </c>
      <c r="T2871" s="1" t="s">
        <v>13878</v>
      </c>
      <c r="U2871" s="1" t="str">
        <f>HYPERLINK("http://ictvonline.org/taxonomy/p/taxonomy-history?taxnode_id=202106832","ICTVonline=202106832")</f>
        <v>ICTVonline=202106832</v>
      </c>
    </row>
    <row r="2872" spans="1:21" x14ac:dyDescent="0.2">
      <c r="A2872" s="3">
        <v>2871</v>
      </c>
      <c r="B2872" s="1" t="s">
        <v>4875</v>
      </c>
      <c r="D2872" s="1" t="s">
        <v>4876</v>
      </c>
      <c r="F2872" s="1" t="s">
        <v>4880</v>
      </c>
      <c r="H2872" s="1" t="s">
        <v>4881</v>
      </c>
      <c r="N2872" s="1" t="s">
        <v>5202</v>
      </c>
      <c r="P2872" s="1" t="s">
        <v>11594</v>
      </c>
      <c r="Q2872" s="30" t="s">
        <v>2565</v>
      </c>
      <c r="R2872" s="33" t="s">
        <v>3473</v>
      </c>
      <c r="S2872">
        <v>37</v>
      </c>
      <c r="T2872" s="1" t="s">
        <v>13878</v>
      </c>
      <c r="U2872" s="1" t="str">
        <f>HYPERLINK("http://ictvonline.org/taxonomy/p/taxonomy-history?taxnode_id=202107414","ICTVonline=202107414")</f>
        <v>ICTVonline=202107414</v>
      </c>
    </row>
    <row r="2873" spans="1:21" x14ac:dyDescent="0.2">
      <c r="A2873" s="3">
        <v>2872</v>
      </c>
      <c r="B2873" s="1" t="s">
        <v>4875</v>
      </c>
      <c r="D2873" s="1" t="s">
        <v>4876</v>
      </c>
      <c r="F2873" s="1" t="s">
        <v>4880</v>
      </c>
      <c r="H2873" s="1" t="s">
        <v>4881</v>
      </c>
      <c r="N2873" s="1" t="s">
        <v>11595</v>
      </c>
      <c r="P2873" s="1" t="s">
        <v>11596</v>
      </c>
      <c r="Q2873" s="30" t="s">
        <v>2565</v>
      </c>
      <c r="R2873" s="33" t="s">
        <v>3473</v>
      </c>
      <c r="S2873">
        <v>37</v>
      </c>
      <c r="T2873" s="1" t="s">
        <v>13948</v>
      </c>
      <c r="U2873" s="1" t="str">
        <f>HYPERLINK("http://ictvonline.org/taxonomy/p/taxonomy-history?taxnode_id=202100706","ICTVonline=202100706")</f>
        <v>ICTVonline=202100706</v>
      </c>
    </row>
    <row r="2874" spans="1:21" x14ac:dyDescent="0.2">
      <c r="A2874" s="3">
        <v>2873</v>
      </c>
      <c r="B2874" s="1" t="s">
        <v>4875</v>
      </c>
      <c r="D2874" s="1" t="s">
        <v>4876</v>
      </c>
      <c r="F2874" s="1" t="s">
        <v>4880</v>
      </c>
      <c r="H2874" s="1" t="s">
        <v>4881</v>
      </c>
      <c r="N2874" s="1" t="s">
        <v>11595</v>
      </c>
      <c r="P2874" s="1" t="s">
        <v>11597</v>
      </c>
      <c r="Q2874" s="30" t="s">
        <v>2565</v>
      </c>
      <c r="R2874" s="33" t="s">
        <v>3472</v>
      </c>
      <c r="S2874">
        <v>37</v>
      </c>
      <c r="T2874" s="1" t="s">
        <v>13948</v>
      </c>
      <c r="U2874" s="1" t="str">
        <f>HYPERLINK("http://ictvonline.org/taxonomy/p/taxonomy-history?taxnode_id=202112357","ICTVonline=202112357")</f>
        <v>ICTVonline=202112357</v>
      </c>
    </row>
    <row r="2875" spans="1:21" x14ac:dyDescent="0.2">
      <c r="A2875" s="3">
        <v>2874</v>
      </c>
      <c r="B2875" s="1" t="s">
        <v>4875</v>
      </c>
      <c r="D2875" s="1" t="s">
        <v>4876</v>
      </c>
      <c r="F2875" s="1" t="s">
        <v>4880</v>
      </c>
      <c r="H2875" s="1" t="s">
        <v>4881</v>
      </c>
      <c r="N2875" s="1" t="s">
        <v>6193</v>
      </c>
      <c r="P2875" s="1" t="s">
        <v>11598</v>
      </c>
      <c r="Q2875" s="30" t="s">
        <v>2565</v>
      </c>
      <c r="R2875" s="33" t="s">
        <v>3473</v>
      </c>
      <c r="S2875">
        <v>37</v>
      </c>
      <c r="T2875" s="1" t="s">
        <v>13878</v>
      </c>
      <c r="U2875" s="1" t="str">
        <f>HYPERLINK("http://ictvonline.org/taxonomy/p/taxonomy-history?taxnode_id=202110138","ICTVonline=202110138")</f>
        <v>ICTVonline=202110138</v>
      </c>
    </row>
    <row r="2876" spans="1:21" x14ac:dyDescent="0.2">
      <c r="A2876" s="3">
        <v>2875</v>
      </c>
      <c r="B2876" s="1" t="s">
        <v>4875</v>
      </c>
      <c r="D2876" s="1" t="s">
        <v>4876</v>
      </c>
      <c r="F2876" s="1" t="s">
        <v>4880</v>
      </c>
      <c r="H2876" s="1" t="s">
        <v>4881</v>
      </c>
      <c r="N2876" s="1" t="s">
        <v>4607</v>
      </c>
      <c r="P2876" s="1" t="s">
        <v>11599</v>
      </c>
      <c r="Q2876" s="30" t="s">
        <v>2565</v>
      </c>
      <c r="R2876" s="33" t="s">
        <v>3473</v>
      </c>
      <c r="S2876">
        <v>37</v>
      </c>
      <c r="T2876" s="1" t="s">
        <v>13878</v>
      </c>
      <c r="U2876" s="1" t="str">
        <f>HYPERLINK("http://ictvonline.org/taxonomy/p/taxonomy-history?taxnode_id=202106491","ICTVonline=202106491")</f>
        <v>ICTVonline=202106491</v>
      </c>
    </row>
    <row r="2877" spans="1:21" x14ac:dyDescent="0.2">
      <c r="A2877" s="3">
        <v>2876</v>
      </c>
      <c r="B2877" s="1" t="s">
        <v>4875</v>
      </c>
      <c r="D2877" s="1" t="s">
        <v>4876</v>
      </c>
      <c r="F2877" s="1" t="s">
        <v>4880</v>
      </c>
      <c r="H2877" s="1" t="s">
        <v>4881</v>
      </c>
      <c r="N2877" s="1" t="s">
        <v>4607</v>
      </c>
      <c r="P2877" s="1" t="s">
        <v>11600</v>
      </c>
      <c r="Q2877" s="30" t="s">
        <v>2565</v>
      </c>
      <c r="R2877" s="33" t="s">
        <v>3473</v>
      </c>
      <c r="S2877">
        <v>37</v>
      </c>
      <c r="T2877" s="1" t="s">
        <v>13878</v>
      </c>
      <c r="U2877" s="1" t="str">
        <f>HYPERLINK("http://ictvonline.org/taxonomy/p/taxonomy-history?taxnode_id=202106490","ICTVonline=202106490")</f>
        <v>ICTVonline=202106490</v>
      </c>
    </row>
    <row r="2878" spans="1:21" x14ac:dyDescent="0.2">
      <c r="A2878" s="3">
        <v>2877</v>
      </c>
      <c r="B2878" s="1" t="s">
        <v>4875</v>
      </c>
      <c r="D2878" s="1" t="s">
        <v>4876</v>
      </c>
      <c r="F2878" s="1" t="s">
        <v>4880</v>
      </c>
      <c r="H2878" s="1" t="s">
        <v>4881</v>
      </c>
      <c r="N2878" s="1" t="s">
        <v>4548</v>
      </c>
      <c r="P2878" s="1" t="s">
        <v>11601</v>
      </c>
      <c r="Q2878" s="30" t="s">
        <v>2565</v>
      </c>
      <c r="R2878" s="33" t="s">
        <v>3473</v>
      </c>
      <c r="S2878">
        <v>37</v>
      </c>
      <c r="T2878" s="1" t="s">
        <v>13878</v>
      </c>
      <c r="U2878" s="1" t="str">
        <f>HYPERLINK("http://ictvonline.org/taxonomy/p/taxonomy-history?taxnode_id=202106836","ICTVonline=202106836")</f>
        <v>ICTVonline=202106836</v>
      </c>
    </row>
    <row r="2879" spans="1:21" x14ac:dyDescent="0.2">
      <c r="A2879" s="3">
        <v>2878</v>
      </c>
      <c r="B2879" s="1" t="s">
        <v>4875</v>
      </c>
      <c r="D2879" s="1" t="s">
        <v>4876</v>
      </c>
      <c r="F2879" s="1" t="s">
        <v>4880</v>
      </c>
      <c r="H2879" s="1" t="s">
        <v>4881</v>
      </c>
      <c r="N2879" s="1" t="s">
        <v>4548</v>
      </c>
      <c r="P2879" s="1" t="s">
        <v>11602</v>
      </c>
      <c r="Q2879" s="30" t="s">
        <v>2565</v>
      </c>
      <c r="R2879" s="33" t="s">
        <v>3473</v>
      </c>
      <c r="S2879">
        <v>37</v>
      </c>
      <c r="T2879" s="1" t="s">
        <v>13878</v>
      </c>
      <c r="U2879" s="1" t="str">
        <f>HYPERLINK("http://ictvonline.org/taxonomy/p/taxonomy-history?taxnode_id=202106837","ICTVonline=202106837")</f>
        <v>ICTVonline=202106837</v>
      </c>
    </row>
    <row r="2880" spans="1:21" x14ac:dyDescent="0.2">
      <c r="A2880" s="3">
        <v>2879</v>
      </c>
      <c r="B2880" s="1" t="s">
        <v>4875</v>
      </c>
      <c r="D2880" s="1" t="s">
        <v>4876</v>
      </c>
      <c r="F2880" s="1" t="s">
        <v>4880</v>
      </c>
      <c r="H2880" s="1" t="s">
        <v>4881</v>
      </c>
      <c r="N2880" s="1" t="s">
        <v>4548</v>
      </c>
      <c r="P2880" s="1" t="s">
        <v>11603</v>
      </c>
      <c r="Q2880" s="30" t="s">
        <v>2565</v>
      </c>
      <c r="R2880" s="33" t="s">
        <v>3473</v>
      </c>
      <c r="S2880">
        <v>37</v>
      </c>
      <c r="T2880" s="1" t="s">
        <v>13878</v>
      </c>
      <c r="U2880" s="1" t="str">
        <f>HYPERLINK("http://ictvonline.org/taxonomy/p/taxonomy-history?taxnode_id=202106838","ICTVonline=202106838")</f>
        <v>ICTVonline=202106838</v>
      </c>
    </row>
    <row r="2881" spans="1:21" x14ac:dyDescent="0.2">
      <c r="A2881" s="3">
        <v>2880</v>
      </c>
      <c r="B2881" s="1" t="s">
        <v>4875</v>
      </c>
      <c r="D2881" s="1" t="s">
        <v>4876</v>
      </c>
      <c r="F2881" s="1" t="s">
        <v>4880</v>
      </c>
      <c r="H2881" s="1" t="s">
        <v>4881</v>
      </c>
      <c r="N2881" s="1" t="s">
        <v>3206</v>
      </c>
      <c r="P2881" s="1" t="s">
        <v>11604</v>
      </c>
      <c r="Q2881" s="30" t="s">
        <v>2565</v>
      </c>
      <c r="R2881" s="33" t="s">
        <v>3473</v>
      </c>
      <c r="S2881">
        <v>37</v>
      </c>
      <c r="T2881" s="1" t="s">
        <v>13878</v>
      </c>
      <c r="U2881" s="1" t="str">
        <f>HYPERLINK("http://ictvonline.org/taxonomy/p/taxonomy-history?taxnode_id=202100991","ICTVonline=202100991")</f>
        <v>ICTVonline=202100991</v>
      </c>
    </row>
    <row r="2882" spans="1:21" x14ac:dyDescent="0.2">
      <c r="A2882" s="3">
        <v>2881</v>
      </c>
      <c r="B2882" s="1" t="s">
        <v>4875</v>
      </c>
      <c r="D2882" s="1" t="s">
        <v>4876</v>
      </c>
      <c r="F2882" s="1" t="s">
        <v>4880</v>
      </c>
      <c r="H2882" s="1" t="s">
        <v>4881</v>
      </c>
      <c r="N2882" s="1" t="s">
        <v>4549</v>
      </c>
      <c r="P2882" s="1" t="s">
        <v>11605</v>
      </c>
      <c r="Q2882" s="30" t="s">
        <v>2565</v>
      </c>
      <c r="R2882" s="33" t="s">
        <v>3473</v>
      </c>
      <c r="S2882">
        <v>37</v>
      </c>
      <c r="T2882" s="1" t="s">
        <v>13878</v>
      </c>
      <c r="U2882" s="1" t="str">
        <f>HYPERLINK("http://ictvonline.org/taxonomy/p/taxonomy-history?taxnode_id=202100429","ICTVonline=202100429")</f>
        <v>ICTVonline=202100429</v>
      </c>
    </row>
    <row r="2883" spans="1:21" x14ac:dyDescent="0.2">
      <c r="A2883" s="3">
        <v>2882</v>
      </c>
      <c r="B2883" s="1" t="s">
        <v>4875</v>
      </c>
      <c r="D2883" s="1" t="s">
        <v>4876</v>
      </c>
      <c r="F2883" s="1" t="s">
        <v>4880</v>
      </c>
      <c r="H2883" s="1" t="s">
        <v>4881</v>
      </c>
      <c r="N2883" s="1" t="s">
        <v>4549</v>
      </c>
      <c r="P2883" s="1" t="s">
        <v>11606</v>
      </c>
      <c r="Q2883" s="30" t="s">
        <v>2565</v>
      </c>
      <c r="R2883" s="33" t="s">
        <v>3473</v>
      </c>
      <c r="S2883">
        <v>37</v>
      </c>
      <c r="T2883" s="1" t="s">
        <v>13878</v>
      </c>
      <c r="U2883" s="1" t="str">
        <f>HYPERLINK("http://ictvonline.org/taxonomy/p/taxonomy-history?taxnode_id=202106999","ICTVonline=202106999")</f>
        <v>ICTVonline=202106999</v>
      </c>
    </row>
    <row r="2884" spans="1:21" x14ac:dyDescent="0.2">
      <c r="A2884" s="3">
        <v>2883</v>
      </c>
      <c r="B2884" s="1" t="s">
        <v>4875</v>
      </c>
      <c r="D2884" s="1" t="s">
        <v>4876</v>
      </c>
      <c r="F2884" s="1" t="s">
        <v>4880</v>
      </c>
      <c r="H2884" s="1" t="s">
        <v>4881</v>
      </c>
      <c r="N2884" s="1" t="s">
        <v>4549</v>
      </c>
      <c r="P2884" s="1" t="s">
        <v>11607</v>
      </c>
      <c r="Q2884" s="30" t="s">
        <v>2565</v>
      </c>
      <c r="R2884" s="33" t="s">
        <v>3473</v>
      </c>
      <c r="S2884">
        <v>37</v>
      </c>
      <c r="T2884" s="1" t="s">
        <v>13878</v>
      </c>
      <c r="U2884" s="1" t="str">
        <f>HYPERLINK("http://ictvonline.org/taxonomy/p/taxonomy-history?taxnode_id=202100430","ICTVonline=202100430")</f>
        <v>ICTVonline=202100430</v>
      </c>
    </row>
    <row r="2885" spans="1:21" x14ac:dyDescent="0.2">
      <c r="A2885" s="3">
        <v>2884</v>
      </c>
      <c r="B2885" s="1" t="s">
        <v>4875</v>
      </c>
      <c r="D2885" s="1" t="s">
        <v>4876</v>
      </c>
      <c r="F2885" s="1" t="s">
        <v>4880</v>
      </c>
      <c r="H2885" s="1" t="s">
        <v>4881</v>
      </c>
      <c r="N2885" s="1" t="s">
        <v>3185</v>
      </c>
      <c r="P2885" s="1" t="s">
        <v>11608</v>
      </c>
      <c r="Q2885" s="30" t="s">
        <v>2565</v>
      </c>
      <c r="R2885" s="33" t="s">
        <v>3473</v>
      </c>
      <c r="S2885">
        <v>37</v>
      </c>
      <c r="T2885" s="1" t="s">
        <v>13878</v>
      </c>
      <c r="U2885" s="1" t="str">
        <f>HYPERLINK("http://ictvonline.org/taxonomy/p/taxonomy-history?taxnode_id=202100437","ICTVonline=202100437")</f>
        <v>ICTVonline=202100437</v>
      </c>
    </row>
    <row r="2886" spans="1:21" x14ac:dyDescent="0.2">
      <c r="A2886" s="3">
        <v>2885</v>
      </c>
      <c r="B2886" s="1" t="s">
        <v>4875</v>
      </c>
      <c r="D2886" s="1" t="s">
        <v>4876</v>
      </c>
      <c r="F2886" s="1" t="s">
        <v>4880</v>
      </c>
      <c r="H2886" s="1" t="s">
        <v>4881</v>
      </c>
      <c r="N2886" s="1" t="s">
        <v>3185</v>
      </c>
      <c r="P2886" s="1" t="s">
        <v>11609</v>
      </c>
      <c r="Q2886" s="30" t="s">
        <v>2565</v>
      </c>
      <c r="R2886" s="33" t="s">
        <v>3473</v>
      </c>
      <c r="S2886">
        <v>37</v>
      </c>
      <c r="T2886" s="1" t="s">
        <v>13878</v>
      </c>
      <c r="U2886" s="1" t="str">
        <f>HYPERLINK("http://ictvonline.org/taxonomy/p/taxonomy-history?taxnode_id=202100438","ICTVonline=202100438")</f>
        <v>ICTVonline=202100438</v>
      </c>
    </row>
    <row r="2887" spans="1:21" x14ac:dyDescent="0.2">
      <c r="A2887" s="3">
        <v>2886</v>
      </c>
      <c r="B2887" s="1" t="s">
        <v>4875</v>
      </c>
      <c r="D2887" s="1" t="s">
        <v>4876</v>
      </c>
      <c r="F2887" s="1" t="s">
        <v>4880</v>
      </c>
      <c r="H2887" s="1" t="s">
        <v>4881</v>
      </c>
      <c r="N2887" s="1" t="s">
        <v>6194</v>
      </c>
      <c r="P2887" s="1" t="s">
        <v>11610</v>
      </c>
      <c r="Q2887" s="30" t="s">
        <v>2565</v>
      </c>
      <c r="R2887" s="33" t="s">
        <v>3473</v>
      </c>
      <c r="S2887">
        <v>37</v>
      </c>
      <c r="T2887" s="1" t="s">
        <v>13878</v>
      </c>
      <c r="U2887" s="1" t="str">
        <f>HYPERLINK("http://ictvonline.org/taxonomy/p/taxonomy-history?taxnode_id=202109348","ICTVonline=202109348")</f>
        <v>ICTVonline=202109348</v>
      </c>
    </row>
    <row r="2888" spans="1:21" x14ac:dyDescent="0.2">
      <c r="A2888" s="3">
        <v>2887</v>
      </c>
      <c r="B2888" s="1" t="s">
        <v>4875</v>
      </c>
      <c r="D2888" s="1" t="s">
        <v>4876</v>
      </c>
      <c r="F2888" s="1" t="s">
        <v>4880</v>
      </c>
      <c r="H2888" s="1" t="s">
        <v>4881</v>
      </c>
      <c r="N2888" s="1" t="s">
        <v>6194</v>
      </c>
      <c r="P2888" s="1" t="s">
        <v>11611</v>
      </c>
      <c r="Q2888" s="30" t="s">
        <v>2565</v>
      </c>
      <c r="R2888" s="33" t="s">
        <v>3473</v>
      </c>
      <c r="S2888">
        <v>37</v>
      </c>
      <c r="T2888" s="1" t="s">
        <v>13878</v>
      </c>
      <c r="U2888" s="1" t="str">
        <f>HYPERLINK("http://ictvonline.org/taxonomy/p/taxonomy-history?taxnode_id=202109347","ICTVonline=202109347")</f>
        <v>ICTVonline=202109347</v>
      </c>
    </row>
    <row r="2889" spans="1:21" x14ac:dyDescent="0.2">
      <c r="A2889" s="3">
        <v>2888</v>
      </c>
      <c r="B2889" s="1" t="s">
        <v>4875</v>
      </c>
      <c r="D2889" s="1" t="s">
        <v>4876</v>
      </c>
      <c r="F2889" s="1" t="s">
        <v>4880</v>
      </c>
      <c r="H2889" s="1" t="s">
        <v>4881</v>
      </c>
      <c r="N2889" s="1" t="s">
        <v>6194</v>
      </c>
      <c r="P2889" s="1" t="s">
        <v>11612</v>
      </c>
      <c r="Q2889" s="30" t="s">
        <v>2565</v>
      </c>
      <c r="R2889" s="33" t="s">
        <v>3473</v>
      </c>
      <c r="S2889">
        <v>37</v>
      </c>
      <c r="T2889" s="1" t="s">
        <v>13878</v>
      </c>
      <c r="U2889" s="1" t="str">
        <f>HYPERLINK("http://ictvonline.org/taxonomy/p/taxonomy-history?taxnode_id=202109346","ICTVonline=202109346")</f>
        <v>ICTVonline=202109346</v>
      </c>
    </row>
    <row r="2890" spans="1:21" x14ac:dyDescent="0.2">
      <c r="A2890" s="3">
        <v>2889</v>
      </c>
      <c r="B2890" s="1" t="s">
        <v>4875</v>
      </c>
      <c r="D2890" s="1" t="s">
        <v>4876</v>
      </c>
      <c r="F2890" s="1" t="s">
        <v>4880</v>
      </c>
      <c r="H2890" s="1" t="s">
        <v>4881</v>
      </c>
      <c r="N2890" s="1" t="s">
        <v>5203</v>
      </c>
      <c r="P2890" s="1" t="s">
        <v>11613</v>
      </c>
      <c r="Q2890" s="30" t="s">
        <v>2565</v>
      </c>
      <c r="R2890" s="33" t="s">
        <v>3473</v>
      </c>
      <c r="S2890">
        <v>37</v>
      </c>
      <c r="T2890" s="1" t="s">
        <v>13878</v>
      </c>
      <c r="U2890" s="1" t="str">
        <f>HYPERLINK("http://ictvonline.org/taxonomy/p/taxonomy-history?taxnode_id=202107421","ICTVonline=202107421")</f>
        <v>ICTVonline=202107421</v>
      </c>
    </row>
    <row r="2891" spans="1:21" x14ac:dyDescent="0.2">
      <c r="A2891" s="3">
        <v>2890</v>
      </c>
      <c r="B2891" s="1" t="s">
        <v>4875</v>
      </c>
      <c r="D2891" s="1" t="s">
        <v>4876</v>
      </c>
      <c r="F2891" s="1" t="s">
        <v>4880</v>
      </c>
      <c r="H2891" s="1" t="s">
        <v>4881</v>
      </c>
      <c r="N2891" s="1" t="s">
        <v>11614</v>
      </c>
      <c r="P2891" s="1" t="s">
        <v>11615</v>
      </c>
      <c r="Q2891" s="30" t="s">
        <v>2565</v>
      </c>
      <c r="R2891" s="33" t="s">
        <v>3472</v>
      </c>
      <c r="S2891">
        <v>37</v>
      </c>
      <c r="T2891" s="1" t="s">
        <v>13949</v>
      </c>
      <c r="U2891" s="1" t="str">
        <f>HYPERLINK("http://ictvonline.org/taxonomy/p/taxonomy-history?taxnode_id=202112364","ICTVonline=202112364")</f>
        <v>ICTVonline=202112364</v>
      </c>
    </row>
    <row r="2892" spans="1:21" x14ac:dyDescent="0.2">
      <c r="A2892" s="3">
        <v>2891</v>
      </c>
      <c r="B2892" s="1" t="s">
        <v>4875</v>
      </c>
      <c r="D2892" s="1" t="s">
        <v>4876</v>
      </c>
      <c r="F2892" s="1" t="s">
        <v>4880</v>
      </c>
      <c r="H2892" s="1" t="s">
        <v>4881</v>
      </c>
      <c r="N2892" s="1" t="s">
        <v>11614</v>
      </c>
      <c r="P2892" s="1" t="s">
        <v>11616</v>
      </c>
      <c r="Q2892" s="30" t="s">
        <v>2565</v>
      </c>
      <c r="R2892" s="33" t="s">
        <v>3472</v>
      </c>
      <c r="S2892">
        <v>37</v>
      </c>
      <c r="T2892" s="1" t="s">
        <v>13949</v>
      </c>
      <c r="U2892" s="1" t="str">
        <f>HYPERLINK("http://ictvonline.org/taxonomy/p/taxonomy-history?taxnode_id=202112362","ICTVonline=202112362")</f>
        <v>ICTVonline=202112362</v>
      </c>
    </row>
    <row r="2893" spans="1:21" x14ac:dyDescent="0.2">
      <c r="A2893" s="3">
        <v>2892</v>
      </c>
      <c r="B2893" s="1" t="s">
        <v>4875</v>
      </c>
      <c r="D2893" s="1" t="s">
        <v>4876</v>
      </c>
      <c r="F2893" s="1" t="s">
        <v>4880</v>
      </c>
      <c r="H2893" s="1" t="s">
        <v>4881</v>
      </c>
      <c r="N2893" s="1" t="s">
        <v>11614</v>
      </c>
      <c r="P2893" s="1" t="s">
        <v>11617</v>
      </c>
      <c r="Q2893" s="30" t="s">
        <v>2565</v>
      </c>
      <c r="R2893" s="33" t="s">
        <v>3472</v>
      </c>
      <c r="S2893">
        <v>37</v>
      </c>
      <c r="T2893" s="1" t="s">
        <v>13949</v>
      </c>
      <c r="U2893" s="1" t="str">
        <f>HYPERLINK("http://ictvonline.org/taxonomy/p/taxonomy-history?taxnode_id=202112363","ICTVonline=202112363")</f>
        <v>ICTVonline=202112363</v>
      </c>
    </row>
    <row r="2894" spans="1:21" x14ac:dyDescent="0.2">
      <c r="A2894" s="3">
        <v>2893</v>
      </c>
      <c r="B2894" s="1" t="s">
        <v>4875</v>
      </c>
      <c r="D2894" s="1" t="s">
        <v>4876</v>
      </c>
      <c r="F2894" s="1" t="s">
        <v>4880</v>
      </c>
      <c r="H2894" s="1" t="s">
        <v>4881</v>
      </c>
      <c r="N2894" s="1" t="s">
        <v>11614</v>
      </c>
      <c r="P2894" s="1" t="s">
        <v>11618</v>
      </c>
      <c r="Q2894" s="30" t="s">
        <v>2565</v>
      </c>
      <c r="R2894" s="33" t="s">
        <v>3472</v>
      </c>
      <c r="S2894">
        <v>37</v>
      </c>
      <c r="T2894" s="1" t="s">
        <v>13949</v>
      </c>
      <c r="U2894" s="1" t="str">
        <f>HYPERLINK("http://ictvonline.org/taxonomy/p/taxonomy-history?taxnode_id=202112359","ICTVonline=202112359")</f>
        <v>ICTVonline=202112359</v>
      </c>
    </row>
    <row r="2895" spans="1:21" x14ac:dyDescent="0.2">
      <c r="A2895" s="3">
        <v>2894</v>
      </c>
      <c r="B2895" s="1" t="s">
        <v>4875</v>
      </c>
      <c r="D2895" s="1" t="s">
        <v>4876</v>
      </c>
      <c r="F2895" s="1" t="s">
        <v>4880</v>
      </c>
      <c r="H2895" s="1" t="s">
        <v>4881</v>
      </c>
      <c r="N2895" s="1" t="s">
        <v>11614</v>
      </c>
      <c r="P2895" s="1" t="s">
        <v>11619</v>
      </c>
      <c r="Q2895" s="30" t="s">
        <v>2565</v>
      </c>
      <c r="R2895" s="33" t="s">
        <v>3472</v>
      </c>
      <c r="S2895">
        <v>37</v>
      </c>
      <c r="T2895" s="1" t="s">
        <v>13949</v>
      </c>
      <c r="U2895" s="1" t="str">
        <f>HYPERLINK("http://ictvonline.org/taxonomy/p/taxonomy-history?taxnode_id=202112360","ICTVonline=202112360")</f>
        <v>ICTVonline=202112360</v>
      </c>
    </row>
    <row r="2896" spans="1:21" x14ac:dyDescent="0.2">
      <c r="A2896" s="3">
        <v>2895</v>
      </c>
      <c r="B2896" s="1" t="s">
        <v>4875</v>
      </c>
      <c r="D2896" s="1" t="s">
        <v>4876</v>
      </c>
      <c r="F2896" s="1" t="s">
        <v>4880</v>
      </c>
      <c r="H2896" s="1" t="s">
        <v>4881</v>
      </c>
      <c r="N2896" s="1" t="s">
        <v>11614</v>
      </c>
      <c r="P2896" s="1" t="s">
        <v>11620</v>
      </c>
      <c r="Q2896" s="30" t="s">
        <v>2565</v>
      </c>
      <c r="R2896" s="33" t="s">
        <v>3472</v>
      </c>
      <c r="S2896">
        <v>37</v>
      </c>
      <c r="T2896" s="1" t="s">
        <v>13949</v>
      </c>
      <c r="U2896" s="1" t="str">
        <f>HYPERLINK("http://ictvonline.org/taxonomy/p/taxonomy-history?taxnode_id=202112361","ICTVonline=202112361")</f>
        <v>ICTVonline=202112361</v>
      </c>
    </row>
    <row r="2897" spans="1:21" x14ac:dyDescent="0.2">
      <c r="A2897" s="3">
        <v>2896</v>
      </c>
      <c r="B2897" s="1" t="s">
        <v>4875</v>
      </c>
      <c r="D2897" s="1" t="s">
        <v>4876</v>
      </c>
      <c r="F2897" s="1" t="s">
        <v>4880</v>
      </c>
      <c r="H2897" s="1" t="s">
        <v>4881</v>
      </c>
      <c r="N2897" s="1" t="s">
        <v>6195</v>
      </c>
      <c r="P2897" s="1" t="s">
        <v>11621</v>
      </c>
      <c r="Q2897" s="30" t="s">
        <v>2565</v>
      </c>
      <c r="R2897" s="33" t="s">
        <v>3473</v>
      </c>
      <c r="S2897">
        <v>37</v>
      </c>
      <c r="T2897" s="1" t="s">
        <v>13878</v>
      </c>
      <c r="U2897" s="1" t="str">
        <f>HYPERLINK("http://ictvonline.org/taxonomy/p/taxonomy-history?taxnode_id=202110197","ICTVonline=202110197")</f>
        <v>ICTVonline=202110197</v>
      </c>
    </row>
    <row r="2898" spans="1:21" x14ac:dyDescent="0.2">
      <c r="A2898" s="3">
        <v>2897</v>
      </c>
      <c r="B2898" s="1" t="s">
        <v>4875</v>
      </c>
      <c r="D2898" s="1" t="s">
        <v>4876</v>
      </c>
      <c r="F2898" s="1" t="s">
        <v>4880</v>
      </c>
      <c r="H2898" s="1" t="s">
        <v>4881</v>
      </c>
      <c r="N2898" s="1" t="s">
        <v>6195</v>
      </c>
      <c r="P2898" s="1" t="s">
        <v>11622</v>
      </c>
      <c r="Q2898" s="30" t="s">
        <v>2565</v>
      </c>
      <c r="R2898" s="33" t="s">
        <v>3473</v>
      </c>
      <c r="S2898">
        <v>37</v>
      </c>
      <c r="T2898" s="1" t="s">
        <v>13878</v>
      </c>
      <c r="U2898" s="1" t="str">
        <f>HYPERLINK("http://ictvonline.org/taxonomy/p/taxonomy-history?taxnode_id=202110199","ICTVonline=202110199")</f>
        <v>ICTVonline=202110199</v>
      </c>
    </row>
    <row r="2899" spans="1:21" x14ac:dyDescent="0.2">
      <c r="A2899" s="3">
        <v>2898</v>
      </c>
      <c r="B2899" s="1" t="s">
        <v>4875</v>
      </c>
      <c r="D2899" s="1" t="s">
        <v>4876</v>
      </c>
      <c r="F2899" s="1" t="s">
        <v>4880</v>
      </c>
      <c r="H2899" s="1" t="s">
        <v>4881</v>
      </c>
      <c r="N2899" s="1" t="s">
        <v>6195</v>
      </c>
      <c r="P2899" s="1" t="s">
        <v>11623</v>
      </c>
      <c r="Q2899" s="30" t="s">
        <v>2565</v>
      </c>
      <c r="R2899" s="33" t="s">
        <v>3473</v>
      </c>
      <c r="S2899">
        <v>37</v>
      </c>
      <c r="T2899" s="1" t="s">
        <v>13878</v>
      </c>
      <c r="U2899" s="1" t="str">
        <f>HYPERLINK("http://ictvonline.org/taxonomy/p/taxonomy-history?taxnode_id=202110198","ICTVonline=202110198")</f>
        <v>ICTVonline=202110198</v>
      </c>
    </row>
    <row r="2900" spans="1:21" x14ac:dyDescent="0.2">
      <c r="A2900" s="3">
        <v>2899</v>
      </c>
      <c r="B2900" s="1" t="s">
        <v>4875</v>
      </c>
      <c r="D2900" s="1" t="s">
        <v>4876</v>
      </c>
      <c r="F2900" s="1" t="s">
        <v>4880</v>
      </c>
      <c r="H2900" s="1" t="s">
        <v>4881</v>
      </c>
      <c r="N2900" s="1" t="s">
        <v>4609</v>
      </c>
      <c r="P2900" s="1" t="s">
        <v>11624</v>
      </c>
      <c r="Q2900" s="30" t="s">
        <v>2565</v>
      </c>
      <c r="R2900" s="33" t="s">
        <v>3473</v>
      </c>
      <c r="S2900">
        <v>37</v>
      </c>
      <c r="T2900" s="1" t="s">
        <v>13878</v>
      </c>
      <c r="U2900" s="1" t="str">
        <f>HYPERLINK("http://ictvonline.org/taxonomy/p/taxonomy-history?taxnode_id=202100652","ICTVonline=202100652")</f>
        <v>ICTVonline=202100652</v>
      </c>
    </row>
    <row r="2901" spans="1:21" x14ac:dyDescent="0.2">
      <c r="A2901" s="3">
        <v>2900</v>
      </c>
      <c r="B2901" s="1" t="s">
        <v>4875</v>
      </c>
      <c r="D2901" s="1" t="s">
        <v>4876</v>
      </c>
      <c r="F2901" s="1" t="s">
        <v>4880</v>
      </c>
      <c r="H2901" s="1" t="s">
        <v>4881</v>
      </c>
      <c r="N2901" s="1" t="s">
        <v>4693</v>
      </c>
      <c r="P2901" s="1" t="s">
        <v>11625</v>
      </c>
      <c r="Q2901" s="30" t="s">
        <v>2565</v>
      </c>
      <c r="R2901" s="33" t="s">
        <v>3473</v>
      </c>
      <c r="S2901">
        <v>37</v>
      </c>
      <c r="T2901" s="1" t="s">
        <v>13878</v>
      </c>
      <c r="U2901" s="1" t="str">
        <f>HYPERLINK("http://ictvonline.org/taxonomy/p/taxonomy-history?taxnode_id=202106840","ICTVonline=202106840")</f>
        <v>ICTVonline=202106840</v>
      </c>
    </row>
    <row r="2902" spans="1:21" x14ac:dyDescent="0.2">
      <c r="A2902" s="3">
        <v>2901</v>
      </c>
      <c r="B2902" s="1" t="s">
        <v>4875</v>
      </c>
      <c r="D2902" s="1" t="s">
        <v>4876</v>
      </c>
      <c r="F2902" s="1" t="s">
        <v>4880</v>
      </c>
      <c r="H2902" s="1" t="s">
        <v>4881</v>
      </c>
      <c r="N2902" s="1" t="s">
        <v>4693</v>
      </c>
      <c r="P2902" s="1" t="s">
        <v>11626</v>
      </c>
      <c r="Q2902" s="30" t="s">
        <v>2565</v>
      </c>
      <c r="R2902" s="33" t="s">
        <v>3473</v>
      </c>
      <c r="S2902">
        <v>37</v>
      </c>
      <c r="T2902" s="1" t="s">
        <v>13878</v>
      </c>
      <c r="U2902" s="1" t="str">
        <f>HYPERLINK("http://ictvonline.org/taxonomy/p/taxonomy-history?taxnode_id=202106841","ICTVonline=202106841")</f>
        <v>ICTVonline=202106841</v>
      </c>
    </row>
    <row r="2903" spans="1:21" x14ac:dyDescent="0.2">
      <c r="A2903" s="3">
        <v>2902</v>
      </c>
      <c r="B2903" s="1" t="s">
        <v>4875</v>
      </c>
      <c r="D2903" s="1" t="s">
        <v>4876</v>
      </c>
      <c r="F2903" s="1" t="s">
        <v>4880</v>
      </c>
      <c r="H2903" s="1" t="s">
        <v>4881</v>
      </c>
      <c r="N2903" s="1" t="s">
        <v>6196</v>
      </c>
      <c r="P2903" s="1" t="s">
        <v>11627</v>
      </c>
      <c r="Q2903" s="30" t="s">
        <v>2565</v>
      </c>
      <c r="R2903" s="33" t="s">
        <v>3473</v>
      </c>
      <c r="S2903">
        <v>37</v>
      </c>
      <c r="T2903" s="1" t="s">
        <v>13878</v>
      </c>
      <c r="U2903" s="1" t="str">
        <f>HYPERLINK("http://ictvonline.org/taxonomy/p/taxonomy-history?taxnode_id=202110140","ICTVonline=202110140")</f>
        <v>ICTVonline=202110140</v>
      </c>
    </row>
    <row r="2904" spans="1:21" x14ac:dyDescent="0.2">
      <c r="A2904" s="3">
        <v>2903</v>
      </c>
      <c r="B2904" s="1" t="s">
        <v>4875</v>
      </c>
      <c r="D2904" s="1" t="s">
        <v>4876</v>
      </c>
      <c r="F2904" s="1" t="s">
        <v>4880</v>
      </c>
      <c r="H2904" s="1" t="s">
        <v>4881</v>
      </c>
      <c r="N2904" s="1" t="s">
        <v>3207</v>
      </c>
      <c r="P2904" s="1" t="s">
        <v>11628</v>
      </c>
      <c r="Q2904" s="30" t="s">
        <v>2565</v>
      </c>
      <c r="R2904" s="33" t="s">
        <v>3473</v>
      </c>
      <c r="S2904">
        <v>37</v>
      </c>
      <c r="T2904" s="1" t="s">
        <v>13878</v>
      </c>
      <c r="U2904" s="1" t="str">
        <f>HYPERLINK("http://ictvonline.org/taxonomy/p/taxonomy-history?taxnode_id=202100996","ICTVonline=202100996")</f>
        <v>ICTVonline=202100996</v>
      </c>
    </row>
    <row r="2905" spans="1:21" x14ac:dyDescent="0.2">
      <c r="A2905" s="3">
        <v>2904</v>
      </c>
      <c r="B2905" s="1" t="s">
        <v>4875</v>
      </c>
      <c r="D2905" s="1" t="s">
        <v>4876</v>
      </c>
      <c r="F2905" s="1" t="s">
        <v>4880</v>
      </c>
      <c r="H2905" s="1" t="s">
        <v>4881</v>
      </c>
      <c r="N2905" s="1" t="s">
        <v>3207</v>
      </c>
      <c r="P2905" s="1" t="s">
        <v>11629</v>
      </c>
      <c r="Q2905" s="30" t="s">
        <v>2565</v>
      </c>
      <c r="R2905" s="33" t="s">
        <v>3473</v>
      </c>
      <c r="S2905">
        <v>37</v>
      </c>
      <c r="T2905" s="1" t="s">
        <v>13878</v>
      </c>
      <c r="U2905" s="1" t="str">
        <f>HYPERLINK("http://ictvonline.org/taxonomy/p/taxonomy-history?taxnode_id=202100997","ICTVonline=202100997")</f>
        <v>ICTVonline=202100997</v>
      </c>
    </row>
    <row r="2906" spans="1:21" x14ac:dyDescent="0.2">
      <c r="A2906" s="3">
        <v>2905</v>
      </c>
      <c r="B2906" s="1" t="s">
        <v>4875</v>
      </c>
      <c r="D2906" s="1" t="s">
        <v>4876</v>
      </c>
      <c r="F2906" s="1" t="s">
        <v>4880</v>
      </c>
      <c r="H2906" s="1" t="s">
        <v>4881</v>
      </c>
      <c r="N2906" s="1" t="s">
        <v>5157</v>
      </c>
      <c r="P2906" s="1" t="s">
        <v>11630</v>
      </c>
      <c r="Q2906" s="30" t="s">
        <v>2565</v>
      </c>
      <c r="R2906" s="33" t="s">
        <v>3473</v>
      </c>
      <c r="S2906">
        <v>37</v>
      </c>
      <c r="T2906" s="1" t="s">
        <v>13878</v>
      </c>
      <c r="U2906" s="1" t="str">
        <f>HYPERLINK("http://ictvonline.org/taxonomy/p/taxonomy-history?taxnode_id=202108022","ICTVonline=202108022")</f>
        <v>ICTVonline=202108022</v>
      </c>
    </row>
    <row r="2907" spans="1:21" x14ac:dyDescent="0.2">
      <c r="A2907" s="3">
        <v>2906</v>
      </c>
      <c r="B2907" s="1" t="s">
        <v>4875</v>
      </c>
      <c r="D2907" s="1" t="s">
        <v>4876</v>
      </c>
      <c r="F2907" s="1" t="s">
        <v>4880</v>
      </c>
      <c r="H2907" s="1" t="s">
        <v>4881</v>
      </c>
      <c r="N2907" s="1" t="s">
        <v>5204</v>
      </c>
      <c r="P2907" s="1" t="s">
        <v>11631</v>
      </c>
      <c r="Q2907" s="30" t="s">
        <v>2565</v>
      </c>
      <c r="R2907" s="33" t="s">
        <v>3473</v>
      </c>
      <c r="S2907">
        <v>37</v>
      </c>
      <c r="T2907" s="1" t="s">
        <v>13878</v>
      </c>
      <c r="U2907" s="1" t="str">
        <f>HYPERLINK("http://ictvonline.org/taxonomy/p/taxonomy-history?taxnode_id=202101256","ICTVonline=202101256")</f>
        <v>ICTVonline=202101256</v>
      </c>
    </row>
    <row r="2908" spans="1:21" x14ac:dyDescent="0.2">
      <c r="A2908" s="3">
        <v>2907</v>
      </c>
      <c r="B2908" s="1" t="s">
        <v>4875</v>
      </c>
      <c r="D2908" s="1" t="s">
        <v>4876</v>
      </c>
      <c r="F2908" s="1" t="s">
        <v>4880</v>
      </c>
      <c r="H2908" s="1" t="s">
        <v>4881</v>
      </c>
      <c r="N2908" s="1" t="s">
        <v>11632</v>
      </c>
      <c r="P2908" s="1" t="s">
        <v>11633</v>
      </c>
      <c r="Q2908" s="30" t="s">
        <v>2565</v>
      </c>
      <c r="R2908" s="33" t="s">
        <v>3472</v>
      </c>
      <c r="S2908">
        <v>37</v>
      </c>
      <c r="T2908" s="1" t="s">
        <v>13950</v>
      </c>
      <c r="U2908" s="1" t="str">
        <f>HYPERLINK("http://ictvonline.org/taxonomy/p/taxonomy-history?taxnode_id=202112366","ICTVonline=202112366")</f>
        <v>ICTVonline=202112366</v>
      </c>
    </row>
    <row r="2909" spans="1:21" x14ac:dyDescent="0.2">
      <c r="A2909" s="3">
        <v>2908</v>
      </c>
      <c r="B2909" s="1" t="s">
        <v>4875</v>
      </c>
      <c r="D2909" s="1" t="s">
        <v>4876</v>
      </c>
      <c r="F2909" s="1" t="s">
        <v>4880</v>
      </c>
      <c r="H2909" s="1" t="s">
        <v>4881</v>
      </c>
      <c r="N2909" s="1" t="s">
        <v>6021</v>
      </c>
      <c r="P2909" s="1" t="s">
        <v>11634</v>
      </c>
      <c r="Q2909" s="30" t="s">
        <v>2565</v>
      </c>
      <c r="R2909" s="33" t="s">
        <v>3473</v>
      </c>
      <c r="S2909">
        <v>37</v>
      </c>
      <c r="T2909" s="1" t="s">
        <v>13878</v>
      </c>
      <c r="U2909" s="1" t="str">
        <f>HYPERLINK("http://ictvonline.org/taxonomy/p/taxonomy-history?taxnode_id=202100382","ICTVonline=202100382")</f>
        <v>ICTVonline=202100382</v>
      </c>
    </row>
    <row r="2910" spans="1:21" x14ac:dyDescent="0.2">
      <c r="A2910" s="3">
        <v>2909</v>
      </c>
      <c r="B2910" s="1" t="s">
        <v>4875</v>
      </c>
      <c r="D2910" s="1" t="s">
        <v>4876</v>
      </c>
      <c r="F2910" s="1" t="s">
        <v>4880</v>
      </c>
      <c r="H2910" s="1" t="s">
        <v>4881</v>
      </c>
      <c r="N2910" s="1" t="s">
        <v>6021</v>
      </c>
      <c r="P2910" s="1" t="s">
        <v>11635</v>
      </c>
      <c r="Q2910" s="30" t="s">
        <v>2565</v>
      </c>
      <c r="R2910" s="33" t="s">
        <v>3473</v>
      </c>
      <c r="S2910">
        <v>37</v>
      </c>
      <c r="T2910" s="1" t="s">
        <v>13878</v>
      </c>
      <c r="U2910" s="1" t="str">
        <f>HYPERLINK("http://ictvonline.org/taxonomy/p/taxonomy-history?taxnode_id=202106996","ICTVonline=202106996")</f>
        <v>ICTVonline=202106996</v>
      </c>
    </row>
    <row r="2911" spans="1:21" x14ac:dyDescent="0.2">
      <c r="A2911" s="3">
        <v>2910</v>
      </c>
      <c r="B2911" s="1" t="s">
        <v>4875</v>
      </c>
      <c r="D2911" s="1" t="s">
        <v>4876</v>
      </c>
      <c r="F2911" s="1" t="s">
        <v>4880</v>
      </c>
      <c r="H2911" s="1" t="s">
        <v>4881</v>
      </c>
      <c r="N2911" s="1" t="s">
        <v>6021</v>
      </c>
      <c r="P2911" s="1" t="s">
        <v>11636</v>
      </c>
      <c r="Q2911" s="30" t="s">
        <v>2565</v>
      </c>
      <c r="R2911" s="33" t="s">
        <v>3473</v>
      </c>
      <c r="S2911">
        <v>37</v>
      </c>
      <c r="T2911" s="1" t="s">
        <v>13878</v>
      </c>
      <c r="U2911" s="1" t="str">
        <f>HYPERLINK("http://ictvonline.org/taxonomy/p/taxonomy-history?taxnode_id=202111644","ICTVonline=202111644")</f>
        <v>ICTVonline=202111644</v>
      </c>
    </row>
    <row r="2912" spans="1:21" x14ac:dyDescent="0.2">
      <c r="A2912" s="3">
        <v>2911</v>
      </c>
      <c r="B2912" s="1" t="s">
        <v>4875</v>
      </c>
      <c r="D2912" s="1" t="s">
        <v>4876</v>
      </c>
      <c r="F2912" s="1" t="s">
        <v>4880</v>
      </c>
      <c r="H2912" s="1" t="s">
        <v>4881</v>
      </c>
      <c r="N2912" s="1" t="s">
        <v>6021</v>
      </c>
      <c r="P2912" s="1" t="s">
        <v>11637</v>
      </c>
      <c r="Q2912" s="30" t="s">
        <v>2565</v>
      </c>
      <c r="R2912" s="33" t="s">
        <v>3473</v>
      </c>
      <c r="S2912">
        <v>37</v>
      </c>
      <c r="T2912" s="1" t="s">
        <v>13878</v>
      </c>
      <c r="U2912" s="1" t="str">
        <f>HYPERLINK("http://ictvonline.org/taxonomy/p/taxonomy-history?taxnode_id=202111643","ICTVonline=202111643")</f>
        <v>ICTVonline=202111643</v>
      </c>
    </row>
    <row r="2913" spans="1:21" x14ac:dyDescent="0.2">
      <c r="A2913" s="3">
        <v>2912</v>
      </c>
      <c r="B2913" s="1" t="s">
        <v>4875</v>
      </c>
      <c r="D2913" s="1" t="s">
        <v>4876</v>
      </c>
      <c r="F2913" s="1" t="s">
        <v>4880</v>
      </c>
      <c r="H2913" s="1" t="s">
        <v>4881</v>
      </c>
      <c r="N2913" s="1" t="s">
        <v>6021</v>
      </c>
      <c r="P2913" s="1" t="s">
        <v>11638</v>
      </c>
      <c r="Q2913" s="30" t="s">
        <v>2565</v>
      </c>
      <c r="R2913" s="33" t="s">
        <v>3473</v>
      </c>
      <c r="S2913">
        <v>37</v>
      </c>
      <c r="T2913" s="1" t="s">
        <v>13878</v>
      </c>
      <c r="U2913" s="1" t="str">
        <f>HYPERLINK("http://ictvonline.org/taxonomy/p/taxonomy-history?taxnode_id=202111645","ICTVonline=202111645")</f>
        <v>ICTVonline=202111645</v>
      </c>
    </row>
    <row r="2914" spans="1:21" x14ac:dyDescent="0.2">
      <c r="A2914" s="3">
        <v>2913</v>
      </c>
      <c r="B2914" s="1" t="s">
        <v>4875</v>
      </c>
      <c r="D2914" s="1" t="s">
        <v>4876</v>
      </c>
      <c r="F2914" s="1" t="s">
        <v>4880</v>
      </c>
      <c r="H2914" s="1" t="s">
        <v>4881</v>
      </c>
      <c r="N2914" s="1" t="s">
        <v>6021</v>
      </c>
      <c r="P2914" s="1" t="s">
        <v>11639</v>
      </c>
      <c r="Q2914" s="30" t="s">
        <v>2565</v>
      </c>
      <c r="R2914" s="33" t="s">
        <v>3473</v>
      </c>
      <c r="S2914">
        <v>37</v>
      </c>
      <c r="T2914" s="1" t="s">
        <v>13878</v>
      </c>
      <c r="U2914" s="1" t="str">
        <f>HYPERLINK("http://ictvonline.org/taxonomy/p/taxonomy-history?taxnode_id=202100383","ICTVonline=202100383")</f>
        <v>ICTVonline=202100383</v>
      </c>
    </row>
    <row r="2915" spans="1:21" x14ac:dyDescent="0.2">
      <c r="A2915" s="3">
        <v>2914</v>
      </c>
      <c r="B2915" s="1" t="s">
        <v>4875</v>
      </c>
      <c r="D2915" s="1" t="s">
        <v>4876</v>
      </c>
      <c r="F2915" s="1" t="s">
        <v>4880</v>
      </c>
      <c r="H2915" s="1" t="s">
        <v>4881</v>
      </c>
      <c r="N2915" s="1" t="s">
        <v>4550</v>
      </c>
      <c r="P2915" s="1" t="s">
        <v>11640</v>
      </c>
      <c r="Q2915" s="30" t="s">
        <v>2565</v>
      </c>
      <c r="R2915" s="33" t="s">
        <v>3473</v>
      </c>
      <c r="S2915">
        <v>37</v>
      </c>
      <c r="T2915" s="1" t="s">
        <v>13878</v>
      </c>
      <c r="U2915" s="1" t="str">
        <f>HYPERLINK("http://ictvonline.org/taxonomy/p/taxonomy-history?taxnode_id=202100491","ICTVonline=202100491")</f>
        <v>ICTVonline=202100491</v>
      </c>
    </row>
    <row r="2916" spans="1:21" x14ac:dyDescent="0.2">
      <c r="A2916" s="3">
        <v>2915</v>
      </c>
      <c r="B2916" s="1" t="s">
        <v>4875</v>
      </c>
      <c r="D2916" s="1" t="s">
        <v>4876</v>
      </c>
      <c r="F2916" s="1" t="s">
        <v>4880</v>
      </c>
      <c r="H2916" s="1" t="s">
        <v>4881</v>
      </c>
      <c r="N2916" s="1" t="s">
        <v>4694</v>
      </c>
      <c r="P2916" s="1" t="s">
        <v>11641</v>
      </c>
      <c r="Q2916" s="30" t="s">
        <v>2565</v>
      </c>
      <c r="R2916" s="33" t="s">
        <v>3473</v>
      </c>
      <c r="S2916">
        <v>37</v>
      </c>
      <c r="T2916" s="1" t="s">
        <v>13878</v>
      </c>
      <c r="U2916" s="1" t="str">
        <f>HYPERLINK("http://ictvonline.org/taxonomy/p/taxonomy-history?taxnode_id=202101377","ICTVonline=202101377")</f>
        <v>ICTVonline=202101377</v>
      </c>
    </row>
    <row r="2917" spans="1:21" x14ac:dyDescent="0.2">
      <c r="A2917" s="3">
        <v>2916</v>
      </c>
      <c r="B2917" s="1" t="s">
        <v>4875</v>
      </c>
      <c r="D2917" s="1" t="s">
        <v>4876</v>
      </c>
      <c r="F2917" s="1" t="s">
        <v>4880</v>
      </c>
      <c r="H2917" s="1" t="s">
        <v>4881</v>
      </c>
      <c r="N2917" s="1" t="s">
        <v>6203</v>
      </c>
      <c r="P2917" s="1" t="s">
        <v>11642</v>
      </c>
      <c r="Q2917" s="30" t="s">
        <v>2565</v>
      </c>
      <c r="R2917" s="33" t="s">
        <v>3473</v>
      </c>
      <c r="S2917">
        <v>37</v>
      </c>
      <c r="T2917" s="1" t="s">
        <v>13878</v>
      </c>
      <c r="U2917" s="1" t="str">
        <f>HYPERLINK("http://ictvonline.org/taxonomy/p/taxonomy-history?taxnode_id=202110151","ICTVonline=202110151")</f>
        <v>ICTVonline=202110151</v>
      </c>
    </row>
    <row r="2918" spans="1:21" x14ac:dyDescent="0.2">
      <c r="A2918" s="3">
        <v>2917</v>
      </c>
      <c r="B2918" s="1" t="s">
        <v>4875</v>
      </c>
      <c r="D2918" s="1" t="s">
        <v>4876</v>
      </c>
      <c r="F2918" s="1" t="s">
        <v>4880</v>
      </c>
      <c r="H2918" s="1" t="s">
        <v>4881</v>
      </c>
      <c r="N2918" s="1" t="s">
        <v>4610</v>
      </c>
      <c r="P2918" s="1" t="s">
        <v>11643</v>
      </c>
      <c r="Q2918" s="30" t="s">
        <v>2565</v>
      </c>
      <c r="R2918" s="33" t="s">
        <v>3473</v>
      </c>
      <c r="S2918">
        <v>37</v>
      </c>
      <c r="T2918" s="1" t="s">
        <v>13878</v>
      </c>
      <c r="U2918" s="1" t="str">
        <f>HYPERLINK("http://ictvonline.org/taxonomy/p/taxonomy-history?taxnode_id=202100654","ICTVonline=202100654")</f>
        <v>ICTVonline=202100654</v>
      </c>
    </row>
    <row r="2919" spans="1:21" x14ac:dyDescent="0.2">
      <c r="A2919" s="3">
        <v>2918</v>
      </c>
      <c r="B2919" s="1" t="s">
        <v>4875</v>
      </c>
      <c r="D2919" s="1" t="s">
        <v>4876</v>
      </c>
      <c r="F2919" s="1" t="s">
        <v>4880</v>
      </c>
      <c r="H2919" s="1" t="s">
        <v>4881</v>
      </c>
      <c r="N2919" s="1" t="s">
        <v>4610</v>
      </c>
      <c r="P2919" s="1" t="s">
        <v>11644</v>
      </c>
      <c r="Q2919" s="30" t="s">
        <v>2565</v>
      </c>
      <c r="R2919" s="33" t="s">
        <v>3473</v>
      </c>
      <c r="S2919">
        <v>37</v>
      </c>
      <c r="T2919" s="1" t="s">
        <v>13878</v>
      </c>
      <c r="U2919" s="1" t="str">
        <f>HYPERLINK("http://ictvonline.org/taxonomy/p/taxonomy-history?taxnode_id=202100655","ICTVonline=202100655")</f>
        <v>ICTVonline=202100655</v>
      </c>
    </row>
    <row r="2920" spans="1:21" x14ac:dyDescent="0.2">
      <c r="A2920" s="3">
        <v>2919</v>
      </c>
      <c r="B2920" s="1" t="s">
        <v>4875</v>
      </c>
      <c r="D2920" s="1" t="s">
        <v>4876</v>
      </c>
      <c r="F2920" s="1" t="s">
        <v>4880</v>
      </c>
      <c r="H2920" s="1" t="s">
        <v>4881</v>
      </c>
      <c r="N2920" s="1" t="s">
        <v>4695</v>
      </c>
      <c r="P2920" s="1" t="s">
        <v>11645</v>
      </c>
      <c r="Q2920" s="30" t="s">
        <v>2565</v>
      </c>
      <c r="R2920" s="33" t="s">
        <v>3473</v>
      </c>
      <c r="S2920">
        <v>37</v>
      </c>
      <c r="T2920" s="1" t="s">
        <v>13878</v>
      </c>
      <c r="U2920" s="1" t="str">
        <f>HYPERLINK("http://ictvonline.org/taxonomy/p/taxonomy-history?taxnode_id=202106745","ICTVonline=202106745")</f>
        <v>ICTVonline=202106745</v>
      </c>
    </row>
    <row r="2921" spans="1:21" x14ac:dyDescent="0.2">
      <c r="A2921" s="3">
        <v>2920</v>
      </c>
      <c r="B2921" s="1" t="s">
        <v>4875</v>
      </c>
      <c r="D2921" s="1" t="s">
        <v>4876</v>
      </c>
      <c r="F2921" s="1" t="s">
        <v>4880</v>
      </c>
      <c r="H2921" s="1" t="s">
        <v>4881</v>
      </c>
      <c r="N2921" s="1" t="s">
        <v>4695</v>
      </c>
      <c r="P2921" s="1" t="s">
        <v>11646</v>
      </c>
      <c r="Q2921" s="30" t="s">
        <v>2565</v>
      </c>
      <c r="R2921" s="33" t="s">
        <v>3473</v>
      </c>
      <c r="S2921">
        <v>37</v>
      </c>
      <c r="T2921" s="1" t="s">
        <v>13878</v>
      </c>
      <c r="U2921" s="1" t="str">
        <f>HYPERLINK("http://ictvonline.org/taxonomy/p/taxonomy-history?taxnode_id=202106744","ICTVonline=202106744")</f>
        <v>ICTVonline=202106744</v>
      </c>
    </row>
    <row r="2922" spans="1:21" x14ac:dyDescent="0.2">
      <c r="A2922" s="3">
        <v>2921</v>
      </c>
      <c r="B2922" s="1" t="s">
        <v>4875</v>
      </c>
      <c r="D2922" s="1" t="s">
        <v>4876</v>
      </c>
      <c r="F2922" s="1" t="s">
        <v>4880</v>
      </c>
      <c r="H2922" s="1" t="s">
        <v>4881</v>
      </c>
      <c r="N2922" s="1" t="s">
        <v>6204</v>
      </c>
      <c r="P2922" s="1" t="s">
        <v>11647</v>
      </c>
      <c r="Q2922" s="30" t="s">
        <v>2565</v>
      </c>
      <c r="R2922" s="33" t="s">
        <v>3473</v>
      </c>
      <c r="S2922">
        <v>37</v>
      </c>
      <c r="T2922" s="1" t="s">
        <v>13878</v>
      </c>
      <c r="U2922" s="1" t="str">
        <f>HYPERLINK("http://ictvonline.org/taxonomy/p/taxonomy-history?taxnode_id=202100855","ICTVonline=202100855")</f>
        <v>ICTVonline=202100855</v>
      </c>
    </row>
    <row r="2923" spans="1:21" x14ac:dyDescent="0.2">
      <c r="A2923" s="3">
        <v>2922</v>
      </c>
      <c r="B2923" s="1" t="s">
        <v>4875</v>
      </c>
      <c r="D2923" s="1" t="s">
        <v>4876</v>
      </c>
      <c r="F2923" s="1" t="s">
        <v>4880</v>
      </c>
      <c r="H2923" s="1" t="s">
        <v>4881</v>
      </c>
      <c r="N2923" s="1" t="s">
        <v>3208</v>
      </c>
      <c r="P2923" s="1" t="s">
        <v>11648</v>
      </c>
      <c r="Q2923" s="30" t="s">
        <v>2565</v>
      </c>
      <c r="R2923" s="33" t="s">
        <v>3473</v>
      </c>
      <c r="S2923">
        <v>37</v>
      </c>
      <c r="T2923" s="1" t="s">
        <v>13878</v>
      </c>
      <c r="U2923" s="1" t="str">
        <f>HYPERLINK("http://ictvonline.org/taxonomy/p/taxonomy-history?taxnode_id=202100999","ICTVonline=202100999")</f>
        <v>ICTVonline=202100999</v>
      </c>
    </row>
    <row r="2924" spans="1:21" x14ac:dyDescent="0.2">
      <c r="A2924" s="3">
        <v>2923</v>
      </c>
      <c r="B2924" s="1" t="s">
        <v>4875</v>
      </c>
      <c r="D2924" s="1" t="s">
        <v>4876</v>
      </c>
      <c r="F2924" s="1" t="s">
        <v>4880</v>
      </c>
      <c r="H2924" s="1" t="s">
        <v>4881</v>
      </c>
      <c r="N2924" s="1" t="s">
        <v>3208</v>
      </c>
      <c r="P2924" s="1" t="s">
        <v>11649</v>
      </c>
      <c r="Q2924" s="30" t="s">
        <v>2565</v>
      </c>
      <c r="R2924" s="33" t="s">
        <v>3472</v>
      </c>
      <c r="S2924">
        <v>37</v>
      </c>
      <c r="T2924" s="1" t="s">
        <v>13951</v>
      </c>
      <c r="U2924" s="1" t="str">
        <f>HYPERLINK("http://ictvonline.org/taxonomy/p/taxonomy-history?taxnode_id=202112368","ICTVonline=202112368")</f>
        <v>ICTVonline=202112368</v>
      </c>
    </row>
    <row r="2925" spans="1:21" x14ac:dyDescent="0.2">
      <c r="A2925" s="3">
        <v>2924</v>
      </c>
      <c r="B2925" s="1" t="s">
        <v>4875</v>
      </c>
      <c r="D2925" s="1" t="s">
        <v>4876</v>
      </c>
      <c r="F2925" s="1" t="s">
        <v>4880</v>
      </c>
      <c r="H2925" s="1" t="s">
        <v>4881</v>
      </c>
      <c r="N2925" s="1" t="s">
        <v>3208</v>
      </c>
      <c r="P2925" s="1" t="s">
        <v>11650</v>
      </c>
      <c r="Q2925" s="30" t="s">
        <v>2565</v>
      </c>
      <c r="R2925" s="33" t="s">
        <v>3473</v>
      </c>
      <c r="S2925">
        <v>37</v>
      </c>
      <c r="T2925" s="1" t="s">
        <v>13878</v>
      </c>
      <c r="U2925" s="1" t="str">
        <f>HYPERLINK("http://ictvonline.org/taxonomy/p/taxonomy-history?taxnode_id=202101000","ICTVonline=202101000")</f>
        <v>ICTVonline=202101000</v>
      </c>
    </row>
    <row r="2926" spans="1:21" x14ac:dyDescent="0.2">
      <c r="A2926" s="3">
        <v>2925</v>
      </c>
      <c r="B2926" s="1" t="s">
        <v>4875</v>
      </c>
      <c r="D2926" s="1" t="s">
        <v>4876</v>
      </c>
      <c r="F2926" s="1" t="s">
        <v>4880</v>
      </c>
      <c r="H2926" s="1" t="s">
        <v>4881</v>
      </c>
      <c r="N2926" s="1" t="s">
        <v>3208</v>
      </c>
      <c r="P2926" s="1" t="s">
        <v>11651</v>
      </c>
      <c r="Q2926" s="30" t="s">
        <v>2565</v>
      </c>
      <c r="R2926" s="33" t="s">
        <v>3472</v>
      </c>
      <c r="S2926">
        <v>37</v>
      </c>
      <c r="T2926" s="1" t="s">
        <v>13951</v>
      </c>
      <c r="U2926" s="1" t="str">
        <f>HYPERLINK("http://ictvonline.org/taxonomy/p/taxonomy-history?taxnode_id=202112369","ICTVonline=202112369")</f>
        <v>ICTVonline=202112369</v>
      </c>
    </row>
    <row r="2927" spans="1:21" x14ac:dyDescent="0.2">
      <c r="A2927" s="3">
        <v>2926</v>
      </c>
      <c r="B2927" s="1" t="s">
        <v>4875</v>
      </c>
      <c r="D2927" s="1" t="s">
        <v>4876</v>
      </c>
      <c r="F2927" s="1" t="s">
        <v>4880</v>
      </c>
      <c r="H2927" s="1" t="s">
        <v>4881</v>
      </c>
      <c r="N2927" s="1" t="s">
        <v>3208</v>
      </c>
      <c r="P2927" s="1" t="s">
        <v>11652</v>
      </c>
      <c r="Q2927" s="30" t="s">
        <v>2565</v>
      </c>
      <c r="R2927" s="33" t="s">
        <v>3473</v>
      </c>
      <c r="S2927">
        <v>37</v>
      </c>
      <c r="T2927" s="1" t="s">
        <v>13878</v>
      </c>
      <c r="U2927" s="1" t="str">
        <f>HYPERLINK("http://ictvonline.org/taxonomy/p/taxonomy-history?taxnode_id=202101001","ICTVonline=202101001")</f>
        <v>ICTVonline=202101001</v>
      </c>
    </row>
    <row r="2928" spans="1:21" x14ac:dyDescent="0.2">
      <c r="A2928" s="3">
        <v>2927</v>
      </c>
      <c r="B2928" s="1" t="s">
        <v>4875</v>
      </c>
      <c r="D2928" s="1" t="s">
        <v>4876</v>
      </c>
      <c r="F2928" s="1" t="s">
        <v>4880</v>
      </c>
      <c r="H2928" s="1" t="s">
        <v>4881</v>
      </c>
      <c r="N2928" s="1" t="s">
        <v>3208</v>
      </c>
      <c r="P2928" s="1" t="s">
        <v>11653</v>
      </c>
      <c r="Q2928" s="30" t="s">
        <v>2565</v>
      </c>
      <c r="R2928" s="33" t="s">
        <v>3472</v>
      </c>
      <c r="S2928">
        <v>37</v>
      </c>
      <c r="T2928" s="1" t="s">
        <v>13951</v>
      </c>
      <c r="U2928" s="1" t="str">
        <f>HYPERLINK("http://ictvonline.org/taxonomy/p/taxonomy-history?taxnode_id=202112370","ICTVonline=202112370")</f>
        <v>ICTVonline=202112370</v>
      </c>
    </row>
    <row r="2929" spans="1:21" x14ac:dyDescent="0.2">
      <c r="A2929" s="3">
        <v>2928</v>
      </c>
      <c r="B2929" s="1" t="s">
        <v>4875</v>
      </c>
      <c r="D2929" s="1" t="s">
        <v>4876</v>
      </c>
      <c r="F2929" s="1" t="s">
        <v>4880</v>
      </c>
      <c r="H2929" s="1" t="s">
        <v>4881</v>
      </c>
      <c r="N2929" s="1" t="s">
        <v>3208</v>
      </c>
      <c r="P2929" s="1" t="s">
        <v>11654</v>
      </c>
      <c r="Q2929" s="30" t="s">
        <v>2565</v>
      </c>
      <c r="R2929" s="33" t="s">
        <v>3472</v>
      </c>
      <c r="S2929">
        <v>37</v>
      </c>
      <c r="T2929" s="1" t="s">
        <v>13951</v>
      </c>
      <c r="U2929" s="1" t="str">
        <f>HYPERLINK("http://ictvonline.org/taxonomy/p/taxonomy-history?taxnode_id=202112371","ICTVonline=202112371")</f>
        <v>ICTVonline=202112371</v>
      </c>
    </row>
    <row r="2930" spans="1:21" x14ac:dyDescent="0.2">
      <c r="A2930" s="3">
        <v>2929</v>
      </c>
      <c r="B2930" s="1" t="s">
        <v>4875</v>
      </c>
      <c r="D2930" s="1" t="s">
        <v>4876</v>
      </c>
      <c r="F2930" s="1" t="s">
        <v>4880</v>
      </c>
      <c r="H2930" s="1" t="s">
        <v>4881</v>
      </c>
      <c r="N2930" s="1" t="s">
        <v>3208</v>
      </c>
      <c r="P2930" s="1" t="s">
        <v>11655</v>
      </c>
      <c r="Q2930" s="30" t="s">
        <v>2565</v>
      </c>
      <c r="R2930" s="33" t="s">
        <v>3473</v>
      </c>
      <c r="S2930">
        <v>37</v>
      </c>
      <c r="T2930" s="1" t="s">
        <v>13878</v>
      </c>
      <c r="U2930" s="1" t="str">
        <f>HYPERLINK("http://ictvonline.org/taxonomy/p/taxonomy-history?taxnode_id=202101002","ICTVonline=202101002")</f>
        <v>ICTVonline=202101002</v>
      </c>
    </row>
    <row r="2931" spans="1:21" x14ac:dyDescent="0.2">
      <c r="A2931" s="3">
        <v>2930</v>
      </c>
      <c r="B2931" s="1" t="s">
        <v>4875</v>
      </c>
      <c r="D2931" s="1" t="s">
        <v>4876</v>
      </c>
      <c r="F2931" s="1" t="s">
        <v>4880</v>
      </c>
      <c r="H2931" s="1" t="s">
        <v>4881</v>
      </c>
      <c r="N2931" s="1" t="s">
        <v>3208</v>
      </c>
      <c r="P2931" s="1" t="s">
        <v>11656</v>
      </c>
      <c r="Q2931" s="30" t="s">
        <v>2565</v>
      </c>
      <c r="R2931" s="33" t="s">
        <v>3472</v>
      </c>
      <c r="S2931">
        <v>37</v>
      </c>
      <c r="T2931" s="1" t="s">
        <v>13951</v>
      </c>
      <c r="U2931" s="1" t="str">
        <f>HYPERLINK("http://ictvonline.org/taxonomy/p/taxonomy-history?taxnode_id=202112372","ICTVonline=202112372")</f>
        <v>ICTVonline=202112372</v>
      </c>
    </row>
    <row r="2932" spans="1:21" x14ac:dyDescent="0.2">
      <c r="A2932" s="3">
        <v>2931</v>
      </c>
      <c r="B2932" s="1" t="s">
        <v>4875</v>
      </c>
      <c r="D2932" s="1" t="s">
        <v>4876</v>
      </c>
      <c r="F2932" s="1" t="s">
        <v>4880</v>
      </c>
      <c r="H2932" s="1" t="s">
        <v>4881</v>
      </c>
      <c r="N2932" s="1" t="s">
        <v>3208</v>
      </c>
      <c r="P2932" s="1" t="s">
        <v>11657</v>
      </c>
      <c r="Q2932" s="30" t="s">
        <v>2565</v>
      </c>
      <c r="R2932" s="33" t="s">
        <v>3473</v>
      </c>
      <c r="S2932">
        <v>37</v>
      </c>
      <c r="T2932" s="1" t="s">
        <v>13878</v>
      </c>
      <c r="U2932" s="1" t="str">
        <f>HYPERLINK("http://ictvonline.org/taxonomy/p/taxonomy-history?taxnode_id=202101003","ICTVonline=202101003")</f>
        <v>ICTVonline=202101003</v>
      </c>
    </row>
    <row r="2933" spans="1:21" x14ac:dyDescent="0.2">
      <c r="A2933" s="3">
        <v>2932</v>
      </c>
      <c r="B2933" s="1" t="s">
        <v>4875</v>
      </c>
      <c r="D2933" s="1" t="s">
        <v>4876</v>
      </c>
      <c r="F2933" s="1" t="s">
        <v>4880</v>
      </c>
      <c r="H2933" s="1" t="s">
        <v>4881</v>
      </c>
      <c r="N2933" s="1" t="s">
        <v>3208</v>
      </c>
      <c r="P2933" s="1" t="s">
        <v>11658</v>
      </c>
      <c r="Q2933" s="30" t="s">
        <v>2565</v>
      </c>
      <c r="R2933" s="33" t="s">
        <v>3472</v>
      </c>
      <c r="S2933">
        <v>37</v>
      </c>
      <c r="T2933" s="1" t="s">
        <v>13951</v>
      </c>
      <c r="U2933" s="1" t="str">
        <f>HYPERLINK("http://ictvonline.org/taxonomy/p/taxonomy-history?taxnode_id=202112373","ICTVonline=202112373")</f>
        <v>ICTVonline=202112373</v>
      </c>
    </row>
    <row r="2934" spans="1:21" x14ac:dyDescent="0.2">
      <c r="A2934" s="3">
        <v>2933</v>
      </c>
      <c r="B2934" s="1" t="s">
        <v>4875</v>
      </c>
      <c r="D2934" s="1" t="s">
        <v>4876</v>
      </c>
      <c r="F2934" s="1" t="s">
        <v>4880</v>
      </c>
      <c r="H2934" s="1" t="s">
        <v>4881</v>
      </c>
      <c r="N2934" s="1" t="s">
        <v>3208</v>
      </c>
      <c r="P2934" s="1" t="s">
        <v>11659</v>
      </c>
      <c r="Q2934" s="30" t="s">
        <v>2565</v>
      </c>
      <c r="R2934" s="33" t="s">
        <v>3473</v>
      </c>
      <c r="S2934">
        <v>37</v>
      </c>
      <c r="T2934" s="1" t="s">
        <v>13878</v>
      </c>
      <c r="U2934" s="1" t="str">
        <f>HYPERLINK("http://ictvonline.org/taxonomy/p/taxonomy-history?taxnode_id=202101004","ICTVonline=202101004")</f>
        <v>ICTVonline=202101004</v>
      </c>
    </row>
    <row r="2935" spans="1:21" x14ac:dyDescent="0.2">
      <c r="A2935" s="3">
        <v>2934</v>
      </c>
      <c r="B2935" s="1" t="s">
        <v>4875</v>
      </c>
      <c r="D2935" s="1" t="s">
        <v>4876</v>
      </c>
      <c r="F2935" s="1" t="s">
        <v>4880</v>
      </c>
      <c r="H2935" s="1" t="s">
        <v>4881</v>
      </c>
      <c r="N2935" s="1" t="s">
        <v>3208</v>
      </c>
      <c r="P2935" s="1" t="s">
        <v>11660</v>
      </c>
      <c r="Q2935" s="30" t="s">
        <v>2565</v>
      </c>
      <c r="R2935" s="33" t="s">
        <v>3472</v>
      </c>
      <c r="S2935">
        <v>37</v>
      </c>
      <c r="T2935" s="1" t="s">
        <v>13951</v>
      </c>
      <c r="U2935" s="1" t="str">
        <f>HYPERLINK("http://ictvonline.org/taxonomy/p/taxonomy-history?taxnode_id=202112374","ICTVonline=202112374")</f>
        <v>ICTVonline=202112374</v>
      </c>
    </row>
    <row r="2936" spans="1:21" x14ac:dyDescent="0.2">
      <c r="A2936" s="3">
        <v>2935</v>
      </c>
      <c r="B2936" s="1" t="s">
        <v>4875</v>
      </c>
      <c r="D2936" s="1" t="s">
        <v>4876</v>
      </c>
      <c r="F2936" s="1" t="s">
        <v>4880</v>
      </c>
      <c r="H2936" s="1" t="s">
        <v>4881</v>
      </c>
      <c r="N2936" s="1" t="s">
        <v>3208</v>
      </c>
      <c r="P2936" s="1" t="s">
        <v>11661</v>
      </c>
      <c r="Q2936" s="30" t="s">
        <v>2565</v>
      </c>
      <c r="R2936" s="33" t="s">
        <v>3472</v>
      </c>
      <c r="S2936">
        <v>37</v>
      </c>
      <c r="T2936" s="1" t="s">
        <v>13951</v>
      </c>
      <c r="U2936" s="1" t="str">
        <f>HYPERLINK("http://ictvonline.org/taxonomy/p/taxonomy-history?taxnode_id=202112375","ICTVonline=202112375")</f>
        <v>ICTVonline=202112375</v>
      </c>
    </row>
    <row r="2937" spans="1:21" x14ac:dyDescent="0.2">
      <c r="A2937" s="3">
        <v>2936</v>
      </c>
      <c r="B2937" s="1" t="s">
        <v>4875</v>
      </c>
      <c r="D2937" s="1" t="s">
        <v>4876</v>
      </c>
      <c r="F2937" s="1" t="s">
        <v>4880</v>
      </c>
      <c r="H2937" s="1" t="s">
        <v>4881</v>
      </c>
      <c r="N2937" s="1" t="s">
        <v>3208</v>
      </c>
      <c r="P2937" s="1" t="s">
        <v>11662</v>
      </c>
      <c r="Q2937" s="30" t="s">
        <v>2565</v>
      </c>
      <c r="R2937" s="33" t="s">
        <v>3472</v>
      </c>
      <c r="S2937">
        <v>37</v>
      </c>
      <c r="T2937" s="1" t="s">
        <v>13951</v>
      </c>
      <c r="U2937" s="1" t="str">
        <f>HYPERLINK("http://ictvonline.org/taxonomy/p/taxonomy-history?taxnode_id=202112376","ICTVonline=202112376")</f>
        <v>ICTVonline=202112376</v>
      </c>
    </row>
    <row r="2938" spans="1:21" x14ac:dyDescent="0.2">
      <c r="A2938" s="3">
        <v>2937</v>
      </c>
      <c r="B2938" s="1" t="s">
        <v>4875</v>
      </c>
      <c r="D2938" s="1" t="s">
        <v>4876</v>
      </c>
      <c r="F2938" s="1" t="s">
        <v>4880</v>
      </c>
      <c r="H2938" s="1" t="s">
        <v>4881</v>
      </c>
      <c r="N2938" s="1" t="s">
        <v>3208</v>
      </c>
      <c r="P2938" s="1" t="s">
        <v>11663</v>
      </c>
      <c r="Q2938" s="30" t="s">
        <v>2565</v>
      </c>
      <c r="R2938" s="33" t="s">
        <v>3472</v>
      </c>
      <c r="S2938">
        <v>37</v>
      </c>
      <c r="T2938" s="1" t="s">
        <v>13951</v>
      </c>
      <c r="U2938" s="1" t="str">
        <f>HYPERLINK("http://ictvonline.org/taxonomy/p/taxonomy-history?taxnode_id=202112377","ICTVonline=202112377")</f>
        <v>ICTVonline=202112377</v>
      </c>
    </row>
    <row r="2939" spans="1:21" x14ac:dyDescent="0.2">
      <c r="A2939" s="3">
        <v>2938</v>
      </c>
      <c r="B2939" s="1" t="s">
        <v>4875</v>
      </c>
      <c r="D2939" s="1" t="s">
        <v>4876</v>
      </c>
      <c r="F2939" s="1" t="s">
        <v>4880</v>
      </c>
      <c r="H2939" s="1" t="s">
        <v>4881</v>
      </c>
      <c r="N2939" s="1" t="s">
        <v>3208</v>
      </c>
      <c r="P2939" s="1" t="s">
        <v>11664</v>
      </c>
      <c r="Q2939" s="30" t="s">
        <v>2565</v>
      </c>
      <c r="R2939" s="33" t="s">
        <v>3473</v>
      </c>
      <c r="S2939">
        <v>37</v>
      </c>
      <c r="T2939" s="1" t="s">
        <v>13878</v>
      </c>
      <c r="U2939" s="1" t="str">
        <f>HYPERLINK("http://ictvonline.org/taxonomy/p/taxonomy-history?taxnode_id=202101005","ICTVonline=202101005")</f>
        <v>ICTVonline=202101005</v>
      </c>
    </row>
    <row r="2940" spans="1:21" x14ac:dyDescent="0.2">
      <c r="A2940" s="3">
        <v>2939</v>
      </c>
      <c r="B2940" s="1" t="s">
        <v>4875</v>
      </c>
      <c r="D2940" s="1" t="s">
        <v>4876</v>
      </c>
      <c r="F2940" s="1" t="s">
        <v>4880</v>
      </c>
      <c r="H2940" s="1" t="s">
        <v>4881</v>
      </c>
      <c r="N2940" s="1" t="s">
        <v>3208</v>
      </c>
      <c r="P2940" s="1" t="s">
        <v>11665</v>
      </c>
      <c r="Q2940" s="30" t="s">
        <v>2565</v>
      </c>
      <c r="R2940" s="33" t="s">
        <v>3473</v>
      </c>
      <c r="S2940">
        <v>37</v>
      </c>
      <c r="T2940" s="1" t="s">
        <v>13878</v>
      </c>
      <c r="U2940" s="1" t="str">
        <f>HYPERLINK("http://ictvonline.org/taxonomy/p/taxonomy-history?taxnode_id=202101006","ICTVonline=202101006")</f>
        <v>ICTVonline=202101006</v>
      </c>
    </row>
    <row r="2941" spans="1:21" x14ac:dyDescent="0.2">
      <c r="A2941" s="3">
        <v>2940</v>
      </c>
      <c r="B2941" s="1" t="s">
        <v>4875</v>
      </c>
      <c r="D2941" s="1" t="s">
        <v>4876</v>
      </c>
      <c r="F2941" s="1" t="s">
        <v>4880</v>
      </c>
      <c r="H2941" s="1" t="s">
        <v>4881</v>
      </c>
      <c r="N2941" s="1" t="s">
        <v>3208</v>
      </c>
      <c r="P2941" s="1" t="s">
        <v>11666</v>
      </c>
      <c r="Q2941" s="30" t="s">
        <v>2565</v>
      </c>
      <c r="R2941" s="33" t="s">
        <v>3472</v>
      </c>
      <c r="S2941">
        <v>37</v>
      </c>
      <c r="T2941" s="1" t="s">
        <v>13951</v>
      </c>
      <c r="U2941" s="1" t="str">
        <f>HYPERLINK("http://ictvonline.org/taxonomy/p/taxonomy-history?taxnode_id=202112378","ICTVonline=202112378")</f>
        <v>ICTVonline=202112378</v>
      </c>
    </row>
    <row r="2942" spans="1:21" x14ac:dyDescent="0.2">
      <c r="A2942" s="3">
        <v>2941</v>
      </c>
      <c r="B2942" s="1" t="s">
        <v>4875</v>
      </c>
      <c r="D2942" s="1" t="s">
        <v>4876</v>
      </c>
      <c r="F2942" s="1" t="s">
        <v>4880</v>
      </c>
      <c r="H2942" s="1" t="s">
        <v>4881</v>
      </c>
      <c r="N2942" s="1" t="s">
        <v>3208</v>
      </c>
      <c r="P2942" s="1" t="s">
        <v>11667</v>
      </c>
      <c r="Q2942" s="30" t="s">
        <v>2565</v>
      </c>
      <c r="R2942" s="33" t="s">
        <v>3472</v>
      </c>
      <c r="S2942">
        <v>37</v>
      </c>
      <c r="T2942" s="1" t="s">
        <v>13951</v>
      </c>
      <c r="U2942" s="1" t="str">
        <f>HYPERLINK("http://ictvonline.org/taxonomy/p/taxonomy-history?taxnode_id=202112379","ICTVonline=202112379")</f>
        <v>ICTVonline=202112379</v>
      </c>
    </row>
    <row r="2943" spans="1:21" x14ac:dyDescent="0.2">
      <c r="A2943" s="3">
        <v>2942</v>
      </c>
      <c r="B2943" s="1" t="s">
        <v>4875</v>
      </c>
      <c r="D2943" s="1" t="s">
        <v>4876</v>
      </c>
      <c r="F2943" s="1" t="s">
        <v>4880</v>
      </c>
      <c r="H2943" s="1" t="s">
        <v>4881</v>
      </c>
      <c r="N2943" s="1" t="s">
        <v>3208</v>
      </c>
      <c r="P2943" s="1" t="s">
        <v>11668</v>
      </c>
      <c r="Q2943" s="30" t="s">
        <v>2565</v>
      </c>
      <c r="R2943" s="33" t="s">
        <v>3472</v>
      </c>
      <c r="S2943">
        <v>37</v>
      </c>
      <c r="T2943" s="1" t="s">
        <v>13951</v>
      </c>
      <c r="U2943" s="1" t="str">
        <f>HYPERLINK("http://ictvonline.org/taxonomy/p/taxonomy-history?taxnode_id=202112380","ICTVonline=202112380")</f>
        <v>ICTVonline=202112380</v>
      </c>
    </row>
    <row r="2944" spans="1:21" x14ac:dyDescent="0.2">
      <c r="A2944" s="3">
        <v>2943</v>
      </c>
      <c r="B2944" s="1" t="s">
        <v>4875</v>
      </c>
      <c r="D2944" s="1" t="s">
        <v>4876</v>
      </c>
      <c r="F2944" s="1" t="s">
        <v>4880</v>
      </c>
      <c r="H2944" s="1" t="s">
        <v>4881</v>
      </c>
      <c r="N2944" s="1" t="s">
        <v>3208</v>
      </c>
      <c r="P2944" s="1" t="s">
        <v>11669</v>
      </c>
      <c r="Q2944" s="30" t="s">
        <v>2565</v>
      </c>
      <c r="R2944" s="33" t="s">
        <v>3473</v>
      </c>
      <c r="S2944">
        <v>37</v>
      </c>
      <c r="T2944" s="1" t="s">
        <v>13878</v>
      </c>
      <c r="U2944" s="1" t="str">
        <f>HYPERLINK("http://ictvonline.org/taxonomy/p/taxonomy-history?taxnode_id=202101007","ICTVonline=202101007")</f>
        <v>ICTVonline=202101007</v>
      </c>
    </row>
    <row r="2945" spans="1:21" x14ac:dyDescent="0.2">
      <c r="A2945" s="3">
        <v>2944</v>
      </c>
      <c r="B2945" s="1" t="s">
        <v>4875</v>
      </c>
      <c r="D2945" s="1" t="s">
        <v>4876</v>
      </c>
      <c r="F2945" s="1" t="s">
        <v>4880</v>
      </c>
      <c r="H2945" s="1" t="s">
        <v>4881</v>
      </c>
      <c r="N2945" s="1" t="s">
        <v>4696</v>
      </c>
      <c r="P2945" s="1" t="s">
        <v>11670</v>
      </c>
      <c r="Q2945" s="30" t="s">
        <v>2565</v>
      </c>
      <c r="R2945" s="33" t="s">
        <v>3473</v>
      </c>
      <c r="S2945">
        <v>37</v>
      </c>
      <c r="T2945" s="1" t="s">
        <v>13878</v>
      </c>
      <c r="U2945" s="1" t="str">
        <f>HYPERLINK("http://ictvonline.org/taxonomy/p/taxonomy-history?taxnode_id=202100931","ICTVonline=202100931")</f>
        <v>ICTVonline=202100931</v>
      </c>
    </row>
    <row r="2946" spans="1:21" x14ac:dyDescent="0.2">
      <c r="A2946" s="3">
        <v>2945</v>
      </c>
      <c r="B2946" s="1" t="s">
        <v>4875</v>
      </c>
      <c r="D2946" s="1" t="s">
        <v>4876</v>
      </c>
      <c r="F2946" s="1" t="s">
        <v>4880</v>
      </c>
      <c r="H2946" s="1" t="s">
        <v>4881</v>
      </c>
      <c r="N2946" s="1" t="s">
        <v>4696</v>
      </c>
      <c r="P2946" s="1" t="s">
        <v>11671</v>
      </c>
      <c r="Q2946" s="30" t="s">
        <v>2565</v>
      </c>
      <c r="R2946" s="33" t="s">
        <v>3473</v>
      </c>
      <c r="S2946">
        <v>37</v>
      </c>
      <c r="T2946" s="1" t="s">
        <v>13878</v>
      </c>
      <c r="U2946" s="1" t="str">
        <f>HYPERLINK("http://ictvonline.org/taxonomy/p/taxonomy-history?taxnode_id=202100932","ICTVonline=202100932")</f>
        <v>ICTVonline=202100932</v>
      </c>
    </row>
    <row r="2947" spans="1:21" x14ac:dyDescent="0.2">
      <c r="A2947" s="3">
        <v>2946</v>
      </c>
      <c r="B2947" s="1" t="s">
        <v>4875</v>
      </c>
      <c r="D2947" s="1" t="s">
        <v>4876</v>
      </c>
      <c r="F2947" s="1" t="s">
        <v>4880</v>
      </c>
      <c r="H2947" s="1" t="s">
        <v>4881</v>
      </c>
      <c r="N2947" s="1" t="s">
        <v>4696</v>
      </c>
      <c r="P2947" s="1" t="s">
        <v>11672</v>
      </c>
      <c r="Q2947" s="30" t="s">
        <v>2565</v>
      </c>
      <c r="R2947" s="33" t="s">
        <v>3473</v>
      </c>
      <c r="S2947">
        <v>37</v>
      </c>
      <c r="T2947" s="1" t="s">
        <v>13878</v>
      </c>
      <c r="U2947" s="1" t="str">
        <f>HYPERLINK("http://ictvonline.org/taxonomy/p/taxonomy-history?taxnode_id=202100933","ICTVonline=202100933")</f>
        <v>ICTVonline=202100933</v>
      </c>
    </row>
    <row r="2948" spans="1:21" x14ac:dyDescent="0.2">
      <c r="A2948" s="3">
        <v>2947</v>
      </c>
      <c r="B2948" s="1" t="s">
        <v>4875</v>
      </c>
      <c r="D2948" s="1" t="s">
        <v>4876</v>
      </c>
      <c r="F2948" s="1" t="s">
        <v>4880</v>
      </c>
      <c r="H2948" s="1" t="s">
        <v>4881</v>
      </c>
      <c r="N2948" s="1" t="s">
        <v>4696</v>
      </c>
      <c r="P2948" s="1" t="s">
        <v>11673</v>
      </c>
      <c r="Q2948" s="30" t="s">
        <v>2565</v>
      </c>
      <c r="R2948" s="33" t="s">
        <v>3473</v>
      </c>
      <c r="S2948">
        <v>37</v>
      </c>
      <c r="T2948" s="1" t="s">
        <v>13878</v>
      </c>
      <c r="U2948" s="1" t="str">
        <f>HYPERLINK("http://ictvonline.org/taxonomy/p/taxonomy-history?taxnode_id=202100934","ICTVonline=202100934")</f>
        <v>ICTVonline=202100934</v>
      </c>
    </row>
    <row r="2949" spans="1:21" x14ac:dyDescent="0.2">
      <c r="A2949" s="3">
        <v>2948</v>
      </c>
      <c r="B2949" s="1" t="s">
        <v>4875</v>
      </c>
      <c r="D2949" s="1" t="s">
        <v>4876</v>
      </c>
      <c r="F2949" s="1" t="s">
        <v>4880</v>
      </c>
      <c r="H2949" s="1" t="s">
        <v>4881</v>
      </c>
      <c r="N2949" s="1" t="s">
        <v>4696</v>
      </c>
      <c r="P2949" s="1" t="s">
        <v>11674</v>
      </c>
      <c r="Q2949" s="30" t="s">
        <v>2565</v>
      </c>
      <c r="R2949" s="33" t="s">
        <v>3473</v>
      </c>
      <c r="S2949">
        <v>37</v>
      </c>
      <c r="T2949" s="1" t="s">
        <v>13878</v>
      </c>
      <c r="U2949" s="1" t="str">
        <f>HYPERLINK("http://ictvonline.org/taxonomy/p/taxonomy-history?taxnode_id=202100930","ICTVonline=202100930")</f>
        <v>ICTVonline=202100930</v>
      </c>
    </row>
    <row r="2950" spans="1:21" x14ac:dyDescent="0.2">
      <c r="A2950" s="3">
        <v>2949</v>
      </c>
      <c r="B2950" s="1" t="s">
        <v>4875</v>
      </c>
      <c r="D2950" s="1" t="s">
        <v>4876</v>
      </c>
      <c r="F2950" s="1" t="s">
        <v>4880</v>
      </c>
      <c r="H2950" s="1" t="s">
        <v>4881</v>
      </c>
      <c r="N2950" s="1" t="s">
        <v>4696</v>
      </c>
      <c r="P2950" s="1" t="s">
        <v>11675</v>
      </c>
      <c r="Q2950" s="30" t="s">
        <v>2565</v>
      </c>
      <c r="R2950" s="33" t="s">
        <v>3473</v>
      </c>
      <c r="S2950">
        <v>37</v>
      </c>
      <c r="T2950" s="1" t="s">
        <v>13878</v>
      </c>
      <c r="U2950" s="1" t="str">
        <f>HYPERLINK("http://ictvonline.org/taxonomy/p/taxonomy-history?taxnode_id=202100935","ICTVonline=202100935")</f>
        <v>ICTVonline=202100935</v>
      </c>
    </row>
    <row r="2951" spans="1:21" x14ac:dyDescent="0.2">
      <c r="A2951" s="3">
        <v>2950</v>
      </c>
      <c r="B2951" s="1" t="s">
        <v>4875</v>
      </c>
      <c r="D2951" s="1" t="s">
        <v>4876</v>
      </c>
      <c r="F2951" s="1" t="s">
        <v>4880</v>
      </c>
      <c r="H2951" s="1" t="s">
        <v>4881</v>
      </c>
      <c r="N2951" s="1" t="s">
        <v>4696</v>
      </c>
      <c r="P2951" s="1" t="s">
        <v>11676</v>
      </c>
      <c r="Q2951" s="30" t="s">
        <v>2565</v>
      </c>
      <c r="R2951" s="33" t="s">
        <v>3473</v>
      </c>
      <c r="S2951">
        <v>37</v>
      </c>
      <c r="T2951" s="1" t="s">
        <v>13878</v>
      </c>
      <c r="U2951" s="1" t="str">
        <f>HYPERLINK("http://ictvonline.org/taxonomy/p/taxonomy-history?taxnode_id=202100936","ICTVonline=202100936")</f>
        <v>ICTVonline=202100936</v>
      </c>
    </row>
    <row r="2952" spans="1:21" x14ac:dyDescent="0.2">
      <c r="A2952" s="3">
        <v>2951</v>
      </c>
      <c r="B2952" s="1" t="s">
        <v>4875</v>
      </c>
      <c r="D2952" s="1" t="s">
        <v>4876</v>
      </c>
      <c r="F2952" s="1" t="s">
        <v>4880</v>
      </c>
      <c r="H2952" s="1" t="s">
        <v>4881</v>
      </c>
      <c r="N2952" s="1" t="s">
        <v>4696</v>
      </c>
      <c r="P2952" s="1" t="s">
        <v>11677</v>
      </c>
      <c r="Q2952" s="30" t="s">
        <v>2565</v>
      </c>
      <c r="R2952" s="33" t="s">
        <v>3473</v>
      </c>
      <c r="S2952">
        <v>37</v>
      </c>
      <c r="T2952" s="1" t="s">
        <v>13878</v>
      </c>
      <c r="U2952" s="1" t="str">
        <f>HYPERLINK("http://ictvonline.org/taxonomy/p/taxonomy-history?taxnode_id=202100937","ICTVonline=202100937")</f>
        <v>ICTVonline=202100937</v>
      </c>
    </row>
    <row r="2953" spans="1:21" x14ac:dyDescent="0.2">
      <c r="A2953" s="3">
        <v>2952</v>
      </c>
      <c r="B2953" s="1" t="s">
        <v>4875</v>
      </c>
      <c r="D2953" s="1" t="s">
        <v>4876</v>
      </c>
      <c r="F2953" s="1" t="s">
        <v>4880</v>
      </c>
      <c r="H2953" s="1" t="s">
        <v>4881</v>
      </c>
      <c r="N2953" s="1" t="s">
        <v>4696</v>
      </c>
      <c r="P2953" s="1" t="s">
        <v>11678</v>
      </c>
      <c r="Q2953" s="30" t="s">
        <v>2565</v>
      </c>
      <c r="R2953" s="33" t="s">
        <v>3473</v>
      </c>
      <c r="S2953">
        <v>37</v>
      </c>
      <c r="T2953" s="1" t="s">
        <v>13878</v>
      </c>
      <c r="U2953" s="1" t="str">
        <f>HYPERLINK("http://ictvonline.org/taxonomy/p/taxonomy-history?taxnode_id=202100938","ICTVonline=202100938")</f>
        <v>ICTVonline=202100938</v>
      </c>
    </row>
    <row r="2954" spans="1:21" x14ac:dyDescent="0.2">
      <c r="A2954" s="3">
        <v>2953</v>
      </c>
      <c r="B2954" s="1" t="s">
        <v>4875</v>
      </c>
      <c r="D2954" s="1" t="s">
        <v>4876</v>
      </c>
      <c r="F2954" s="1" t="s">
        <v>4880</v>
      </c>
      <c r="H2954" s="1" t="s">
        <v>4881</v>
      </c>
      <c r="N2954" s="1" t="s">
        <v>6064</v>
      </c>
      <c r="P2954" s="1" t="s">
        <v>11679</v>
      </c>
      <c r="Q2954" s="30" t="s">
        <v>2565</v>
      </c>
      <c r="R2954" s="33" t="s">
        <v>3473</v>
      </c>
      <c r="S2954">
        <v>37</v>
      </c>
      <c r="T2954" s="1" t="s">
        <v>13878</v>
      </c>
      <c r="U2954" s="1" t="str">
        <f>HYPERLINK("http://ictvonline.org/taxonomy/p/taxonomy-history?taxnode_id=202110153","ICTVonline=202110153")</f>
        <v>ICTVonline=202110153</v>
      </c>
    </row>
    <row r="2955" spans="1:21" x14ac:dyDescent="0.2">
      <c r="A2955" s="3">
        <v>2954</v>
      </c>
      <c r="B2955" s="1" t="s">
        <v>4875</v>
      </c>
      <c r="D2955" s="1" t="s">
        <v>4876</v>
      </c>
      <c r="F2955" s="1" t="s">
        <v>4880</v>
      </c>
      <c r="H2955" s="1" t="s">
        <v>4881</v>
      </c>
      <c r="N2955" s="1" t="s">
        <v>5205</v>
      </c>
      <c r="P2955" s="1" t="s">
        <v>11680</v>
      </c>
      <c r="Q2955" s="30" t="s">
        <v>2565</v>
      </c>
      <c r="R2955" s="33" t="s">
        <v>3473</v>
      </c>
      <c r="S2955">
        <v>37</v>
      </c>
      <c r="T2955" s="1" t="s">
        <v>13878</v>
      </c>
      <c r="U2955" s="1" t="str">
        <f>HYPERLINK("http://ictvonline.org/taxonomy/p/taxonomy-history?taxnode_id=202107430","ICTVonline=202107430")</f>
        <v>ICTVonline=202107430</v>
      </c>
    </row>
    <row r="2956" spans="1:21" x14ac:dyDescent="0.2">
      <c r="A2956" s="3">
        <v>2955</v>
      </c>
      <c r="B2956" s="1" t="s">
        <v>4875</v>
      </c>
      <c r="D2956" s="1" t="s">
        <v>4876</v>
      </c>
      <c r="F2956" s="1" t="s">
        <v>4880</v>
      </c>
      <c r="H2956" s="1" t="s">
        <v>4881</v>
      </c>
      <c r="N2956" s="1" t="s">
        <v>11681</v>
      </c>
      <c r="P2956" s="1" t="s">
        <v>11682</v>
      </c>
      <c r="Q2956" s="30" t="s">
        <v>2565</v>
      </c>
      <c r="R2956" s="33" t="s">
        <v>3472</v>
      </c>
      <c r="S2956">
        <v>37</v>
      </c>
      <c r="T2956" s="1" t="s">
        <v>13952</v>
      </c>
      <c r="U2956" s="1" t="str">
        <f>HYPERLINK("http://ictvonline.org/taxonomy/p/taxonomy-history?taxnode_id=202112385","ICTVonline=202112385")</f>
        <v>ICTVonline=202112385</v>
      </c>
    </row>
    <row r="2957" spans="1:21" x14ac:dyDescent="0.2">
      <c r="A2957" s="3">
        <v>2956</v>
      </c>
      <c r="B2957" s="1" t="s">
        <v>4875</v>
      </c>
      <c r="D2957" s="1" t="s">
        <v>4876</v>
      </c>
      <c r="F2957" s="1" t="s">
        <v>4880</v>
      </c>
      <c r="H2957" s="1" t="s">
        <v>4881</v>
      </c>
      <c r="N2957" s="1" t="s">
        <v>11681</v>
      </c>
      <c r="P2957" s="1" t="s">
        <v>11683</v>
      </c>
      <c r="Q2957" s="30" t="s">
        <v>2565</v>
      </c>
      <c r="R2957" s="33" t="s">
        <v>3472</v>
      </c>
      <c r="S2957">
        <v>37</v>
      </c>
      <c r="T2957" s="1" t="s">
        <v>13952</v>
      </c>
      <c r="U2957" s="1" t="str">
        <f>HYPERLINK("http://ictvonline.org/taxonomy/p/taxonomy-history?taxnode_id=202112387","ICTVonline=202112387")</f>
        <v>ICTVonline=202112387</v>
      </c>
    </row>
    <row r="2958" spans="1:21" x14ac:dyDescent="0.2">
      <c r="A2958" s="3">
        <v>2957</v>
      </c>
      <c r="B2958" s="1" t="s">
        <v>4875</v>
      </c>
      <c r="D2958" s="1" t="s">
        <v>4876</v>
      </c>
      <c r="F2958" s="1" t="s">
        <v>4880</v>
      </c>
      <c r="H2958" s="1" t="s">
        <v>4881</v>
      </c>
      <c r="N2958" s="1" t="s">
        <v>11681</v>
      </c>
      <c r="P2958" s="1" t="s">
        <v>11684</v>
      </c>
      <c r="Q2958" s="30" t="s">
        <v>2565</v>
      </c>
      <c r="R2958" s="33" t="s">
        <v>3472</v>
      </c>
      <c r="S2958">
        <v>37</v>
      </c>
      <c r="T2958" s="1" t="s">
        <v>13952</v>
      </c>
      <c r="U2958" s="1" t="str">
        <f>HYPERLINK("http://ictvonline.org/taxonomy/p/taxonomy-history?taxnode_id=202112386","ICTVonline=202112386")</f>
        <v>ICTVonline=202112386</v>
      </c>
    </row>
    <row r="2959" spans="1:21" x14ac:dyDescent="0.2">
      <c r="A2959" s="3">
        <v>2958</v>
      </c>
      <c r="B2959" s="1" t="s">
        <v>4875</v>
      </c>
      <c r="D2959" s="1" t="s">
        <v>4876</v>
      </c>
      <c r="F2959" s="1" t="s">
        <v>4880</v>
      </c>
      <c r="H2959" s="1" t="s">
        <v>4881</v>
      </c>
      <c r="N2959" s="1" t="s">
        <v>11681</v>
      </c>
      <c r="P2959" s="1" t="s">
        <v>11685</v>
      </c>
      <c r="Q2959" s="30" t="s">
        <v>2565</v>
      </c>
      <c r="R2959" s="33" t="s">
        <v>3472</v>
      </c>
      <c r="S2959">
        <v>37</v>
      </c>
      <c r="T2959" s="1" t="s">
        <v>13952</v>
      </c>
      <c r="U2959" s="1" t="str">
        <f>HYPERLINK("http://ictvonline.org/taxonomy/p/taxonomy-history?taxnode_id=202112383","ICTVonline=202112383")</f>
        <v>ICTVonline=202112383</v>
      </c>
    </row>
    <row r="2960" spans="1:21" x14ac:dyDescent="0.2">
      <c r="A2960" s="3">
        <v>2959</v>
      </c>
      <c r="B2960" s="1" t="s">
        <v>4875</v>
      </c>
      <c r="D2960" s="1" t="s">
        <v>4876</v>
      </c>
      <c r="F2960" s="1" t="s">
        <v>4880</v>
      </c>
      <c r="H2960" s="1" t="s">
        <v>4881</v>
      </c>
      <c r="N2960" s="1" t="s">
        <v>11681</v>
      </c>
      <c r="P2960" s="1" t="s">
        <v>11686</v>
      </c>
      <c r="Q2960" s="30" t="s">
        <v>2565</v>
      </c>
      <c r="R2960" s="33" t="s">
        <v>3472</v>
      </c>
      <c r="S2960">
        <v>37</v>
      </c>
      <c r="T2960" s="1" t="s">
        <v>13952</v>
      </c>
      <c r="U2960" s="1" t="str">
        <f>HYPERLINK("http://ictvonline.org/taxonomy/p/taxonomy-history?taxnode_id=202112382","ICTVonline=202112382")</f>
        <v>ICTVonline=202112382</v>
      </c>
    </row>
    <row r="2961" spans="1:21" x14ac:dyDescent="0.2">
      <c r="A2961" s="3">
        <v>2960</v>
      </c>
      <c r="B2961" s="1" t="s">
        <v>4875</v>
      </c>
      <c r="D2961" s="1" t="s">
        <v>4876</v>
      </c>
      <c r="F2961" s="1" t="s">
        <v>4880</v>
      </c>
      <c r="H2961" s="1" t="s">
        <v>4881</v>
      </c>
      <c r="N2961" s="1" t="s">
        <v>11681</v>
      </c>
      <c r="P2961" s="1" t="s">
        <v>11687</v>
      </c>
      <c r="Q2961" s="30" t="s">
        <v>2565</v>
      </c>
      <c r="R2961" s="33" t="s">
        <v>3472</v>
      </c>
      <c r="S2961">
        <v>37</v>
      </c>
      <c r="T2961" s="1" t="s">
        <v>13952</v>
      </c>
      <c r="U2961" s="1" t="str">
        <f>HYPERLINK("http://ictvonline.org/taxonomy/p/taxonomy-history?taxnode_id=202112389","ICTVonline=202112389")</f>
        <v>ICTVonline=202112389</v>
      </c>
    </row>
    <row r="2962" spans="1:21" x14ac:dyDescent="0.2">
      <c r="A2962" s="3">
        <v>2961</v>
      </c>
      <c r="B2962" s="1" t="s">
        <v>4875</v>
      </c>
      <c r="D2962" s="1" t="s">
        <v>4876</v>
      </c>
      <c r="F2962" s="1" t="s">
        <v>4880</v>
      </c>
      <c r="H2962" s="1" t="s">
        <v>4881</v>
      </c>
      <c r="N2962" s="1" t="s">
        <v>11681</v>
      </c>
      <c r="P2962" s="1" t="s">
        <v>11688</v>
      </c>
      <c r="Q2962" s="30" t="s">
        <v>2565</v>
      </c>
      <c r="R2962" s="33" t="s">
        <v>3472</v>
      </c>
      <c r="S2962">
        <v>37</v>
      </c>
      <c r="T2962" s="1" t="s">
        <v>13952</v>
      </c>
      <c r="U2962" s="1" t="str">
        <f>HYPERLINK("http://ictvonline.org/taxonomy/p/taxonomy-history?taxnode_id=202112388","ICTVonline=202112388")</f>
        <v>ICTVonline=202112388</v>
      </c>
    </row>
    <row r="2963" spans="1:21" x14ac:dyDescent="0.2">
      <c r="A2963" s="3">
        <v>2962</v>
      </c>
      <c r="B2963" s="1" t="s">
        <v>4875</v>
      </c>
      <c r="D2963" s="1" t="s">
        <v>4876</v>
      </c>
      <c r="F2963" s="1" t="s">
        <v>4880</v>
      </c>
      <c r="H2963" s="1" t="s">
        <v>4881</v>
      </c>
      <c r="N2963" s="1" t="s">
        <v>11681</v>
      </c>
      <c r="P2963" s="1" t="s">
        <v>11689</v>
      </c>
      <c r="Q2963" s="30" t="s">
        <v>2565</v>
      </c>
      <c r="R2963" s="33" t="s">
        <v>3472</v>
      </c>
      <c r="S2963">
        <v>37</v>
      </c>
      <c r="T2963" s="1" t="s">
        <v>13952</v>
      </c>
      <c r="U2963" s="1" t="str">
        <f>HYPERLINK("http://ictvonline.org/taxonomy/p/taxonomy-history?taxnode_id=202112384","ICTVonline=202112384")</f>
        <v>ICTVonline=202112384</v>
      </c>
    </row>
    <row r="2964" spans="1:21" x14ac:dyDescent="0.2">
      <c r="A2964" s="3">
        <v>2963</v>
      </c>
      <c r="B2964" s="1" t="s">
        <v>4875</v>
      </c>
      <c r="D2964" s="1" t="s">
        <v>4876</v>
      </c>
      <c r="F2964" s="1" t="s">
        <v>4880</v>
      </c>
      <c r="H2964" s="1" t="s">
        <v>4881</v>
      </c>
      <c r="N2964" s="1" t="s">
        <v>4611</v>
      </c>
      <c r="P2964" s="1" t="s">
        <v>11690</v>
      </c>
      <c r="Q2964" s="30" t="s">
        <v>2565</v>
      </c>
      <c r="R2964" s="33" t="s">
        <v>3473</v>
      </c>
      <c r="S2964">
        <v>37</v>
      </c>
      <c r="T2964" s="1" t="s">
        <v>13878</v>
      </c>
      <c r="U2964" s="1" t="str">
        <f>HYPERLINK("http://ictvonline.org/taxonomy/p/taxonomy-history?taxnode_id=202106843","ICTVonline=202106843")</f>
        <v>ICTVonline=202106843</v>
      </c>
    </row>
    <row r="2965" spans="1:21" x14ac:dyDescent="0.2">
      <c r="A2965" s="3">
        <v>2964</v>
      </c>
      <c r="B2965" s="1" t="s">
        <v>4875</v>
      </c>
      <c r="D2965" s="1" t="s">
        <v>4876</v>
      </c>
      <c r="F2965" s="1" t="s">
        <v>4880</v>
      </c>
      <c r="H2965" s="1" t="s">
        <v>4881</v>
      </c>
      <c r="N2965" s="1" t="s">
        <v>4697</v>
      </c>
      <c r="P2965" s="1" t="s">
        <v>11691</v>
      </c>
      <c r="Q2965" s="30" t="s">
        <v>2565</v>
      </c>
      <c r="R2965" s="33" t="s">
        <v>3473</v>
      </c>
      <c r="S2965">
        <v>37</v>
      </c>
      <c r="T2965" s="1" t="s">
        <v>13878</v>
      </c>
      <c r="U2965" s="1" t="str">
        <f>HYPERLINK("http://ictvonline.org/taxonomy/p/taxonomy-history?taxnode_id=202106845","ICTVonline=202106845")</f>
        <v>ICTVonline=202106845</v>
      </c>
    </row>
    <row r="2966" spans="1:21" x14ac:dyDescent="0.2">
      <c r="A2966" s="3">
        <v>2965</v>
      </c>
      <c r="B2966" s="1" t="s">
        <v>4875</v>
      </c>
      <c r="D2966" s="1" t="s">
        <v>4876</v>
      </c>
      <c r="F2966" s="1" t="s">
        <v>4880</v>
      </c>
      <c r="H2966" s="1" t="s">
        <v>4881</v>
      </c>
      <c r="N2966" s="1" t="s">
        <v>4697</v>
      </c>
      <c r="P2966" s="1" t="s">
        <v>11692</v>
      </c>
      <c r="Q2966" s="30" t="s">
        <v>2565</v>
      </c>
      <c r="R2966" s="33" t="s">
        <v>3473</v>
      </c>
      <c r="S2966">
        <v>37</v>
      </c>
      <c r="T2966" s="1" t="s">
        <v>13878</v>
      </c>
      <c r="U2966" s="1" t="str">
        <f>HYPERLINK("http://ictvonline.org/taxonomy/p/taxonomy-history?taxnode_id=202106846","ICTVonline=202106846")</f>
        <v>ICTVonline=202106846</v>
      </c>
    </row>
    <row r="2967" spans="1:21" x14ac:dyDescent="0.2">
      <c r="A2967" s="3">
        <v>2966</v>
      </c>
      <c r="B2967" s="1" t="s">
        <v>4875</v>
      </c>
      <c r="D2967" s="1" t="s">
        <v>4876</v>
      </c>
      <c r="F2967" s="1" t="s">
        <v>4880</v>
      </c>
      <c r="H2967" s="1" t="s">
        <v>4881</v>
      </c>
      <c r="N2967" s="1" t="s">
        <v>6205</v>
      </c>
      <c r="P2967" s="1" t="s">
        <v>11693</v>
      </c>
      <c r="Q2967" s="30" t="s">
        <v>2565</v>
      </c>
      <c r="R2967" s="33" t="s">
        <v>3473</v>
      </c>
      <c r="S2967">
        <v>37</v>
      </c>
      <c r="T2967" s="1" t="s">
        <v>13878</v>
      </c>
      <c r="U2967" s="1" t="str">
        <f>HYPERLINK("http://ictvonline.org/taxonomy/p/taxonomy-history?taxnode_id=202110155","ICTVonline=202110155")</f>
        <v>ICTVonline=202110155</v>
      </c>
    </row>
    <row r="2968" spans="1:21" x14ac:dyDescent="0.2">
      <c r="A2968" s="3">
        <v>2967</v>
      </c>
      <c r="B2968" s="1" t="s">
        <v>4875</v>
      </c>
      <c r="D2968" s="1" t="s">
        <v>4876</v>
      </c>
      <c r="F2968" s="1" t="s">
        <v>4880</v>
      </c>
      <c r="H2968" s="1" t="s">
        <v>4881</v>
      </c>
      <c r="N2968" s="1" t="s">
        <v>6022</v>
      </c>
      <c r="P2968" s="1" t="s">
        <v>11694</v>
      </c>
      <c r="Q2968" s="30" t="s">
        <v>2565</v>
      </c>
      <c r="R2968" s="33" t="s">
        <v>3473</v>
      </c>
      <c r="S2968">
        <v>37</v>
      </c>
      <c r="T2968" s="1" t="s">
        <v>13878</v>
      </c>
      <c r="U2968" s="1" t="str">
        <f>HYPERLINK("http://ictvonline.org/taxonomy/p/taxonomy-history?taxnode_id=202110157","ICTVonline=202110157")</f>
        <v>ICTVonline=202110157</v>
      </c>
    </row>
    <row r="2969" spans="1:21" x14ac:dyDescent="0.2">
      <c r="A2969" s="3">
        <v>2968</v>
      </c>
      <c r="B2969" s="1" t="s">
        <v>4875</v>
      </c>
      <c r="D2969" s="1" t="s">
        <v>4876</v>
      </c>
      <c r="F2969" s="1" t="s">
        <v>4880</v>
      </c>
      <c r="H2969" s="1" t="s">
        <v>4881</v>
      </c>
      <c r="N2969" s="1" t="s">
        <v>11695</v>
      </c>
      <c r="P2969" s="1" t="s">
        <v>11696</v>
      </c>
      <c r="Q2969" s="30" t="s">
        <v>2565</v>
      </c>
      <c r="R2969" s="33" t="s">
        <v>3472</v>
      </c>
      <c r="S2969">
        <v>37</v>
      </c>
      <c r="T2969" s="1" t="s">
        <v>13953</v>
      </c>
      <c r="U2969" s="1" t="str">
        <f>HYPERLINK("http://ictvonline.org/taxonomy/p/taxonomy-history?taxnode_id=202112392","ICTVonline=202112392")</f>
        <v>ICTVonline=202112392</v>
      </c>
    </row>
    <row r="2970" spans="1:21" x14ac:dyDescent="0.2">
      <c r="A2970" s="3">
        <v>2969</v>
      </c>
      <c r="B2970" s="1" t="s">
        <v>4875</v>
      </c>
      <c r="D2970" s="1" t="s">
        <v>4876</v>
      </c>
      <c r="F2970" s="1" t="s">
        <v>4880</v>
      </c>
      <c r="H2970" s="1" t="s">
        <v>4881</v>
      </c>
      <c r="N2970" s="1" t="s">
        <v>11695</v>
      </c>
      <c r="P2970" s="1" t="s">
        <v>11697</v>
      </c>
      <c r="Q2970" s="30" t="s">
        <v>2565</v>
      </c>
      <c r="R2970" s="33" t="s">
        <v>3472</v>
      </c>
      <c r="S2970">
        <v>37</v>
      </c>
      <c r="T2970" s="1" t="s">
        <v>13953</v>
      </c>
      <c r="U2970" s="1" t="str">
        <f>HYPERLINK("http://ictvonline.org/taxonomy/p/taxonomy-history?taxnode_id=202112393","ICTVonline=202112393")</f>
        <v>ICTVonline=202112393</v>
      </c>
    </row>
    <row r="2971" spans="1:21" x14ac:dyDescent="0.2">
      <c r="A2971" s="3">
        <v>2970</v>
      </c>
      <c r="B2971" s="1" t="s">
        <v>4875</v>
      </c>
      <c r="D2971" s="1" t="s">
        <v>4876</v>
      </c>
      <c r="F2971" s="1" t="s">
        <v>4880</v>
      </c>
      <c r="H2971" s="1" t="s">
        <v>4881</v>
      </c>
      <c r="N2971" s="1" t="s">
        <v>4612</v>
      </c>
      <c r="P2971" s="1" t="s">
        <v>11698</v>
      </c>
      <c r="Q2971" s="30" t="s">
        <v>2565</v>
      </c>
      <c r="R2971" s="33" t="s">
        <v>3473</v>
      </c>
      <c r="S2971">
        <v>37</v>
      </c>
      <c r="T2971" s="1" t="s">
        <v>13878</v>
      </c>
      <c r="U2971" s="1" t="str">
        <f>HYPERLINK("http://ictvonline.org/taxonomy/p/taxonomy-history?taxnode_id=202100689","ICTVonline=202100689")</f>
        <v>ICTVonline=202100689</v>
      </c>
    </row>
    <row r="2972" spans="1:21" x14ac:dyDescent="0.2">
      <c r="A2972" s="3">
        <v>2971</v>
      </c>
      <c r="B2972" s="1" t="s">
        <v>4875</v>
      </c>
      <c r="D2972" s="1" t="s">
        <v>4876</v>
      </c>
      <c r="F2972" s="1" t="s">
        <v>4880</v>
      </c>
      <c r="H2972" s="1" t="s">
        <v>4881</v>
      </c>
      <c r="N2972" s="1" t="s">
        <v>4612</v>
      </c>
      <c r="P2972" s="1" t="s">
        <v>11699</v>
      </c>
      <c r="Q2972" s="30" t="s">
        <v>2565</v>
      </c>
      <c r="R2972" s="33" t="s">
        <v>3473</v>
      </c>
      <c r="S2972">
        <v>37</v>
      </c>
      <c r="T2972" s="1" t="s">
        <v>13878</v>
      </c>
      <c r="U2972" s="1" t="str">
        <f>HYPERLINK("http://ictvonline.org/taxonomy/p/taxonomy-history?taxnode_id=202100688","ICTVonline=202100688")</f>
        <v>ICTVonline=202100688</v>
      </c>
    </row>
    <row r="2973" spans="1:21" x14ac:dyDescent="0.2">
      <c r="A2973" s="3">
        <v>2972</v>
      </c>
      <c r="B2973" s="1" t="s">
        <v>4875</v>
      </c>
      <c r="D2973" s="1" t="s">
        <v>4876</v>
      </c>
      <c r="F2973" s="1" t="s">
        <v>4880</v>
      </c>
      <c r="H2973" s="1" t="s">
        <v>4881</v>
      </c>
      <c r="N2973" s="1" t="s">
        <v>4612</v>
      </c>
      <c r="P2973" s="1" t="s">
        <v>11700</v>
      </c>
      <c r="Q2973" s="30" t="s">
        <v>2565</v>
      </c>
      <c r="R2973" s="33" t="s">
        <v>3473</v>
      </c>
      <c r="S2973">
        <v>37</v>
      </c>
      <c r="T2973" s="1" t="s">
        <v>13878</v>
      </c>
      <c r="U2973" s="1" t="str">
        <f>HYPERLINK("http://ictvonline.org/taxonomy/p/taxonomy-history?taxnode_id=202100690","ICTVonline=202100690")</f>
        <v>ICTVonline=202100690</v>
      </c>
    </row>
    <row r="2974" spans="1:21" x14ac:dyDescent="0.2">
      <c r="A2974" s="3">
        <v>2973</v>
      </c>
      <c r="B2974" s="1" t="s">
        <v>4875</v>
      </c>
      <c r="D2974" s="1" t="s">
        <v>4876</v>
      </c>
      <c r="F2974" s="1" t="s">
        <v>4880</v>
      </c>
      <c r="H2974" s="1" t="s">
        <v>4881</v>
      </c>
      <c r="N2974" s="1" t="s">
        <v>4612</v>
      </c>
      <c r="P2974" s="1" t="s">
        <v>11701</v>
      </c>
      <c r="Q2974" s="30" t="s">
        <v>2565</v>
      </c>
      <c r="R2974" s="33" t="s">
        <v>3473</v>
      </c>
      <c r="S2974">
        <v>37</v>
      </c>
      <c r="T2974" s="1" t="s">
        <v>13878</v>
      </c>
      <c r="U2974" s="1" t="str">
        <f>HYPERLINK("http://ictvonline.org/taxonomy/p/taxonomy-history?taxnode_id=202100691","ICTVonline=202100691")</f>
        <v>ICTVonline=202100691</v>
      </c>
    </row>
    <row r="2975" spans="1:21" x14ac:dyDescent="0.2">
      <c r="A2975" s="3">
        <v>2974</v>
      </c>
      <c r="B2975" s="1" t="s">
        <v>4875</v>
      </c>
      <c r="D2975" s="1" t="s">
        <v>4876</v>
      </c>
      <c r="F2975" s="1" t="s">
        <v>4880</v>
      </c>
      <c r="H2975" s="1" t="s">
        <v>4881</v>
      </c>
      <c r="N2975" s="1" t="s">
        <v>4612</v>
      </c>
      <c r="P2975" s="1" t="s">
        <v>11702</v>
      </c>
      <c r="Q2975" s="30" t="s">
        <v>2565</v>
      </c>
      <c r="R2975" s="33" t="s">
        <v>3473</v>
      </c>
      <c r="S2975">
        <v>37</v>
      </c>
      <c r="T2975" s="1" t="s">
        <v>13878</v>
      </c>
      <c r="U2975" s="1" t="str">
        <f>HYPERLINK("http://ictvonline.org/taxonomy/p/taxonomy-history?taxnode_id=202100692","ICTVonline=202100692")</f>
        <v>ICTVonline=202100692</v>
      </c>
    </row>
    <row r="2976" spans="1:21" x14ac:dyDescent="0.2">
      <c r="A2976" s="3">
        <v>2975</v>
      </c>
      <c r="B2976" s="1" t="s">
        <v>4875</v>
      </c>
      <c r="D2976" s="1" t="s">
        <v>4876</v>
      </c>
      <c r="F2976" s="1" t="s">
        <v>4880</v>
      </c>
      <c r="H2976" s="1" t="s">
        <v>4881</v>
      </c>
      <c r="N2976" s="1" t="s">
        <v>4612</v>
      </c>
      <c r="P2976" s="1" t="s">
        <v>11703</v>
      </c>
      <c r="Q2976" s="30" t="s">
        <v>2565</v>
      </c>
      <c r="R2976" s="33" t="s">
        <v>3473</v>
      </c>
      <c r="S2976">
        <v>37</v>
      </c>
      <c r="T2976" s="1" t="s">
        <v>13878</v>
      </c>
      <c r="U2976" s="1" t="str">
        <f>HYPERLINK("http://ictvonline.org/taxonomy/p/taxonomy-history?taxnode_id=202100693","ICTVonline=202100693")</f>
        <v>ICTVonline=202100693</v>
      </c>
    </row>
    <row r="2977" spans="1:21" x14ac:dyDescent="0.2">
      <c r="A2977" s="3">
        <v>2976</v>
      </c>
      <c r="B2977" s="1" t="s">
        <v>4875</v>
      </c>
      <c r="D2977" s="1" t="s">
        <v>4876</v>
      </c>
      <c r="F2977" s="1" t="s">
        <v>4880</v>
      </c>
      <c r="H2977" s="1" t="s">
        <v>4881</v>
      </c>
      <c r="N2977" s="1" t="s">
        <v>6023</v>
      </c>
      <c r="P2977" s="1" t="s">
        <v>11704</v>
      </c>
      <c r="Q2977" s="30" t="s">
        <v>2565</v>
      </c>
      <c r="R2977" s="33" t="s">
        <v>3473</v>
      </c>
      <c r="S2977">
        <v>37</v>
      </c>
      <c r="T2977" s="1" t="s">
        <v>13878</v>
      </c>
      <c r="U2977" s="1" t="str">
        <f>HYPERLINK("http://ictvonline.org/taxonomy/p/taxonomy-history?taxnode_id=202110159","ICTVonline=202110159")</f>
        <v>ICTVonline=202110159</v>
      </c>
    </row>
    <row r="2978" spans="1:21" x14ac:dyDescent="0.2">
      <c r="A2978" s="3">
        <v>2977</v>
      </c>
      <c r="B2978" s="1" t="s">
        <v>4875</v>
      </c>
      <c r="D2978" s="1" t="s">
        <v>4876</v>
      </c>
      <c r="F2978" s="1" t="s">
        <v>4880</v>
      </c>
      <c r="H2978" s="1" t="s">
        <v>4881</v>
      </c>
      <c r="N2978" s="1" t="s">
        <v>6207</v>
      </c>
      <c r="P2978" s="1" t="s">
        <v>11705</v>
      </c>
      <c r="Q2978" s="30" t="s">
        <v>2565</v>
      </c>
      <c r="R2978" s="33" t="s">
        <v>3473</v>
      </c>
      <c r="S2978">
        <v>37</v>
      </c>
      <c r="T2978" s="1" t="s">
        <v>13878</v>
      </c>
      <c r="U2978" s="1" t="str">
        <f>HYPERLINK("http://ictvonline.org/taxonomy/p/taxonomy-history?taxnode_id=202110172","ICTVonline=202110172")</f>
        <v>ICTVonline=202110172</v>
      </c>
    </row>
    <row r="2979" spans="1:21" x14ac:dyDescent="0.2">
      <c r="A2979" s="3">
        <v>2978</v>
      </c>
      <c r="B2979" s="1" t="s">
        <v>4875</v>
      </c>
      <c r="D2979" s="1" t="s">
        <v>4876</v>
      </c>
      <c r="F2979" s="1" t="s">
        <v>4880</v>
      </c>
      <c r="H2979" s="1" t="s">
        <v>4881</v>
      </c>
      <c r="N2979" s="1" t="s">
        <v>4698</v>
      </c>
      <c r="P2979" s="1" t="s">
        <v>11706</v>
      </c>
      <c r="Q2979" s="30" t="s">
        <v>2565</v>
      </c>
      <c r="R2979" s="33" t="s">
        <v>3473</v>
      </c>
      <c r="S2979">
        <v>37</v>
      </c>
      <c r="T2979" s="1" t="s">
        <v>13878</v>
      </c>
      <c r="U2979" s="1" t="str">
        <f>HYPERLINK("http://ictvonline.org/taxonomy/p/taxonomy-history?taxnode_id=202106848","ICTVonline=202106848")</f>
        <v>ICTVonline=202106848</v>
      </c>
    </row>
    <row r="2980" spans="1:21" x14ac:dyDescent="0.2">
      <c r="A2980" s="3">
        <v>2979</v>
      </c>
      <c r="B2980" s="1" t="s">
        <v>4875</v>
      </c>
      <c r="D2980" s="1" t="s">
        <v>4876</v>
      </c>
      <c r="F2980" s="1" t="s">
        <v>4880</v>
      </c>
      <c r="H2980" s="1" t="s">
        <v>4881</v>
      </c>
      <c r="N2980" s="1" t="s">
        <v>6208</v>
      </c>
      <c r="P2980" s="1" t="s">
        <v>11707</v>
      </c>
      <c r="Q2980" s="30" t="s">
        <v>2565</v>
      </c>
      <c r="R2980" s="33" t="s">
        <v>3473</v>
      </c>
      <c r="S2980">
        <v>37</v>
      </c>
      <c r="T2980" s="1" t="s">
        <v>13878</v>
      </c>
      <c r="U2980" s="1" t="str">
        <f>HYPERLINK("http://ictvonline.org/taxonomy/p/taxonomy-history?taxnode_id=202110178","ICTVonline=202110178")</f>
        <v>ICTVonline=202110178</v>
      </c>
    </row>
    <row r="2981" spans="1:21" x14ac:dyDescent="0.2">
      <c r="A2981" s="3">
        <v>2980</v>
      </c>
      <c r="B2981" s="1" t="s">
        <v>4875</v>
      </c>
      <c r="D2981" s="1" t="s">
        <v>4876</v>
      </c>
      <c r="F2981" s="1" t="s">
        <v>4880</v>
      </c>
      <c r="H2981" s="1" t="s">
        <v>4881</v>
      </c>
      <c r="N2981" s="1" t="s">
        <v>5114</v>
      </c>
      <c r="P2981" s="1" t="s">
        <v>11708</v>
      </c>
      <c r="Q2981" s="30" t="s">
        <v>2565</v>
      </c>
      <c r="R2981" s="33" t="s">
        <v>3473</v>
      </c>
      <c r="S2981">
        <v>37</v>
      </c>
      <c r="T2981" s="1" t="s">
        <v>13878</v>
      </c>
      <c r="U2981" s="1" t="str">
        <f>HYPERLINK("http://ictvonline.org/taxonomy/p/taxonomy-history?taxnode_id=202108044","ICTVonline=202108044")</f>
        <v>ICTVonline=202108044</v>
      </c>
    </row>
    <row r="2982" spans="1:21" x14ac:dyDescent="0.2">
      <c r="A2982" s="3">
        <v>2981</v>
      </c>
      <c r="B2982" s="1" t="s">
        <v>4875</v>
      </c>
      <c r="D2982" s="1" t="s">
        <v>4876</v>
      </c>
      <c r="F2982" s="1" t="s">
        <v>4880</v>
      </c>
      <c r="H2982" s="1" t="s">
        <v>4881</v>
      </c>
      <c r="N2982" s="1" t="s">
        <v>6065</v>
      </c>
      <c r="P2982" s="1" t="s">
        <v>11709</v>
      </c>
      <c r="Q2982" s="30" t="s">
        <v>2565</v>
      </c>
      <c r="R2982" s="33" t="s">
        <v>3473</v>
      </c>
      <c r="S2982">
        <v>37</v>
      </c>
      <c r="T2982" s="1" t="s">
        <v>13878</v>
      </c>
      <c r="U2982" s="1" t="str">
        <f>HYPERLINK("http://ictvonline.org/taxonomy/p/taxonomy-history?taxnode_id=202110161","ICTVonline=202110161")</f>
        <v>ICTVonline=202110161</v>
      </c>
    </row>
    <row r="2983" spans="1:21" x14ac:dyDescent="0.2">
      <c r="A2983" s="3">
        <v>2982</v>
      </c>
      <c r="B2983" s="1" t="s">
        <v>4875</v>
      </c>
      <c r="D2983" s="1" t="s">
        <v>4876</v>
      </c>
      <c r="F2983" s="1" t="s">
        <v>4880</v>
      </c>
      <c r="H2983" s="1" t="s">
        <v>4881</v>
      </c>
      <c r="N2983" s="1" t="s">
        <v>6065</v>
      </c>
      <c r="P2983" s="1" t="s">
        <v>11710</v>
      </c>
      <c r="Q2983" s="30" t="s">
        <v>2565</v>
      </c>
      <c r="R2983" s="33" t="s">
        <v>3473</v>
      </c>
      <c r="S2983">
        <v>37</v>
      </c>
      <c r="T2983" s="1" t="s">
        <v>13878</v>
      </c>
      <c r="U2983" s="1" t="str">
        <f>HYPERLINK("http://ictvonline.org/taxonomy/p/taxonomy-history?taxnode_id=202110163","ICTVonline=202110163")</f>
        <v>ICTVonline=202110163</v>
      </c>
    </row>
    <row r="2984" spans="1:21" x14ac:dyDescent="0.2">
      <c r="A2984" s="3">
        <v>2983</v>
      </c>
      <c r="B2984" s="1" t="s">
        <v>4875</v>
      </c>
      <c r="D2984" s="1" t="s">
        <v>4876</v>
      </c>
      <c r="F2984" s="1" t="s">
        <v>4880</v>
      </c>
      <c r="H2984" s="1" t="s">
        <v>4881</v>
      </c>
      <c r="N2984" s="1" t="s">
        <v>6065</v>
      </c>
      <c r="P2984" s="1" t="s">
        <v>11711</v>
      </c>
      <c r="Q2984" s="30" t="s">
        <v>2565</v>
      </c>
      <c r="R2984" s="33" t="s">
        <v>3473</v>
      </c>
      <c r="S2984">
        <v>37</v>
      </c>
      <c r="T2984" s="1" t="s">
        <v>13878</v>
      </c>
      <c r="U2984" s="1" t="str">
        <f>HYPERLINK("http://ictvonline.org/taxonomy/p/taxonomy-history?taxnode_id=202110164","ICTVonline=202110164")</f>
        <v>ICTVonline=202110164</v>
      </c>
    </row>
    <row r="2985" spans="1:21" x14ac:dyDescent="0.2">
      <c r="A2985" s="3">
        <v>2984</v>
      </c>
      <c r="B2985" s="1" t="s">
        <v>4875</v>
      </c>
      <c r="D2985" s="1" t="s">
        <v>4876</v>
      </c>
      <c r="F2985" s="1" t="s">
        <v>4880</v>
      </c>
      <c r="H2985" s="1" t="s">
        <v>4881</v>
      </c>
      <c r="N2985" s="1" t="s">
        <v>6065</v>
      </c>
      <c r="P2985" s="1" t="s">
        <v>11712</v>
      </c>
      <c r="Q2985" s="30" t="s">
        <v>2565</v>
      </c>
      <c r="R2985" s="33" t="s">
        <v>3473</v>
      </c>
      <c r="S2985">
        <v>37</v>
      </c>
      <c r="T2985" s="1" t="s">
        <v>13878</v>
      </c>
      <c r="U2985" s="1" t="str">
        <f>HYPERLINK("http://ictvonline.org/taxonomy/p/taxonomy-history?taxnode_id=202110162","ICTVonline=202110162")</f>
        <v>ICTVonline=202110162</v>
      </c>
    </row>
    <row r="2986" spans="1:21" x14ac:dyDescent="0.2">
      <c r="A2986" s="3">
        <v>2985</v>
      </c>
      <c r="B2986" s="1" t="s">
        <v>4875</v>
      </c>
      <c r="D2986" s="1" t="s">
        <v>4876</v>
      </c>
      <c r="F2986" s="1" t="s">
        <v>4880</v>
      </c>
      <c r="H2986" s="1" t="s">
        <v>4881</v>
      </c>
      <c r="N2986" s="1" t="s">
        <v>2638</v>
      </c>
      <c r="P2986" s="1" t="s">
        <v>3551</v>
      </c>
      <c r="Q2986" s="30" t="s">
        <v>2565</v>
      </c>
      <c r="R2986" s="33" t="s">
        <v>3474</v>
      </c>
      <c r="S2986">
        <v>37</v>
      </c>
      <c r="T2986" s="1" t="s">
        <v>13880</v>
      </c>
      <c r="U2986" s="1" t="str">
        <f>HYPERLINK("http://ictvonline.org/taxonomy/p/taxonomy-history?taxnode_id=202105558","ICTVonline=202105558")</f>
        <v>ICTVonline=202105558</v>
      </c>
    </row>
    <row r="2987" spans="1:21" x14ac:dyDescent="0.2">
      <c r="A2987" s="3">
        <v>2986</v>
      </c>
      <c r="B2987" s="1" t="s">
        <v>4875</v>
      </c>
      <c r="D2987" s="1" t="s">
        <v>4876</v>
      </c>
      <c r="F2987" s="1" t="s">
        <v>4880</v>
      </c>
      <c r="H2987" s="1" t="s">
        <v>4881</v>
      </c>
      <c r="N2987" s="1" t="s">
        <v>2638</v>
      </c>
      <c r="P2987" s="1" t="s">
        <v>11713</v>
      </c>
      <c r="Q2987" s="30" t="s">
        <v>2565</v>
      </c>
      <c r="R2987" s="33" t="s">
        <v>3473</v>
      </c>
      <c r="S2987">
        <v>37</v>
      </c>
      <c r="T2987" s="1" t="s">
        <v>13878</v>
      </c>
      <c r="U2987" s="1" t="str">
        <f>HYPERLINK("http://ictvonline.org/taxonomy/p/taxonomy-history?taxnode_id=202105559","ICTVonline=202105559")</f>
        <v>ICTVonline=202105559</v>
      </c>
    </row>
    <row r="2988" spans="1:21" x14ac:dyDescent="0.2">
      <c r="A2988" s="3">
        <v>2987</v>
      </c>
      <c r="B2988" s="1" t="s">
        <v>4875</v>
      </c>
      <c r="D2988" s="1" t="s">
        <v>4876</v>
      </c>
      <c r="F2988" s="1" t="s">
        <v>4880</v>
      </c>
      <c r="H2988" s="1" t="s">
        <v>4881</v>
      </c>
      <c r="N2988" s="1" t="s">
        <v>2638</v>
      </c>
      <c r="P2988" s="1" t="s">
        <v>11714</v>
      </c>
      <c r="Q2988" s="30" t="s">
        <v>2565</v>
      </c>
      <c r="R2988" s="33" t="s">
        <v>3473</v>
      </c>
      <c r="S2988">
        <v>37</v>
      </c>
      <c r="T2988" s="1" t="s">
        <v>13878</v>
      </c>
      <c r="U2988" s="1" t="str">
        <f>HYPERLINK("http://ictvonline.org/taxonomy/p/taxonomy-history?taxnode_id=202105560","ICTVonline=202105560")</f>
        <v>ICTVonline=202105560</v>
      </c>
    </row>
    <row r="2989" spans="1:21" x14ac:dyDescent="0.2">
      <c r="A2989" s="3">
        <v>2988</v>
      </c>
      <c r="B2989" s="1" t="s">
        <v>4875</v>
      </c>
      <c r="D2989" s="1" t="s">
        <v>4876</v>
      </c>
      <c r="F2989" s="1" t="s">
        <v>4880</v>
      </c>
      <c r="H2989" s="1" t="s">
        <v>4881</v>
      </c>
      <c r="N2989" s="1" t="s">
        <v>2638</v>
      </c>
      <c r="P2989" s="1" t="s">
        <v>11715</v>
      </c>
      <c r="Q2989" s="30" t="s">
        <v>2565</v>
      </c>
      <c r="R2989" s="33" t="s">
        <v>3473</v>
      </c>
      <c r="S2989">
        <v>37</v>
      </c>
      <c r="T2989" s="1" t="s">
        <v>13878</v>
      </c>
      <c r="U2989" s="1" t="str">
        <f>HYPERLINK("http://ictvonline.org/taxonomy/p/taxonomy-history?taxnode_id=202101072","ICTVonline=202101072")</f>
        <v>ICTVonline=202101072</v>
      </c>
    </row>
    <row r="2990" spans="1:21" x14ac:dyDescent="0.2">
      <c r="A2990" s="3">
        <v>2989</v>
      </c>
      <c r="B2990" s="1" t="s">
        <v>4875</v>
      </c>
      <c r="D2990" s="1" t="s">
        <v>4876</v>
      </c>
      <c r="F2990" s="1" t="s">
        <v>4880</v>
      </c>
      <c r="H2990" s="1" t="s">
        <v>4881</v>
      </c>
      <c r="N2990" s="1" t="s">
        <v>2638</v>
      </c>
      <c r="P2990" s="1" t="s">
        <v>11716</v>
      </c>
      <c r="Q2990" s="30" t="s">
        <v>2565</v>
      </c>
      <c r="R2990" s="33" t="s">
        <v>3473</v>
      </c>
      <c r="S2990">
        <v>37</v>
      </c>
      <c r="T2990" s="1" t="s">
        <v>13878</v>
      </c>
      <c r="U2990" s="1" t="str">
        <f>HYPERLINK("http://ictvonline.org/taxonomy/p/taxonomy-history?taxnode_id=202109351","ICTVonline=202109351")</f>
        <v>ICTVonline=202109351</v>
      </c>
    </row>
    <row r="2991" spans="1:21" x14ac:dyDescent="0.2">
      <c r="A2991" s="3">
        <v>2990</v>
      </c>
      <c r="B2991" s="1" t="s">
        <v>4875</v>
      </c>
      <c r="D2991" s="1" t="s">
        <v>4876</v>
      </c>
      <c r="F2991" s="1" t="s">
        <v>4880</v>
      </c>
      <c r="H2991" s="1" t="s">
        <v>4881</v>
      </c>
      <c r="N2991" s="1" t="s">
        <v>6209</v>
      </c>
      <c r="P2991" s="1" t="s">
        <v>11717</v>
      </c>
      <c r="Q2991" s="30" t="s">
        <v>2565</v>
      </c>
      <c r="R2991" s="33" t="s">
        <v>3473</v>
      </c>
      <c r="S2991">
        <v>37</v>
      </c>
      <c r="T2991" s="1" t="s">
        <v>13878</v>
      </c>
      <c r="U2991" s="1" t="str">
        <f>HYPERLINK("http://ictvonline.org/taxonomy/p/taxonomy-history?taxnode_id=202110170","ICTVonline=202110170")</f>
        <v>ICTVonline=202110170</v>
      </c>
    </row>
    <row r="2992" spans="1:21" x14ac:dyDescent="0.2">
      <c r="A2992" s="3">
        <v>2991</v>
      </c>
      <c r="B2992" s="1" t="s">
        <v>4875</v>
      </c>
      <c r="D2992" s="1" t="s">
        <v>4876</v>
      </c>
      <c r="F2992" s="1" t="s">
        <v>4880</v>
      </c>
      <c r="H2992" s="1" t="s">
        <v>4881</v>
      </c>
      <c r="N2992" s="1" t="s">
        <v>6209</v>
      </c>
      <c r="P2992" s="1" t="s">
        <v>11718</v>
      </c>
      <c r="Q2992" s="30" t="s">
        <v>2565</v>
      </c>
      <c r="R2992" s="33" t="s">
        <v>3473</v>
      </c>
      <c r="S2992">
        <v>37</v>
      </c>
      <c r="T2992" s="1" t="s">
        <v>13878</v>
      </c>
      <c r="U2992" s="1" t="str">
        <f>HYPERLINK("http://ictvonline.org/taxonomy/p/taxonomy-history?taxnode_id=202110166","ICTVonline=202110166")</f>
        <v>ICTVonline=202110166</v>
      </c>
    </row>
    <row r="2993" spans="1:21" x14ac:dyDescent="0.2">
      <c r="A2993" s="3">
        <v>2992</v>
      </c>
      <c r="B2993" s="1" t="s">
        <v>4875</v>
      </c>
      <c r="D2993" s="1" t="s">
        <v>4876</v>
      </c>
      <c r="F2993" s="1" t="s">
        <v>4880</v>
      </c>
      <c r="H2993" s="1" t="s">
        <v>4881</v>
      </c>
      <c r="N2993" s="1" t="s">
        <v>6209</v>
      </c>
      <c r="P2993" s="1" t="s">
        <v>11719</v>
      </c>
      <c r="Q2993" s="30" t="s">
        <v>2565</v>
      </c>
      <c r="R2993" s="33" t="s">
        <v>3473</v>
      </c>
      <c r="S2993">
        <v>37</v>
      </c>
      <c r="T2993" s="1" t="s">
        <v>13878</v>
      </c>
      <c r="U2993" s="1" t="str">
        <f>HYPERLINK("http://ictvonline.org/taxonomy/p/taxonomy-history?taxnode_id=202110167","ICTVonline=202110167")</f>
        <v>ICTVonline=202110167</v>
      </c>
    </row>
    <row r="2994" spans="1:21" x14ac:dyDescent="0.2">
      <c r="A2994" s="3">
        <v>2993</v>
      </c>
      <c r="B2994" s="1" t="s">
        <v>4875</v>
      </c>
      <c r="D2994" s="1" t="s">
        <v>4876</v>
      </c>
      <c r="F2994" s="1" t="s">
        <v>4880</v>
      </c>
      <c r="H2994" s="1" t="s">
        <v>4881</v>
      </c>
      <c r="N2994" s="1" t="s">
        <v>6209</v>
      </c>
      <c r="P2994" s="1" t="s">
        <v>11720</v>
      </c>
      <c r="Q2994" s="30" t="s">
        <v>2565</v>
      </c>
      <c r="R2994" s="33" t="s">
        <v>3473</v>
      </c>
      <c r="S2994">
        <v>37</v>
      </c>
      <c r="T2994" s="1" t="s">
        <v>13878</v>
      </c>
      <c r="U2994" s="1" t="str">
        <f>HYPERLINK("http://ictvonline.org/taxonomy/p/taxonomy-history?taxnode_id=202110168","ICTVonline=202110168")</f>
        <v>ICTVonline=202110168</v>
      </c>
    </row>
    <row r="2995" spans="1:21" x14ac:dyDescent="0.2">
      <c r="A2995" s="3">
        <v>2994</v>
      </c>
      <c r="B2995" s="1" t="s">
        <v>4875</v>
      </c>
      <c r="D2995" s="1" t="s">
        <v>4876</v>
      </c>
      <c r="F2995" s="1" t="s">
        <v>4880</v>
      </c>
      <c r="H2995" s="1" t="s">
        <v>4881</v>
      </c>
      <c r="N2995" s="1" t="s">
        <v>6209</v>
      </c>
      <c r="P2995" s="1" t="s">
        <v>11721</v>
      </c>
      <c r="Q2995" s="30" t="s">
        <v>2565</v>
      </c>
      <c r="R2995" s="33" t="s">
        <v>3473</v>
      </c>
      <c r="S2995">
        <v>37</v>
      </c>
      <c r="T2995" s="1" t="s">
        <v>13878</v>
      </c>
      <c r="U2995" s="1" t="str">
        <f>HYPERLINK("http://ictvonline.org/taxonomy/p/taxonomy-history?taxnode_id=202110169","ICTVonline=202110169")</f>
        <v>ICTVonline=202110169</v>
      </c>
    </row>
    <row r="2996" spans="1:21" x14ac:dyDescent="0.2">
      <c r="A2996" s="3">
        <v>2995</v>
      </c>
      <c r="B2996" s="1" t="s">
        <v>4875</v>
      </c>
      <c r="D2996" s="1" t="s">
        <v>4876</v>
      </c>
      <c r="F2996" s="1" t="s">
        <v>4880</v>
      </c>
      <c r="H2996" s="1" t="s">
        <v>4881</v>
      </c>
      <c r="N2996" s="1" t="s">
        <v>5206</v>
      </c>
      <c r="P2996" s="1" t="s">
        <v>11722</v>
      </c>
      <c r="Q2996" s="30" t="s">
        <v>2565</v>
      </c>
      <c r="R2996" s="33" t="s">
        <v>3473</v>
      </c>
      <c r="S2996">
        <v>37</v>
      </c>
      <c r="T2996" s="1" t="s">
        <v>13878</v>
      </c>
      <c r="U2996" s="1" t="str">
        <f>HYPERLINK("http://ictvonline.org/taxonomy/p/taxonomy-history?taxnode_id=202107878","ICTVonline=202107878")</f>
        <v>ICTVonline=202107878</v>
      </c>
    </row>
    <row r="2997" spans="1:21" x14ac:dyDescent="0.2">
      <c r="A2997" s="3">
        <v>2996</v>
      </c>
      <c r="B2997" s="1" t="s">
        <v>4875</v>
      </c>
      <c r="D2997" s="1" t="s">
        <v>4876</v>
      </c>
      <c r="F2997" s="1" t="s">
        <v>4880</v>
      </c>
      <c r="H2997" s="1" t="s">
        <v>4881</v>
      </c>
      <c r="N2997" s="1" t="s">
        <v>6210</v>
      </c>
      <c r="P2997" s="1" t="s">
        <v>11723</v>
      </c>
      <c r="Q2997" s="30" t="s">
        <v>2565</v>
      </c>
      <c r="R2997" s="33" t="s">
        <v>3473</v>
      </c>
      <c r="S2997">
        <v>37</v>
      </c>
      <c r="T2997" s="1" t="s">
        <v>13878</v>
      </c>
      <c r="U2997" s="1" t="str">
        <f>HYPERLINK("http://ictvonline.org/taxonomy/p/taxonomy-history?taxnode_id=202110195","ICTVonline=202110195")</f>
        <v>ICTVonline=202110195</v>
      </c>
    </row>
    <row r="2998" spans="1:21" x14ac:dyDescent="0.2">
      <c r="A2998" s="3">
        <v>2997</v>
      </c>
      <c r="B2998" s="1" t="s">
        <v>4875</v>
      </c>
      <c r="D2998" s="1" t="s">
        <v>4876</v>
      </c>
      <c r="F2998" s="1" t="s">
        <v>4880</v>
      </c>
      <c r="H2998" s="1" t="s">
        <v>4881</v>
      </c>
      <c r="N2998" s="1" t="s">
        <v>3209</v>
      </c>
      <c r="P2998" s="1" t="s">
        <v>11724</v>
      </c>
      <c r="Q2998" s="30" t="s">
        <v>2565</v>
      </c>
      <c r="R2998" s="33" t="s">
        <v>3473</v>
      </c>
      <c r="S2998">
        <v>37</v>
      </c>
      <c r="T2998" s="1" t="s">
        <v>13878</v>
      </c>
      <c r="U2998" s="1" t="str">
        <f>HYPERLINK("http://ictvonline.org/taxonomy/p/taxonomy-history?taxnode_id=202101074","ICTVonline=202101074")</f>
        <v>ICTVonline=202101074</v>
      </c>
    </row>
    <row r="2999" spans="1:21" x14ac:dyDescent="0.2">
      <c r="A2999" s="3">
        <v>2998</v>
      </c>
      <c r="B2999" s="1" t="s">
        <v>4875</v>
      </c>
      <c r="D2999" s="1" t="s">
        <v>4876</v>
      </c>
      <c r="F2999" s="1" t="s">
        <v>4880</v>
      </c>
      <c r="H2999" s="1" t="s">
        <v>4881</v>
      </c>
      <c r="N2999" s="1" t="s">
        <v>3209</v>
      </c>
      <c r="P2999" s="1" t="s">
        <v>11725</v>
      </c>
      <c r="Q2999" s="30" t="s">
        <v>2565</v>
      </c>
      <c r="R2999" s="33" t="s">
        <v>3473</v>
      </c>
      <c r="S2999">
        <v>37</v>
      </c>
      <c r="T2999" s="1" t="s">
        <v>13878</v>
      </c>
      <c r="U2999" s="1" t="str">
        <f>HYPERLINK("http://ictvonline.org/taxonomy/p/taxonomy-history?taxnode_id=202110201","ICTVonline=202110201")</f>
        <v>ICTVonline=202110201</v>
      </c>
    </row>
    <row r="3000" spans="1:21" x14ac:dyDescent="0.2">
      <c r="A3000" s="3">
        <v>2999</v>
      </c>
      <c r="B3000" s="1" t="s">
        <v>4875</v>
      </c>
      <c r="D3000" s="1" t="s">
        <v>4876</v>
      </c>
      <c r="F3000" s="1" t="s">
        <v>4880</v>
      </c>
      <c r="H3000" s="1" t="s">
        <v>4881</v>
      </c>
      <c r="N3000" s="1" t="s">
        <v>3209</v>
      </c>
      <c r="P3000" s="1" t="s">
        <v>11726</v>
      </c>
      <c r="Q3000" s="30" t="s">
        <v>2565</v>
      </c>
      <c r="R3000" s="33" t="s">
        <v>3473</v>
      </c>
      <c r="S3000">
        <v>37</v>
      </c>
      <c r="T3000" s="1" t="s">
        <v>13878</v>
      </c>
      <c r="U3000" s="1" t="str">
        <f>HYPERLINK("http://ictvonline.org/taxonomy/p/taxonomy-history?taxnode_id=202110202","ICTVonline=202110202")</f>
        <v>ICTVonline=202110202</v>
      </c>
    </row>
    <row r="3001" spans="1:21" x14ac:dyDescent="0.2">
      <c r="A3001" s="3">
        <v>3000</v>
      </c>
      <c r="B3001" s="1" t="s">
        <v>4875</v>
      </c>
      <c r="D3001" s="1" t="s">
        <v>4876</v>
      </c>
      <c r="F3001" s="1" t="s">
        <v>4880</v>
      </c>
      <c r="H3001" s="1" t="s">
        <v>4881</v>
      </c>
      <c r="N3001" s="1" t="s">
        <v>3209</v>
      </c>
      <c r="P3001" s="1" t="s">
        <v>11727</v>
      </c>
      <c r="Q3001" s="30" t="s">
        <v>2565</v>
      </c>
      <c r="R3001" s="33" t="s">
        <v>3473</v>
      </c>
      <c r="S3001">
        <v>37</v>
      </c>
      <c r="T3001" s="1" t="s">
        <v>13878</v>
      </c>
      <c r="U3001" s="1" t="str">
        <f>HYPERLINK("http://ictvonline.org/taxonomy/p/taxonomy-history?taxnode_id=202110200","ICTVonline=202110200")</f>
        <v>ICTVonline=202110200</v>
      </c>
    </row>
    <row r="3002" spans="1:21" x14ac:dyDescent="0.2">
      <c r="A3002" s="3">
        <v>3001</v>
      </c>
      <c r="B3002" s="1" t="s">
        <v>4875</v>
      </c>
      <c r="D3002" s="1" t="s">
        <v>4876</v>
      </c>
      <c r="F3002" s="1" t="s">
        <v>4880</v>
      </c>
      <c r="H3002" s="1" t="s">
        <v>4881</v>
      </c>
      <c r="N3002" s="1" t="s">
        <v>6066</v>
      </c>
      <c r="P3002" s="1" t="s">
        <v>11728</v>
      </c>
      <c r="Q3002" s="30" t="s">
        <v>2565</v>
      </c>
      <c r="R3002" s="33" t="s">
        <v>3473</v>
      </c>
      <c r="S3002">
        <v>37</v>
      </c>
      <c r="T3002" s="1" t="s">
        <v>13878</v>
      </c>
      <c r="U3002" s="1" t="str">
        <f>HYPERLINK("http://ictvonline.org/taxonomy/p/taxonomy-history?taxnode_id=202110204","ICTVonline=202110204")</f>
        <v>ICTVonline=202110204</v>
      </c>
    </row>
    <row r="3003" spans="1:21" x14ac:dyDescent="0.2">
      <c r="A3003" s="3">
        <v>3002</v>
      </c>
      <c r="B3003" s="1" t="s">
        <v>4875</v>
      </c>
      <c r="D3003" s="1" t="s">
        <v>4876</v>
      </c>
      <c r="F3003" s="1" t="s">
        <v>4880</v>
      </c>
      <c r="H3003" s="1" t="s">
        <v>4881</v>
      </c>
      <c r="N3003" s="1" t="s">
        <v>6066</v>
      </c>
      <c r="P3003" s="1" t="s">
        <v>11729</v>
      </c>
      <c r="Q3003" s="30" t="s">
        <v>2565</v>
      </c>
      <c r="R3003" s="33" t="s">
        <v>3473</v>
      </c>
      <c r="S3003">
        <v>37</v>
      </c>
      <c r="T3003" s="1" t="s">
        <v>13878</v>
      </c>
      <c r="U3003" s="1" t="str">
        <f>HYPERLINK("http://ictvonline.org/taxonomy/p/taxonomy-history?taxnode_id=202110205","ICTVonline=202110205")</f>
        <v>ICTVonline=202110205</v>
      </c>
    </row>
    <row r="3004" spans="1:21" x14ac:dyDescent="0.2">
      <c r="A3004" s="3">
        <v>3003</v>
      </c>
      <c r="B3004" s="1" t="s">
        <v>4875</v>
      </c>
      <c r="D3004" s="1" t="s">
        <v>4876</v>
      </c>
      <c r="F3004" s="1" t="s">
        <v>4880</v>
      </c>
      <c r="H3004" s="1" t="s">
        <v>4881</v>
      </c>
      <c r="N3004" s="1" t="s">
        <v>6211</v>
      </c>
      <c r="P3004" s="1" t="s">
        <v>11730</v>
      </c>
      <c r="Q3004" s="30" t="s">
        <v>2565</v>
      </c>
      <c r="R3004" s="33" t="s">
        <v>3473</v>
      </c>
      <c r="S3004">
        <v>37</v>
      </c>
      <c r="T3004" s="1" t="s">
        <v>13878</v>
      </c>
      <c r="U3004" s="1" t="str">
        <f>HYPERLINK("http://ictvonline.org/taxonomy/p/taxonomy-history?taxnode_id=202110207","ICTVonline=202110207")</f>
        <v>ICTVonline=202110207</v>
      </c>
    </row>
    <row r="3005" spans="1:21" x14ac:dyDescent="0.2">
      <c r="A3005" s="3">
        <v>3004</v>
      </c>
      <c r="B3005" s="1" t="s">
        <v>4875</v>
      </c>
      <c r="D3005" s="1" t="s">
        <v>4876</v>
      </c>
      <c r="F3005" s="1" t="s">
        <v>4880</v>
      </c>
      <c r="H3005" s="1" t="s">
        <v>4881</v>
      </c>
      <c r="N3005" s="1" t="s">
        <v>4613</v>
      </c>
      <c r="P3005" s="1" t="s">
        <v>11731</v>
      </c>
      <c r="Q3005" s="30" t="s">
        <v>2565</v>
      </c>
      <c r="R3005" s="33" t="s">
        <v>3473</v>
      </c>
      <c r="S3005">
        <v>37</v>
      </c>
      <c r="T3005" s="1" t="s">
        <v>13878</v>
      </c>
      <c r="U3005" s="1" t="str">
        <f>HYPERLINK("http://ictvonline.org/taxonomy/p/taxonomy-history?taxnode_id=202105493","ICTVonline=202105493")</f>
        <v>ICTVonline=202105493</v>
      </c>
    </row>
    <row r="3006" spans="1:21" x14ac:dyDescent="0.2">
      <c r="A3006" s="3">
        <v>3005</v>
      </c>
      <c r="B3006" s="1" t="s">
        <v>4875</v>
      </c>
      <c r="D3006" s="1" t="s">
        <v>4876</v>
      </c>
      <c r="F3006" s="1" t="s">
        <v>4880</v>
      </c>
      <c r="H3006" s="1" t="s">
        <v>4881</v>
      </c>
      <c r="N3006" s="1" t="s">
        <v>4613</v>
      </c>
      <c r="P3006" s="1" t="s">
        <v>11732</v>
      </c>
      <c r="Q3006" s="30" t="s">
        <v>2565</v>
      </c>
      <c r="R3006" s="33" t="s">
        <v>3473</v>
      </c>
      <c r="S3006">
        <v>37</v>
      </c>
      <c r="T3006" s="1" t="s">
        <v>13878</v>
      </c>
      <c r="U3006" s="1" t="str">
        <f>HYPERLINK("http://ictvonline.org/taxonomy/p/taxonomy-history?taxnode_id=202100677","ICTVonline=202100677")</f>
        <v>ICTVonline=202100677</v>
      </c>
    </row>
    <row r="3007" spans="1:21" x14ac:dyDescent="0.2">
      <c r="A3007" s="3">
        <v>3006</v>
      </c>
      <c r="B3007" s="1" t="s">
        <v>4875</v>
      </c>
      <c r="D3007" s="1" t="s">
        <v>4876</v>
      </c>
      <c r="F3007" s="1" t="s">
        <v>4880</v>
      </c>
      <c r="H3007" s="1" t="s">
        <v>4881</v>
      </c>
      <c r="N3007" s="1" t="s">
        <v>4613</v>
      </c>
      <c r="P3007" s="1" t="s">
        <v>11733</v>
      </c>
      <c r="Q3007" s="30" t="s">
        <v>2565</v>
      </c>
      <c r="R3007" s="33" t="s">
        <v>3473</v>
      </c>
      <c r="S3007">
        <v>37</v>
      </c>
      <c r="T3007" s="1" t="s">
        <v>13878</v>
      </c>
      <c r="U3007" s="1" t="str">
        <f>HYPERLINK("http://ictvonline.org/taxonomy/p/taxonomy-history?taxnode_id=202100678","ICTVonline=202100678")</f>
        <v>ICTVonline=202100678</v>
      </c>
    </row>
    <row r="3008" spans="1:21" x14ac:dyDescent="0.2">
      <c r="A3008" s="3">
        <v>3007</v>
      </c>
      <c r="B3008" s="1" t="s">
        <v>4875</v>
      </c>
      <c r="D3008" s="1" t="s">
        <v>4876</v>
      </c>
      <c r="F3008" s="1" t="s">
        <v>4880</v>
      </c>
      <c r="H3008" s="1" t="s">
        <v>4881</v>
      </c>
      <c r="N3008" s="1" t="s">
        <v>4613</v>
      </c>
      <c r="P3008" s="1" t="s">
        <v>11734</v>
      </c>
      <c r="Q3008" s="30" t="s">
        <v>2565</v>
      </c>
      <c r="R3008" s="33" t="s">
        <v>3473</v>
      </c>
      <c r="S3008">
        <v>37</v>
      </c>
      <c r="T3008" s="1" t="s">
        <v>13878</v>
      </c>
      <c r="U3008" s="1" t="str">
        <f>HYPERLINK("http://ictvonline.org/taxonomy/p/taxonomy-history?taxnode_id=202107078","ICTVonline=202107078")</f>
        <v>ICTVonline=202107078</v>
      </c>
    </row>
    <row r="3009" spans="1:21" x14ac:dyDescent="0.2">
      <c r="A3009" s="3">
        <v>3008</v>
      </c>
      <c r="B3009" s="1" t="s">
        <v>4875</v>
      </c>
      <c r="D3009" s="1" t="s">
        <v>4876</v>
      </c>
      <c r="F3009" s="1" t="s">
        <v>4880</v>
      </c>
      <c r="H3009" s="1" t="s">
        <v>4881</v>
      </c>
      <c r="N3009" s="1" t="s">
        <v>4613</v>
      </c>
      <c r="P3009" s="1" t="s">
        <v>11735</v>
      </c>
      <c r="Q3009" s="30" t="s">
        <v>2565</v>
      </c>
      <c r="R3009" s="33" t="s">
        <v>3473</v>
      </c>
      <c r="S3009">
        <v>37</v>
      </c>
      <c r="T3009" s="1" t="s">
        <v>13878</v>
      </c>
      <c r="U3009" s="1" t="str">
        <f>HYPERLINK("http://ictvonline.org/taxonomy/p/taxonomy-history?taxnode_id=202100680","ICTVonline=202100680")</f>
        <v>ICTVonline=202100680</v>
      </c>
    </row>
    <row r="3010" spans="1:21" x14ac:dyDescent="0.2">
      <c r="A3010" s="3">
        <v>3009</v>
      </c>
      <c r="B3010" s="1" t="s">
        <v>4875</v>
      </c>
      <c r="D3010" s="1" t="s">
        <v>4876</v>
      </c>
      <c r="F3010" s="1" t="s">
        <v>4880</v>
      </c>
      <c r="H3010" s="1" t="s">
        <v>4881</v>
      </c>
      <c r="N3010" s="1" t="s">
        <v>4613</v>
      </c>
      <c r="P3010" s="1" t="s">
        <v>11736</v>
      </c>
      <c r="Q3010" s="30" t="s">
        <v>2565</v>
      </c>
      <c r="R3010" s="33" t="s">
        <v>3473</v>
      </c>
      <c r="S3010">
        <v>37</v>
      </c>
      <c r="T3010" s="1" t="s">
        <v>13878</v>
      </c>
      <c r="U3010" s="1" t="str">
        <f>HYPERLINK("http://ictvonline.org/taxonomy/p/taxonomy-history?taxnode_id=202100679","ICTVonline=202100679")</f>
        <v>ICTVonline=202100679</v>
      </c>
    </row>
    <row r="3011" spans="1:21" x14ac:dyDescent="0.2">
      <c r="A3011" s="3">
        <v>3010</v>
      </c>
      <c r="B3011" s="1" t="s">
        <v>4875</v>
      </c>
      <c r="D3011" s="1" t="s">
        <v>4876</v>
      </c>
      <c r="F3011" s="1" t="s">
        <v>4880</v>
      </c>
      <c r="H3011" s="1" t="s">
        <v>4881</v>
      </c>
      <c r="N3011" s="1" t="s">
        <v>6212</v>
      </c>
      <c r="P3011" s="1" t="s">
        <v>11737</v>
      </c>
      <c r="Q3011" s="30" t="s">
        <v>2565</v>
      </c>
      <c r="R3011" s="33" t="s">
        <v>3473</v>
      </c>
      <c r="S3011">
        <v>37</v>
      </c>
      <c r="T3011" s="1" t="s">
        <v>13878</v>
      </c>
      <c r="U3011" s="1" t="str">
        <f>HYPERLINK("http://ictvonline.org/taxonomy/p/taxonomy-history?taxnode_id=202110210","ICTVonline=202110210")</f>
        <v>ICTVonline=202110210</v>
      </c>
    </row>
    <row r="3012" spans="1:21" x14ac:dyDescent="0.2">
      <c r="A3012" s="3">
        <v>3011</v>
      </c>
      <c r="B3012" s="1" t="s">
        <v>4875</v>
      </c>
      <c r="D3012" s="1" t="s">
        <v>4876</v>
      </c>
      <c r="F3012" s="1" t="s">
        <v>4880</v>
      </c>
      <c r="H3012" s="1" t="s">
        <v>4881</v>
      </c>
      <c r="N3012" s="1" t="s">
        <v>6212</v>
      </c>
      <c r="P3012" s="1" t="s">
        <v>11738</v>
      </c>
      <c r="Q3012" s="30" t="s">
        <v>2565</v>
      </c>
      <c r="R3012" s="33" t="s">
        <v>3473</v>
      </c>
      <c r="S3012">
        <v>37</v>
      </c>
      <c r="T3012" s="1" t="s">
        <v>13878</v>
      </c>
      <c r="U3012" s="1" t="str">
        <f>HYPERLINK("http://ictvonline.org/taxonomy/p/taxonomy-history?taxnode_id=202110211","ICTVonline=202110211")</f>
        <v>ICTVonline=202110211</v>
      </c>
    </row>
    <row r="3013" spans="1:21" x14ac:dyDescent="0.2">
      <c r="A3013" s="3">
        <v>3012</v>
      </c>
      <c r="B3013" s="1" t="s">
        <v>4875</v>
      </c>
      <c r="D3013" s="1" t="s">
        <v>4876</v>
      </c>
      <c r="F3013" s="1" t="s">
        <v>4880</v>
      </c>
      <c r="H3013" s="1" t="s">
        <v>4881</v>
      </c>
      <c r="N3013" s="1" t="s">
        <v>6212</v>
      </c>
      <c r="P3013" s="1" t="s">
        <v>11739</v>
      </c>
      <c r="Q3013" s="30" t="s">
        <v>2565</v>
      </c>
      <c r="R3013" s="33" t="s">
        <v>3473</v>
      </c>
      <c r="S3013">
        <v>37</v>
      </c>
      <c r="T3013" s="1" t="s">
        <v>13878</v>
      </c>
      <c r="U3013" s="1" t="str">
        <f>HYPERLINK("http://ictvonline.org/taxonomy/p/taxonomy-history?taxnode_id=202110209","ICTVonline=202110209")</f>
        <v>ICTVonline=202110209</v>
      </c>
    </row>
    <row r="3014" spans="1:21" x14ac:dyDescent="0.2">
      <c r="A3014" s="3">
        <v>3013</v>
      </c>
      <c r="B3014" s="1" t="s">
        <v>4875</v>
      </c>
      <c r="D3014" s="1" t="s">
        <v>4876</v>
      </c>
      <c r="F3014" s="1" t="s">
        <v>4880</v>
      </c>
      <c r="H3014" s="1" t="s">
        <v>4881</v>
      </c>
      <c r="N3014" s="1" t="s">
        <v>5207</v>
      </c>
      <c r="P3014" s="1" t="s">
        <v>11740</v>
      </c>
      <c r="Q3014" s="30" t="s">
        <v>2565</v>
      </c>
      <c r="R3014" s="33" t="s">
        <v>3473</v>
      </c>
      <c r="S3014">
        <v>37</v>
      </c>
      <c r="T3014" s="1" t="s">
        <v>13878</v>
      </c>
      <c r="U3014" s="1" t="str">
        <f>HYPERLINK("http://ictvonline.org/taxonomy/p/taxonomy-history?taxnode_id=202107890","ICTVonline=202107890")</f>
        <v>ICTVonline=202107890</v>
      </c>
    </row>
    <row r="3015" spans="1:21" x14ac:dyDescent="0.2">
      <c r="A3015" s="3">
        <v>3014</v>
      </c>
      <c r="B3015" s="1" t="s">
        <v>4875</v>
      </c>
      <c r="D3015" s="1" t="s">
        <v>4876</v>
      </c>
      <c r="F3015" s="1" t="s">
        <v>4880</v>
      </c>
      <c r="H3015" s="1" t="s">
        <v>4881</v>
      </c>
      <c r="N3015" s="1" t="s">
        <v>11741</v>
      </c>
      <c r="P3015" s="1" t="s">
        <v>11742</v>
      </c>
      <c r="Q3015" s="30" t="s">
        <v>2565</v>
      </c>
      <c r="R3015" s="33" t="s">
        <v>3472</v>
      </c>
      <c r="S3015">
        <v>37</v>
      </c>
      <c r="T3015" s="1" t="s">
        <v>13954</v>
      </c>
      <c r="U3015" s="1" t="str">
        <f>HYPERLINK("http://ictvonline.org/taxonomy/p/taxonomy-history?taxnode_id=202112398","ICTVonline=202112398")</f>
        <v>ICTVonline=202112398</v>
      </c>
    </row>
    <row r="3016" spans="1:21" x14ac:dyDescent="0.2">
      <c r="A3016" s="3">
        <v>3015</v>
      </c>
      <c r="B3016" s="1" t="s">
        <v>4875</v>
      </c>
      <c r="D3016" s="1" t="s">
        <v>4876</v>
      </c>
      <c r="F3016" s="1" t="s">
        <v>4880</v>
      </c>
      <c r="H3016" s="1" t="s">
        <v>4881</v>
      </c>
      <c r="N3016" s="1" t="s">
        <v>11741</v>
      </c>
      <c r="P3016" s="1" t="s">
        <v>11743</v>
      </c>
      <c r="Q3016" s="30" t="s">
        <v>2565</v>
      </c>
      <c r="R3016" s="33" t="s">
        <v>3472</v>
      </c>
      <c r="S3016">
        <v>37</v>
      </c>
      <c r="T3016" s="1" t="s">
        <v>13954</v>
      </c>
      <c r="U3016" s="1" t="str">
        <f>HYPERLINK("http://ictvonline.org/taxonomy/p/taxonomy-history?taxnode_id=202112396","ICTVonline=202112396")</f>
        <v>ICTVonline=202112396</v>
      </c>
    </row>
    <row r="3017" spans="1:21" x14ac:dyDescent="0.2">
      <c r="A3017" s="3">
        <v>3016</v>
      </c>
      <c r="B3017" s="1" t="s">
        <v>4875</v>
      </c>
      <c r="D3017" s="1" t="s">
        <v>4876</v>
      </c>
      <c r="F3017" s="1" t="s">
        <v>4880</v>
      </c>
      <c r="H3017" s="1" t="s">
        <v>4881</v>
      </c>
      <c r="N3017" s="1" t="s">
        <v>11741</v>
      </c>
      <c r="P3017" s="1" t="s">
        <v>11744</v>
      </c>
      <c r="Q3017" s="30" t="s">
        <v>2565</v>
      </c>
      <c r="R3017" s="33" t="s">
        <v>3472</v>
      </c>
      <c r="S3017">
        <v>37</v>
      </c>
      <c r="T3017" s="1" t="s">
        <v>13954</v>
      </c>
      <c r="U3017" s="1" t="str">
        <f>HYPERLINK("http://ictvonline.org/taxonomy/p/taxonomy-history?taxnode_id=202112395","ICTVonline=202112395")</f>
        <v>ICTVonline=202112395</v>
      </c>
    </row>
    <row r="3018" spans="1:21" x14ac:dyDescent="0.2">
      <c r="A3018" s="3">
        <v>3017</v>
      </c>
      <c r="B3018" s="1" t="s">
        <v>4875</v>
      </c>
      <c r="D3018" s="1" t="s">
        <v>4876</v>
      </c>
      <c r="F3018" s="1" t="s">
        <v>4880</v>
      </c>
      <c r="H3018" s="1" t="s">
        <v>4881</v>
      </c>
      <c r="N3018" s="1" t="s">
        <v>11741</v>
      </c>
      <c r="P3018" s="1" t="s">
        <v>11745</v>
      </c>
      <c r="Q3018" s="30" t="s">
        <v>2565</v>
      </c>
      <c r="R3018" s="33" t="s">
        <v>3472</v>
      </c>
      <c r="S3018">
        <v>37</v>
      </c>
      <c r="T3018" s="1" t="s">
        <v>13954</v>
      </c>
      <c r="U3018" s="1" t="str">
        <f>HYPERLINK("http://ictvonline.org/taxonomy/p/taxonomy-history?taxnode_id=202112397","ICTVonline=202112397")</f>
        <v>ICTVonline=202112397</v>
      </c>
    </row>
    <row r="3019" spans="1:21" x14ac:dyDescent="0.2">
      <c r="A3019" s="3">
        <v>3018</v>
      </c>
      <c r="B3019" s="1" t="s">
        <v>4875</v>
      </c>
      <c r="D3019" s="1" t="s">
        <v>4876</v>
      </c>
      <c r="F3019" s="1" t="s">
        <v>4880</v>
      </c>
      <c r="H3019" s="1" t="s">
        <v>4881</v>
      </c>
      <c r="N3019" s="1" t="s">
        <v>4614</v>
      </c>
      <c r="P3019" s="1" t="s">
        <v>11746</v>
      </c>
      <c r="Q3019" s="30" t="s">
        <v>2565</v>
      </c>
      <c r="R3019" s="33" t="s">
        <v>3473</v>
      </c>
      <c r="S3019">
        <v>37</v>
      </c>
      <c r="T3019" s="1" t="s">
        <v>13878</v>
      </c>
      <c r="U3019" s="1" t="str">
        <f>HYPERLINK("http://ictvonline.org/taxonomy/p/taxonomy-history?taxnode_id=202100622","ICTVonline=202100622")</f>
        <v>ICTVonline=202100622</v>
      </c>
    </row>
    <row r="3020" spans="1:21" x14ac:dyDescent="0.2">
      <c r="A3020" s="3">
        <v>3019</v>
      </c>
      <c r="B3020" s="1" t="s">
        <v>4875</v>
      </c>
      <c r="D3020" s="1" t="s">
        <v>4876</v>
      </c>
      <c r="F3020" s="1" t="s">
        <v>4880</v>
      </c>
      <c r="H3020" s="1" t="s">
        <v>4881</v>
      </c>
      <c r="N3020" s="1" t="s">
        <v>4614</v>
      </c>
      <c r="P3020" s="1" t="s">
        <v>11747</v>
      </c>
      <c r="Q3020" s="30" t="s">
        <v>2565</v>
      </c>
      <c r="R3020" s="33" t="s">
        <v>3473</v>
      </c>
      <c r="S3020">
        <v>37</v>
      </c>
      <c r="T3020" s="1" t="s">
        <v>13878</v>
      </c>
      <c r="U3020" s="1" t="str">
        <f>HYPERLINK("http://ictvonline.org/taxonomy/p/taxonomy-history?taxnode_id=202100623","ICTVonline=202100623")</f>
        <v>ICTVonline=202100623</v>
      </c>
    </row>
    <row r="3021" spans="1:21" x14ac:dyDescent="0.2">
      <c r="A3021" s="3">
        <v>3020</v>
      </c>
      <c r="B3021" s="1" t="s">
        <v>4875</v>
      </c>
      <c r="D3021" s="1" t="s">
        <v>4876</v>
      </c>
      <c r="F3021" s="1" t="s">
        <v>4880</v>
      </c>
      <c r="H3021" s="1" t="s">
        <v>4881</v>
      </c>
      <c r="N3021" s="1" t="s">
        <v>4614</v>
      </c>
      <c r="P3021" s="1" t="s">
        <v>11748</v>
      </c>
      <c r="Q3021" s="30" t="s">
        <v>2565</v>
      </c>
      <c r="R3021" s="33" t="s">
        <v>3473</v>
      </c>
      <c r="S3021">
        <v>37</v>
      </c>
      <c r="T3021" s="1" t="s">
        <v>13878</v>
      </c>
      <c r="U3021" s="1" t="str">
        <f>HYPERLINK("http://ictvonline.org/taxonomy/p/taxonomy-history?taxnode_id=202100624","ICTVonline=202100624")</f>
        <v>ICTVonline=202100624</v>
      </c>
    </row>
    <row r="3022" spans="1:21" x14ac:dyDescent="0.2">
      <c r="A3022" s="3">
        <v>3021</v>
      </c>
      <c r="B3022" s="1" t="s">
        <v>4875</v>
      </c>
      <c r="D3022" s="1" t="s">
        <v>4876</v>
      </c>
      <c r="F3022" s="1" t="s">
        <v>4880</v>
      </c>
      <c r="H3022" s="1" t="s">
        <v>4881</v>
      </c>
      <c r="N3022" s="1" t="s">
        <v>4614</v>
      </c>
      <c r="P3022" s="1" t="s">
        <v>11749</v>
      </c>
      <c r="Q3022" s="30" t="s">
        <v>2565</v>
      </c>
      <c r="R3022" s="33" t="s">
        <v>3473</v>
      </c>
      <c r="S3022">
        <v>37</v>
      </c>
      <c r="T3022" s="1" t="s">
        <v>13878</v>
      </c>
      <c r="U3022" s="1" t="str">
        <f>HYPERLINK("http://ictvonline.org/taxonomy/p/taxonomy-history?taxnode_id=202100625","ICTVonline=202100625")</f>
        <v>ICTVonline=202100625</v>
      </c>
    </row>
    <row r="3023" spans="1:21" x14ac:dyDescent="0.2">
      <c r="A3023" s="3">
        <v>3022</v>
      </c>
      <c r="B3023" s="1" t="s">
        <v>4875</v>
      </c>
      <c r="D3023" s="1" t="s">
        <v>4876</v>
      </c>
      <c r="F3023" s="1" t="s">
        <v>4880</v>
      </c>
      <c r="H3023" s="1" t="s">
        <v>4881</v>
      </c>
      <c r="N3023" s="1" t="s">
        <v>5208</v>
      </c>
      <c r="P3023" s="1" t="s">
        <v>6213</v>
      </c>
      <c r="Q3023" s="30" t="s">
        <v>2565</v>
      </c>
      <c r="R3023" s="33" t="s">
        <v>3474</v>
      </c>
      <c r="S3023">
        <v>37</v>
      </c>
      <c r="T3023" s="1" t="s">
        <v>13880</v>
      </c>
      <c r="U3023" s="1" t="str">
        <f>HYPERLINK("http://ictvonline.org/taxonomy/p/taxonomy-history?taxnode_id=202108063","ICTVonline=202108063")</f>
        <v>ICTVonline=202108063</v>
      </c>
    </row>
    <row r="3024" spans="1:21" x14ac:dyDescent="0.2">
      <c r="A3024" s="3">
        <v>3023</v>
      </c>
      <c r="B3024" s="1" t="s">
        <v>4875</v>
      </c>
      <c r="D3024" s="1" t="s">
        <v>4876</v>
      </c>
      <c r="F3024" s="1" t="s">
        <v>4880</v>
      </c>
      <c r="H3024" s="1" t="s">
        <v>4881</v>
      </c>
      <c r="N3024" s="1" t="s">
        <v>6024</v>
      </c>
      <c r="P3024" s="1" t="s">
        <v>11750</v>
      </c>
      <c r="Q3024" s="30" t="s">
        <v>2565</v>
      </c>
      <c r="R3024" s="33" t="s">
        <v>3473</v>
      </c>
      <c r="S3024">
        <v>37</v>
      </c>
      <c r="T3024" s="1" t="s">
        <v>13878</v>
      </c>
      <c r="U3024" s="1" t="str">
        <f>HYPERLINK("http://ictvonline.org/taxonomy/p/taxonomy-history?taxnode_id=202111528","ICTVonline=202111528")</f>
        <v>ICTVonline=202111528</v>
      </c>
    </row>
    <row r="3025" spans="1:21" x14ac:dyDescent="0.2">
      <c r="A3025" s="3">
        <v>3024</v>
      </c>
      <c r="B3025" s="1" t="s">
        <v>4875</v>
      </c>
      <c r="D3025" s="1" t="s">
        <v>4876</v>
      </c>
      <c r="F3025" s="1" t="s">
        <v>4880</v>
      </c>
      <c r="H3025" s="1" t="s">
        <v>4881</v>
      </c>
      <c r="N3025" s="1" t="s">
        <v>4615</v>
      </c>
      <c r="P3025" s="1" t="s">
        <v>11751</v>
      </c>
      <c r="Q3025" s="30" t="s">
        <v>2565</v>
      </c>
      <c r="R3025" s="33" t="s">
        <v>3473</v>
      </c>
      <c r="S3025">
        <v>37</v>
      </c>
      <c r="T3025" s="1" t="s">
        <v>13878</v>
      </c>
      <c r="U3025" s="1" t="str">
        <f>HYPERLINK("http://ictvonline.org/taxonomy/p/taxonomy-history?taxnode_id=202100630","ICTVonline=202100630")</f>
        <v>ICTVonline=202100630</v>
      </c>
    </row>
    <row r="3026" spans="1:21" x14ac:dyDescent="0.2">
      <c r="A3026" s="3">
        <v>3025</v>
      </c>
      <c r="B3026" s="1" t="s">
        <v>4875</v>
      </c>
      <c r="D3026" s="1" t="s">
        <v>4876</v>
      </c>
      <c r="F3026" s="1" t="s">
        <v>4880</v>
      </c>
      <c r="H3026" s="1" t="s">
        <v>4881</v>
      </c>
      <c r="N3026" s="1" t="s">
        <v>4615</v>
      </c>
      <c r="P3026" s="1" t="s">
        <v>11752</v>
      </c>
      <c r="Q3026" s="30" t="s">
        <v>2565</v>
      </c>
      <c r="R3026" s="33" t="s">
        <v>3473</v>
      </c>
      <c r="S3026">
        <v>37</v>
      </c>
      <c r="T3026" s="1" t="s">
        <v>13878</v>
      </c>
      <c r="U3026" s="1" t="str">
        <f>HYPERLINK("http://ictvonline.org/taxonomy/p/taxonomy-history?taxnode_id=202100631","ICTVonline=202100631")</f>
        <v>ICTVonline=202100631</v>
      </c>
    </row>
    <row r="3027" spans="1:21" x14ac:dyDescent="0.2">
      <c r="A3027" s="3">
        <v>3026</v>
      </c>
      <c r="B3027" s="1" t="s">
        <v>4875</v>
      </c>
      <c r="D3027" s="1" t="s">
        <v>4876</v>
      </c>
      <c r="F3027" s="1" t="s">
        <v>4880</v>
      </c>
      <c r="H3027" s="1" t="s">
        <v>4881</v>
      </c>
      <c r="N3027" s="1" t="s">
        <v>11753</v>
      </c>
      <c r="P3027" s="1" t="s">
        <v>11754</v>
      </c>
      <c r="Q3027" s="30" t="s">
        <v>2565</v>
      </c>
      <c r="R3027" s="33" t="s">
        <v>3472</v>
      </c>
      <c r="S3027">
        <v>37</v>
      </c>
      <c r="T3027" s="1" t="s">
        <v>13955</v>
      </c>
      <c r="U3027" s="1" t="str">
        <f>HYPERLINK("http://ictvonline.org/taxonomy/p/taxonomy-history?taxnode_id=202112400","ICTVonline=202112400")</f>
        <v>ICTVonline=202112400</v>
      </c>
    </row>
    <row r="3028" spans="1:21" x14ac:dyDescent="0.2">
      <c r="A3028" s="3">
        <v>3027</v>
      </c>
      <c r="B3028" s="1" t="s">
        <v>4875</v>
      </c>
      <c r="D3028" s="1" t="s">
        <v>4876</v>
      </c>
      <c r="F3028" s="1" t="s">
        <v>4880</v>
      </c>
      <c r="H3028" s="1" t="s">
        <v>4881</v>
      </c>
      <c r="N3028" s="1" t="s">
        <v>6214</v>
      </c>
      <c r="P3028" s="1" t="s">
        <v>11755</v>
      </c>
      <c r="Q3028" s="30" t="s">
        <v>2565</v>
      </c>
      <c r="R3028" s="33" t="s">
        <v>3473</v>
      </c>
      <c r="S3028">
        <v>37</v>
      </c>
      <c r="T3028" s="1" t="s">
        <v>13878</v>
      </c>
      <c r="U3028" s="1" t="str">
        <f>HYPERLINK("http://ictvonline.org/taxonomy/p/taxonomy-history?taxnode_id=202110029","ICTVonline=202110029")</f>
        <v>ICTVonline=202110029</v>
      </c>
    </row>
    <row r="3029" spans="1:21" x14ac:dyDescent="0.2">
      <c r="A3029" s="3">
        <v>3028</v>
      </c>
      <c r="B3029" s="1" t="s">
        <v>4875</v>
      </c>
      <c r="D3029" s="1" t="s">
        <v>4876</v>
      </c>
      <c r="F3029" s="1" t="s">
        <v>4880</v>
      </c>
      <c r="H3029" s="1" t="s">
        <v>4881</v>
      </c>
      <c r="N3029" s="1" t="s">
        <v>6214</v>
      </c>
      <c r="P3029" s="1" t="s">
        <v>11756</v>
      </c>
      <c r="Q3029" s="30" t="s">
        <v>2565</v>
      </c>
      <c r="R3029" s="33" t="s">
        <v>3473</v>
      </c>
      <c r="S3029">
        <v>37</v>
      </c>
      <c r="T3029" s="1" t="s">
        <v>13878</v>
      </c>
      <c r="U3029" s="1" t="str">
        <f>HYPERLINK("http://ictvonline.org/taxonomy/p/taxonomy-history?taxnode_id=202110027","ICTVonline=202110027")</f>
        <v>ICTVonline=202110027</v>
      </c>
    </row>
    <row r="3030" spans="1:21" x14ac:dyDescent="0.2">
      <c r="A3030" s="3">
        <v>3029</v>
      </c>
      <c r="B3030" s="1" t="s">
        <v>4875</v>
      </c>
      <c r="D3030" s="1" t="s">
        <v>4876</v>
      </c>
      <c r="F3030" s="1" t="s">
        <v>4880</v>
      </c>
      <c r="H3030" s="1" t="s">
        <v>4881</v>
      </c>
      <c r="N3030" s="1" t="s">
        <v>6214</v>
      </c>
      <c r="P3030" s="1" t="s">
        <v>11757</v>
      </c>
      <c r="Q3030" s="30" t="s">
        <v>2565</v>
      </c>
      <c r="R3030" s="33" t="s">
        <v>3473</v>
      </c>
      <c r="S3030">
        <v>37</v>
      </c>
      <c r="T3030" s="1" t="s">
        <v>13878</v>
      </c>
      <c r="U3030" s="1" t="str">
        <f>HYPERLINK("http://ictvonline.org/taxonomy/p/taxonomy-history?taxnode_id=202110028","ICTVonline=202110028")</f>
        <v>ICTVonline=202110028</v>
      </c>
    </row>
    <row r="3031" spans="1:21" x14ac:dyDescent="0.2">
      <c r="A3031" s="3">
        <v>3030</v>
      </c>
      <c r="B3031" s="1" t="s">
        <v>4875</v>
      </c>
      <c r="D3031" s="1" t="s">
        <v>4876</v>
      </c>
      <c r="F3031" s="1" t="s">
        <v>4880</v>
      </c>
      <c r="H3031" s="1" t="s">
        <v>4881</v>
      </c>
      <c r="N3031" s="1" t="s">
        <v>6214</v>
      </c>
      <c r="P3031" s="1" t="s">
        <v>11758</v>
      </c>
      <c r="Q3031" s="30" t="s">
        <v>2565</v>
      </c>
      <c r="R3031" s="33" t="s">
        <v>3473</v>
      </c>
      <c r="S3031">
        <v>37</v>
      </c>
      <c r="T3031" s="1" t="s">
        <v>13878</v>
      </c>
      <c r="U3031" s="1" t="str">
        <f>HYPERLINK("http://ictvonline.org/taxonomy/p/taxonomy-history?taxnode_id=202110031","ICTVonline=202110031")</f>
        <v>ICTVonline=202110031</v>
      </c>
    </row>
    <row r="3032" spans="1:21" x14ac:dyDescent="0.2">
      <c r="A3032" s="3">
        <v>3031</v>
      </c>
      <c r="B3032" s="1" t="s">
        <v>4875</v>
      </c>
      <c r="D3032" s="1" t="s">
        <v>4876</v>
      </c>
      <c r="F3032" s="1" t="s">
        <v>4880</v>
      </c>
      <c r="H3032" s="1" t="s">
        <v>4881</v>
      </c>
      <c r="N3032" s="1" t="s">
        <v>6214</v>
      </c>
      <c r="P3032" s="1" t="s">
        <v>11759</v>
      </c>
      <c r="Q3032" s="30" t="s">
        <v>2565</v>
      </c>
      <c r="R3032" s="33" t="s">
        <v>3473</v>
      </c>
      <c r="S3032">
        <v>37</v>
      </c>
      <c r="T3032" s="1" t="s">
        <v>13878</v>
      </c>
      <c r="U3032" s="1" t="str">
        <f>HYPERLINK("http://ictvonline.org/taxonomy/p/taxonomy-history?taxnode_id=202110032","ICTVonline=202110032")</f>
        <v>ICTVonline=202110032</v>
      </c>
    </row>
    <row r="3033" spans="1:21" x14ac:dyDescent="0.2">
      <c r="A3033" s="3">
        <v>3032</v>
      </c>
      <c r="B3033" s="1" t="s">
        <v>4875</v>
      </c>
      <c r="D3033" s="1" t="s">
        <v>4876</v>
      </c>
      <c r="F3033" s="1" t="s">
        <v>4880</v>
      </c>
      <c r="H3033" s="1" t="s">
        <v>4881</v>
      </c>
      <c r="N3033" s="1" t="s">
        <v>6214</v>
      </c>
      <c r="P3033" s="1" t="s">
        <v>11760</v>
      </c>
      <c r="Q3033" s="30" t="s">
        <v>2565</v>
      </c>
      <c r="R3033" s="33" t="s">
        <v>3473</v>
      </c>
      <c r="S3033">
        <v>37</v>
      </c>
      <c r="T3033" s="1" t="s">
        <v>13878</v>
      </c>
      <c r="U3033" s="1" t="str">
        <f>HYPERLINK("http://ictvonline.org/taxonomy/p/taxonomy-history?taxnode_id=202110030","ICTVonline=202110030")</f>
        <v>ICTVonline=202110030</v>
      </c>
    </row>
    <row r="3034" spans="1:21" x14ac:dyDescent="0.2">
      <c r="A3034" s="3">
        <v>3033</v>
      </c>
      <c r="B3034" s="1" t="s">
        <v>4875</v>
      </c>
      <c r="D3034" s="1" t="s">
        <v>4876</v>
      </c>
      <c r="F3034" s="1" t="s">
        <v>4880</v>
      </c>
      <c r="H3034" s="1" t="s">
        <v>4881</v>
      </c>
      <c r="N3034" s="1" t="s">
        <v>4699</v>
      </c>
      <c r="P3034" s="1" t="s">
        <v>11761</v>
      </c>
      <c r="Q3034" s="30" t="s">
        <v>2565</v>
      </c>
      <c r="R3034" s="33" t="s">
        <v>3473</v>
      </c>
      <c r="S3034">
        <v>37</v>
      </c>
      <c r="T3034" s="1" t="s">
        <v>13878</v>
      </c>
      <c r="U3034" s="1" t="str">
        <f>HYPERLINK("http://ictvonline.org/taxonomy/p/taxonomy-history?taxnode_id=202106774","ICTVonline=202106774")</f>
        <v>ICTVonline=202106774</v>
      </c>
    </row>
    <row r="3035" spans="1:21" x14ac:dyDescent="0.2">
      <c r="A3035" s="3">
        <v>3034</v>
      </c>
      <c r="B3035" s="1" t="s">
        <v>4875</v>
      </c>
      <c r="D3035" s="1" t="s">
        <v>4876</v>
      </c>
      <c r="F3035" s="1" t="s">
        <v>4880</v>
      </c>
      <c r="H3035" s="1" t="s">
        <v>4881</v>
      </c>
      <c r="N3035" s="1" t="s">
        <v>5117</v>
      </c>
      <c r="P3035" s="1" t="s">
        <v>11762</v>
      </c>
      <c r="Q3035" s="30" t="s">
        <v>2565</v>
      </c>
      <c r="R3035" s="33" t="s">
        <v>3473</v>
      </c>
      <c r="S3035">
        <v>37</v>
      </c>
      <c r="T3035" s="1" t="s">
        <v>13878</v>
      </c>
      <c r="U3035" s="1" t="str">
        <f>HYPERLINK("http://ictvonline.org/taxonomy/p/taxonomy-history?taxnode_id=202107758","ICTVonline=202107758")</f>
        <v>ICTVonline=202107758</v>
      </c>
    </row>
    <row r="3036" spans="1:21" x14ac:dyDescent="0.2">
      <c r="A3036" s="3">
        <v>3035</v>
      </c>
      <c r="B3036" s="1" t="s">
        <v>4875</v>
      </c>
      <c r="D3036" s="1" t="s">
        <v>4876</v>
      </c>
      <c r="F3036" s="1" t="s">
        <v>4880</v>
      </c>
      <c r="H3036" s="1" t="s">
        <v>4881</v>
      </c>
      <c r="N3036" s="1" t="s">
        <v>4700</v>
      </c>
      <c r="P3036" s="1" t="s">
        <v>11763</v>
      </c>
      <c r="Q3036" s="30" t="s">
        <v>2565</v>
      </c>
      <c r="R3036" s="33" t="s">
        <v>3473</v>
      </c>
      <c r="S3036">
        <v>37</v>
      </c>
      <c r="T3036" s="1" t="s">
        <v>13878</v>
      </c>
      <c r="U3036" s="1" t="str">
        <f>HYPERLINK("http://ictvonline.org/taxonomy/p/taxonomy-history?taxnode_id=202106916","ICTVonline=202106916")</f>
        <v>ICTVonline=202106916</v>
      </c>
    </row>
    <row r="3037" spans="1:21" x14ac:dyDescent="0.2">
      <c r="A3037" s="3">
        <v>3036</v>
      </c>
      <c r="B3037" s="1" t="s">
        <v>4875</v>
      </c>
      <c r="D3037" s="1" t="s">
        <v>4876</v>
      </c>
      <c r="F3037" s="1" t="s">
        <v>4880</v>
      </c>
      <c r="H3037" s="1" t="s">
        <v>4881</v>
      </c>
      <c r="N3037" s="1" t="s">
        <v>4700</v>
      </c>
      <c r="P3037" s="1" t="s">
        <v>11764</v>
      </c>
      <c r="Q3037" s="30" t="s">
        <v>2565</v>
      </c>
      <c r="R3037" s="33" t="s">
        <v>3473</v>
      </c>
      <c r="S3037">
        <v>37</v>
      </c>
      <c r="T3037" s="1" t="s">
        <v>13878</v>
      </c>
      <c r="U3037" s="1" t="str">
        <f>HYPERLINK("http://ictvonline.org/taxonomy/p/taxonomy-history?taxnode_id=202106915","ICTVonline=202106915")</f>
        <v>ICTVonline=202106915</v>
      </c>
    </row>
    <row r="3038" spans="1:21" x14ac:dyDescent="0.2">
      <c r="A3038" s="3">
        <v>3037</v>
      </c>
      <c r="B3038" s="1" t="s">
        <v>4875</v>
      </c>
      <c r="D3038" s="1" t="s">
        <v>4876</v>
      </c>
      <c r="F3038" s="1" t="s">
        <v>4880</v>
      </c>
      <c r="H3038" s="1" t="s">
        <v>4881</v>
      </c>
      <c r="N3038" s="1" t="s">
        <v>4701</v>
      </c>
      <c r="P3038" s="1" t="s">
        <v>11765</v>
      </c>
      <c r="Q3038" s="30" t="s">
        <v>2565</v>
      </c>
      <c r="R3038" s="33" t="s">
        <v>3473</v>
      </c>
      <c r="S3038">
        <v>37</v>
      </c>
      <c r="T3038" s="1" t="s">
        <v>13878</v>
      </c>
      <c r="U3038" s="1" t="str">
        <f>HYPERLINK("http://ictvonline.org/taxonomy/p/taxonomy-history?taxnode_id=202101185","ICTVonline=202101185")</f>
        <v>ICTVonline=202101185</v>
      </c>
    </row>
    <row r="3039" spans="1:21" x14ac:dyDescent="0.2">
      <c r="A3039" s="3">
        <v>3038</v>
      </c>
      <c r="B3039" s="1" t="s">
        <v>4875</v>
      </c>
      <c r="D3039" s="1" t="s">
        <v>4876</v>
      </c>
      <c r="F3039" s="1" t="s">
        <v>4880</v>
      </c>
      <c r="H3039" s="1" t="s">
        <v>4881</v>
      </c>
      <c r="N3039" s="1" t="s">
        <v>4701</v>
      </c>
      <c r="P3039" s="1" t="s">
        <v>11766</v>
      </c>
      <c r="Q3039" s="30" t="s">
        <v>2565</v>
      </c>
      <c r="R3039" s="33" t="s">
        <v>3473</v>
      </c>
      <c r="S3039">
        <v>37</v>
      </c>
      <c r="T3039" s="1" t="s">
        <v>13878</v>
      </c>
      <c r="U3039" s="1" t="str">
        <f>HYPERLINK("http://ictvonline.org/taxonomy/p/taxonomy-history?taxnode_id=202101186","ICTVonline=202101186")</f>
        <v>ICTVonline=202101186</v>
      </c>
    </row>
    <row r="3040" spans="1:21" x14ac:dyDescent="0.2">
      <c r="A3040" s="3">
        <v>3039</v>
      </c>
      <c r="B3040" s="1" t="s">
        <v>4875</v>
      </c>
      <c r="D3040" s="1" t="s">
        <v>4876</v>
      </c>
      <c r="F3040" s="1" t="s">
        <v>4880</v>
      </c>
      <c r="H3040" s="1" t="s">
        <v>4881</v>
      </c>
      <c r="N3040" s="1" t="s">
        <v>5118</v>
      </c>
      <c r="P3040" s="1" t="s">
        <v>11767</v>
      </c>
      <c r="Q3040" s="30" t="s">
        <v>2565</v>
      </c>
      <c r="R3040" s="33" t="s">
        <v>3473</v>
      </c>
      <c r="S3040">
        <v>37</v>
      </c>
      <c r="T3040" s="1" t="s">
        <v>13878</v>
      </c>
      <c r="U3040" s="1" t="str">
        <f>HYPERLINK("http://ictvonline.org/taxonomy/p/taxonomy-history?taxnode_id=202107914","ICTVonline=202107914")</f>
        <v>ICTVonline=202107914</v>
      </c>
    </row>
    <row r="3041" spans="1:21" x14ac:dyDescent="0.2">
      <c r="A3041" s="3">
        <v>3040</v>
      </c>
      <c r="B3041" s="1" t="s">
        <v>4875</v>
      </c>
      <c r="D3041" s="1" t="s">
        <v>4876</v>
      </c>
      <c r="F3041" s="1" t="s">
        <v>4880</v>
      </c>
      <c r="H3041" s="1" t="s">
        <v>4881</v>
      </c>
      <c r="N3041" s="1" t="s">
        <v>4551</v>
      </c>
      <c r="P3041" s="1" t="s">
        <v>11768</v>
      </c>
      <c r="Q3041" s="30" t="s">
        <v>2565</v>
      </c>
      <c r="R3041" s="33" t="s">
        <v>3473</v>
      </c>
      <c r="S3041">
        <v>37</v>
      </c>
      <c r="T3041" s="1" t="s">
        <v>13878</v>
      </c>
      <c r="U3041" s="1" t="str">
        <f>HYPERLINK("http://ictvonline.org/taxonomy/p/taxonomy-history?taxnode_id=202100423","ICTVonline=202100423")</f>
        <v>ICTVonline=202100423</v>
      </c>
    </row>
    <row r="3042" spans="1:21" x14ac:dyDescent="0.2">
      <c r="A3042" s="3">
        <v>3041</v>
      </c>
      <c r="B3042" s="1" t="s">
        <v>4875</v>
      </c>
      <c r="D3042" s="1" t="s">
        <v>4876</v>
      </c>
      <c r="F3042" s="1" t="s">
        <v>4880</v>
      </c>
      <c r="H3042" s="1" t="s">
        <v>4881</v>
      </c>
      <c r="N3042" s="1" t="s">
        <v>4551</v>
      </c>
      <c r="P3042" s="1" t="s">
        <v>11769</v>
      </c>
      <c r="Q3042" s="30" t="s">
        <v>2565</v>
      </c>
      <c r="R3042" s="33" t="s">
        <v>3473</v>
      </c>
      <c r="S3042">
        <v>37</v>
      </c>
      <c r="T3042" s="1" t="s">
        <v>13878</v>
      </c>
      <c r="U3042" s="1" t="str">
        <f>HYPERLINK("http://ictvonline.org/taxonomy/p/taxonomy-history?taxnode_id=202109889","ICTVonline=202109889")</f>
        <v>ICTVonline=202109889</v>
      </c>
    </row>
    <row r="3043" spans="1:21" x14ac:dyDescent="0.2">
      <c r="A3043" s="3">
        <v>3042</v>
      </c>
      <c r="B3043" s="1" t="s">
        <v>4875</v>
      </c>
      <c r="D3043" s="1" t="s">
        <v>4876</v>
      </c>
      <c r="F3043" s="1" t="s">
        <v>4880</v>
      </c>
      <c r="H3043" s="1" t="s">
        <v>4881</v>
      </c>
      <c r="N3043" s="1" t="s">
        <v>11770</v>
      </c>
      <c r="P3043" s="1" t="s">
        <v>11771</v>
      </c>
      <c r="Q3043" s="30" t="s">
        <v>2565</v>
      </c>
      <c r="R3043" s="33" t="s">
        <v>3472</v>
      </c>
      <c r="S3043">
        <v>37</v>
      </c>
      <c r="T3043" s="1" t="s">
        <v>13956</v>
      </c>
      <c r="U3043" s="1" t="str">
        <f>HYPERLINK("http://ictvonline.org/taxonomy/p/taxonomy-history?taxnode_id=202112404","ICTVonline=202112404")</f>
        <v>ICTVonline=202112404</v>
      </c>
    </row>
    <row r="3044" spans="1:21" x14ac:dyDescent="0.2">
      <c r="A3044" s="3">
        <v>3043</v>
      </c>
      <c r="B3044" s="1" t="s">
        <v>4875</v>
      </c>
      <c r="D3044" s="1" t="s">
        <v>4876</v>
      </c>
      <c r="F3044" s="1" t="s">
        <v>4880</v>
      </c>
      <c r="H3044" s="1" t="s">
        <v>4881</v>
      </c>
      <c r="N3044" s="1" t="s">
        <v>11770</v>
      </c>
      <c r="P3044" s="1" t="s">
        <v>11772</v>
      </c>
      <c r="Q3044" s="30" t="s">
        <v>2565</v>
      </c>
      <c r="R3044" s="33" t="s">
        <v>3472</v>
      </c>
      <c r="S3044">
        <v>37</v>
      </c>
      <c r="T3044" s="1" t="s">
        <v>13956</v>
      </c>
      <c r="U3044" s="1" t="str">
        <f>HYPERLINK("http://ictvonline.org/taxonomy/p/taxonomy-history?taxnode_id=202112403","ICTVonline=202112403")</f>
        <v>ICTVonline=202112403</v>
      </c>
    </row>
    <row r="3045" spans="1:21" x14ac:dyDescent="0.2">
      <c r="A3045" s="3">
        <v>3044</v>
      </c>
      <c r="B3045" s="1" t="s">
        <v>4875</v>
      </c>
      <c r="D3045" s="1" t="s">
        <v>4876</v>
      </c>
      <c r="F3045" s="1" t="s">
        <v>4880</v>
      </c>
      <c r="H3045" s="1" t="s">
        <v>4881</v>
      </c>
      <c r="N3045" s="1" t="s">
        <v>11770</v>
      </c>
      <c r="P3045" s="1" t="s">
        <v>11773</v>
      </c>
      <c r="Q3045" s="30" t="s">
        <v>2565</v>
      </c>
      <c r="R3045" s="33" t="s">
        <v>3472</v>
      </c>
      <c r="S3045">
        <v>37</v>
      </c>
      <c r="T3045" s="1" t="s">
        <v>13956</v>
      </c>
      <c r="U3045" s="1" t="str">
        <f>HYPERLINK("http://ictvonline.org/taxonomy/p/taxonomy-history?taxnode_id=202112402","ICTVonline=202112402")</f>
        <v>ICTVonline=202112402</v>
      </c>
    </row>
    <row r="3046" spans="1:21" x14ac:dyDescent="0.2">
      <c r="A3046" s="3">
        <v>3045</v>
      </c>
      <c r="B3046" s="1" t="s">
        <v>4875</v>
      </c>
      <c r="D3046" s="1" t="s">
        <v>4876</v>
      </c>
      <c r="F3046" s="1" t="s">
        <v>4880</v>
      </c>
      <c r="H3046" s="1" t="s">
        <v>4881</v>
      </c>
      <c r="N3046" s="1" t="s">
        <v>5209</v>
      </c>
      <c r="P3046" s="1" t="s">
        <v>11774</v>
      </c>
      <c r="Q3046" s="30" t="s">
        <v>2565</v>
      </c>
      <c r="R3046" s="33" t="s">
        <v>3473</v>
      </c>
      <c r="S3046">
        <v>37</v>
      </c>
      <c r="T3046" s="1" t="s">
        <v>13878</v>
      </c>
      <c r="U3046" s="1" t="str">
        <f>HYPERLINK("http://ictvonline.org/taxonomy/p/taxonomy-history?taxnode_id=202107441","ICTVonline=202107441")</f>
        <v>ICTVonline=202107441</v>
      </c>
    </row>
    <row r="3047" spans="1:21" x14ac:dyDescent="0.2">
      <c r="A3047" s="3">
        <v>3046</v>
      </c>
      <c r="B3047" s="1" t="s">
        <v>4875</v>
      </c>
      <c r="D3047" s="1" t="s">
        <v>4876</v>
      </c>
      <c r="F3047" s="1" t="s">
        <v>4880</v>
      </c>
      <c r="H3047" s="1" t="s">
        <v>4881</v>
      </c>
      <c r="N3047" s="1" t="s">
        <v>5210</v>
      </c>
      <c r="P3047" s="1" t="s">
        <v>11775</v>
      </c>
      <c r="Q3047" s="30" t="s">
        <v>2565</v>
      </c>
      <c r="R3047" s="33" t="s">
        <v>3473</v>
      </c>
      <c r="S3047">
        <v>37</v>
      </c>
      <c r="T3047" s="1" t="s">
        <v>13878</v>
      </c>
      <c r="U3047" s="1" t="str">
        <f>HYPERLINK("http://ictvonline.org/taxonomy/p/taxonomy-history?taxnode_id=202107448","ICTVonline=202107448")</f>
        <v>ICTVonline=202107448</v>
      </c>
    </row>
    <row r="3048" spans="1:21" x14ac:dyDescent="0.2">
      <c r="A3048" s="3">
        <v>3047</v>
      </c>
      <c r="B3048" s="1" t="s">
        <v>4875</v>
      </c>
      <c r="D3048" s="1" t="s">
        <v>4876</v>
      </c>
      <c r="F3048" s="1" t="s">
        <v>4880</v>
      </c>
      <c r="H3048" s="1" t="s">
        <v>4881</v>
      </c>
      <c r="N3048" s="1" t="s">
        <v>5211</v>
      </c>
      <c r="P3048" s="1" t="s">
        <v>11776</v>
      </c>
      <c r="Q3048" s="30" t="s">
        <v>2565</v>
      </c>
      <c r="R3048" s="33" t="s">
        <v>3473</v>
      </c>
      <c r="S3048">
        <v>37</v>
      </c>
      <c r="T3048" s="1" t="s">
        <v>13878</v>
      </c>
      <c r="U3048" s="1" t="str">
        <f>HYPERLINK("http://ictvonline.org/taxonomy/p/taxonomy-history?taxnode_id=202108054","ICTVonline=202108054")</f>
        <v>ICTVonline=202108054</v>
      </c>
    </row>
    <row r="3049" spans="1:21" x14ac:dyDescent="0.2">
      <c r="A3049" s="3">
        <v>3048</v>
      </c>
      <c r="B3049" s="1" t="s">
        <v>4875</v>
      </c>
      <c r="D3049" s="1" t="s">
        <v>4876</v>
      </c>
      <c r="F3049" s="1" t="s">
        <v>4880</v>
      </c>
      <c r="H3049" s="1" t="s">
        <v>4881</v>
      </c>
      <c r="N3049" s="1" t="s">
        <v>4702</v>
      </c>
      <c r="P3049" s="1" t="s">
        <v>11777</v>
      </c>
      <c r="Q3049" s="30" t="s">
        <v>2565</v>
      </c>
      <c r="R3049" s="33" t="s">
        <v>3473</v>
      </c>
      <c r="S3049">
        <v>37</v>
      </c>
      <c r="T3049" s="1" t="s">
        <v>13878</v>
      </c>
      <c r="U3049" s="1" t="str">
        <f>HYPERLINK("http://ictvonline.org/taxonomy/p/taxonomy-history?taxnode_id=202101353","ICTVonline=202101353")</f>
        <v>ICTVonline=202101353</v>
      </c>
    </row>
    <row r="3050" spans="1:21" x14ac:dyDescent="0.2">
      <c r="A3050" s="3">
        <v>3049</v>
      </c>
      <c r="B3050" s="1" t="s">
        <v>4875</v>
      </c>
      <c r="D3050" s="1" t="s">
        <v>4876</v>
      </c>
      <c r="F3050" s="1" t="s">
        <v>4880</v>
      </c>
      <c r="H3050" s="1" t="s">
        <v>4881</v>
      </c>
      <c r="N3050" s="1" t="s">
        <v>4702</v>
      </c>
      <c r="P3050" s="1" t="s">
        <v>11778</v>
      </c>
      <c r="Q3050" s="30" t="s">
        <v>2565</v>
      </c>
      <c r="R3050" s="33" t="s">
        <v>3473</v>
      </c>
      <c r="S3050">
        <v>37</v>
      </c>
      <c r="T3050" s="1" t="s">
        <v>13878</v>
      </c>
      <c r="U3050" s="1" t="str">
        <f>HYPERLINK("http://ictvonline.org/taxonomy/p/taxonomy-history?taxnode_id=202101354","ICTVonline=202101354")</f>
        <v>ICTVonline=202101354</v>
      </c>
    </row>
    <row r="3051" spans="1:21" x14ac:dyDescent="0.2">
      <c r="A3051" s="3">
        <v>3050</v>
      </c>
      <c r="B3051" s="1" t="s">
        <v>4875</v>
      </c>
      <c r="D3051" s="1" t="s">
        <v>4876</v>
      </c>
      <c r="F3051" s="1" t="s">
        <v>4880</v>
      </c>
      <c r="H3051" s="1" t="s">
        <v>4881</v>
      </c>
      <c r="N3051" s="1" t="s">
        <v>11779</v>
      </c>
      <c r="P3051" s="1" t="s">
        <v>11780</v>
      </c>
      <c r="Q3051" s="30" t="s">
        <v>2565</v>
      </c>
      <c r="R3051" s="33" t="s">
        <v>3472</v>
      </c>
      <c r="S3051">
        <v>37</v>
      </c>
      <c r="T3051" s="1" t="s">
        <v>13927</v>
      </c>
      <c r="U3051" s="1" t="str">
        <f>HYPERLINK("http://ictvonline.org/taxonomy/p/taxonomy-history?taxnode_id=202113620","ICTVonline=202113620")</f>
        <v>ICTVonline=202113620</v>
      </c>
    </row>
    <row r="3052" spans="1:21" x14ac:dyDescent="0.2">
      <c r="A3052" s="3">
        <v>3051</v>
      </c>
      <c r="B3052" s="1" t="s">
        <v>4875</v>
      </c>
      <c r="D3052" s="1" t="s">
        <v>4876</v>
      </c>
      <c r="F3052" s="1" t="s">
        <v>4880</v>
      </c>
      <c r="H3052" s="1" t="s">
        <v>4881</v>
      </c>
      <c r="N3052" s="1" t="s">
        <v>11779</v>
      </c>
      <c r="P3052" s="1" t="s">
        <v>11781</v>
      </c>
      <c r="Q3052" s="30" t="s">
        <v>2565</v>
      </c>
      <c r="R3052" s="33" t="s">
        <v>3472</v>
      </c>
      <c r="S3052">
        <v>37</v>
      </c>
      <c r="T3052" s="1" t="s">
        <v>13927</v>
      </c>
      <c r="U3052" s="1" t="str">
        <f>HYPERLINK("http://ictvonline.org/taxonomy/p/taxonomy-history?taxnode_id=202113621","ICTVonline=202113621")</f>
        <v>ICTVonline=202113621</v>
      </c>
    </row>
    <row r="3053" spans="1:21" x14ac:dyDescent="0.2">
      <c r="A3053" s="3">
        <v>3052</v>
      </c>
      <c r="B3053" s="1" t="s">
        <v>4875</v>
      </c>
      <c r="D3053" s="1" t="s">
        <v>4876</v>
      </c>
      <c r="F3053" s="1" t="s">
        <v>4880</v>
      </c>
      <c r="H3053" s="1" t="s">
        <v>4881</v>
      </c>
      <c r="N3053" s="1" t="s">
        <v>3535</v>
      </c>
      <c r="P3053" s="1" t="s">
        <v>11782</v>
      </c>
      <c r="Q3053" s="30" t="s">
        <v>2565</v>
      </c>
      <c r="R3053" s="33" t="s">
        <v>3473</v>
      </c>
      <c r="S3053">
        <v>37</v>
      </c>
      <c r="T3053" s="1" t="s">
        <v>13878</v>
      </c>
      <c r="U3053" s="1" t="str">
        <f>HYPERLINK("http://ictvonline.org/taxonomy/p/taxonomy-history?taxnode_id=202105483","ICTVonline=202105483")</f>
        <v>ICTVonline=202105483</v>
      </c>
    </row>
    <row r="3054" spans="1:21" x14ac:dyDescent="0.2">
      <c r="A3054" s="3">
        <v>3053</v>
      </c>
      <c r="B3054" s="1" t="s">
        <v>4875</v>
      </c>
      <c r="D3054" s="1" t="s">
        <v>4876</v>
      </c>
      <c r="F3054" s="1" t="s">
        <v>4880</v>
      </c>
      <c r="H3054" s="1" t="s">
        <v>4881</v>
      </c>
      <c r="N3054" s="1" t="s">
        <v>4703</v>
      </c>
      <c r="P3054" s="1" t="s">
        <v>11783</v>
      </c>
      <c r="Q3054" s="30" t="s">
        <v>2565</v>
      </c>
      <c r="R3054" s="33" t="s">
        <v>3473</v>
      </c>
      <c r="S3054">
        <v>37</v>
      </c>
      <c r="T3054" s="1" t="s">
        <v>13878</v>
      </c>
      <c r="U3054" s="1" t="str">
        <f>HYPERLINK("http://ictvonline.org/taxonomy/p/taxonomy-history?taxnode_id=202106987","ICTVonline=202106987")</f>
        <v>ICTVonline=202106987</v>
      </c>
    </row>
    <row r="3055" spans="1:21" x14ac:dyDescent="0.2">
      <c r="A3055" s="3">
        <v>3054</v>
      </c>
      <c r="B3055" s="1" t="s">
        <v>4875</v>
      </c>
      <c r="D3055" s="1" t="s">
        <v>4876</v>
      </c>
      <c r="F3055" s="1" t="s">
        <v>4880</v>
      </c>
      <c r="H3055" s="1" t="s">
        <v>4881</v>
      </c>
      <c r="N3055" s="1" t="s">
        <v>5212</v>
      </c>
      <c r="P3055" s="1" t="s">
        <v>11784</v>
      </c>
      <c r="Q3055" s="30" t="s">
        <v>2565</v>
      </c>
      <c r="R3055" s="33" t="s">
        <v>3473</v>
      </c>
      <c r="S3055">
        <v>37</v>
      </c>
      <c r="T3055" s="1" t="s">
        <v>13878</v>
      </c>
      <c r="U3055" s="1" t="str">
        <f>HYPERLINK("http://ictvonline.org/taxonomy/p/taxonomy-history?taxnode_id=202107892","ICTVonline=202107892")</f>
        <v>ICTVonline=202107892</v>
      </c>
    </row>
    <row r="3056" spans="1:21" x14ac:dyDescent="0.2">
      <c r="A3056" s="3">
        <v>3055</v>
      </c>
      <c r="B3056" s="1" t="s">
        <v>4875</v>
      </c>
      <c r="D3056" s="1" t="s">
        <v>4876</v>
      </c>
      <c r="F3056" s="1" t="s">
        <v>4880</v>
      </c>
      <c r="H3056" s="1" t="s">
        <v>4881</v>
      </c>
      <c r="N3056" s="1" t="s">
        <v>5213</v>
      </c>
      <c r="P3056" s="1" t="s">
        <v>11785</v>
      </c>
      <c r="Q3056" s="30" t="s">
        <v>2565</v>
      </c>
      <c r="R3056" s="33" t="s">
        <v>3473</v>
      </c>
      <c r="S3056">
        <v>37</v>
      </c>
      <c r="T3056" s="1" t="s">
        <v>13878</v>
      </c>
      <c r="U3056" s="1" t="str">
        <f>HYPERLINK("http://ictvonline.org/taxonomy/p/taxonomy-history?taxnode_id=202108065","ICTVonline=202108065")</f>
        <v>ICTVonline=202108065</v>
      </c>
    </row>
    <row r="3057" spans="1:21" x14ac:dyDescent="0.2">
      <c r="A3057" s="3">
        <v>3056</v>
      </c>
      <c r="B3057" s="1" t="s">
        <v>4875</v>
      </c>
      <c r="D3057" s="1" t="s">
        <v>4876</v>
      </c>
      <c r="F3057" s="1" t="s">
        <v>4880</v>
      </c>
      <c r="H3057" s="1" t="s">
        <v>4881</v>
      </c>
      <c r="N3057" s="1" t="s">
        <v>11786</v>
      </c>
      <c r="P3057" s="1" t="s">
        <v>11787</v>
      </c>
      <c r="Q3057" s="30" t="s">
        <v>2565</v>
      </c>
      <c r="R3057" s="33" t="s">
        <v>3472</v>
      </c>
      <c r="S3057">
        <v>37</v>
      </c>
      <c r="T3057" s="1" t="s">
        <v>13957</v>
      </c>
      <c r="U3057" s="1" t="str">
        <f>HYPERLINK("http://ictvonline.org/taxonomy/p/taxonomy-history?taxnode_id=202112406","ICTVonline=202112406")</f>
        <v>ICTVonline=202112406</v>
      </c>
    </row>
    <row r="3058" spans="1:21" x14ac:dyDescent="0.2">
      <c r="A3058" s="3">
        <v>3057</v>
      </c>
      <c r="B3058" s="1" t="s">
        <v>4875</v>
      </c>
      <c r="D3058" s="1" t="s">
        <v>4876</v>
      </c>
      <c r="F3058" s="1" t="s">
        <v>4880</v>
      </c>
      <c r="H3058" s="1" t="s">
        <v>4881</v>
      </c>
      <c r="N3058" s="1" t="s">
        <v>4704</v>
      </c>
      <c r="P3058" s="1" t="s">
        <v>11788</v>
      </c>
      <c r="Q3058" s="30" t="s">
        <v>2565</v>
      </c>
      <c r="R3058" s="33" t="s">
        <v>3473</v>
      </c>
      <c r="S3058">
        <v>37</v>
      </c>
      <c r="T3058" s="1" t="s">
        <v>13878</v>
      </c>
      <c r="U3058" s="1" t="str">
        <f>HYPERLINK("http://ictvonline.org/taxonomy/p/taxonomy-history?taxnode_id=202100969","ICTVonline=202100969")</f>
        <v>ICTVonline=202100969</v>
      </c>
    </row>
    <row r="3059" spans="1:21" x14ac:dyDescent="0.2">
      <c r="A3059" s="3">
        <v>3058</v>
      </c>
      <c r="B3059" s="1" t="s">
        <v>4875</v>
      </c>
      <c r="D3059" s="1" t="s">
        <v>4876</v>
      </c>
      <c r="F3059" s="1" t="s">
        <v>4880</v>
      </c>
      <c r="H3059" s="1" t="s">
        <v>4881</v>
      </c>
      <c r="N3059" s="1" t="s">
        <v>4704</v>
      </c>
      <c r="P3059" s="1" t="s">
        <v>11789</v>
      </c>
      <c r="Q3059" s="30" t="s">
        <v>2565</v>
      </c>
      <c r="R3059" s="33" t="s">
        <v>3473</v>
      </c>
      <c r="S3059">
        <v>37</v>
      </c>
      <c r="T3059" s="1" t="s">
        <v>13878</v>
      </c>
      <c r="U3059" s="1" t="str">
        <f>HYPERLINK("http://ictvonline.org/taxonomy/p/taxonomy-history?taxnode_id=202100970","ICTVonline=202100970")</f>
        <v>ICTVonline=202100970</v>
      </c>
    </row>
    <row r="3060" spans="1:21" x14ac:dyDescent="0.2">
      <c r="A3060" s="3">
        <v>3059</v>
      </c>
      <c r="B3060" s="1" t="s">
        <v>4875</v>
      </c>
      <c r="D3060" s="1" t="s">
        <v>4876</v>
      </c>
      <c r="F3060" s="1" t="s">
        <v>4880</v>
      </c>
      <c r="H3060" s="1" t="s">
        <v>4881</v>
      </c>
      <c r="N3060" s="1" t="s">
        <v>4705</v>
      </c>
      <c r="P3060" s="1" t="s">
        <v>11790</v>
      </c>
      <c r="Q3060" s="30" t="s">
        <v>2565</v>
      </c>
      <c r="R3060" s="33" t="s">
        <v>3473</v>
      </c>
      <c r="S3060">
        <v>37</v>
      </c>
      <c r="T3060" s="1" t="s">
        <v>13878</v>
      </c>
      <c r="U3060" s="1" t="str">
        <f>HYPERLINK("http://ictvonline.org/taxonomy/p/taxonomy-history?taxnode_id=202101318","ICTVonline=202101318")</f>
        <v>ICTVonline=202101318</v>
      </c>
    </row>
    <row r="3061" spans="1:21" x14ac:dyDescent="0.2">
      <c r="A3061" s="3">
        <v>3060</v>
      </c>
      <c r="B3061" s="1" t="s">
        <v>4875</v>
      </c>
      <c r="D3061" s="1" t="s">
        <v>4876</v>
      </c>
      <c r="F3061" s="1" t="s">
        <v>4880</v>
      </c>
      <c r="H3061" s="1" t="s">
        <v>4881</v>
      </c>
      <c r="N3061" s="1" t="s">
        <v>4705</v>
      </c>
      <c r="P3061" s="1" t="s">
        <v>11791</v>
      </c>
      <c r="Q3061" s="30" t="s">
        <v>2565</v>
      </c>
      <c r="R3061" s="33" t="s">
        <v>3473</v>
      </c>
      <c r="S3061">
        <v>37</v>
      </c>
      <c r="T3061" s="1" t="s">
        <v>13878</v>
      </c>
      <c r="U3061" s="1" t="str">
        <f>HYPERLINK("http://ictvonline.org/taxonomy/p/taxonomy-history?taxnode_id=202101319","ICTVonline=202101319")</f>
        <v>ICTVonline=202101319</v>
      </c>
    </row>
    <row r="3062" spans="1:21" x14ac:dyDescent="0.2">
      <c r="A3062" s="3">
        <v>3061</v>
      </c>
      <c r="B3062" s="1" t="s">
        <v>4875</v>
      </c>
      <c r="D3062" s="1" t="s">
        <v>4876</v>
      </c>
      <c r="F3062" s="1" t="s">
        <v>4880</v>
      </c>
      <c r="H3062" s="1" t="s">
        <v>4881</v>
      </c>
      <c r="N3062" s="1" t="s">
        <v>6025</v>
      </c>
      <c r="P3062" s="1" t="s">
        <v>11792</v>
      </c>
      <c r="Q3062" s="30" t="s">
        <v>2565</v>
      </c>
      <c r="R3062" s="33" t="s">
        <v>3473</v>
      </c>
      <c r="S3062">
        <v>37</v>
      </c>
      <c r="T3062" s="1" t="s">
        <v>13878</v>
      </c>
      <c r="U3062" s="1" t="str">
        <f>HYPERLINK("http://ictvonline.org/taxonomy/p/taxonomy-history?taxnode_id=202111531","ICTVonline=202111531")</f>
        <v>ICTVonline=202111531</v>
      </c>
    </row>
    <row r="3063" spans="1:21" x14ac:dyDescent="0.2">
      <c r="A3063" s="3">
        <v>3062</v>
      </c>
      <c r="B3063" s="1" t="s">
        <v>4875</v>
      </c>
      <c r="D3063" s="1" t="s">
        <v>4876</v>
      </c>
      <c r="F3063" s="1" t="s">
        <v>4880</v>
      </c>
      <c r="H3063" s="1" t="s">
        <v>4881</v>
      </c>
      <c r="N3063" s="1" t="s">
        <v>6025</v>
      </c>
      <c r="P3063" s="1" t="s">
        <v>11793</v>
      </c>
      <c r="Q3063" s="30" t="s">
        <v>2565</v>
      </c>
      <c r="R3063" s="33" t="s">
        <v>3473</v>
      </c>
      <c r="S3063">
        <v>37</v>
      </c>
      <c r="T3063" s="1" t="s">
        <v>13878</v>
      </c>
      <c r="U3063" s="1" t="str">
        <f>HYPERLINK("http://ictvonline.org/taxonomy/p/taxonomy-history?taxnode_id=202111530","ICTVonline=202111530")</f>
        <v>ICTVonline=202111530</v>
      </c>
    </row>
    <row r="3064" spans="1:21" x14ac:dyDescent="0.2">
      <c r="A3064" s="3">
        <v>3063</v>
      </c>
      <c r="B3064" s="1" t="s">
        <v>4875</v>
      </c>
      <c r="D3064" s="1" t="s">
        <v>4876</v>
      </c>
      <c r="F3064" s="1" t="s">
        <v>4880</v>
      </c>
      <c r="H3064" s="1" t="s">
        <v>4881</v>
      </c>
      <c r="N3064" s="1" t="s">
        <v>6215</v>
      </c>
      <c r="P3064" s="1" t="s">
        <v>11794</v>
      </c>
      <c r="Q3064" s="30" t="s">
        <v>2565</v>
      </c>
      <c r="R3064" s="33" t="s">
        <v>3473</v>
      </c>
      <c r="S3064">
        <v>37</v>
      </c>
      <c r="T3064" s="1" t="s">
        <v>13878</v>
      </c>
      <c r="U3064" s="1" t="str">
        <f>HYPERLINK("http://ictvonline.org/taxonomy/p/taxonomy-history?taxnode_id=202109335","ICTVonline=202109335")</f>
        <v>ICTVonline=202109335</v>
      </c>
    </row>
    <row r="3065" spans="1:21" x14ac:dyDescent="0.2">
      <c r="A3065" s="3">
        <v>3064</v>
      </c>
      <c r="B3065" s="1" t="s">
        <v>4875</v>
      </c>
      <c r="D3065" s="1" t="s">
        <v>4876</v>
      </c>
      <c r="F3065" s="1" t="s">
        <v>4880</v>
      </c>
      <c r="H3065" s="1" t="s">
        <v>4881</v>
      </c>
      <c r="N3065" s="1" t="s">
        <v>6215</v>
      </c>
      <c r="P3065" s="1" t="s">
        <v>11795</v>
      </c>
      <c r="Q3065" s="30" t="s">
        <v>2565</v>
      </c>
      <c r="R3065" s="33" t="s">
        <v>3473</v>
      </c>
      <c r="S3065">
        <v>37</v>
      </c>
      <c r="T3065" s="1" t="s">
        <v>13878</v>
      </c>
      <c r="U3065" s="1" t="str">
        <f>HYPERLINK("http://ictvonline.org/taxonomy/p/taxonomy-history?taxnode_id=202109336","ICTVonline=202109336")</f>
        <v>ICTVonline=202109336</v>
      </c>
    </row>
    <row r="3066" spans="1:21" x14ac:dyDescent="0.2">
      <c r="A3066" s="3">
        <v>3065</v>
      </c>
      <c r="B3066" s="1" t="s">
        <v>4875</v>
      </c>
      <c r="D3066" s="1" t="s">
        <v>4876</v>
      </c>
      <c r="F3066" s="1" t="s">
        <v>4880</v>
      </c>
      <c r="H3066" s="1" t="s">
        <v>4881</v>
      </c>
      <c r="N3066" s="1" t="s">
        <v>3186</v>
      </c>
      <c r="P3066" s="1" t="s">
        <v>11796</v>
      </c>
      <c r="Q3066" s="30" t="s">
        <v>2565</v>
      </c>
      <c r="R3066" s="33" t="s">
        <v>3473</v>
      </c>
      <c r="S3066">
        <v>37</v>
      </c>
      <c r="T3066" s="1" t="s">
        <v>13878</v>
      </c>
      <c r="U3066" s="1" t="str">
        <f>HYPERLINK("http://ictvonline.org/taxonomy/p/taxonomy-history?taxnode_id=202107002","ICTVonline=202107002")</f>
        <v>ICTVonline=202107002</v>
      </c>
    </row>
    <row r="3067" spans="1:21" x14ac:dyDescent="0.2">
      <c r="A3067" s="3">
        <v>3066</v>
      </c>
      <c r="B3067" s="1" t="s">
        <v>4875</v>
      </c>
      <c r="D3067" s="1" t="s">
        <v>4876</v>
      </c>
      <c r="F3067" s="1" t="s">
        <v>4880</v>
      </c>
      <c r="H3067" s="1" t="s">
        <v>4881</v>
      </c>
      <c r="N3067" s="1" t="s">
        <v>3186</v>
      </c>
      <c r="P3067" s="1" t="s">
        <v>11797</v>
      </c>
      <c r="Q3067" s="30" t="s">
        <v>2565</v>
      </c>
      <c r="R3067" s="33" t="s">
        <v>3473</v>
      </c>
      <c r="S3067">
        <v>37</v>
      </c>
      <c r="T3067" s="1" t="s">
        <v>13878</v>
      </c>
      <c r="U3067" s="1" t="str">
        <f>HYPERLINK("http://ictvonline.org/taxonomy/p/taxonomy-history?taxnode_id=202107003","ICTVonline=202107003")</f>
        <v>ICTVonline=202107003</v>
      </c>
    </row>
    <row r="3068" spans="1:21" x14ac:dyDescent="0.2">
      <c r="A3068" s="3">
        <v>3067</v>
      </c>
      <c r="B3068" s="1" t="s">
        <v>4875</v>
      </c>
      <c r="D3068" s="1" t="s">
        <v>4876</v>
      </c>
      <c r="F3068" s="1" t="s">
        <v>4880</v>
      </c>
      <c r="H3068" s="1" t="s">
        <v>4881</v>
      </c>
      <c r="N3068" s="1" t="s">
        <v>3186</v>
      </c>
      <c r="P3068" s="1" t="s">
        <v>11798</v>
      </c>
      <c r="Q3068" s="30" t="s">
        <v>2565</v>
      </c>
      <c r="R3068" s="33" t="s">
        <v>3473</v>
      </c>
      <c r="S3068">
        <v>37</v>
      </c>
      <c r="T3068" s="1" t="s">
        <v>13878</v>
      </c>
      <c r="U3068" s="1" t="str">
        <f>HYPERLINK("http://ictvonline.org/taxonomy/p/taxonomy-history?taxnode_id=202100448","ICTVonline=202100448")</f>
        <v>ICTVonline=202100448</v>
      </c>
    </row>
    <row r="3069" spans="1:21" x14ac:dyDescent="0.2">
      <c r="A3069" s="3">
        <v>3068</v>
      </c>
      <c r="B3069" s="1" t="s">
        <v>4875</v>
      </c>
      <c r="D3069" s="1" t="s">
        <v>4876</v>
      </c>
      <c r="F3069" s="1" t="s">
        <v>4880</v>
      </c>
      <c r="H3069" s="1" t="s">
        <v>4881</v>
      </c>
      <c r="N3069" s="1" t="s">
        <v>3186</v>
      </c>
      <c r="P3069" s="1" t="s">
        <v>11799</v>
      </c>
      <c r="Q3069" s="30" t="s">
        <v>2565</v>
      </c>
      <c r="R3069" s="33" t="s">
        <v>3473</v>
      </c>
      <c r="S3069">
        <v>37</v>
      </c>
      <c r="T3069" s="1" t="s">
        <v>13878</v>
      </c>
      <c r="U3069" s="1" t="str">
        <f>HYPERLINK("http://ictvonline.org/taxonomy/p/taxonomy-history?taxnode_id=202100449","ICTVonline=202100449")</f>
        <v>ICTVonline=202100449</v>
      </c>
    </row>
    <row r="3070" spans="1:21" x14ac:dyDescent="0.2">
      <c r="A3070" s="3">
        <v>3069</v>
      </c>
      <c r="B3070" s="1" t="s">
        <v>4875</v>
      </c>
      <c r="D3070" s="1" t="s">
        <v>4876</v>
      </c>
      <c r="F3070" s="1" t="s">
        <v>4880</v>
      </c>
      <c r="H3070" s="1" t="s">
        <v>4881</v>
      </c>
      <c r="N3070" s="1" t="s">
        <v>3186</v>
      </c>
      <c r="P3070" s="1" t="s">
        <v>11800</v>
      </c>
      <c r="Q3070" s="30" t="s">
        <v>2565</v>
      </c>
      <c r="R3070" s="33" t="s">
        <v>3473</v>
      </c>
      <c r="S3070">
        <v>37</v>
      </c>
      <c r="T3070" s="1" t="s">
        <v>13878</v>
      </c>
      <c r="U3070" s="1" t="str">
        <f>HYPERLINK("http://ictvonline.org/taxonomy/p/taxonomy-history?taxnode_id=202100450","ICTVonline=202100450")</f>
        <v>ICTVonline=202100450</v>
      </c>
    </row>
    <row r="3071" spans="1:21" x14ac:dyDescent="0.2">
      <c r="A3071" s="3">
        <v>3070</v>
      </c>
      <c r="B3071" s="1" t="s">
        <v>4875</v>
      </c>
      <c r="D3071" s="1" t="s">
        <v>4876</v>
      </c>
      <c r="F3071" s="1" t="s">
        <v>4880</v>
      </c>
      <c r="H3071" s="1" t="s">
        <v>4881</v>
      </c>
      <c r="N3071" s="1" t="s">
        <v>3186</v>
      </c>
      <c r="P3071" s="1" t="s">
        <v>11801</v>
      </c>
      <c r="Q3071" s="30" t="s">
        <v>2565</v>
      </c>
      <c r="R3071" s="33" t="s">
        <v>3473</v>
      </c>
      <c r="S3071">
        <v>37</v>
      </c>
      <c r="T3071" s="1" t="s">
        <v>13878</v>
      </c>
      <c r="U3071" s="1" t="str">
        <f>HYPERLINK("http://ictvonline.org/taxonomy/p/taxonomy-history?taxnode_id=202107004","ICTVonline=202107004")</f>
        <v>ICTVonline=202107004</v>
      </c>
    </row>
    <row r="3072" spans="1:21" x14ac:dyDescent="0.2">
      <c r="A3072" s="3">
        <v>3071</v>
      </c>
      <c r="B3072" s="1" t="s">
        <v>4875</v>
      </c>
      <c r="D3072" s="1" t="s">
        <v>4876</v>
      </c>
      <c r="F3072" s="1" t="s">
        <v>4880</v>
      </c>
      <c r="H3072" s="1" t="s">
        <v>4881</v>
      </c>
      <c r="N3072" s="1" t="s">
        <v>3186</v>
      </c>
      <c r="P3072" s="1" t="s">
        <v>11802</v>
      </c>
      <c r="Q3072" s="30" t="s">
        <v>2565</v>
      </c>
      <c r="R3072" s="33" t="s">
        <v>3473</v>
      </c>
      <c r="S3072">
        <v>37</v>
      </c>
      <c r="T3072" s="1" t="s">
        <v>13878</v>
      </c>
      <c r="U3072" s="1" t="str">
        <f>HYPERLINK("http://ictvonline.org/taxonomy/p/taxonomy-history?taxnode_id=202107005","ICTVonline=202107005")</f>
        <v>ICTVonline=202107005</v>
      </c>
    </row>
    <row r="3073" spans="1:21" x14ac:dyDescent="0.2">
      <c r="A3073" s="3">
        <v>3072</v>
      </c>
      <c r="B3073" s="1" t="s">
        <v>4875</v>
      </c>
      <c r="D3073" s="1" t="s">
        <v>4876</v>
      </c>
      <c r="F3073" s="1" t="s">
        <v>4880</v>
      </c>
      <c r="H3073" s="1" t="s">
        <v>4881</v>
      </c>
      <c r="N3073" s="1" t="s">
        <v>3186</v>
      </c>
      <c r="P3073" s="1" t="s">
        <v>11803</v>
      </c>
      <c r="Q3073" s="30" t="s">
        <v>2565</v>
      </c>
      <c r="R3073" s="33" t="s">
        <v>3473</v>
      </c>
      <c r="S3073">
        <v>37</v>
      </c>
      <c r="T3073" s="1" t="s">
        <v>13878</v>
      </c>
      <c r="U3073" s="1" t="str">
        <f>HYPERLINK("http://ictvonline.org/taxonomy/p/taxonomy-history?taxnode_id=202111532","ICTVonline=202111532")</f>
        <v>ICTVonline=202111532</v>
      </c>
    </row>
    <row r="3074" spans="1:21" x14ac:dyDescent="0.2">
      <c r="A3074" s="3">
        <v>3073</v>
      </c>
      <c r="B3074" s="1" t="s">
        <v>4875</v>
      </c>
      <c r="D3074" s="1" t="s">
        <v>4876</v>
      </c>
      <c r="F3074" s="1" t="s">
        <v>4880</v>
      </c>
      <c r="H3074" s="1" t="s">
        <v>4881</v>
      </c>
      <c r="N3074" s="1" t="s">
        <v>3210</v>
      </c>
      <c r="P3074" s="1" t="s">
        <v>11804</v>
      </c>
      <c r="Q3074" s="30" t="s">
        <v>2565</v>
      </c>
      <c r="R3074" s="33" t="s">
        <v>3473</v>
      </c>
      <c r="S3074">
        <v>37</v>
      </c>
      <c r="T3074" s="1" t="s">
        <v>13878</v>
      </c>
      <c r="U3074" s="1" t="str">
        <f>HYPERLINK("http://ictvonline.org/taxonomy/p/taxonomy-history?taxnode_id=202101079","ICTVonline=202101079")</f>
        <v>ICTVonline=202101079</v>
      </c>
    </row>
    <row r="3075" spans="1:21" x14ac:dyDescent="0.2">
      <c r="A3075" s="3">
        <v>3074</v>
      </c>
      <c r="B3075" s="1" t="s">
        <v>4875</v>
      </c>
      <c r="D3075" s="1" t="s">
        <v>4876</v>
      </c>
      <c r="F3075" s="1" t="s">
        <v>4880</v>
      </c>
      <c r="H3075" s="1" t="s">
        <v>4881</v>
      </c>
      <c r="N3075" s="1" t="s">
        <v>3210</v>
      </c>
      <c r="P3075" s="1" t="s">
        <v>11805</v>
      </c>
      <c r="Q3075" s="30" t="s">
        <v>2565</v>
      </c>
      <c r="R3075" s="33" t="s">
        <v>3473</v>
      </c>
      <c r="S3075">
        <v>37</v>
      </c>
      <c r="T3075" s="1" t="s">
        <v>13878</v>
      </c>
      <c r="U3075" s="1" t="str">
        <f>HYPERLINK("http://ictvonline.org/taxonomy/p/taxonomy-history?taxnode_id=202101080","ICTVonline=202101080")</f>
        <v>ICTVonline=202101080</v>
      </c>
    </row>
    <row r="3076" spans="1:21" x14ac:dyDescent="0.2">
      <c r="A3076" s="3">
        <v>3075</v>
      </c>
      <c r="B3076" s="1" t="s">
        <v>4875</v>
      </c>
      <c r="D3076" s="1" t="s">
        <v>4876</v>
      </c>
      <c r="F3076" s="1" t="s">
        <v>4880</v>
      </c>
      <c r="H3076" s="1" t="s">
        <v>4881</v>
      </c>
      <c r="N3076" s="1" t="s">
        <v>5214</v>
      </c>
      <c r="P3076" s="1" t="s">
        <v>11806</v>
      </c>
      <c r="Q3076" s="30" t="s">
        <v>2565</v>
      </c>
      <c r="R3076" s="33" t="s">
        <v>3473</v>
      </c>
      <c r="S3076">
        <v>37</v>
      </c>
      <c r="T3076" s="1" t="s">
        <v>13878</v>
      </c>
      <c r="U3076" s="1" t="str">
        <f>HYPERLINK("http://ictvonline.org/taxonomy/p/taxonomy-history?taxnode_id=202107894","ICTVonline=202107894")</f>
        <v>ICTVonline=202107894</v>
      </c>
    </row>
    <row r="3077" spans="1:21" x14ac:dyDescent="0.2">
      <c r="A3077" s="3">
        <v>3076</v>
      </c>
      <c r="B3077" s="1" t="s">
        <v>4875</v>
      </c>
      <c r="D3077" s="1" t="s">
        <v>4876</v>
      </c>
      <c r="F3077" s="1" t="s">
        <v>4880</v>
      </c>
      <c r="H3077" s="1" t="s">
        <v>4881</v>
      </c>
      <c r="N3077" s="1" t="s">
        <v>5215</v>
      </c>
      <c r="P3077" s="1" t="s">
        <v>11807</v>
      </c>
      <c r="Q3077" s="30" t="s">
        <v>2565</v>
      </c>
      <c r="R3077" s="33" t="s">
        <v>3473</v>
      </c>
      <c r="S3077">
        <v>37</v>
      </c>
      <c r="T3077" s="1" t="s">
        <v>13878</v>
      </c>
      <c r="U3077" s="1" t="str">
        <f>HYPERLINK("http://ictvonline.org/taxonomy/p/taxonomy-history?taxnode_id=202107453","ICTVonline=202107453")</f>
        <v>ICTVonline=202107453</v>
      </c>
    </row>
    <row r="3078" spans="1:21" x14ac:dyDescent="0.2">
      <c r="A3078" s="3">
        <v>3077</v>
      </c>
      <c r="B3078" s="1" t="s">
        <v>4875</v>
      </c>
      <c r="D3078" s="1" t="s">
        <v>4876</v>
      </c>
      <c r="F3078" s="1" t="s">
        <v>4880</v>
      </c>
      <c r="H3078" s="1" t="s">
        <v>4881</v>
      </c>
      <c r="N3078" s="1" t="s">
        <v>6027</v>
      </c>
      <c r="P3078" s="1" t="s">
        <v>11808</v>
      </c>
      <c r="Q3078" s="30" t="s">
        <v>2565</v>
      </c>
      <c r="R3078" s="33" t="s">
        <v>3473</v>
      </c>
      <c r="S3078">
        <v>37</v>
      </c>
      <c r="T3078" s="1" t="s">
        <v>13878</v>
      </c>
      <c r="U3078" s="1" t="str">
        <f>HYPERLINK("http://ictvonline.org/taxonomy/p/taxonomy-history?taxnode_id=202111537","ICTVonline=202111537")</f>
        <v>ICTVonline=202111537</v>
      </c>
    </row>
    <row r="3079" spans="1:21" x14ac:dyDescent="0.2">
      <c r="A3079" s="3">
        <v>3078</v>
      </c>
      <c r="B3079" s="1" t="s">
        <v>4875</v>
      </c>
      <c r="D3079" s="1" t="s">
        <v>4876</v>
      </c>
      <c r="F3079" s="1" t="s">
        <v>4880</v>
      </c>
      <c r="H3079" s="1" t="s">
        <v>4881</v>
      </c>
      <c r="N3079" s="1" t="s">
        <v>6027</v>
      </c>
      <c r="P3079" s="1" t="s">
        <v>11809</v>
      </c>
      <c r="Q3079" s="30" t="s">
        <v>2565</v>
      </c>
      <c r="R3079" s="33" t="s">
        <v>3473</v>
      </c>
      <c r="S3079">
        <v>37</v>
      </c>
      <c r="T3079" s="1" t="s">
        <v>13878</v>
      </c>
      <c r="U3079" s="1" t="str">
        <f>HYPERLINK("http://ictvonline.org/taxonomy/p/taxonomy-history?taxnode_id=202111535","ICTVonline=202111535")</f>
        <v>ICTVonline=202111535</v>
      </c>
    </row>
    <row r="3080" spans="1:21" x14ac:dyDescent="0.2">
      <c r="A3080" s="3">
        <v>3079</v>
      </c>
      <c r="B3080" s="1" t="s">
        <v>4875</v>
      </c>
      <c r="D3080" s="1" t="s">
        <v>4876</v>
      </c>
      <c r="F3080" s="1" t="s">
        <v>4880</v>
      </c>
      <c r="H3080" s="1" t="s">
        <v>4881</v>
      </c>
      <c r="N3080" s="1" t="s">
        <v>6027</v>
      </c>
      <c r="P3080" s="1" t="s">
        <v>11810</v>
      </c>
      <c r="Q3080" s="30" t="s">
        <v>2565</v>
      </c>
      <c r="R3080" s="33" t="s">
        <v>3473</v>
      </c>
      <c r="S3080">
        <v>37</v>
      </c>
      <c r="T3080" s="1" t="s">
        <v>13878</v>
      </c>
      <c r="U3080" s="1" t="str">
        <f>HYPERLINK("http://ictvonline.org/taxonomy/p/taxonomy-history?taxnode_id=202111536","ICTVonline=202111536")</f>
        <v>ICTVonline=202111536</v>
      </c>
    </row>
    <row r="3081" spans="1:21" x14ac:dyDescent="0.2">
      <c r="A3081" s="3">
        <v>3080</v>
      </c>
      <c r="B3081" s="1" t="s">
        <v>4875</v>
      </c>
      <c r="D3081" s="1" t="s">
        <v>4876</v>
      </c>
      <c r="F3081" s="1" t="s">
        <v>4880</v>
      </c>
      <c r="H3081" s="1" t="s">
        <v>4881</v>
      </c>
      <c r="N3081" s="1" t="s">
        <v>5216</v>
      </c>
      <c r="P3081" s="1" t="s">
        <v>11811</v>
      </c>
      <c r="Q3081" s="30" t="s">
        <v>2565</v>
      </c>
      <c r="R3081" s="33" t="s">
        <v>3473</v>
      </c>
      <c r="S3081">
        <v>37</v>
      </c>
      <c r="T3081" s="1" t="s">
        <v>13878</v>
      </c>
      <c r="U3081" s="1" t="str">
        <f>HYPERLINK("http://ictvonline.org/taxonomy/p/taxonomy-history?taxnode_id=202107898","ICTVonline=202107898")</f>
        <v>ICTVonline=202107898</v>
      </c>
    </row>
    <row r="3082" spans="1:21" x14ac:dyDescent="0.2">
      <c r="A3082" s="3">
        <v>3081</v>
      </c>
      <c r="B3082" s="1" t="s">
        <v>4875</v>
      </c>
      <c r="D3082" s="1" t="s">
        <v>4876</v>
      </c>
      <c r="F3082" s="1" t="s">
        <v>4880</v>
      </c>
      <c r="H3082" s="1" t="s">
        <v>4881</v>
      </c>
      <c r="N3082" s="1" t="s">
        <v>5216</v>
      </c>
      <c r="P3082" s="1" t="s">
        <v>11812</v>
      </c>
      <c r="Q3082" s="30" t="s">
        <v>2565</v>
      </c>
      <c r="R3082" s="33" t="s">
        <v>3473</v>
      </c>
      <c r="S3082">
        <v>37</v>
      </c>
      <c r="T3082" s="1" t="s">
        <v>13878</v>
      </c>
      <c r="U3082" s="1" t="str">
        <f>HYPERLINK("http://ictvonline.org/taxonomy/p/taxonomy-history?taxnode_id=202107896","ICTVonline=202107896")</f>
        <v>ICTVonline=202107896</v>
      </c>
    </row>
    <row r="3083" spans="1:21" x14ac:dyDescent="0.2">
      <c r="A3083" s="3">
        <v>3082</v>
      </c>
      <c r="B3083" s="1" t="s">
        <v>4875</v>
      </c>
      <c r="D3083" s="1" t="s">
        <v>4876</v>
      </c>
      <c r="F3083" s="1" t="s">
        <v>4880</v>
      </c>
      <c r="H3083" s="1" t="s">
        <v>4881</v>
      </c>
      <c r="N3083" s="1" t="s">
        <v>5216</v>
      </c>
      <c r="P3083" s="1" t="s">
        <v>11813</v>
      </c>
      <c r="Q3083" s="30" t="s">
        <v>2565</v>
      </c>
      <c r="R3083" s="33" t="s">
        <v>3473</v>
      </c>
      <c r="S3083">
        <v>37</v>
      </c>
      <c r="T3083" s="1" t="s">
        <v>13878</v>
      </c>
      <c r="U3083" s="1" t="str">
        <f>HYPERLINK("http://ictvonline.org/taxonomy/p/taxonomy-history?taxnode_id=202107897","ICTVonline=202107897")</f>
        <v>ICTVonline=202107897</v>
      </c>
    </row>
    <row r="3084" spans="1:21" x14ac:dyDescent="0.2">
      <c r="A3084" s="3">
        <v>3083</v>
      </c>
      <c r="B3084" s="1" t="s">
        <v>4875</v>
      </c>
      <c r="D3084" s="1" t="s">
        <v>4876</v>
      </c>
      <c r="F3084" s="1" t="s">
        <v>4880</v>
      </c>
      <c r="H3084" s="1" t="s">
        <v>4881</v>
      </c>
      <c r="N3084" s="1" t="s">
        <v>4552</v>
      </c>
      <c r="P3084" s="1" t="s">
        <v>11814</v>
      </c>
      <c r="Q3084" s="30" t="s">
        <v>2565</v>
      </c>
      <c r="R3084" s="33" t="s">
        <v>3473</v>
      </c>
      <c r="S3084">
        <v>37</v>
      </c>
      <c r="T3084" s="1" t="s">
        <v>13878</v>
      </c>
      <c r="U3084" s="1" t="str">
        <f>HYPERLINK("http://ictvonline.org/taxonomy/p/taxonomy-history?taxnode_id=202106918","ICTVonline=202106918")</f>
        <v>ICTVonline=202106918</v>
      </c>
    </row>
    <row r="3085" spans="1:21" x14ac:dyDescent="0.2">
      <c r="A3085" s="3">
        <v>3084</v>
      </c>
      <c r="B3085" s="1" t="s">
        <v>4875</v>
      </c>
      <c r="D3085" s="1" t="s">
        <v>4876</v>
      </c>
      <c r="F3085" s="1" t="s">
        <v>4880</v>
      </c>
      <c r="H3085" s="1" t="s">
        <v>4881</v>
      </c>
      <c r="N3085" s="1" t="s">
        <v>11815</v>
      </c>
      <c r="P3085" s="1" t="s">
        <v>11816</v>
      </c>
      <c r="Q3085" s="30" t="s">
        <v>2565</v>
      </c>
      <c r="R3085" s="33" t="s">
        <v>3472</v>
      </c>
      <c r="S3085">
        <v>37</v>
      </c>
      <c r="T3085" s="1" t="s">
        <v>13958</v>
      </c>
      <c r="U3085" s="1" t="str">
        <f>HYPERLINK("http://ictvonline.org/taxonomy/p/taxonomy-history?taxnode_id=202112419","ICTVonline=202112419")</f>
        <v>ICTVonline=202112419</v>
      </c>
    </row>
    <row r="3086" spans="1:21" x14ac:dyDescent="0.2">
      <c r="A3086" s="3">
        <v>3085</v>
      </c>
      <c r="B3086" s="1" t="s">
        <v>4875</v>
      </c>
      <c r="D3086" s="1" t="s">
        <v>4876</v>
      </c>
      <c r="F3086" s="1" t="s">
        <v>4880</v>
      </c>
      <c r="H3086" s="1" t="s">
        <v>4881</v>
      </c>
      <c r="N3086" s="1" t="s">
        <v>11817</v>
      </c>
      <c r="P3086" s="1" t="s">
        <v>11818</v>
      </c>
      <c r="Q3086" s="30" t="s">
        <v>2565</v>
      </c>
      <c r="R3086" s="33" t="s">
        <v>3473</v>
      </c>
      <c r="S3086">
        <v>37</v>
      </c>
      <c r="T3086" s="1" t="s">
        <v>13959</v>
      </c>
      <c r="U3086" s="1" t="str">
        <f>HYPERLINK("http://ictvonline.org/taxonomy/p/taxonomy-history?taxnode_id=202101019","ICTVonline=202101019")</f>
        <v>ICTVonline=202101019</v>
      </c>
    </row>
    <row r="3087" spans="1:21" x14ac:dyDescent="0.2">
      <c r="A3087" s="3">
        <v>3086</v>
      </c>
      <c r="B3087" s="1" t="s">
        <v>4875</v>
      </c>
      <c r="D3087" s="1" t="s">
        <v>4876</v>
      </c>
      <c r="F3087" s="1" t="s">
        <v>4880</v>
      </c>
      <c r="H3087" s="1" t="s">
        <v>4881</v>
      </c>
      <c r="N3087" s="1" t="s">
        <v>11817</v>
      </c>
      <c r="P3087" s="1" t="s">
        <v>11819</v>
      </c>
      <c r="Q3087" s="30" t="s">
        <v>2565</v>
      </c>
      <c r="R3087" s="33" t="s">
        <v>3473</v>
      </c>
      <c r="S3087">
        <v>37</v>
      </c>
      <c r="T3087" s="1" t="s">
        <v>13959</v>
      </c>
      <c r="U3087" s="1" t="str">
        <f>HYPERLINK("http://ictvonline.org/taxonomy/p/taxonomy-history?taxnode_id=202101034","ICTVonline=202101034")</f>
        <v>ICTVonline=202101034</v>
      </c>
    </row>
    <row r="3088" spans="1:21" x14ac:dyDescent="0.2">
      <c r="A3088" s="3">
        <v>3087</v>
      </c>
      <c r="B3088" s="1" t="s">
        <v>4875</v>
      </c>
      <c r="D3088" s="1" t="s">
        <v>4876</v>
      </c>
      <c r="F3088" s="1" t="s">
        <v>4880</v>
      </c>
      <c r="H3088" s="1" t="s">
        <v>4881</v>
      </c>
      <c r="N3088" s="1" t="s">
        <v>11817</v>
      </c>
      <c r="P3088" s="1" t="s">
        <v>11820</v>
      </c>
      <c r="Q3088" s="30" t="s">
        <v>2565</v>
      </c>
      <c r="R3088" s="33" t="s">
        <v>3473</v>
      </c>
      <c r="S3088">
        <v>37</v>
      </c>
      <c r="T3088" s="1" t="s">
        <v>13959</v>
      </c>
      <c r="U3088" s="1" t="str">
        <f>HYPERLINK("http://ictvonline.org/taxonomy/p/taxonomy-history?taxnode_id=202101043","ICTVonline=202101043")</f>
        <v>ICTVonline=202101043</v>
      </c>
    </row>
    <row r="3089" spans="1:21" x14ac:dyDescent="0.2">
      <c r="A3089" s="3">
        <v>3088</v>
      </c>
      <c r="B3089" s="1" t="s">
        <v>4875</v>
      </c>
      <c r="D3089" s="1" t="s">
        <v>4876</v>
      </c>
      <c r="F3089" s="1" t="s">
        <v>4880</v>
      </c>
      <c r="H3089" s="1" t="s">
        <v>4881</v>
      </c>
      <c r="N3089" s="1" t="s">
        <v>11817</v>
      </c>
      <c r="P3089" s="1" t="s">
        <v>11821</v>
      </c>
      <c r="Q3089" s="30" t="s">
        <v>2565</v>
      </c>
      <c r="R3089" s="33" t="s">
        <v>3472</v>
      </c>
      <c r="S3089">
        <v>37</v>
      </c>
      <c r="T3089" s="1" t="s">
        <v>13959</v>
      </c>
      <c r="U3089" s="1" t="str">
        <f>HYPERLINK("http://ictvonline.org/taxonomy/p/taxonomy-history?taxnode_id=202112421","ICTVonline=202112421")</f>
        <v>ICTVonline=202112421</v>
      </c>
    </row>
    <row r="3090" spans="1:21" x14ac:dyDescent="0.2">
      <c r="A3090" s="3">
        <v>3089</v>
      </c>
      <c r="B3090" s="1" t="s">
        <v>4875</v>
      </c>
      <c r="D3090" s="1" t="s">
        <v>4876</v>
      </c>
      <c r="F3090" s="1" t="s">
        <v>4880</v>
      </c>
      <c r="H3090" s="1" t="s">
        <v>4881</v>
      </c>
      <c r="N3090" s="1" t="s">
        <v>11817</v>
      </c>
      <c r="P3090" s="1" t="s">
        <v>11822</v>
      </c>
      <c r="Q3090" s="30" t="s">
        <v>2565</v>
      </c>
      <c r="R3090" s="33" t="s">
        <v>3472</v>
      </c>
      <c r="S3090">
        <v>37</v>
      </c>
      <c r="T3090" s="1" t="s">
        <v>13959</v>
      </c>
      <c r="U3090" s="1" t="str">
        <f>HYPERLINK("http://ictvonline.org/taxonomy/p/taxonomy-history?taxnode_id=202112422","ICTVonline=202112422")</f>
        <v>ICTVonline=202112422</v>
      </c>
    </row>
    <row r="3091" spans="1:21" x14ac:dyDescent="0.2">
      <c r="A3091" s="3">
        <v>3090</v>
      </c>
      <c r="B3091" s="1" t="s">
        <v>4875</v>
      </c>
      <c r="D3091" s="1" t="s">
        <v>4876</v>
      </c>
      <c r="F3091" s="1" t="s">
        <v>4880</v>
      </c>
      <c r="H3091" s="1" t="s">
        <v>4881</v>
      </c>
      <c r="N3091" s="1" t="s">
        <v>11817</v>
      </c>
      <c r="P3091" s="1" t="s">
        <v>11823</v>
      </c>
      <c r="Q3091" s="30" t="s">
        <v>2565</v>
      </c>
      <c r="R3091" s="33" t="s">
        <v>3473</v>
      </c>
      <c r="S3091">
        <v>37</v>
      </c>
      <c r="T3091" s="1" t="s">
        <v>13959</v>
      </c>
      <c r="U3091" s="1" t="str">
        <f>HYPERLINK("http://ictvonline.org/taxonomy/p/taxonomy-history?taxnode_id=202101068","ICTVonline=202101068")</f>
        <v>ICTVonline=202101068</v>
      </c>
    </row>
    <row r="3092" spans="1:21" x14ac:dyDescent="0.2">
      <c r="A3092" s="3">
        <v>3091</v>
      </c>
      <c r="B3092" s="1" t="s">
        <v>4875</v>
      </c>
      <c r="D3092" s="1" t="s">
        <v>4876</v>
      </c>
      <c r="F3092" s="1" t="s">
        <v>4880</v>
      </c>
      <c r="H3092" s="1" t="s">
        <v>4881</v>
      </c>
      <c r="N3092" s="1" t="s">
        <v>11817</v>
      </c>
      <c r="P3092" s="1" t="s">
        <v>11824</v>
      </c>
      <c r="Q3092" s="30" t="s">
        <v>2565</v>
      </c>
      <c r="R3092" s="33" t="s">
        <v>3472</v>
      </c>
      <c r="S3092">
        <v>37</v>
      </c>
      <c r="T3092" s="1" t="s">
        <v>13959</v>
      </c>
      <c r="U3092" s="1" t="str">
        <f>HYPERLINK("http://ictvonline.org/taxonomy/p/taxonomy-history?taxnode_id=202112423","ICTVonline=202112423")</f>
        <v>ICTVonline=202112423</v>
      </c>
    </row>
    <row r="3093" spans="1:21" x14ac:dyDescent="0.2">
      <c r="A3093" s="3">
        <v>3092</v>
      </c>
      <c r="B3093" s="1" t="s">
        <v>4875</v>
      </c>
      <c r="D3093" s="1" t="s">
        <v>4876</v>
      </c>
      <c r="F3093" s="1" t="s">
        <v>4880</v>
      </c>
      <c r="H3093" s="1" t="s">
        <v>4881</v>
      </c>
      <c r="N3093" s="1" t="s">
        <v>4553</v>
      </c>
      <c r="P3093" s="1" t="s">
        <v>11825</v>
      </c>
      <c r="Q3093" s="30" t="s">
        <v>2565</v>
      </c>
      <c r="R3093" s="33" t="s">
        <v>3473</v>
      </c>
      <c r="S3093">
        <v>37</v>
      </c>
      <c r="T3093" s="1" t="s">
        <v>13878</v>
      </c>
      <c r="U3093" s="1" t="str">
        <f>HYPERLINK("http://ictvonline.org/taxonomy/p/taxonomy-history?taxnode_id=202100496","ICTVonline=202100496")</f>
        <v>ICTVonline=202100496</v>
      </c>
    </row>
    <row r="3094" spans="1:21" x14ac:dyDescent="0.2">
      <c r="A3094" s="3">
        <v>3093</v>
      </c>
      <c r="B3094" s="1" t="s">
        <v>4875</v>
      </c>
      <c r="D3094" s="1" t="s">
        <v>4876</v>
      </c>
      <c r="F3094" s="1" t="s">
        <v>4880</v>
      </c>
      <c r="H3094" s="1" t="s">
        <v>4881</v>
      </c>
      <c r="N3094" s="1" t="s">
        <v>4554</v>
      </c>
      <c r="P3094" s="1" t="s">
        <v>11826</v>
      </c>
      <c r="Q3094" s="30" t="s">
        <v>2565</v>
      </c>
      <c r="R3094" s="33" t="s">
        <v>3473</v>
      </c>
      <c r="S3094">
        <v>37</v>
      </c>
      <c r="T3094" s="1" t="s">
        <v>13878</v>
      </c>
      <c r="U3094" s="1" t="str">
        <f>HYPERLINK("http://ictvonline.org/taxonomy/p/taxonomy-history?taxnode_id=202106680","ICTVonline=202106680")</f>
        <v>ICTVonline=202106680</v>
      </c>
    </row>
    <row r="3095" spans="1:21" x14ac:dyDescent="0.2">
      <c r="A3095" s="3">
        <v>3094</v>
      </c>
      <c r="B3095" s="1" t="s">
        <v>4875</v>
      </c>
      <c r="D3095" s="1" t="s">
        <v>4876</v>
      </c>
      <c r="F3095" s="1" t="s">
        <v>4880</v>
      </c>
      <c r="H3095" s="1" t="s">
        <v>4881</v>
      </c>
      <c r="N3095" s="1" t="s">
        <v>4554</v>
      </c>
      <c r="P3095" s="1" t="s">
        <v>11827</v>
      </c>
      <c r="Q3095" s="30" t="s">
        <v>2565</v>
      </c>
      <c r="R3095" s="33" t="s">
        <v>3473</v>
      </c>
      <c r="S3095">
        <v>37</v>
      </c>
      <c r="T3095" s="1" t="s">
        <v>13878</v>
      </c>
      <c r="U3095" s="1" t="str">
        <f>HYPERLINK("http://ictvonline.org/taxonomy/p/taxonomy-history?taxnode_id=202106679","ICTVonline=202106679")</f>
        <v>ICTVonline=202106679</v>
      </c>
    </row>
    <row r="3096" spans="1:21" x14ac:dyDescent="0.2">
      <c r="A3096" s="3">
        <v>3095</v>
      </c>
      <c r="B3096" s="1" t="s">
        <v>4875</v>
      </c>
      <c r="D3096" s="1" t="s">
        <v>4876</v>
      </c>
      <c r="F3096" s="1" t="s">
        <v>4880</v>
      </c>
      <c r="H3096" s="1" t="s">
        <v>4881</v>
      </c>
      <c r="N3096" s="1" t="s">
        <v>4706</v>
      </c>
      <c r="P3096" s="1" t="s">
        <v>11828</v>
      </c>
      <c r="Q3096" s="30" t="s">
        <v>2565</v>
      </c>
      <c r="R3096" s="33" t="s">
        <v>3473</v>
      </c>
      <c r="S3096">
        <v>37</v>
      </c>
      <c r="T3096" s="1" t="s">
        <v>13878</v>
      </c>
      <c r="U3096" s="1" t="str">
        <f>HYPERLINK("http://ictvonline.org/taxonomy/p/taxonomy-history?taxnode_id=202106747","ICTVonline=202106747")</f>
        <v>ICTVonline=202106747</v>
      </c>
    </row>
    <row r="3097" spans="1:21" x14ac:dyDescent="0.2">
      <c r="A3097" s="3">
        <v>3096</v>
      </c>
      <c r="B3097" s="1" t="s">
        <v>4875</v>
      </c>
      <c r="D3097" s="1" t="s">
        <v>4876</v>
      </c>
      <c r="F3097" s="1" t="s">
        <v>4880</v>
      </c>
      <c r="H3097" s="1" t="s">
        <v>4881</v>
      </c>
      <c r="N3097" s="1" t="s">
        <v>6028</v>
      </c>
      <c r="P3097" s="1" t="s">
        <v>11829</v>
      </c>
      <c r="Q3097" s="30" t="s">
        <v>2565</v>
      </c>
      <c r="R3097" s="33" t="s">
        <v>3473</v>
      </c>
      <c r="S3097">
        <v>37</v>
      </c>
      <c r="T3097" s="1" t="s">
        <v>13878</v>
      </c>
      <c r="U3097" s="1" t="str">
        <f>HYPERLINK("http://ictvonline.org/taxonomy/p/taxonomy-history?taxnode_id=202111539","ICTVonline=202111539")</f>
        <v>ICTVonline=202111539</v>
      </c>
    </row>
    <row r="3098" spans="1:21" x14ac:dyDescent="0.2">
      <c r="A3098" s="3">
        <v>3097</v>
      </c>
      <c r="B3098" s="1" t="s">
        <v>4875</v>
      </c>
      <c r="D3098" s="1" t="s">
        <v>4876</v>
      </c>
      <c r="F3098" s="1" t="s">
        <v>4880</v>
      </c>
      <c r="H3098" s="1" t="s">
        <v>4881</v>
      </c>
      <c r="N3098" s="1" t="s">
        <v>6028</v>
      </c>
      <c r="P3098" s="1" t="s">
        <v>11830</v>
      </c>
      <c r="Q3098" s="30" t="s">
        <v>2565</v>
      </c>
      <c r="R3098" s="33" t="s">
        <v>3473</v>
      </c>
      <c r="S3098">
        <v>37</v>
      </c>
      <c r="T3098" s="1" t="s">
        <v>13878</v>
      </c>
      <c r="U3098" s="1" t="str">
        <f>HYPERLINK("http://ictvonline.org/taxonomy/p/taxonomy-history?taxnode_id=202111540","ICTVonline=202111540")</f>
        <v>ICTVonline=202111540</v>
      </c>
    </row>
    <row r="3099" spans="1:21" x14ac:dyDescent="0.2">
      <c r="A3099" s="3">
        <v>3098</v>
      </c>
      <c r="B3099" s="1" t="s">
        <v>4875</v>
      </c>
      <c r="D3099" s="1" t="s">
        <v>4876</v>
      </c>
      <c r="F3099" s="1" t="s">
        <v>4880</v>
      </c>
      <c r="H3099" s="1" t="s">
        <v>4881</v>
      </c>
      <c r="N3099" s="1" t="s">
        <v>4707</v>
      </c>
      <c r="P3099" s="1" t="s">
        <v>11831</v>
      </c>
      <c r="Q3099" s="30" t="s">
        <v>2565</v>
      </c>
      <c r="R3099" s="33" t="s">
        <v>3473</v>
      </c>
      <c r="S3099">
        <v>37</v>
      </c>
      <c r="T3099" s="1" t="s">
        <v>13878</v>
      </c>
      <c r="U3099" s="1" t="str">
        <f>HYPERLINK("http://ictvonline.org/taxonomy/p/taxonomy-history?taxnode_id=202101275","ICTVonline=202101275")</f>
        <v>ICTVonline=202101275</v>
      </c>
    </row>
    <row r="3100" spans="1:21" x14ac:dyDescent="0.2">
      <c r="A3100" s="3">
        <v>3099</v>
      </c>
      <c r="B3100" s="1" t="s">
        <v>4875</v>
      </c>
      <c r="D3100" s="1" t="s">
        <v>4876</v>
      </c>
      <c r="F3100" s="1" t="s">
        <v>4880</v>
      </c>
      <c r="H3100" s="1" t="s">
        <v>4881</v>
      </c>
      <c r="N3100" s="1" t="s">
        <v>4707</v>
      </c>
      <c r="P3100" s="1" t="s">
        <v>11832</v>
      </c>
      <c r="Q3100" s="30" t="s">
        <v>2565</v>
      </c>
      <c r="R3100" s="33" t="s">
        <v>3473</v>
      </c>
      <c r="S3100">
        <v>37</v>
      </c>
      <c r="T3100" s="1" t="s">
        <v>13878</v>
      </c>
      <c r="U3100" s="1" t="str">
        <f>HYPERLINK("http://ictvonline.org/taxonomy/p/taxonomy-history?taxnode_id=202101274","ICTVonline=202101274")</f>
        <v>ICTVonline=202101274</v>
      </c>
    </row>
    <row r="3101" spans="1:21" x14ac:dyDescent="0.2">
      <c r="A3101" s="3">
        <v>3100</v>
      </c>
      <c r="B3101" s="1" t="s">
        <v>4875</v>
      </c>
      <c r="D3101" s="1" t="s">
        <v>4876</v>
      </c>
      <c r="F3101" s="1" t="s">
        <v>4880</v>
      </c>
      <c r="H3101" s="1" t="s">
        <v>4881</v>
      </c>
      <c r="N3101" s="1" t="s">
        <v>4707</v>
      </c>
      <c r="P3101" s="1" t="s">
        <v>11833</v>
      </c>
      <c r="Q3101" s="30" t="s">
        <v>2565</v>
      </c>
      <c r="R3101" s="33" t="s">
        <v>3473</v>
      </c>
      <c r="S3101">
        <v>37</v>
      </c>
      <c r="T3101" s="1" t="s">
        <v>13878</v>
      </c>
      <c r="U3101" s="1" t="str">
        <f>HYPERLINK("http://ictvonline.org/taxonomy/p/taxonomy-history?taxnode_id=202101273","ICTVonline=202101273")</f>
        <v>ICTVonline=202101273</v>
      </c>
    </row>
    <row r="3102" spans="1:21" x14ac:dyDescent="0.2">
      <c r="A3102" s="3">
        <v>3101</v>
      </c>
      <c r="B3102" s="1" t="s">
        <v>4875</v>
      </c>
      <c r="D3102" s="1" t="s">
        <v>4876</v>
      </c>
      <c r="F3102" s="1" t="s">
        <v>4880</v>
      </c>
      <c r="H3102" s="1" t="s">
        <v>4881</v>
      </c>
      <c r="N3102" s="1" t="s">
        <v>4707</v>
      </c>
      <c r="P3102" s="1" t="s">
        <v>11834</v>
      </c>
      <c r="Q3102" s="30" t="s">
        <v>2565</v>
      </c>
      <c r="R3102" s="33" t="s">
        <v>3473</v>
      </c>
      <c r="S3102">
        <v>37</v>
      </c>
      <c r="T3102" s="1" t="s">
        <v>13878</v>
      </c>
      <c r="U3102" s="1" t="str">
        <f>HYPERLINK("http://ictvonline.org/taxonomy/p/taxonomy-history?taxnode_id=202101276","ICTVonline=202101276")</f>
        <v>ICTVonline=202101276</v>
      </c>
    </row>
    <row r="3103" spans="1:21" x14ac:dyDescent="0.2">
      <c r="A3103" s="3">
        <v>3102</v>
      </c>
      <c r="B3103" s="1" t="s">
        <v>4875</v>
      </c>
      <c r="D3103" s="1" t="s">
        <v>4876</v>
      </c>
      <c r="F3103" s="1" t="s">
        <v>4880</v>
      </c>
      <c r="H3103" s="1" t="s">
        <v>4881</v>
      </c>
      <c r="N3103" s="1" t="s">
        <v>4707</v>
      </c>
      <c r="P3103" s="1" t="s">
        <v>11835</v>
      </c>
      <c r="Q3103" s="30" t="s">
        <v>2565</v>
      </c>
      <c r="R3103" s="33" t="s">
        <v>3473</v>
      </c>
      <c r="S3103">
        <v>37</v>
      </c>
      <c r="T3103" s="1" t="s">
        <v>13878</v>
      </c>
      <c r="U3103" s="1" t="str">
        <f>HYPERLINK("http://ictvonline.org/taxonomy/p/taxonomy-history?taxnode_id=202101277","ICTVonline=202101277")</f>
        <v>ICTVonline=202101277</v>
      </c>
    </row>
    <row r="3104" spans="1:21" x14ac:dyDescent="0.2">
      <c r="A3104" s="3">
        <v>3103</v>
      </c>
      <c r="B3104" s="1" t="s">
        <v>4875</v>
      </c>
      <c r="D3104" s="1" t="s">
        <v>4876</v>
      </c>
      <c r="F3104" s="1" t="s">
        <v>4880</v>
      </c>
      <c r="H3104" s="1" t="s">
        <v>4881</v>
      </c>
      <c r="N3104" s="1" t="s">
        <v>5217</v>
      </c>
      <c r="P3104" s="1" t="s">
        <v>11836</v>
      </c>
      <c r="Q3104" s="30" t="s">
        <v>2565</v>
      </c>
      <c r="R3104" s="33" t="s">
        <v>3473</v>
      </c>
      <c r="S3104">
        <v>37</v>
      </c>
      <c r="T3104" s="1" t="s">
        <v>13878</v>
      </c>
      <c r="U3104" s="1" t="str">
        <f>HYPERLINK("http://ictvonline.org/taxonomy/p/taxonomy-history?taxnode_id=202109112","ICTVonline=202109112")</f>
        <v>ICTVonline=202109112</v>
      </c>
    </row>
    <row r="3105" spans="1:21" x14ac:dyDescent="0.2">
      <c r="A3105" s="3">
        <v>3104</v>
      </c>
      <c r="B3105" s="1" t="s">
        <v>4875</v>
      </c>
      <c r="D3105" s="1" t="s">
        <v>4876</v>
      </c>
      <c r="F3105" s="1" t="s">
        <v>4880</v>
      </c>
      <c r="H3105" s="1" t="s">
        <v>4881</v>
      </c>
      <c r="N3105" s="1" t="s">
        <v>5217</v>
      </c>
      <c r="P3105" s="1" t="s">
        <v>11837</v>
      </c>
      <c r="Q3105" s="30" t="s">
        <v>2565</v>
      </c>
      <c r="R3105" s="33" t="s">
        <v>3473</v>
      </c>
      <c r="S3105">
        <v>37</v>
      </c>
      <c r="T3105" s="1" t="s">
        <v>13878</v>
      </c>
      <c r="U3105" s="1" t="str">
        <f>HYPERLINK("http://ictvonline.org/taxonomy/p/taxonomy-history?taxnode_id=202109110","ICTVonline=202109110")</f>
        <v>ICTVonline=202109110</v>
      </c>
    </row>
    <row r="3106" spans="1:21" x14ac:dyDescent="0.2">
      <c r="A3106" s="3">
        <v>3105</v>
      </c>
      <c r="B3106" s="1" t="s">
        <v>4875</v>
      </c>
      <c r="D3106" s="1" t="s">
        <v>4876</v>
      </c>
      <c r="F3106" s="1" t="s">
        <v>4880</v>
      </c>
      <c r="H3106" s="1" t="s">
        <v>4881</v>
      </c>
      <c r="N3106" s="1" t="s">
        <v>5217</v>
      </c>
      <c r="P3106" s="1" t="s">
        <v>11838</v>
      </c>
      <c r="Q3106" s="30" t="s">
        <v>2565</v>
      </c>
      <c r="R3106" s="33" t="s">
        <v>3473</v>
      </c>
      <c r="S3106">
        <v>37</v>
      </c>
      <c r="T3106" s="1" t="s">
        <v>13878</v>
      </c>
      <c r="U3106" s="1" t="str">
        <f>HYPERLINK("http://ictvonline.org/taxonomy/p/taxonomy-history?taxnode_id=202108659","ICTVonline=202108659")</f>
        <v>ICTVonline=202108659</v>
      </c>
    </row>
    <row r="3107" spans="1:21" x14ac:dyDescent="0.2">
      <c r="A3107" s="3">
        <v>3106</v>
      </c>
      <c r="B3107" s="1" t="s">
        <v>4875</v>
      </c>
      <c r="D3107" s="1" t="s">
        <v>4876</v>
      </c>
      <c r="F3107" s="1" t="s">
        <v>4880</v>
      </c>
      <c r="H3107" s="1" t="s">
        <v>4881</v>
      </c>
      <c r="N3107" s="1" t="s">
        <v>5217</v>
      </c>
      <c r="P3107" s="1" t="s">
        <v>11839</v>
      </c>
      <c r="Q3107" s="30" t="s">
        <v>2565</v>
      </c>
      <c r="R3107" s="33" t="s">
        <v>3473</v>
      </c>
      <c r="S3107">
        <v>37</v>
      </c>
      <c r="T3107" s="1" t="s">
        <v>13878</v>
      </c>
      <c r="U3107" s="1" t="str">
        <f>HYPERLINK("http://ictvonline.org/taxonomy/p/taxonomy-history?taxnode_id=202109114","ICTVonline=202109114")</f>
        <v>ICTVonline=202109114</v>
      </c>
    </row>
    <row r="3108" spans="1:21" x14ac:dyDescent="0.2">
      <c r="A3108" s="3">
        <v>3107</v>
      </c>
      <c r="B3108" s="1" t="s">
        <v>4875</v>
      </c>
      <c r="D3108" s="1" t="s">
        <v>4876</v>
      </c>
      <c r="F3108" s="1" t="s">
        <v>4880</v>
      </c>
      <c r="H3108" s="1" t="s">
        <v>4881</v>
      </c>
      <c r="N3108" s="1" t="s">
        <v>5217</v>
      </c>
      <c r="P3108" s="1" t="s">
        <v>11840</v>
      </c>
      <c r="Q3108" s="30" t="s">
        <v>2565</v>
      </c>
      <c r="R3108" s="33" t="s">
        <v>3473</v>
      </c>
      <c r="S3108">
        <v>37</v>
      </c>
      <c r="T3108" s="1" t="s">
        <v>13878</v>
      </c>
      <c r="U3108" s="1" t="str">
        <f>HYPERLINK("http://ictvonline.org/taxonomy/p/taxonomy-history?taxnode_id=202108658","ICTVonline=202108658")</f>
        <v>ICTVonline=202108658</v>
      </c>
    </row>
    <row r="3109" spans="1:21" x14ac:dyDescent="0.2">
      <c r="A3109" s="3">
        <v>3108</v>
      </c>
      <c r="B3109" s="1" t="s">
        <v>4875</v>
      </c>
      <c r="D3109" s="1" t="s">
        <v>4876</v>
      </c>
      <c r="F3109" s="1" t="s">
        <v>4880</v>
      </c>
      <c r="H3109" s="1" t="s">
        <v>4881</v>
      </c>
      <c r="N3109" s="1" t="s">
        <v>5217</v>
      </c>
      <c r="P3109" s="1" t="s">
        <v>11841</v>
      </c>
      <c r="Q3109" s="30" t="s">
        <v>2565</v>
      </c>
      <c r="R3109" s="33" t="s">
        <v>3473</v>
      </c>
      <c r="S3109">
        <v>37</v>
      </c>
      <c r="T3109" s="1" t="s">
        <v>13878</v>
      </c>
      <c r="U3109" s="1" t="str">
        <f>HYPERLINK("http://ictvonline.org/taxonomy/p/taxonomy-history?taxnode_id=202109109","ICTVonline=202109109")</f>
        <v>ICTVonline=202109109</v>
      </c>
    </row>
    <row r="3110" spans="1:21" x14ac:dyDescent="0.2">
      <c r="A3110" s="3">
        <v>3109</v>
      </c>
      <c r="B3110" s="1" t="s">
        <v>4875</v>
      </c>
      <c r="D3110" s="1" t="s">
        <v>4876</v>
      </c>
      <c r="F3110" s="1" t="s">
        <v>4880</v>
      </c>
      <c r="H3110" s="1" t="s">
        <v>4881</v>
      </c>
      <c r="N3110" s="1" t="s">
        <v>5217</v>
      </c>
      <c r="P3110" s="1" t="s">
        <v>11842</v>
      </c>
      <c r="Q3110" s="30" t="s">
        <v>2565</v>
      </c>
      <c r="R3110" s="33" t="s">
        <v>3473</v>
      </c>
      <c r="S3110">
        <v>37</v>
      </c>
      <c r="T3110" s="1" t="s">
        <v>13878</v>
      </c>
      <c r="U3110" s="1" t="str">
        <f>HYPERLINK("http://ictvonline.org/taxonomy/p/taxonomy-history?taxnode_id=202109111","ICTVonline=202109111")</f>
        <v>ICTVonline=202109111</v>
      </c>
    </row>
    <row r="3111" spans="1:21" x14ac:dyDescent="0.2">
      <c r="A3111" s="3">
        <v>3110</v>
      </c>
      <c r="B3111" s="1" t="s">
        <v>4875</v>
      </c>
      <c r="D3111" s="1" t="s">
        <v>4876</v>
      </c>
      <c r="F3111" s="1" t="s">
        <v>4880</v>
      </c>
      <c r="H3111" s="1" t="s">
        <v>4881</v>
      </c>
      <c r="N3111" s="1" t="s">
        <v>5217</v>
      </c>
      <c r="P3111" s="1" t="s">
        <v>11843</v>
      </c>
      <c r="Q3111" s="30" t="s">
        <v>2565</v>
      </c>
      <c r="R3111" s="33" t="s">
        <v>3473</v>
      </c>
      <c r="S3111">
        <v>37</v>
      </c>
      <c r="T3111" s="1" t="s">
        <v>13878</v>
      </c>
      <c r="U3111" s="1" t="str">
        <f>HYPERLINK("http://ictvonline.org/taxonomy/p/taxonomy-history?taxnode_id=202101374","ICTVonline=202101374")</f>
        <v>ICTVonline=202101374</v>
      </c>
    </row>
    <row r="3112" spans="1:21" x14ac:dyDescent="0.2">
      <c r="A3112" s="3">
        <v>3111</v>
      </c>
      <c r="B3112" s="1" t="s">
        <v>4875</v>
      </c>
      <c r="D3112" s="1" t="s">
        <v>4876</v>
      </c>
      <c r="F3112" s="1" t="s">
        <v>4880</v>
      </c>
      <c r="H3112" s="1" t="s">
        <v>4881</v>
      </c>
      <c r="N3112" s="1" t="s">
        <v>5217</v>
      </c>
      <c r="P3112" s="1" t="s">
        <v>11844</v>
      </c>
      <c r="Q3112" s="30" t="s">
        <v>2565</v>
      </c>
      <c r="R3112" s="33" t="s">
        <v>3473</v>
      </c>
      <c r="S3112">
        <v>37</v>
      </c>
      <c r="T3112" s="1" t="s">
        <v>13878</v>
      </c>
      <c r="U3112" s="1" t="str">
        <f>HYPERLINK("http://ictvonline.org/taxonomy/p/taxonomy-history?taxnode_id=202109113","ICTVonline=202109113")</f>
        <v>ICTVonline=202109113</v>
      </c>
    </row>
    <row r="3113" spans="1:21" x14ac:dyDescent="0.2">
      <c r="A3113" s="3">
        <v>3112</v>
      </c>
      <c r="B3113" s="1" t="s">
        <v>4875</v>
      </c>
      <c r="D3113" s="1" t="s">
        <v>4876</v>
      </c>
      <c r="F3113" s="1" t="s">
        <v>4880</v>
      </c>
      <c r="H3113" s="1" t="s">
        <v>4881</v>
      </c>
      <c r="N3113" s="1" t="s">
        <v>5217</v>
      </c>
      <c r="P3113" s="1" t="s">
        <v>11845</v>
      </c>
      <c r="Q3113" s="30" t="s">
        <v>2565</v>
      </c>
      <c r="R3113" s="33" t="s">
        <v>3473</v>
      </c>
      <c r="S3113">
        <v>37</v>
      </c>
      <c r="T3113" s="1" t="s">
        <v>13878</v>
      </c>
      <c r="U3113" s="1" t="str">
        <f>HYPERLINK("http://ictvonline.org/taxonomy/p/taxonomy-history?taxnode_id=202108660","ICTVonline=202108660")</f>
        <v>ICTVonline=202108660</v>
      </c>
    </row>
    <row r="3114" spans="1:21" x14ac:dyDescent="0.2">
      <c r="A3114" s="3">
        <v>3113</v>
      </c>
      <c r="B3114" s="1" t="s">
        <v>4875</v>
      </c>
      <c r="D3114" s="1" t="s">
        <v>4876</v>
      </c>
      <c r="F3114" s="1" t="s">
        <v>4880</v>
      </c>
      <c r="H3114" s="1" t="s">
        <v>4881</v>
      </c>
      <c r="N3114" s="1" t="s">
        <v>6029</v>
      </c>
      <c r="P3114" s="1" t="s">
        <v>11846</v>
      </c>
      <c r="Q3114" s="30" t="s">
        <v>2565</v>
      </c>
      <c r="R3114" s="33" t="s">
        <v>3473</v>
      </c>
      <c r="S3114">
        <v>37</v>
      </c>
      <c r="T3114" s="1" t="s">
        <v>13878</v>
      </c>
      <c r="U3114" s="1" t="str">
        <f>HYPERLINK("http://ictvonline.org/taxonomy/p/taxonomy-history?taxnode_id=202111542","ICTVonline=202111542")</f>
        <v>ICTVonline=202111542</v>
      </c>
    </row>
    <row r="3115" spans="1:21" x14ac:dyDescent="0.2">
      <c r="A3115" s="3">
        <v>3114</v>
      </c>
      <c r="B3115" s="1" t="s">
        <v>4875</v>
      </c>
      <c r="D3115" s="1" t="s">
        <v>4876</v>
      </c>
      <c r="F3115" s="1" t="s">
        <v>4880</v>
      </c>
      <c r="H3115" s="1" t="s">
        <v>4881</v>
      </c>
      <c r="N3115" s="1" t="s">
        <v>3211</v>
      </c>
      <c r="P3115" s="1" t="s">
        <v>11847</v>
      </c>
      <c r="Q3115" s="30" t="s">
        <v>2565</v>
      </c>
      <c r="R3115" s="33" t="s">
        <v>3473</v>
      </c>
      <c r="S3115">
        <v>37</v>
      </c>
      <c r="T3115" s="1" t="s">
        <v>13878</v>
      </c>
      <c r="U3115" s="1" t="str">
        <f>HYPERLINK("http://ictvonline.org/taxonomy/p/taxonomy-history?taxnode_id=202101082","ICTVonline=202101082")</f>
        <v>ICTVonline=202101082</v>
      </c>
    </row>
    <row r="3116" spans="1:21" x14ac:dyDescent="0.2">
      <c r="A3116" s="3">
        <v>3115</v>
      </c>
      <c r="B3116" s="1" t="s">
        <v>4875</v>
      </c>
      <c r="D3116" s="1" t="s">
        <v>4876</v>
      </c>
      <c r="F3116" s="1" t="s">
        <v>4880</v>
      </c>
      <c r="H3116" s="1" t="s">
        <v>4881</v>
      </c>
      <c r="N3116" s="1" t="s">
        <v>3211</v>
      </c>
      <c r="P3116" s="1" t="s">
        <v>11848</v>
      </c>
      <c r="Q3116" s="30" t="s">
        <v>2565</v>
      </c>
      <c r="R3116" s="33" t="s">
        <v>3473</v>
      </c>
      <c r="S3116">
        <v>37</v>
      </c>
      <c r="T3116" s="1" t="s">
        <v>13878</v>
      </c>
      <c r="U3116" s="1" t="str">
        <f>HYPERLINK("http://ictvonline.org/taxonomy/p/taxonomy-history?taxnode_id=202101083","ICTVonline=202101083")</f>
        <v>ICTVonline=202101083</v>
      </c>
    </row>
    <row r="3117" spans="1:21" x14ac:dyDescent="0.2">
      <c r="A3117" s="3">
        <v>3116</v>
      </c>
      <c r="B3117" s="1" t="s">
        <v>4875</v>
      </c>
      <c r="D3117" s="1" t="s">
        <v>4876</v>
      </c>
      <c r="F3117" s="1" t="s">
        <v>4880</v>
      </c>
      <c r="H3117" s="1" t="s">
        <v>4881</v>
      </c>
      <c r="N3117" s="1" t="s">
        <v>6216</v>
      </c>
      <c r="P3117" s="1" t="s">
        <v>11849</v>
      </c>
      <c r="Q3117" s="30" t="s">
        <v>2565</v>
      </c>
      <c r="R3117" s="33" t="s">
        <v>3473</v>
      </c>
      <c r="S3117">
        <v>37</v>
      </c>
      <c r="T3117" s="1" t="s">
        <v>13878</v>
      </c>
      <c r="U3117" s="1" t="str">
        <f>HYPERLINK("http://ictvonline.org/taxonomy/p/taxonomy-history?taxnode_id=202111544","ICTVonline=202111544")</f>
        <v>ICTVonline=202111544</v>
      </c>
    </row>
    <row r="3118" spans="1:21" x14ac:dyDescent="0.2">
      <c r="A3118" s="3">
        <v>3117</v>
      </c>
      <c r="B3118" s="1" t="s">
        <v>4875</v>
      </c>
      <c r="D3118" s="1" t="s">
        <v>4876</v>
      </c>
      <c r="F3118" s="1" t="s">
        <v>4880</v>
      </c>
      <c r="H3118" s="1" t="s">
        <v>4881</v>
      </c>
      <c r="N3118" s="1" t="s">
        <v>6030</v>
      </c>
      <c r="P3118" s="1" t="s">
        <v>11850</v>
      </c>
      <c r="Q3118" s="30" t="s">
        <v>2565</v>
      </c>
      <c r="R3118" s="33" t="s">
        <v>3473</v>
      </c>
      <c r="S3118">
        <v>37</v>
      </c>
      <c r="T3118" s="1" t="s">
        <v>13878</v>
      </c>
      <c r="U3118" s="1" t="str">
        <f>HYPERLINK("http://ictvonline.org/taxonomy/p/taxonomy-history?taxnode_id=202111546","ICTVonline=202111546")</f>
        <v>ICTVonline=202111546</v>
      </c>
    </row>
    <row r="3119" spans="1:21" x14ac:dyDescent="0.2">
      <c r="A3119" s="3">
        <v>3118</v>
      </c>
      <c r="B3119" s="1" t="s">
        <v>4875</v>
      </c>
      <c r="D3119" s="1" t="s">
        <v>4876</v>
      </c>
      <c r="F3119" s="1" t="s">
        <v>4880</v>
      </c>
      <c r="H3119" s="1" t="s">
        <v>4881</v>
      </c>
      <c r="N3119" s="1" t="s">
        <v>6030</v>
      </c>
      <c r="P3119" s="1" t="s">
        <v>11851</v>
      </c>
      <c r="Q3119" s="30" t="s">
        <v>2565</v>
      </c>
      <c r="R3119" s="33" t="s">
        <v>3473</v>
      </c>
      <c r="S3119">
        <v>37</v>
      </c>
      <c r="T3119" s="1" t="s">
        <v>13878</v>
      </c>
      <c r="U3119" s="1" t="str">
        <f>HYPERLINK("http://ictvonline.org/taxonomy/p/taxonomy-history?taxnode_id=202111547","ICTVonline=202111547")</f>
        <v>ICTVonline=202111547</v>
      </c>
    </row>
    <row r="3120" spans="1:21" x14ac:dyDescent="0.2">
      <c r="A3120" s="3">
        <v>3119</v>
      </c>
      <c r="B3120" s="1" t="s">
        <v>4875</v>
      </c>
      <c r="D3120" s="1" t="s">
        <v>4876</v>
      </c>
      <c r="F3120" s="1" t="s">
        <v>4880</v>
      </c>
      <c r="H3120" s="1" t="s">
        <v>4881</v>
      </c>
      <c r="N3120" s="1" t="s">
        <v>6217</v>
      </c>
      <c r="P3120" s="1" t="s">
        <v>11852</v>
      </c>
      <c r="Q3120" s="30" t="s">
        <v>2565</v>
      </c>
      <c r="R3120" s="33" t="s">
        <v>3473</v>
      </c>
      <c r="S3120">
        <v>37</v>
      </c>
      <c r="T3120" s="1" t="s">
        <v>13878</v>
      </c>
      <c r="U3120" s="1" t="str">
        <f>HYPERLINK("http://ictvonline.org/taxonomy/p/taxonomy-history?taxnode_id=202110022","ICTVonline=202110022")</f>
        <v>ICTVonline=202110022</v>
      </c>
    </row>
    <row r="3121" spans="1:21" x14ac:dyDescent="0.2">
      <c r="A3121" s="3">
        <v>3120</v>
      </c>
      <c r="B3121" s="1" t="s">
        <v>4875</v>
      </c>
      <c r="D3121" s="1" t="s">
        <v>4876</v>
      </c>
      <c r="F3121" s="1" t="s">
        <v>4880</v>
      </c>
      <c r="H3121" s="1" t="s">
        <v>4881</v>
      </c>
      <c r="N3121" s="1" t="s">
        <v>6217</v>
      </c>
      <c r="P3121" s="1" t="s">
        <v>11853</v>
      </c>
      <c r="Q3121" s="30" t="s">
        <v>2565</v>
      </c>
      <c r="R3121" s="33" t="s">
        <v>3473</v>
      </c>
      <c r="S3121">
        <v>37</v>
      </c>
      <c r="T3121" s="1" t="s">
        <v>13878</v>
      </c>
      <c r="U3121" s="1" t="str">
        <f>HYPERLINK("http://ictvonline.org/taxonomy/p/taxonomy-history?taxnode_id=202110019","ICTVonline=202110019")</f>
        <v>ICTVonline=202110019</v>
      </c>
    </row>
    <row r="3122" spans="1:21" x14ac:dyDescent="0.2">
      <c r="A3122" s="3">
        <v>3121</v>
      </c>
      <c r="B3122" s="1" t="s">
        <v>4875</v>
      </c>
      <c r="D3122" s="1" t="s">
        <v>4876</v>
      </c>
      <c r="F3122" s="1" t="s">
        <v>4880</v>
      </c>
      <c r="H3122" s="1" t="s">
        <v>4881</v>
      </c>
      <c r="N3122" s="1" t="s">
        <v>6217</v>
      </c>
      <c r="P3122" s="1" t="s">
        <v>11854</v>
      </c>
      <c r="Q3122" s="30" t="s">
        <v>2565</v>
      </c>
      <c r="R3122" s="33" t="s">
        <v>3473</v>
      </c>
      <c r="S3122">
        <v>37</v>
      </c>
      <c r="T3122" s="1" t="s">
        <v>13878</v>
      </c>
      <c r="U3122" s="1" t="str">
        <f>HYPERLINK("http://ictvonline.org/taxonomy/p/taxonomy-history?taxnode_id=202110020","ICTVonline=202110020")</f>
        <v>ICTVonline=202110020</v>
      </c>
    </row>
    <row r="3123" spans="1:21" x14ac:dyDescent="0.2">
      <c r="A3123" s="3">
        <v>3122</v>
      </c>
      <c r="B3123" s="1" t="s">
        <v>4875</v>
      </c>
      <c r="D3123" s="1" t="s">
        <v>4876</v>
      </c>
      <c r="F3123" s="1" t="s">
        <v>4880</v>
      </c>
      <c r="H3123" s="1" t="s">
        <v>4881</v>
      </c>
      <c r="N3123" s="1" t="s">
        <v>6217</v>
      </c>
      <c r="P3123" s="1" t="s">
        <v>11855</v>
      </c>
      <c r="Q3123" s="30" t="s">
        <v>2565</v>
      </c>
      <c r="R3123" s="33" t="s">
        <v>3473</v>
      </c>
      <c r="S3123">
        <v>37</v>
      </c>
      <c r="T3123" s="1" t="s">
        <v>13878</v>
      </c>
      <c r="U3123" s="1" t="str">
        <f>HYPERLINK("http://ictvonline.org/taxonomy/p/taxonomy-history?taxnode_id=202110023","ICTVonline=202110023")</f>
        <v>ICTVonline=202110023</v>
      </c>
    </row>
    <row r="3124" spans="1:21" x14ac:dyDescent="0.2">
      <c r="A3124" s="3">
        <v>3123</v>
      </c>
      <c r="B3124" s="1" t="s">
        <v>4875</v>
      </c>
      <c r="D3124" s="1" t="s">
        <v>4876</v>
      </c>
      <c r="F3124" s="1" t="s">
        <v>4880</v>
      </c>
      <c r="H3124" s="1" t="s">
        <v>4881</v>
      </c>
      <c r="N3124" s="1" t="s">
        <v>6217</v>
      </c>
      <c r="P3124" s="1" t="s">
        <v>11856</v>
      </c>
      <c r="Q3124" s="30" t="s">
        <v>2565</v>
      </c>
      <c r="R3124" s="33" t="s">
        <v>3473</v>
      </c>
      <c r="S3124">
        <v>37</v>
      </c>
      <c r="T3124" s="1" t="s">
        <v>13878</v>
      </c>
      <c r="U3124" s="1" t="str">
        <f>HYPERLINK("http://ictvonline.org/taxonomy/p/taxonomy-history?taxnode_id=202110021","ICTVonline=202110021")</f>
        <v>ICTVonline=202110021</v>
      </c>
    </row>
    <row r="3125" spans="1:21" x14ac:dyDescent="0.2">
      <c r="A3125" s="3">
        <v>3124</v>
      </c>
      <c r="B3125" s="1" t="s">
        <v>4875</v>
      </c>
      <c r="D3125" s="1" t="s">
        <v>4876</v>
      </c>
      <c r="F3125" s="1" t="s">
        <v>4880</v>
      </c>
      <c r="H3125" s="1" t="s">
        <v>4881</v>
      </c>
      <c r="N3125" s="1" t="s">
        <v>5218</v>
      </c>
      <c r="P3125" s="1" t="s">
        <v>11857</v>
      </c>
      <c r="Q3125" s="30" t="s">
        <v>2565</v>
      </c>
      <c r="R3125" s="33" t="s">
        <v>3473</v>
      </c>
      <c r="S3125">
        <v>37</v>
      </c>
      <c r="T3125" s="1" t="s">
        <v>13878</v>
      </c>
      <c r="U3125" s="1" t="str">
        <f>HYPERLINK("http://ictvonline.org/taxonomy/p/taxonomy-history?taxnode_id=202107905","ICTVonline=202107905")</f>
        <v>ICTVonline=202107905</v>
      </c>
    </row>
    <row r="3126" spans="1:21" x14ac:dyDescent="0.2">
      <c r="A3126" s="3">
        <v>3125</v>
      </c>
      <c r="B3126" s="1" t="s">
        <v>4875</v>
      </c>
      <c r="D3126" s="1" t="s">
        <v>4876</v>
      </c>
      <c r="F3126" s="1" t="s">
        <v>4880</v>
      </c>
      <c r="H3126" s="1" t="s">
        <v>4881</v>
      </c>
      <c r="N3126" s="1" t="s">
        <v>5218</v>
      </c>
      <c r="P3126" s="1" t="s">
        <v>11858</v>
      </c>
      <c r="Q3126" s="30" t="s">
        <v>2565</v>
      </c>
      <c r="R3126" s="33" t="s">
        <v>3473</v>
      </c>
      <c r="S3126">
        <v>37</v>
      </c>
      <c r="T3126" s="1" t="s">
        <v>13878</v>
      </c>
      <c r="U3126" s="1" t="str">
        <f>HYPERLINK("http://ictvonline.org/taxonomy/p/taxonomy-history?taxnode_id=202107906","ICTVonline=202107906")</f>
        <v>ICTVonline=202107906</v>
      </c>
    </row>
    <row r="3127" spans="1:21" x14ac:dyDescent="0.2">
      <c r="A3127" s="3">
        <v>3126</v>
      </c>
      <c r="B3127" s="1" t="s">
        <v>4875</v>
      </c>
      <c r="D3127" s="1" t="s">
        <v>4876</v>
      </c>
      <c r="F3127" s="1" t="s">
        <v>4880</v>
      </c>
      <c r="H3127" s="1" t="s">
        <v>4881</v>
      </c>
      <c r="N3127" s="1" t="s">
        <v>5120</v>
      </c>
      <c r="P3127" s="1" t="s">
        <v>11859</v>
      </c>
      <c r="Q3127" s="30" t="s">
        <v>2565</v>
      </c>
      <c r="R3127" s="33" t="s">
        <v>3473</v>
      </c>
      <c r="S3127">
        <v>37</v>
      </c>
      <c r="T3127" s="1" t="s">
        <v>13878</v>
      </c>
      <c r="U3127" s="1" t="str">
        <f>HYPERLINK("http://ictvonline.org/taxonomy/p/taxonomy-history?taxnode_id=202108042","ICTVonline=202108042")</f>
        <v>ICTVonline=202108042</v>
      </c>
    </row>
    <row r="3128" spans="1:21" x14ac:dyDescent="0.2">
      <c r="A3128" s="3">
        <v>3127</v>
      </c>
      <c r="B3128" s="1" t="s">
        <v>4875</v>
      </c>
      <c r="D3128" s="1" t="s">
        <v>4876</v>
      </c>
      <c r="F3128" s="1" t="s">
        <v>4880</v>
      </c>
      <c r="H3128" s="1" t="s">
        <v>4881</v>
      </c>
      <c r="N3128" s="1" t="s">
        <v>2588</v>
      </c>
      <c r="P3128" s="1" t="s">
        <v>11860</v>
      </c>
      <c r="Q3128" s="30" t="s">
        <v>2565</v>
      </c>
      <c r="R3128" s="33" t="s">
        <v>3473</v>
      </c>
      <c r="S3128">
        <v>37</v>
      </c>
      <c r="T3128" s="1" t="s">
        <v>13878</v>
      </c>
      <c r="U3128" s="1" t="str">
        <f>HYPERLINK("http://ictvonline.org/taxonomy/p/taxonomy-history?taxnode_id=202100456","ICTVonline=202100456")</f>
        <v>ICTVonline=202100456</v>
      </c>
    </row>
    <row r="3129" spans="1:21" x14ac:dyDescent="0.2">
      <c r="A3129" s="3">
        <v>3128</v>
      </c>
      <c r="B3129" s="1" t="s">
        <v>4875</v>
      </c>
      <c r="D3129" s="1" t="s">
        <v>4876</v>
      </c>
      <c r="F3129" s="1" t="s">
        <v>4880</v>
      </c>
      <c r="H3129" s="1" t="s">
        <v>4881</v>
      </c>
      <c r="N3129" s="1" t="s">
        <v>2588</v>
      </c>
      <c r="P3129" s="1" t="s">
        <v>11861</v>
      </c>
      <c r="Q3129" s="30" t="s">
        <v>2565</v>
      </c>
      <c r="R3129" s="33" t="s">
        <v>3473</v>
      </c>
      <c r="S3129">
        <v>37</v>
      </c>
      <c r="T3129" s="1" t="s">
        <v>13878</v>
      </c>
      <c r="U3129" s="1" t="str">
        <f>HYPERLINK("http://ictvonline.org/taxonomy/p/taxonomy-history?taxnode_id=202100457","ICTVonline=202100457")</f>
        <v>ICTVonline=202100457</v>
      </c>
    </row>
    <row r="3130" spans="1:21" x14ac:dyDescent="0.2">
      <c r="A3130" s="3">
        <v>3129</v>
      </c>
      <c r="B3130" s="1" t="s">
        <v>4875</v>
      </c>
      <c r="D3130" s="1" t="s">
        <v>4876</v>
      </c>
      <c r="F3130" s="1" t="s">
        <v>4880</v>
      </c>
      <c r="H3130" s="1" t="s">
        <v>4881</v>
      </c>
      <c r="N3130" s="1" t="s">
        <v>11862</v>
      </c>
      <c r="P3130" s="1" t="s">
        <v>11863</v>
      </c>
      <c r="Q3130" s="30" t="s">
        <v>2565</v>
      </c>
      <c r="R3130" s="33" t="s">
        <v>3472</v>
      </c>
      <c r="S3130">
        <v>37</v>
      </c>
      <c r="T3130" s="1" t="s">
        <v>13960</v>
      </c>
      <c r="U3130" s="1" t="str">
        <f>HYPERLINK("http://ictvonline.org/taxonomy/p/taxonomy-history?taxnode_id=202112425","ICTVonline=202112425")</f>
        <v>ICTVonline=202112425</v>
      </c>
    </row>
    <row r="3131" spans="1:21" x14ac:dyDescent="0.2">
      <c r="A3131" s="3">
        <v>3130</v>
      </c>
      <c r="B3131" s="1" t="s">
        <v>4875</v>
      </c>
      <c r="D3131" s="1" t="s">
        <v>4876</v>
      </c>
      <c r="F3131" s="1" t="s">
        <v>4880</v>
      </c>
      <c r="H3131" s="1" t="s">
        <v>4881</v>
      </c>
      <c r="N3131" s="1" t="s">
        <v>6031</v>
      </c>
      <c r="P3131" s="1" t="s">
        <v>11864</v>
      </c>
      <c r="Q3131" s="30" t="s">
        <v>2565</v>
      </c>
      <c r="R3131" s="33" t="s">
        <v>3473</v>
      </c>
      <c r="S3131">
        <v>37</v>
      </c>
      <c r="T3131" s="1" t="s">
        <v>13878</v>
      </c>
      <c r="U3131" s="1" t="str">
        <f>HYPERLINK("http://ictvonline.org/taxonomy/p/taxonomy-history?taxnode_id=202111556","ICTVonline=202111556")</f>
        <v>ICTVonline=202111556</v>
      </c>
    </row>
    <row r="3132" spans="1:21" x14ac:dyDescent="0.2">
      <c r="A3132" s="3">
        <v>3131</v>
      </c>
      <c r="B3132" s="1" t="s">
        <v>4875</v>
      </c>
      <c r="D3132" s="1" t="s">
        <v>4876</v>
      </c>
      <c r="F3132" s="1" t="s">
        <v>4880</v>
      </c>
      <c r="H3132" s="1" t="s">
        <v>4881</v>
      </c>
      <c r="N3132" s="1" t="s">
        <v>6032</v>
      </c>
      <c r="P3132" s="1" t="s">
        <v>11865</v>
      </c>
      <c r="Q3132" s="30" t="s">
        <v>2565</v>
      </c>
      <c r="R3132" s="33" t="s">
        <v>3473</v>
      </c>
      <c r="S3132">
        <v>37</v>
      </c>
      <c r="T3132" s="1" t="s">
        <v>13878</v>
      </c>
      <c r="U3132" s="1" t="str">
        <f>HYPERLINK("http://ictvonline.org/taxonomy/p/taxonomy-history?taxnode_id=202111559","ICTVonline=202111559")</f>
        <v>ICTVonline=202111559</v>
      </c>
    </row>
    <row r="3133" spans="1:21" x14ac:dyDescent="0.2">
      <c r="A3133" s="3">
        <v>3132</v>
      </c>
      <c r="B3133" s="1" t="s">
        <v>4875</v>
      </c>
      <c r="D3133" s="1" t="s">
        <v>4876</v>
      </c>
      <c r="F3133" s="1" t="s">
        <v>4880</v>
      </c>
      <c r="H3133" s="1" t="s">
        <v>4881</v>
      </c>
      <c r="N3133" s="1" t="s">
        <v>6032</v>
      </c>
      <c r="P3133" s="1" t="s">
        <v>11866</v>
      </c>
      <c r="Q3133" s="30" t="s">
        <v>2565</v>
      </c>
      <c r="R3133" s="33" t="s">
        <v>3473</v>
      </c>
      <c r="S3133">
        <v>37</v>
      </c>
      <c r="T3133" s="1" t="s">
        <v>13878</v>
      </c>
      <c r="U3133" s="1" t="str">
        <f>HYPERLINK("http://ictvonline.org/taxonomy/p/taxonomy-history?taxnode_id=202111558","ICTVonline=202111558")</f>
        <v>ICTVonline=202111558</v>
      </c>
    </row>
    <row r="3134" spans="1:21" x14ac:dyDescent="0.2">
      <c r="A3134" s="3">
        <v>3133</v>
      </c>
      <c r="B3134" s="1" t="s">
        <v>4875</v>
      </c>
      <c r="D3134" s="1" t="s">
        <v>4876</v>
      </c>
      <c r="F3134" s="1" t="s">
        <v>4880</v>
      </c>
      <c r="H3134" s="1" t="s">
        <v>4881</v>
      </c>
      <c r="N3134" s="1" t="s">
        <v>11867</v>
      </c>
      <c r="P3134" s="1" t="s">
        <v>11868</v>
      </c>
      <c r="Q3134" s="30" t="s">
        <v>2565</v>
      </c>
      <c r="R3134" s="33" t="s">
        <v>3472</v>
      </c>
      <c r="S3134">
        <v>37</v>
      </c>
      <c r="T3134" s="1" t="s">
        <v>13961</v>
      </c>
      <c r="U3134" s="1" t="str">
        <f>HYPERLINK("http://ictvonline.org/taxonomy/p/taxonomy-history?taxnode_id=202112770","ICTVonline=202112770")</f>
        <v>ICTVonline=202112770</v>
      </c>
    </row>
    <row r="3135" spans="1:21" x14ac:dyDescent="0.2">
      <c r="A3135" s="3">
        <v>3134</v>
      </c>
      <c r="B3135" s="1" t="s">
        <v>4875</v>
      </c>
      <c r="D3135" s="1" t="s">
        <v>4876</v>
      </c>
      <c r="F3135" s="1" t="s">
        <v>4880</v>
      </c>
      <c r="H3135" s="1" t="s">
        <v>4881</v>
      </c>
      <c r="N3135" s="1" t="s">
        <v>4618</v>
      </c>
      <c r="P3135" s="1" t="s">
        <v>11869</v>
      </c>
      <c r="Q3135" s="30" t="s">
        <v>2565</v>
      </c>
      <c r="R3135" s="33" t="s">
        <v>3473</v>
      </c>
      <c r="S3135">
        <v>37</v>
      </c>
      <c r="T3135" s="1" t="s">
        <v>13878</v>
      </c>
      <c r="U3135" s="1" t="str">
        <f>HYPERLINK("http://ictvonline.org/taxonomy/p/taxonomy-history?taxnode_id=202106850","ICTVonline=202106850")</f>
        <v>ICTVonline=202106850</v>
      </c>
    </row>
    <row r="3136" spans="1:21" x14ac:dyDescent="0.2">
      <c r="A3136" s="3">
        <v>3135</v>
      </c>
      <c r="B3136" s="1" t="s">
        <v>4875</v>
      </c>
      <c r="D3136" s="1" t="s">
        <v>4876</v>
      </c>
      <c r="F3136" s="1" t="s">
        <v>4880</v>
      </c>
      <c r="H3136" s="1" t="s">
        <v>4881</v>
      </c>
      <c r="N3136" s="1" t="s">
        <v>5121</v>
      </c>
      <c r="P3136" s="1" t="s">
        <v>11870</v>
      </c>
      <c r="Q3136" s="30" t="s">
        <v>2565</v>
      </c>
      <c r="R3136" s="33" t="s">
        <v>3473</v>
      </c>
      <c r="S3136">
        <v>37</v>
      </c>
      <c r="T3136" s="1" t="s">
        <v>13878</v>
      </c>
      <c r="U3136" s="1" t="str">
        <f>HYPERLINK("http://ictvonline.org/taxonomy/p/taxonomy-history?taxnode_id=202100402","ICTVonline=202100402")</f>
        <v>ICTVonline=202100402</v>
      </c>
    </row>
    <row r="3137" spans="1:21" x14ac:dyDescent="0.2">
      <c r="A3137" s="3">
        <v>3136</v>
      </c>
      <c r="B3137" s="1" t="s">
        <v>4875</v>
      </c>
      <c r="D3137" s="1" t="s">
        <v>4876</v>
      </c>
      <c r="F3137" s="1" t="s">
        <v>4880</v>
      </c>
      <c r="H3137" s="1" t="s">
        <v>4881</v>
      </c>
      <c r="N3137" s="1" t="s">
        <v>5121</v>
      </c>
      <c r="P3137" s="1" t="s">
        <v>11871</v>
      </c>
      <c r="Q3137" s="30" t="s">
        <v>2565</v>
      </c>
      <c r="R3137" s="33" t="s">
        <v>3473</v>
      </c>
      <c r="S3137">
        <v>37</v>
      </c>
      <c r="T3137" s="1" t="s">
        <v>13878</v>
      </c>
      <c r="U3137" s="1" t="str">
        <f>HYPERLINK("http://ictvonline.org/taxonomy/p/taxonomy-history?taxnode_id=202100403","ICTVonline=202100403")</f>
        <v>ICTVonline=202100403</v>
      </c>
    </row>
    <row r="3138" spans="1:21" x14ac:dyDescent="0.2">
      <c r="A3138" s="3">
        <v>3137</v>
      </c>
      <c r="B3138" s="1" t="s">
        <v>4875</v>
      </c>
      <c r="D3138" s="1" t="s">
        <v>4876</v>
      </c>
      <c r="F3138" s="1" t="s">
        <v>4880</v>
      </c>
      <c r="H3138" s="1" t="s">
        <v>4881</v>
      </c>
      <c r="N3138" s="1" t="s">
        <v>5121</v>
      </c>
      <c r="P3138" s="1" t="s">
        <v>11872</v>
      </c>
      <c r="Q3138" s="30" t="s">
        <v>2565</v>
      </c>
      <c r="R3138" s="33" t="s">
        <v>3473</v>
      </c>
      <c r="S3138">
        <v>37</v>
      </c>
      <c r="T3138" s="1" t="s">
        <v>13878</v>
      </c>
      <c r="U3138" s="1" t="str">
        <f>HYPERLINK("http://ictvonline.org/taxonomy/p/taxonomy-history?taxnode_id=202100404","ICTVonline=202100404")</f>
        <v>ICTVonline=202100404</v>
      </c>
    </row>
    <row r="3139" spans="1:21" x14ac:dyDescent="0.2">
      <c r="A3139" s="3">
        <v>3138</v>
      </c>
      <c r="B3139" s="1" t="s">
        <v>4875</v>
      </c>
      <c r="D3139" s="1" t="s">
        <v>4876</v>
      </c>
      <c r="F3139" s="1" t="s">
        <v>4880</v>
      </c>
      <c r="H3139" s="1" t="s">
        <v>4881</v>
      </c>
      <c r="N3139" s="1" t="s">
        <v>5121</v>
      </c>
      <c r="P3139" s="1" t="s">
        <v>11873</v>
      </c>
      <c r="Q3139" s="30" t="s">
        <v>2565</v>
      </c>
      <c r="R3139" s="33" t="s">
        <v>3473</v>
      </c>
      <c r="S3139">
        <v>37</v>
      </c>
      <c r="T3139" s="1" t="s">
        <v>13878</v>
      </c>
      <c r="U3139" s="1" t="str">
        <f>HYPERLINK("http://ictvonline.org/taxonomy/p/taxonomy-history?taxnode_id=202100405","ICTVonline=202100405")</f>
        <v>ICTVonline=202100405</v>
      </c>
    </row>
    <row r="3140" spans="1:21" x14ac:dyDescent="0.2">
      <c r="A3140" s="3">
        <v>3139</v>
      </c>
      <c r="B3140" s="1" t="s">
        <v>4875</v>
      </c>
      <c r="D3140" s="1" t="s">
        <v>4876</v>
      </c>
      <c r="F3140" s="1" t="s">
        <v>4880</v>
      </c>
      <c r="H3140" s="1" t="s">
        <v>4881</v>
      </c>
      <c r="N3140" s="1" t="s">
        <v>4709</v>
      </c>
      <c r="P3140" s="1" t="s">
        <v>11874</v>
      </c>
      <c r="Q3140" s="30" t="s">
        <v>2565</v>
      </c>
      <c r="R3140" s="33" t="s">
        <v>3473</v>
      </c>
      <c r="S3140">
        <v>37</v>
      </c>
      <c r="T3140" s="1" t="s">
        <v>13878</v>
      </c>
      <c r="U3140" s="1" t="str">
        <f>HYPERLINK("http://ictvonline.org/taxonomy/p/taxonomy-history?taxnode_id=202106879","ICTVonline=202106879")</f>
        <v>ICTVonline=202106879</v>
      </c>
    </row>
    <row r="3141" spans="1:21" x14ac:dyDescent="0.2">
      <c r="A3141" s="3">
        <v>3140</v>
      </c>
      <c r="B3141" s="1" t="s">
        <v>4875</v>
      </c>
      <c r="D3141" s="1" t="s">
        <v>4876</v>
      </c>
      <c r="F3141" s="1" t="s">
        <v>4880</v>
      </c>
      <c r="H3141" s="1" t="s">
        <v>4881</v>
      </c>
      <c r="N3141" s="1" t="s">
        <v>4555</v>
      </c>
      <c r="P3141" s="1" t="s">
        <v>11875</v>
      </c>
      <c r="Q3141" s="30" t="s">
        <v>2565</v>
      </c>
      <c r="R3141" s="33" t="s">
        <v>3473</v>
      </c>
      <c r="S3141">
        <v>37</v>
      </c>
      <c r="T3141" s="1" t="s">
        <v>13878</v>
      </c>
      <c r="U3141" s="1" t="str">
        <f>HYPERLINK("http://ictvonline.org/taxonomy/p/taxonomy-history?taxnode_id=202100440","ICTVonline=202100440")</f>
        <v>ICTVonline=202100440</v>
      </c>
    </row>
    <row r="3142" spans="1:21" x14ac:dyDescent="0.2">
      <c r="A3142" s="3">
        <v>3141</v>
      </c>
      <c r="B3142" s="1" t="s">
        <v>4875</v>
      </c>
      <c r="D3142" s="1" t="s">
        <v>4876</v>
      </c>
      <c r="F3142" s="1" t="s">
        <v>4880</v>
      </c>
      <c r="H3142" s="1" t="s">
        <v>4881</v>
      </c>
      <c r="N3142" s="1" t="s">
        <v>4555</v>
      </c>
      <c r="P3142" s="1" t="s">
        <v>11876</v>
      </c>
      <c r="Q3142" s="30" t="s">
        <v>2565</v>
      </c>
      <c r="R3142" s="33" t="s">
        <v>3473</v>
      </c>
      <c r="S3142">
        <v>37</v>
      </c>
      <c r="T3142" s="1" t="s">
        <v>13878</v>
      </c>
      <c r="U3142" s="1" t="str">
        <f>HYPERLINK("http://ictvonline.org/taxonomy/p/taxonomy-history?taxnode_id=202107000","ICTVonline=202107000")</f>
        <v>ICTVonline=202107000</v>
      </c>
    </row>
    <row r="3143" spans="1:21" x14ac:dyDescent="0.2">
      <c r="A3143" s="3">
        <v>3142</v>
      </c>
      <c r="B3143" s="1" t="s">
        <v>4875</v>
      </c>
      <c r="D3143" s="1" t="s">
        <v>4876</v>
      </c>
      <c r="F3143" s="1" t="s">
        <v>4880</v>
      </c>
      <c r="H3143" s="1" t="s">
        <v>4881</v>
      </c>
      <c r="N3143" s="1" t="s">
        <v>4555</v>
      </c>
      <c r="P3143" s="1" t="s">
        <v>11877</v>
      </c>
      <c r="Q3143" s="30" t="s">
        <v>2565</v>
      </c>
      <c r="R3143" s="33" t="s">
        <v>3473</v>
      </c>
      <c r="S3143">
        <v>37</v>
      </c>
      <c r="T3143" s="1" t="s">
        <v>13878</v>
      </c>
      <c r="U3143" s="1" t="str">
        <f>HYPERLINK("http://ictvonline.org/taxonomy/p/taxonomy-history?taxnode_id=202100441","ICTVonline=202100441")</f>
        <v>ICTVonline=202100441</v>
      </c>
    </row>
    <row r="3144" spans="1:21" x14ac:dyDescent="0.2">
      <c r="A3144" s="3">
        <v>3143</v>
      </c>
      <c r="B3144" s="1" t="s">
        <v>4875</v>
      </c>
      <c r="D3144" s="1" t="s">
        <v>4876</v>
      </c>
      <c r="F3144" s="1" t="s">
        <v>4880</v>
      </c>
      <c r="H3144" s="1" t="s">
        <v>4881</v>
      </c>
      <c r="N3144" s="1" t="s">
        <v>4555</v>
      </c>
      <c r="P3144" s="1" t="s">
        <v>11878</v>
      </c>
      <c r="Q3144" s="30" t="s">
        <v>2565</v>
      </c>
      <c r="R3144" s="33" t="s">
        <v>3473</v>
      </c>
      <c r="S3144">
        <v>37</v>
      </c>
      <c r="T3144" s="1" t="s">
        <v>13878</v>
      </c>
      <c r="U3144" s="1" t="str">
        <f>HYPERLINK("http://ictvonline.org/taxonomy/p/taxonomy-history?taxnode_id=202100442","ICTVonline=202100442")</f>
        <v>ICTVonline=202100442</v>
      </c>
    </row>
    <row r="3145" spans="1:21" x14ac:dyDescent="0.2">
      <c r="A3145" s="3">
        <v>3144</v>
      </c>
      <c r="B3145" s="1" t="s">
        <v>4875</v>
      </c>
      <c r="D3145" s="1" t="s">
        <v>4876</v>
      </c>
      <c r="F3145" s="1" t="s">
        <v>4880</v>
      </c>
      <c r="H3145" s="1" t="s">
        <v>4881</v>
      </c>
      <c r="N3145" s="1" t="s">
        <v>4555</v>
      </c>
      <c r="P3145" s="1" t="s">
        <v>11879</v>
      </c>
      <c r="Q3145" s="30" t="s">
        <v>2565</v>
      </c>
      <c r="R3145" s="33" t="s">
        <v>3473</v>
      </c>
      <c r="S3145">
        <v>37</v>
      </c>
      <c r="T3145" s="1" t="s">
        <v>13878</v>
      </c>
      <c r="U3145" s="1" t="str">
        <f>HYPERLINK("http://ictvonline.org/taxonomy/p/taxonomy-history?taxnode_id=202107001","ICTVonline=202107001")</f>
        <v>ICTVonline=202107001</v>
      </c>
    </row>
    <row r="3146" spans="1:21" x14ac:dyDescent="0.2">
      <c r="A3146" s="3">
        <v>3145</v>
      </c>
      <c r="B3146" s="1" t="s">
        <v>4875</v>
      </c>
      <c r="D3146" s="1" t="s">
        <v>4876</v>
      </c>
      <c r="F3146" s="1" t="s">
        <v>4880</v>
      </c>
      <c r="H3146" s="1" t="s">
        <v>4881</v>
      </c>
      <c r="N3146" s="1" t="s">
        <v>5219</v>
      </c>
      <c r="P3146" s="1" t="s">
        <v>11880</v>
      </c>
      <c r="Q3146" s="30" t="s">
        <v>2565</v>
      </c>
      <c r="R3146" s="33" t="s">
        <v>3473</v>
      </c>
      <c r="S3146">
        <v>37</v>
      </c>
      <c r="T3146" s="1" t="s">
        <v>13878</v>
      </c>
      <c r="U3146" s="1" t="str">
        <f>HYPERLINK("http://ictvonline.org/taxonomy/p/taxonomy-history?taxnode_id=202107931","ICTVonline=202107931")</f>
        <v>ICTVonline=202107931</v>
      </c>
    </row>
    <row r="3147" spans="1:21" x14ac:dyDescent="0.2">
      <c r="A3147" s="3">
        <v>3146</v>
      </c>
      <c r="B3147" s="1" t="s">
        <v>4875</v>
      </c>
      <c r="D3147" s="1" t="s">
        <v>4876</v>
      </c>
      <c r="F3147" s="1" t="s">
        <v>4880</v>
      </c>
      <c r="H3147" s="1" t="s">
        <v>4881</v>
      </c>
      <c r="N3147" s="1" t="s">
        <v>6218</v>
      </c>
      <c r="P3147" s="1" t="s">
        <v>11881</v>
      </c>
      <c r="Q3147" s="30" t="s">
        <v>2565</v>
      </c>
      <c r="R3147" s="33" t="s">
        <v>3473</v>
      </c>
      <c r="S3147">
        <v>37</v>
      </c>
      <c r="T3147" s="1" t="s">
        <v>13878</v>
      </c>
      <c r="U3147" s="1" t="str">
        <f>HYPERLINK("http://ictvonline.org/taxonomy/p/taxonomy-history?taxnode_id=202109358","ICTVonline=202109358")</f>
        <v>ICTVonline=202109358</v>
      </c>
    </row>
    <row r="3148" spans="1:21" x14ac:dyDescent="0.2">
      <c r="A3148" s="3">
        <v>3147</v>
      </c>
      <c r="B3148" s="1" t="s">
        <v>4875</v>
      </c>
      <c r="D3148" s="1" t="s">
        <v>4876</v>
      </c>
      <c r="F3148" s="1" t="s">
        <v>4880</v>
      </c>
      <c r="H3148" s="1" t="s">
        <v>4881</v>
      </c>
      <c r="N3148" s="1" t="s">
        <v>6218</v>
      </c>
      <c r="P3148" s="1" t="s">
        <v>11882</v>
      </c>
      <c r="Q3148" s="30" t="s">
        <v>2565</v>
      </c>
      <c r="R3148" s="33" t="s">
        <v>3473</v>
      </c>
      <c r="S3148">
        <v>37</v>
      </c>
      <c r="T3148" s="1" t="s">
        <v>13878</v>
      </c>
      <c r="U3148" s="1" t="str">
        <f>HYPERLINK("http://ictvonline.org/taxonomy/p/taxonomy-history?taxnode_id=202109357","ICTVonline=202109357")</f>
        <v>ICTVonline=202109357</v>
      </c>
    </row>
    <row r="3149" spans="1:21" x14ac:dyDescent="0.2">
      <c r="A3149" s="3">
        <v>3148</v>
      </c>
      <c r="B3149" s="1" t="s">
        <v>4875</v>
      </c>
      <c r="D3149" s="1" t="s">
        <v>4876</v>
      </c>
      <c r="F3149" s="1" t="s">
        <v>4880</v>
      </c>
      <c r="H3149" s="1" t="s">
        <v>4881</v>
      </c>
      <c r="N3149" s="1" t="s">
        <v>6219</v>
      </c>
      <c r="P3149" s="1" t="s">
        <v>11883</v>
      </c>
      <c r="Q3149" s="30" t="s">
        <v>2565</v>
      </c>
      <c r="R3149" s="33" t="s">
        <v>3473</v>
      </c>
      <c r="S3149">
        <v>37</v>
      </c>
      <c r="T3149" s="1" t="s">
        <v>13878</v>
      </c>
      <c r="U3149" s="1" t="str">
        <f>HYPERLINK("http://ictvonline.org/taxonomy/p/taxonomy-history?taxnode_id=202111561","ICTVonline=202111561")</f>
        <v>ICTVonline=202111561</v>
      </c>
    </row>
    <row r="3150" spans="1:21" x14ac:dyDescent="0.2">
      <c r="A3150" s="3">
        <v>3149</v>
      </c>
      <c r="B3150" s="1" t="s">
        <v>4875</v>
      </c>
      <c r="D3150" s="1" t="s">
        <v>4876</v>
      </c>
      <c r="F3150" s="1" t="s">
        <v>4880</v>
      </c>
      <c r="H3150" s="1" t="s">
        <v>4881</v>
      </c>
      <c r="N3150" s="1" t="s">
        <v>6219</v>
      </c>
      <c r="P3150" s="1" t="s">
        <v>11884</v>
      </c>
      <c r="Q3150" s="30" t="s">
        <v>2565</v>
      </c>
      <c r="R3150" s="33" t="s">
        <v>3473</v>
      </c>
      <c r="S3150">
        <v>37</v>
      </c>
      <c r="T3150" s="1" t="s">
        <v>13878</v>
      </c>
      <c r="U3150" s="1" t="str">
        <f>HYPERLINK("http://ictvonline.org/taxonomy/p/taxonomy-history?taxnode_id=202111563","ICTVonline=202111563")</f>
        <v>ICTVonline=202111563</v>
      </c>
    </row>
    <row r="3151" spans="1:21" x14ac:dyDescent="0.2">
      <c r="A3151" s="3">
        <v>3150</v>
      </c>
      <c r="B3151" s="1" t="s">
        <v>4875</v>
      </c>
      <c r="D3151" s="1" t="s">
        <v>4876</v>
      </c>
      <c r="F3151" s="1" t="s">
        <v>4880</v>
      </c>
      <c r="H3151" s="1" t="s">
        <v>4881</v>
      </c>
      <c r="N3151" s="1" t="s">
        <v>6219</v>
      </c>
      <c r="P3151" s="1" t="s">
        <v>11885</v>
      </c>
      <c r="Q3151" s="30" t="s">
        <v>2565</v>
      </c>
      <c r="R3151" s="33" t="s">
        <v>3473</v>
      </c>
      <c r="S3151">
        <v>37</v>
      </c>
      <c r="T3151" s="1" t="s">
        <v>13878</v>
      </c>
      <c r="U3151" s="1" t="str">
        <f>HYPERLINK("http://ictvonline.org/taxonomy/p/taxonomy-history?taxnode_id=202111564","ICTVonline=202111564")</f>
        <v>ICTVonline=202111564</v>
      </c>
    </row>
    <row r="3152" spans="1:21" x14ac:dyDescent="0.2">
      <c r="A3152" s="3">
        <v>3151</v>
      </c>
      <c r="B3152" s="1" t="s">
        <v>4875</v>
      </c>
      <c r="D3152" s="1" t="s">
        <v>4876</v>
      </c>
      <c r="F3152" s="1" t="s">
        <v>4880</v>
      </c>
      <c r="H3152" s="1" t="s">
        <v>4881</v>
      </c>
      <c r="N3152" s="1" t="s">
        <v>6219</v>
      </c>
      <c r="P3152" s="1" t="s">
        <v>11886</v>
      </c>
      <c r="Q3152" s="30" t="s">
        <v>2565</v>
      </c>
      <c r="R3152" s="33" t="s">
        <v>3473</v>
      </c>
      <c r="S3152">
        <v>37</v>
      </c>
      <c r="T3152" s="1" t="s">
        <v>13878</v>
      </c>
      <c r="U3152" s="1" t="str">
        <f>HYPERLINK("http://ictvonline.org/taxonomy/p/taxonomy-history?taxnode_id=202111562","ICTVonline=202111562")</f>
        <v>ICTVonline=202111562</v>
      </c>
    </row>
    <row r="3153" spans="1:21" x14ac:dyDescent="0.2">
      <c r="A3153" s="3">
        <v>3152</v>
      </c>
      <c r="B3153" s="1" t="s">
        <v>4875</v>
      </c>
      <c r="D3153" s="1" t="s">
        <v>4876</v>
      </c>
      <c r="F3153" s="1" t="s">
        <v>4880</v>
      </c>
      <c r="H3153" s="1" t="s">
        <v>4881</v>
      </c>
      <c r="N3153" s="1" t="s">
        <v>4710</v>
      </c>
      <c r="P3153" s="1" t="s">
        <v>11887</v>
      </c>
      <c r="Q3153" s="30" t="s">
        <v>2565</v>
      </c>
      <c r="R3153" s="33" t="s">
        <v>3473</v>
      </c>
      <c r="S3153">
        <v>37</v>
      </c>
      <c r="T3153" s="1" t="s">
        <v>13878</v>
      </c>
      <c r="U3153" s="1" t="str">
        <f>HYPERLINK("http://ictvonline.org/taxonomy/p/taxonomy-history?taxnode_id=202106852","ICTVonline=202106852")</f>
        <v>ICTVonline=202106852</v>
      </c>
    </row>
    <row r="3154" spans="1:21" x14ac:dyDescent="0.2">
      <c r="A3154" s="3">
        <v>3153</v>
      </c>
      <c r="B3154" s="1" t="s">
        <v>4875</v>
      </c>
      <c r="D3154" s="1" t="s">
        <v>4876</v>
      </c>
      <c r="F3154" s="1" t="s">
        <v>4880</v>
      </c>
      <c r="H3154" s="1" t="s">
        <v>4881</v>
      </c>
      <c r="N3154" s="1" t="s">
        <v>2599</v>
      </c>
      <c r="P3154" s="1" t="s">
        <v>11888</v>
      </c>
      <c r="Q3154" s="30" t="s">
        <v>2565</v>
      </c>
      <c r="R3154" s="33" t="s">
        <v>3473</v>
      </c>
      <c r="S3154">
        <v>37</v>
      </c>
      <c r="T3154" s="1" t="s">
        <v>13878</v>
      </c>
      <c r="U3154" s="1" t="str">
        <f>HYPERLINK("http://ictvonline.org/taxonomy/p/taxonomy-history?taxnode_id=202100674","ICTVonline=202100674")</f>
        <v>ICTVonline=202100674</v>
      </c>
    </row>
    <row r="3155" spans="1:21" x14ac:dyDescent="0.2">
      <c r="A3155" s="3">
        <v>3154</v>
      </c>
      <c r="B3155" s="1" t="s">
        <v>4875</v>
      </c>
      <c r="D3155" s="1" t="s">
        <v>4876</v>
      </c>
      <c r="F3155" s="1" t="s">
        <v>4880</v>
      </c>
      <c r="H3155" s="1" t="s">
        <v>4881</v>
      </c>
      <c r="N3155" s="1" t="s">
        <v>2599</v>
      </c>
      <c r="P3155" s="1" t="s">
        <v>11889</v>
      </c>
      <c r="Q3155" s="30" t="s">
        <v>2565</v>
      </c>
      <c r="R3155" s="33" t="s">
        <v>3473</v>
      </c>
      <c r="S3155">
        <v>37</v>
      </c>
      <c r="T3155" s="1" t="s">
        <v>13878</v>
      </c>
      <c r="U3155" s="1" t="str">
        <f>HYPERLINK("http://ictvonline.org/taxonomy/p/taxonomy-history?taxnode_id=202100675","ICTVonline=202100675")</f>
        <v>ICTVonline=202100675</v>
      </c>
    </row>
    <row r="3156" spans="1:21" x14ac:dyDescent="0.2">
      <c r="A3156" s="3">
        <v>3155</v>
      </c>
      <c r="B3156" s="1" t="s">
        <v>4875</v>
      </c>
      <c r="D3156" s="1" t="s">
        <v>4876</v>
      </c>
      <c r="F3156" s="1" t="s">
        <v>4880</v>
      </c>
      <c r="H3156" s="1" t="s">
        <v>4881</v>
      </c>
      <c r="N3156" s="1" t="s">
        <v>4559</v>
      </c>
      <c r="P3156" s="1" t="s">
        <v>11890</v>
      </c>
      <c r="Q3156" s="30" t="s">
        <v>2565</v>
      </c>
      <c r="R3156" s="33" t="s">
        <v>3473</v>
      </c>
      <c r="S3156">
        <v>37</v>
      </c>
      <c r="T3156" s="1" t="s">
        <v>13878</v>
      </c>
      <c r="U3156" s="1" t="str">
        <f>HYPERLINK("http://ictvonline.org/taxonomy/p/taxonomy-history?taxnode_id=202106327","ICTVonline=202106327")</f>
        <v>ICTVonline=202106327</v>
      </c>
    </row>
    <row r="3157" spans="1:21" x14ac:dyDescent="0.2">
      <c r="A3157" s="3">
        <v>3156</v>
      </c>
      <c r="B3157" s="1" t="s">
        <v>4875</v>
      </c>
      <c r="D3157" s="1" t="s">
        <v>4876</v>
      </c>
      <c r="F3157" s="1" t="s">
        <v>4880</v>
      </c>
      <c r="H3157" s="1" t="s">
        <v>4881</v>
      </c>
      <c r="N3157" s="1" t="s">
        <v>4713</v>
      </c>
      <c r="P3157" s="1" t="s">
        <v>11891</v>
      </c>
      <c r="Q3157" s="30" t="s">
        <v>2565</v>
      </c>
      <c r="R3157" s="33" t="s">
        <v>3473</v>
      </c>
      <c r="S3157">
        <v>37</v>
      </c>
      <c r="T3157" s="1" t="s">
        <v>13878</v>
      </c>
      <c r="U3157" s="1" t="str">
        <f>HYPERLINK("http://ictvonline.org/taxonomy/p/taxonomy-history?taxnode_id=202106692","ICTVonline=202106692")</f>
        <v>ICTVonline=202106692</v>
      </c>
    </row>
    <row r="3158" spans="1:21" x14ac:dyDescent="0.2">
      <c r="A3158" s="3">
        <v>3157</v>
      </c>
      <c r="B3158" s="1" t="s">
        <v>4875</v>
      </c>
      <c r="D3158" s="1" t="s">
        <v>4876</v>
      </c>
      <c r="F3158" s="1" t="s">
        <v>4880</v>
      </c>
      <c r="H3158" s="1" t="s">
        <v>4881</v>
      </c>
      <c r="N3158" s="1" t="s">
        <v>6033</v>
      </c>
      <c r="P3158" s="1" t="s">
        <v>11892</v>
      </c>
      <c r="Q3158" s="30" t="s">
        <v>2565</v>
      </c>
      <c r="R3158" s="33" t="s">
        <v>3473</v>
      </c>
      <c r="S3158">
        <v>37</v>
      </c>
      <c r="T3158" s="1" t="s">
        <v>13878</v>
      </c>
      <c r="U3158" s="1" t="str">
        <f>HYPERLINK("http://ictvonline.org/taxonomy/p/taxonomy-history?taxnode_id=202111566","ICTVonline=202111566")</f>
        <v>ICTVonline=202111566</v>
      </c>
    </row>
    <row r="3159" spans="1:21" x14ac:dyDescent="0.2">
      <c r="A3159" s="3">
        <v>3158</v>
      </c>
      <c r="B3159" s="1" t="s">
        <v>4875</v>
      </c>
      <c r="D3159" s="1" t="s">
        <v>4876</v>
      </c>
      <c r="F3159" s="1" t="s">
        <v>4880</v>
      </c>
      <c r="H3159" s="1" t="s">
        <v>4881</v>
      </c>
      <c r="N3159" s="1" t="s">
        <v>6033</v>
      </c>
      <c r="P3159" s="1" t="s">
        <v>11893</v>
      </c>
      <c r="Q3159" s="30" t="s">
        <v>2565</v>
      </c>
      <c r="R3159" s="33" t="s">
        <v>3473</v>
      </c>
      <c r="S3159">
        <v>37</v>
      </c>
      <c r="T3159" s="1" t="s">
        <v>13878</v>
      </c>
      <c r="U3159" s="1" t="str">
        <f>HYPERLINK("http://ictvonline.org/taxonomy/p/taxonomy-history?taxnode_id=202111567","ICTVonline=202111567")</f>
        <v>ICTVonline=202111567</v>
      </c>
    </row>
    <row r="3160" spans="1:21" x14ac:dyDescent="0.2">
      <c r="A3160" s="3">
        <v>3159</v>
      </c>
      <c r="B3160" s="1" t="s">
        <v>4875</v>
      </c>
      <c r="D3160" s="1" t="s">
        <v>4876</v>
      </c>
      <c r="F3160" s="1" t="s">
        <v>4880</v>
      </c>
      <c r="H3160" s="1" t="s">
        <v>4881</v>
      </c>
      <c r="N3160" s="1" t="s">
        <v>4560</v>
      </c>
      <c r="P3160" s="1" t="s">
        <v>11894</v>
      </c>
      <c r="Q3160" s="30" t="s">
        <v>2565</v>
      </c>
      <c r="R3160" s="33" t="s">
        <v>3473</v>
      </c>
      <c r="S3160">
        <v>37</v>
      </c>
      <c r="T3160" s="1" t="s">
        <v>13878</v>
      </c>
      <c r="U3160" s="1" t="str">
        <f>HYPERLINK("http://ictvonline.org/taxonomy/p/taxonomy-history?taxnode_id=202100377","ICTVonline=202100377")</f>
        <v>ICTVonline=202100377</v>
      </c>
    </row>
    <row r="3161" spans="1:21" x14ac:dyDescent="0.2">
      <c r="A3161" s="3">
        <v>3160</v>
      </c>
      <c r="B3161" s="1" t="s">
        <v>4875</v>
      </c>
      <c r="D3161" s="1" t="s">
        <v>4876</v>
      </c>
      <c r="F3161" s="1" t="s">
        <v>4880</v>
      </c>
      <c r="H3161" s="1" t="s">
        <v>4881</v>
      </c>
      <c r="N3161" s="1" t="s">
        <v>4560</v>
      </c>
      <c r="P3161" s="1" t="s">
        <v>11895</v>
      </c>
      <c r="Q3161" s="30" t="s">
        <v>2565</v>
      </c>
      <c r="R3161" s="33" t="s">
        <v>3473</v>
      </c>
      <c r="S3161">
        <v>37</v>
      </c>
      <c r="T3161" s="1" t="s">
        <v>13878</v>
      </c>
      <c r="U3161" s="1" t="str">
        <f>HYPERLINK("http://ictvonline.org/taxonomy/p/taxonomy-history?taxnode_id=202100378","ICTVonline=202100378")</f>
        <v>ICTVonline=202100378</v>
      </c>
    </row>
    <row r="3162" spans="1:21" x14ac:dyDescent="0.2">
      <c r="A3162" s="3">
        <v>3161</v>
      </c>
      <c r="B3162" s="1" t="s">
        <v>4875</v>
      </c>
      <c r="D3162" s="1" t="s">
        <v>4876</v>
      </c>
      <c r="F3162" s="1" t="s">
        <v>4880</v>
      </c>
      <c r="H3162" s="1" t="s">
        <v>4881</v>
      </c>
      <c r="N3162" s="1" t="s">
        <v>4560</v>
      </c>
      <c r="P3162" s="1" t="s">
        <v>11896</v>
      </c>
      <c r="Q3162" s="30" t="s">
        <v>2565</v>
      </c>
      <c r="R3162" s="33" t="s">
        <v>3473</v>
      </c>
      <c r="S3162">
        <v>37</v>
      </c>
      <c r="T3162" s="1" t="s">
        <v>13878</v>
      </c>
      <c r="U3162" s="1" t="str">
        <f>HYPERLINK("http://ictvonline.org/taxonomy/p/taxonomy-history?taxnode_id=202100379","ICTVonline=202100379")</f>
        <v>ICTVonline=202100379</v>
      </c>
    </row>
    <row r="3163" spans="1:21" x14ac:dyDescent="0.2">
      <c r="A3163" s="3">
        <v>3162</v>
      </c>
      <c r="B3163" s="1" t="s">
        <v>4875</v>
      </c>
      <c r="D3163" s="1" t="s">
        <v>4876</v>
      </c>
      <c r="F3163" s="1" t="s">
        <v>4880</v>
      </c>
      <c r="H3163" s="1" t="s">
        <v>4881</v>
      </c>
      <c r="N3163" s="1" t="s">
        <v>4560</v>
      </c>
      <c r="P3163" s="1" t="s">
        <v>11897</v>
      </c>
      <c r="Q3163" s="30" t="s">
        <v>2565</v>
      </c>
      <c r="R3163" s="33" t="s">
        <v>3473</v>
      </c>
      <c r="S3163">
        <v>37</v>
      </c>
      <c r="T3163" s="1" t="s">
        <v>13878</v>
      </c>
      <c r="U3163" s="1" t="str">
        <f>HYPERLINK("http://ictvonline.org/taxonomy/p/taxonomy-history?taxnode_id=202106922","ICTVonline=202106922")</f>
        <v>ICTVonline=202106922</v>
      </c>
    </row>
    <row r="3164" spans="1:21" x14ac:dyDescent="0.2">
      <c r="A3164" s="3">
        <v>3163</v>
      </c>
      <c r="B3164" s="1" t="s">
        <v>4875</v>
      </c>
      <c r="D3164" s="1" t="s">
        <v>4876</v>
      </c>
      <c r="F3164" s="1" t="s">
        <v>4880</v>
      </c>
      <c r="H3164" s="1" t="s">
        <v>4881</v>
      </c>
      <c r="N3164" s="1" t="s">
        <v>4560</v>
      </c>
      <c r="P3164" s="1" t="s">
        <v>11898</v>
      </c>
      <c r="Q3164" s="30" t="s">
        <v>2565</v>
      </c>
      <c r="R3164" s="33" t="s">
        <v>3473</v>
      </c>
      <c r="S3164">
        <v>37</v>
      </c>
      <c r="T3164" s="1" t="s">
        <v>13878</v>
      </c>
      <c r="U3164" s="1" t="str">
        <f>HYPERLINK("http://ictvonline.org/taxonomy/p/taxonomy-history?taxnode_id=202100380","ICTVonline=202100380")</f>
        <v>ICTVonline=202100380</v>
      </c>
    </row>
    <row r="3165" spans="1:21" x14ac:dyDescent="0.2">
      <c r="A3165" s="3">
        <v>3164</v>
      </c>
      <c r="B3165" s="1" t="s">
        <v>4875</v>
      </c>
      <c r="D3165" s="1" t="s">
        <v>4876</v>
      </c>
      <c r="F3165" s="1" t="s">
        <v>4880</v>
      </c>
      <c r="H3165" s="1" t="s">
        <v>4881</v>
      </c>
      <c r="N3165" s="1" t="s">
        <v>4560</v>
      </c>
      <c r="P3165" s="1" t="s">
        <v>11899</v>
      </c>
      <c r="Q3165" s="30" t="s">
        <v>2565</v>
      </c>
      <c r="R3165" s="33" t="s">
        <v>3473</v>
      </c>
      <c r="S3165">
        <v>37</v>
      </c>
      <c r="T3165" s="1" t="s">
        <v>13878</v>
      </c>
      <c r="U3165" s="1" t="str">
        <f>HYPERLINK("http://ictvonline.org/taxonomy/p/taxonomy-history?taxnode_id=202106921","ICTVonline=202106921")</f>
        <v>ICTVonline=202106921</v>
      </c>
    </row>
    <row r="3166" spans="1:21" x14ac:dyDescent="0.2">
      <c r="A3166" s="3">
        <v>3165</v>
      </c>
      <c r="B3166" s="1" t="s">
        <v>4875</v>
      </c>
      <c r="D3166" s="1" t="s">
        <v>4876</v>
      </c>
      <c r="F3166" s="1" t="s">
        <v>4880</v>
      </c>
      <c r="H3166" s="1" t="s">
        <v>4881</v>
      </c>
      <c r="N3166" s="1" t="s">
        <v>4560</v>
      </c>
      <c r="P3166" s="1" t="s">
        <v>11900</v>
      </c>
      <c r="Q3166" s="30" t="s">
        <v>2565</v>
      </c>
      <c r="R3166" s="33" t="s">
        <v>3473</v>
      </c>
      <c r="S3166">
        <v>37</v>
      </c>
      <c r="T3166" s="1" t="s">
        <v>13878</v>
      </c>
      <c r="U3166" s="1" t="str">
        <f>HYPERLINK("http://ictvonline.org/taxonomy/p/taxonomy-history?taxnode_id=202106919","ICTVonline=202106919")</f>
        <v>ICTVonline=202106919</v>
      </c>
    </row>
    <row r="3167" spans="1:21" x14ac:dyDescent="0.2">
      <c r="A3167" s="3">
        <v>3166</v>
      </c>
      <c r="B3167" s="1" t="s">
        <v>4875</v>
      </c>
      <c r="D3167" s="1" t="s">
        <v>4876</v>
      </c>
      <c r="F3167" s="1" t="s">
        <v>4880</v>
      </c>
      <c r="H3167" s="1" t="s">
        <v>4881</v>
      </c>
      <c r="N3167" s="1" t="s">
        <v>4560</v>
      </c>
      <c r="P3167" s="1" t="s">
        <v>11901</v>
      </c>
      <c r="Q3167" s="30" t="s">
        <v>2565</v>
      </c>
      <c r="R3167" s="33" t="s">
        <v>3473</v>
      </c>
      <c r="S3167">
        <v>37</v>
      </c>
      <c r="T3167" s="1" t="s">
        <v>13878</v>
      </c>
      <c r="U3167" s="1" t="str">
        <f>HYPERLINK("http://ictvonline.org/taxonomy/p/taxonomy-history?taxnode_id=202106920","ICTVonline=202106920")</f>
        <v>ICTVonline=202106920</v>
      </c>
    </row>
    <row r="3168" spans="1:21" x14ac:dyDescent="0.2">
      <c r="A3168" s="3">
        <v>3167</v>
      </c>
      <c r="B3168" s="1" t="s">
        <v>4875</v>
      </c>
      <c r="D3168" s="1" t="s">
        <v>4876</v>
      </c>
      <c r="F3168" s="1" t="s">
        <v>4880</v>
      </c>
      <c r="H3168" s="1" t="s">
        <v>4881</v>
      </c>
      <c r="N3168" s="1" t="s">
        <v>5220</v>
      </c>
      <c r="P3168" s="1" t="s">
        <v>11902</v>
      </c>
      <c r="Q3168" s="30" t="s">
        <v>2565</v>
      </c>
      <c r="R3168" s="33" t="s">
        <v>3473</v>
      </c>
      <c r="S3168">
        <v>37</v>
      </c>
      <c r="T3168" s="1" t="s">
        <v>13878</v>
      </c>
      <c r="U3168" s="1" t="str">
        <f>HYPERLINK("http://ictvonline.org/taxonomy/p/taxonomy-history?taxnode_id=202108056","ICTVonline=202108056")</f>
        <v>ICTVonline=202108056</v>
      </c>
    </row>
    <row r="3169" spans="1:21" x14ac:dyDescent="0.2">
      <c r="A3169" s="3">
        <v>3168</v>
      </c>
      <c r="B3169" s="1" t="s">
        <v>4875</v>
      </c>
      <c r="D3169" s="1" t="s">
        <v>4876</v>
      </c>
      <c r="F3169" s="1" t="s">
        <v>4880</v>
      </c>
      <c r="H3169" s="1" t="s">
        <v>4881</v>
      </c>
      <c r="N3169" s="1" t="s">
        <v>11903</v>
      </c>
      <c r="P3169" s="1" t="s">
        <v>11904</v>
      </c>
      <c r="Q3169" s="30" t="s">
        <v>2565</v>
      </c>
      <c r="R3169" s="33" t="s">
        <v>3472</v>
      </c>
      <c r="S3169">
        <v>37</v>
      </c>
      <c r="T3169" s="1" t="s">
        <v>13962</v>
      </c>
      <c r="U3169" s="1" t="str">
        <f>HYPERLINK("http://ictvonline.org/taxonomy/p/taxonomy-history?taxnode_id=202112785","ICTVonline=202112785")</f>
        <v>ICTVonline=202112785</v>
      </c>
    </row>
    <row r="3170" spans="1:21" x14ac:dyDescent="0.2">
      <c r="A3170" s="3">
        <v>3169</v>
      </c>
      <c r="B3170" s="1" t="s">
        <v>4875</v>
      </c>
      <c r="D3170" s="1" t="s">
        <v>4876</v>
      </c>
      <c r="F3170" s="1" t="s">
        <v>4880</v>
      </c>
      <c r="H3170" s="1" t="s">
        <v>4881</v>
      </c>
      <c r="N3170" s="1" t="s">
        <v>2643</v>
      </c>
      <c r="P3170" s="1" t="s">
        <v>11905</v>
      </c>
      <c r="Q3170" s="30" t="s">
        <v>2565</v>
      </c>
      <c r="R3170" s="33" t="s">
        <v>3473</v>
      </c>
      <c r="S3170">
        <v>37</v>
      </c>
      <c r="T3170" s="1" t="s">
        <v>13878</v>
      </c>
      <c r="U3170" s="1" t="str">
        <f>HYPERLINK("http://ictvonline.org/taxonomy/p/taxonomy-history?taxnode_id=202101095","ICTVonline=202101095")</f>
        <v>ICTVonline=202101095</v>
      </c>
    </row>
    <row r="3171" spans="1:21" x14ac:dyDescent="0.2">
      <c r="A3171" s="3">
        <v>3170</v>
      </c>
      <c r="B3171" s="1" t="s">
        <v>4875</v>
      </c>
      <c r="D3171" s="1" t="s">
        <v>4876</v>
      </c>
      <c r="F3171" s="1" t="s">
        <v>4880</v>
      </c>
      <c r="H3171" s="1" t="s">
        <v>4881</v>
      </c>
      <c r="N3171" s="1" t="s">
        <v>2643</v>
      </c>
      <c r="P3171" s="1" t="s">
        <v>11906</v>
      </c>
      <c r="Q3171" s="30" t="s">
        <v>2565</v>
      </c>
      <c r="R3171" s="33" t="s">
        <v>3473</v>
      </c>
      <c r="S3171">
        <v>37</v>
      </c>
      <c r="T3171" s="1" t="s">
        <v>13878</v>
      </c>
      <c r="U3171" s="1" t="str">
        <f>HYPERLINK("http://ictvonline.org/taxonomy/p/taxonomy-history?taxnode_id=202101096","ICTVonline=202101096")</f>
        <v>ICTVonline=202101096</v>
      </c>
    </row>
    <row r="3172" spans="1:21" x14ac:dyDescent="0.2">
      <c r="A3172" s="3">
        <v>3171</v>
      </c>
      <c r="B3172" s="1" t="s">
        <v>4875</v>
      </c>
      <c r="D3172" s="1" t="s">
        <v>4876</v>
      </c>
      <c r="F3172" s="1" t="s">
        <v>4880</v>
      </c>
      <c r="H3172" s="1" t="s">
        <v>4881</v>
      </c>
      <c r="N3172" s="1" t="s">
        <v>2643</v>
      </c>
      <c r="P3172" s="1" t="s">
        <v>11907</v>
      </c>
      <c r="Q3172" s="30" t="s">
        <v>2565</v>
      </c>
      <c r="R3172" s="33" t="s">
        <v>3473</v>
      </c>
      <c r="S3172">
        <v>37</v>
      </c>
      <c r="T3172" s="1" t="s">
        <v>13878</v>
      </c>
      <c r="U3172" s="1" t="str">
        <f>HYPERLINK("http://ictvonline.org/taxonomy/p/taxonomy-history?taxnode_id=202101097","ICTVonline=202101097")</f>
        <v>ICTVonline=202101097</v>
      </c>
    </row>
    <row r="3173" spans="1:21" x14ac:dyDescent="0.2">
      <c r="A3173" s="3">
        <v>3172</v>
      </c>
      <c r="B3173" s="1" t="s">
        <v>4875</v>
      </c>
      <c r="D3173" s="1" t="s">
        <v>4876</v>
      </c>
      <c r="F3173" s="1" t="s">
        <v>4880</v>
      </c>
      <c r="H3173" s="1" t="s">
        <v>4881</v>
      </c>
      <c r="N3173" s="1" t="s">
        <v>2643</v>
      </c>
      <c r="P3173" s="1" t="s">
        <v>11908</v>
      </c>
      <c r="Q3173" s="30" t="s">
        <v>2565</v>
      </c>
      <c r="R3173" s="33" t="s">
        <v>3473</v>
      </c>
      <c r="S3173">
        <v>37</v>
      </c>
      <c r="T3173" s="1" t="s">
        <v>13878</v>
      </c>
      <c r="U3173" s="1" t="str">
        <f>HYPERLINK("http://ictvonline.org/taxonomy/p/taxonomy-history?taxnode_id=202101098","ICTVonline=202101098")</f>
        <v>ICTVonline=202101098</v>
      </c>
    </row>
    <row r="3174" spans="1:21" x14ac:dyDescent="0.2">
      <c r="A3174" s="3">
        <v>3173</v>
      </c>
      <c r="B3174" s="1" t="s">
        <v>4875</v>
      </c>
      <c r="D3174" s="1" t="s">
        <v>4876</v>
      </c>
      <c r="F3174" s="1" t="s">
        <v>4880</v>
      </c>
      <c r="H3174" s="1" t="s">
        <v>4881</v>
      </c>
      <c r="N3174" s="1" t="s">
        <v>2643</v>
      </c>
      <c r="P3174" s="1" t="s">
        <v>11909</v>
      </c>
      <c r="Q3174" s="30" t="s">
        <v>2565</v>
      </c>
      <c r="R3174" s="33" t="s">
        <v>3473</v>
      </c>
      <c r="S3174">
        <v>37</v>
      </c>
      <c r="T3174" s="1" t="s">
        <v>13878</v>
      </c>
      <c r="U3174" s="1" t="str">
        <f>HYPERLINK("http://ictvonline.org/taxonomy/p/taxonomy-history?taxnode_id=202101099","ICTVonline=202101099")</f>
        <v>ICTVonline=202101099</v>
      </c>
    </row>
    <row r="3175" spans="1:21" x14ac:dyDescent="0.2">
      <c r="A3175" s="3">
        <v>3174</v>
      </c>
      <c r="B3175" s="1" t="s">
        <v>4875</v>
      </c>
      <c r="D3175" s="1" t="s">
        <v>4876</v>
      </c>
      <c r="F3175" s="1" t="s">
        <v>4880</v>
      </c>
      <c r="H3175" s="1" t="s">
        <v>4881</v>
      </c>
      <c r="N3175" s="1" t="s">
        <v>2643</v>
      </c>
      <c r="P3175" s="1" t="s">
        <v>11910</v>
      </c>
      <c r="Q3175" s="30" t="s">
        <v>2565</v>
      </c>
      <c r="R3175" s="33" t="s">
        <v>3473</v>
      </c>
      <c r="S3175">
        <v>37</v>
      </c>
      <c r="T3175" s="1" t="s">
        <v>13878</v>
      </c>
      <c r="U3175" s="1" t="str">
        <f>HYPERLINK("http://ictvonline.org/taxonomy/p/taxonomy-history?taxnode_id=202101100","ICTVonline=202101100")</f>
        <v>ICTVonline=202101100</v>
      </c>
    </row>
    <row r="3176" spans="1:21" x14ac:dyDescent="0.2">
      <c r="A3176" s="3">
        <v>3175</v>
      </c>
      <c r="B3176" s="1" t="s">
        <v>4875</v>
      </c>
      <c r="D3176" s="1" t="s">
        <v>4876</v>
      </c>
      <c r="F3176" s="1" t="s">
        <v>4880</v>
      </c>
      <c r="H3176" s="1" t="s">
        <v>4881</v>
      </c>
      <c r="N3176" s="1" t="s">
        <v>5221</v>
      </c>
      <c r="P3176" s="1" t="s">
        <v>11911</v>
      </c>
      <c r="Q3176" s="30" t="s">
        <v>2565</v>
      </c>
      <c r="R3176" s="33" t="s">
        <v>3473</v>
      </c>
      <c r="S3176">
        <v>37</v>
      </c>
      <c r="T3176" s="1" t="s">
        <v>13878</v>
      </c>
      <c r="U3176" s="1" t="str">
        <f>HYPERLINK("http://ictvonline.org/taxonomy/p/taxonomy-history?taxnode_id=202107460","ICTVonline=202107460")</f>
        <v>ICTVonline=202107460</v>
      </c>
    </row>
    <row r="3177" spans="1:21" x14ac:dyDescent="0.2">
      <c r="A3177" s="3">
        <v>3176</v>
      </c>
      <c r="B3177" s="1" t="s">
        <v>4875</v>
      </c>
      <c r="D3177" s="1" t="s">
        <v>4876</v>
      </c>
      <c r="F3177" s="1" t="s">
        <v>4880</v>
      </c>
      <c r="H3177" s="1" t="s">
        <v>4881</v>
      </c>
      <c r="N3177" s="1" t="s">
        <v>5221</v>
      </c>
      <c r="P3177" s="1" t="s">
        <v>11912</v>
      </c>
      <c r="Q3177" s="30" t="s">
        <v>2565</v>
      </c>
      <c r="R3177" s="33" t="s">
        <v>3473</v>
      </c>
      <c r="S3177">
        <v>37</v>
      </c>
      <c r="T3177" s="1" t="s">
        <v>13878</v>
      </c>
      <c r="U3177" s="1" t="str">
        <f>HYPERLINK("http://ictvonline.org/taxonomy/p/taxonomy-history?taxnode_id=202101311","ICTVonline=202101311")</f>
        <v>ICTVonline=202101311</v>
      </c>
    </row>
    <row r="3178" spans="1:21" x14ac:dyDescent="0.2">
      <c r="A3178" s="3">
        <v>3177</v>
      </c>
      <c r="B3178" s="1" t="s">
        <v>4875</v>
      </c>
      <c r="D3178" s="1" t="s">
        <v>4876</v>
      </c>
      <c r="F3178" s="1" t="s">
        <v>4880</v>
      </c>
      <c r="H3178" s="1" t="s">
        <v>4881</v>
      </c>
      <c r="N3178" s="1" t="s">
        <v>4714</v>
      </c>
      <c r="P3178" s="1" t="s">
        <v>11913</v>
      </c>
      <c r="Q3178" s="30" t="s">
        <v>2565</v>
      </c>
      <c r="R3178" s="33" t="s">
        <v>3473</v>
      </c>
      <c r="S3178">
        <v>37</v>
      </c>
      <c r="T3178" s="1" t="s">
        <v>13878</v>
      </c>
      <c r="U3178" s="1" t="str">
        <f>HYPERLINK("http://ictvonline.org/taxonomy/p/taxonomy-history?taxnode_id=202106587","ICTVonline=202106587")</f>
        <v>ICTVonline=202106587</v>
      </c>
    </row>
    <row r="3179" spans="1:21" x14ac:dyDescent="0.2">
      <c r="A3179" s="3">
        <v>3178</v>
      </c>
      <c r="B3179" s="1" t="s">
        <v>4875</v>
      </c>
      <c r="D3179" s="1" t="s">
        <v>4876</v>
      </c>
      <c r="F3179" s="1" t="s">
        <v>4880</v>
      </c>
      <c r="H3179" s="1" t="s">
        <v>4881</v>
      </c>
      <c r="N3179" s="1" t="s">
        <v>4715</v>
      </c>
      <c r="P3179" s="1" t="s">
        <v>11914</v>
      </c>
      <c r="Q3179" s="30" t="s">
        <v>2565</v>
      </c>
      <c r="R3179" s="33" t="s">
        <v>3473</v>
      </c>
      <c r="S3179">
        <v>37</v>
      </c>
      <c r="T3179" s="1" t="s">
        <v>13878</v>
      </c>
      <c r="U3179" s="1" t="str">
        <f>HYPERLINK("http://ictvonline.org/taxonomy/p/taxonomy-history?taxnode_id=202101108","ICTVonline=202101108")</f>
        <v>ICTVonline=202101108</v>
      </c>
    </row>
    <row r="3180" spans="1:21" x14ac:dyDescent="0.2">
      <c r="A3180" s="3">
        <v>3179</v>
      </c>
      <c r="B3180" s="1" t="s">
        <v>4875</v>
      </c>
      <c r="D3180" s="1" t="s">
        <v>4876</v>
      </c>
      <c r="F3180" s="1" t="s">
        <v>4880</v>
      </c>
      <c r="H3180" s="1" t="s">
        <v>4881</v>
      </c>
      <c r="N3180" s="1" t="s">
        <v>4715</v>
      </c>
      <c r="P3180" s="1" t="s">
        <v>11915</v>
      </c>
      <c r="Q3180" s="30" t="s">
        <v>2565</v>
      </c>
      <c r="R3180" s="33" t="s">
        <v>3473</v>
      </c>
      <c r="S3180">
        <v>37</v>
      </c>
      <c r="T3180" s="1" t="s">
        <v>13878</v>
      </c>
      <c r="U3180" s="1" t="str">
        <f>HYPERLINK("http://ictvonline.org/taxonomy/p/taxonomy-history?taxnode_id=202101109","ICTVonline=202101109")</f>
        <v>ICTVonline=202101109</v>
      </c>
    </row>
    <row r="3181" spans="1:21" x14ac:dyDescent="0.2">
      <c r="A3181" s="3">
        <v>3180</v>
      </c>
      <c r="B3181" s="1" t="s">
        <v>4875</v>
      </c>
      <c r="D3181" s="1" t="s">
        <v>4876</v>
      </c>
      <c r="F3181" s="1" t="s">
        <v>4880</v>
      </c>
      <c r="H3181" s="1" t="s">
        <v>4881</v>
      </c>
      <c r="N3181" s="1" t="s">
        <v>4561</v>
      </c>
      <c r="P3181" s="1" t="s">
        <v>11916</v>
      </c>
      <c r="Q3181" s="30" t="s">
        <v>2565</v>
      </c>
      <c r="R3181" s="33" t="s">
        <v>3473</v>
      </c>
      <c r="S3181">
        <v>37</v>
      </c>
      <c r="T3181" s="1" t="s">
        <v>13878</v>
      </c>
      <c r="U3181" s="1" t="str">
        <f>HYPERLINK("http://ictvonline.org/taxonomy/p/taxonomy-history?taxnode_id=202106854","ICTVonline=202106854")</f>
        <v>ICTVonline=202106854</v>
      </c>
    </row>
    <row r="3182" spans="1:21" x14ac:dyDescent="0.2">
      <c r="A3182" s="3">
        <v>3181</v>
      </c>
      <c r="B3182" s="1" t="s">
        <v>4875</v>
      </c>
      <c r="D3182" s="1" t="s">
        <v>4876</v>
      </c>
      <c r="F3182" s="1" t="s">
        <v>4880</v>
      </c>
      <c r="H3182" s="1" t="s">
        <v>4881</v>
      </c>
      <c r="N3182" s="1" t="s">
        <v>4561</v>
      </c>
      <c r="P3182" s="1" t="s">
        <v>11917</v>
      </c>
      <c r="Q3182" s="30" t="s">
        <v>2565</v>
      </c>
      <c r="R3182" s="33" t="s">
        <v>3473</v>
      </c>
      <c r="S3182">
        <v>37</v>
      </c>
      <c r="T3182" s="1" t="s">
        <v>13878</v>
      </c>
      <c r="U3182" s="1" t="str">
        <f>HYPERLINK("http://ictvonline.org/taxonomy/p/taxonomy-history?taxnode_id=202106855","ICTVonline=202106855")</f>
        <v>ICTVonline=202106855</v>
      </c>
    </row>
    <row r="3183" spans="1:21" x14ac:dyDescent="0.2">
      <c r="A3183" s="3">
        <v>3182</v>
      </c>
      <c r="B3183" s="1" t="s">
        <v>4875</v>
      </c>
      <c r="D3183" s="1" t="s">
        <v>4876</v>
      </c>
      <c r="F3183" s="1" t="s">
        <v>4880</v>
      </c>
      <c r="H3183" s="1" t="s">
        <v>4881</v>
      </c>
      <c r="N3183" s="1" t="s">
        <v>2600</v>
      </c>
      <c r="P3183" s="1" t="s">
        <v>11918</v>
      </c>
      <c r="Q3183" s="30" t="s">
        <v>2565</v>
      </c>
      <c r="R3183" s="33" t="s">
        <v>3473</v>
      </c>
      <c r="S3183">
        <v>37</v>
      </c>
      <c r="T3183" s="1" t="s">
        <v>13878</v>
      </c>
      <c r="U3183" s="1" t="str">
        <f>HYPERLINK("http://ictvonline.org/taxonomy/p/taxonomy-history?taxnode_id=202100682","ICTVonline=202100682")</f>
        <v>ICTVonline=202100682</v>
      </c>
    </row>
    <row r="3184" spans="1:21" x14ac:dyDescent="0.2">
      <c r="A3184" s="3">
        <v>3183</v>
      </c>
      <c r="B3184" s="1" t="s">
        <v>4875</v>
      </c>
      <c r="D3184" s="1" t="s">
        <v>4876</v>
      </c>
      <c r="F3184" s="1" t="s">
        <v>4880</v>
      </c>
      <c r="H3184" s="1" t="s">
        <v>4881</v>
      </c>
      <c r="N3184" s="1" t="s">
        <v>2600</v>
      </c>
      <c r="P3184" s="1" t="s">
        <v>11919</v>
      </c>
      <c r="Q3184" s="30" t="s">
        <v>2565</v>
      </c>
      <c r="R3184" s="33" t="s">
        <v>3473</v>
      </c>
      <c r="S3184">
        <v>37</v>
      </c>
      <c r="T3184" s="1" t="s">
        <v>13878</v>
      </c>
      <c r="U3184" s="1" t="str">
        <f>HYPERLINK("http://ictvonline.org/taxonomy/p/taxonomy-history?taxnode_id=202100683","ICTVonline=202100683")</f>
        <v>ICTVonline=202100683</v>
      </c>
    </row>
    <row r="3185" spans="1:21" x14ac:dyDescent="0.2">
      <c r="A3185" s="3">
        <v>3184</v>
      </c>
      <c r="B3185" s="1" t="s">
        <v>4875</v>
      </c>
      <c r="D3185" s="1" t="s">
        <v>4876</v>
      </c>
      <c r="F3185" s="1" t="s">
        <v>4880</v>
      </c>
      <c r="H3185" s="1" t="s">
        <v>4881</v>
      </c>
      <c r="N3185" s="1" t="s">
        <v>2600</v>
      </c>
      <c r="P3185" s="1" t="s">
        <v>11920</v>
      </c>
      <c r="Q3185" s="30" t="s">
        <v>2565</v>
      </c>
      <c r="R3185" s="33" t="s">
        <v>3473</v>
      </c>
      <c r="S3185">
        <v>37</v>
      </c>
      <c r="T3185" s="1" t="s">
        <v>13878</v>
      </c>
      <c r="U3185" s="1" t="str">
        <f>HYPERLINK("http://ictvonline.org/taxonomy/p/taxonomy-history?taxnode_id=202100684","ICTVonline=202100684")</f>
        <v>ICTVonline=202100684</v>
      </c>
    </row>
    <row r="3186" spans="1:21" x14ac:dyDescent="0.2">
      <c r="A3186" s="3">
        <v>3185</v>
      </c>
      <c r="B3186" s="1" t="s">
        <v>4875</v>
      </c>
      <c r="D3186" s="1" t="s">
        <v>4876</v>
      </c>
      <c r="F3186" s="1" t="s">
        <v>4880</v>
      </c>
      <c r="H3186" s="1" t="s">
        <v>4881</v>
      </c>
      <c r="N3186" s="1" t="s">
        <v>2600</v>
      </c>
      <c r="P3186" s="1" t="s">
        <v>11921</v>
      </c>
      <c r="Q3186" s="30" t="s">
        <v>2565</v>
      </c>
      <c r="R3186" s="33" t="s">
        <v>3473</v>
      </c>
      <c r="S3186">
        <v>37</v>
      </c>
      <c r="T3186" s="1" t="s">
        <v>13878</v>
      </c>
      <c r="U3186" s="1" t="str">
        <f>HYPERLINK("http://ictvonline.org/taxonomy/p/taxonomy-history?taxnode_id=202100685","ICTVonline=202100685")</f>
        <v>ICTVonline=202100685</v>
      </c>
    </row>
    <row r="3187" spans="1:21" x14ac:dyDescent="0.2">
      <c r="A3187" s="3">
        <v>3186</v>
      </c>
      <c r="B3187" s="1" t="s">
        <v>4875</v>
      </c>
      <c r="D3187" s="1" t="s">
        <v>4876</v>
      </c>
      <c r="F3187" s="1" t="s">
        <v>4880</v>
      </c>
      <c r="H3187" s="1" t="s">
        <v>4881</v>
      </c>
      <c r="N3187" s="1" t="s">
        <v>2600</v>
      </c>
      <c r="P3187" s="1" t="s">
        <v>11922</v>
      </c>
      <c r="Q3187" s="30" t="s">
        <v>2565</v>
      </c>
      <c r="R3187" s="33" t="s">
        <v>3473</v>
      </c>
      <c r="S3187">
        <v>37</v>
      </c>
      <c r="T3187" s="1" t="s">
        <v>13878</v>
      </c>
      <c r="U3187" s="1" t="str">
        <f>HYPERLINK("http://ictvonline.org/taxonomy/p/taxonomy-history?taxnode_id=202100686","ICTVonline=202100686")</f>
        <v>ICTVonline=202100686</v>
      </c>
    </row>
    <row r="3188" spans="1:21" x14ac:dyDescent="0.2">
      <c r="A3188" s="3">
        <v>3187</v>
      </c>
      <c r="B3188" s="1" t="s">
        <v>4875</v>
      </c>
      <c r="D3188" s="1" t="s">
        <v>4876</v>
      </c>
      <c r="F3188" s="1" t="s">
        <v>4880</v>
      </c>
      <c r="H3188" s="1" t="s">
        <v>4881</v>
      </c>
      <c r="N3188" s="1" t="s">
        <v>4716</v>
      </c>
      <c r="P3188" s="1" t="s">
        <v>11923</v>
      </c>
      <c r="Q3188" s="30" t="s">
        <v>2565</v>
      </c>
      <c r="R3188" s="33" t="s">
        <v>3473</v>
      </c>
      <c r="S3188">
        <v>37</v>
      </c>
      <c r="T3188" s="1" t="s">
        <v>13878</v>
      </c>
      <c r="U3188" s="1" t="str">
        <f>HYPERLINK("http://ictvonline.org/taxonomy/p/taxonomy-history?taxnode_id=202101117","ICTVonline=202101117")</f>
        <v>ICTVonline=202101117</v>
      </c>
    </row>
    <row r="3189" spans="1:21" x14ac:dyDescent="0.2">
      <c r="A3189" s="3">
        <v>3188</v>
      </c>
      <c r="B3189" s="1" t="s">
        <v>4875</v>
      </c>
      <c r="D3189" s="1" t="s">
        <v>4876</v>
      </c>
      <c r="F3189" s="1" t="s">
        <v>4880</v>
      </c>
      <c r="H3189" s="1" t="s">
        <v>4881</v>
      </c>
      <c r="N3189" s="1" t="s">
        <v>4716</v>
      </c>
      <c r="P3189" s="1" t="s">
        <v>11924</v>
      </c>
      <c r="Q3189" s="30" t="s">
        <v>2565</v>
      </c>
      <c r="R3189" s="33" t="s">
        <v>3473</v>
      </c>
      <c r="S3189">
        <v>37</v>
      </c>
      <c r="T3189" s="1" t="s">
        <v>13878</v>
      </c>
      <c r="U3189" s="1" t="str">
        <f>HYPERLINK("http://ictvonline.org/taxonomy/p/taxonomy-history?taxnode_id=202101118","ICTVonline=202101118")</f>
        <v>ICTVonline=202101118</v>
      </c>
    </row>
    <row r="3190" spans="1:21" x14ac:dyDescent="0.2">
      <c r="A3190" s="3">
        <v>3189</v>
      </c>
      <c r="B3190" s="1" t="s">
        <v>4875</v>
      </c>
      <c r="D3190" s="1" t="s">
        <v>4876</v>
      </c>
      <c r="F3190" s="1" t="s">
        <v>4880</v>
      </c>
      <c r="H3190" s="1" t="s">
        <v>4881</v>
      </c>
      <c r="N3190" s="1" t="s">
        <v>4716</v>
      </c>
      <c r="P3190" s="1" t="s">
        <v>11925</v>
      </c>
      <c r="Q3190" s="30" t="s">
        <v>2565</v>
      </c>
      <c r="R3190" s="33" t="s">
        <v>3473</v>
      </c>
      <c r="S3190">
        <v>37</v>
      </c>
      <c r="T3190" s="1" t="s">
        <v>13878</v>
      </c>
      <c r="U3190" s="1" t="str">
        <f>HYPERLINK("http://ictvonline.org/taxonomy/p/taxonomy-history?taxnode_id=202101119","ICTVonline=202101119")</f>
        <v>ICTVonline=202101119</v>
      </c>
    </row>
    <row r="3191" spans="1:21" x14ac:dyDescent="0.2">
      <c r="A3191" s="3">
        <v>3190</v>
      </c>
      <c r="B3191" s="1" t="s">
        <v>4875</v>
      </c>
      <c r="D3191" s="1" t="s">
        <v>4876</v>
      </c>
      <c r="F3191" s="1" t="s">
        <v>4880</v>
      </c>
      <c r="H3191" s="1" t="s">
        <v>4881</v>
      </c>
      <c r="N3191" s="1" t="s">
        <v>4716</v>
      </c>
      <c r="P3191" s="1" t="s">
        <v>11926</v>
      </c>
      <c r="Q3191" s="30" t="s">
        <v>2565</v>
      </c>
      <c r="R3191" s="33" t="s">
        <v>3473</v>
      </c>
      <c r="S3191">
        <v>37</v>
      </c>
      <c r="T3191" s="1" t="s">
        <v>13878</v>
      </c>
      <c r="U3191" s="1" t="str">
        <f>HYPERLINK("http://ictvonline.org/taxonomy/p/taxonomy-history?taxnode_id=202101120","ICTVonline=202101120")</f>
        <v>ICTVonline=202101120</v>
      </c>
    </row>
    <row r="3192" spans="1:21" x14ac:dyDescent="0.2">
      <c r="A3192" s="3">
        <v>3191</v>
      </c>
      <c r="B3192" s="1" t="s">
        <v>4875</v>
      </c>
      <c r="D3192" s="1" t="s">
        <v>4876</v>
      </c>
      <c r="F3192" s="1" t="s">
        <v>4880</v>
      </c>
      <c r="H3192" s="1" t="s">
        <v>4881</v>
      </c>
      <c r="N3192" s="1" t="s">
        <v>4716</v>
      </c>
      <c r="P3192" s="1" t="s">
        <v>11927</v>
      </c>
      <c r="Q3192" s="30" t="s">
        <v>2565</v>
      </c>
      <c r="R3192" s="33" t="s">
        <v>3473</v>
      </c>
      <c r="S3192">
        <v>37</v>
      </c>
      <c r="T3192" s="1" t="s">
        <v>13878</v>
      </c>
      <c r="U3192" s="1" t="str">
        <f>HYPERLINK("http://ictvonline.org/taxonomy/p/taxonomy-history?taxnode_id=202101121","ICTVonline=202101121")</f>
        <v>ICTVonline=202101121</v>
      </c>
    </row>
    <row r="3193" spans="1:21" x14ac:dyDescent="0.2">
      <c r="A3193" s="3">
        <v>3192</v>
      </c>
      <c r="B3193" s="1" t="s">
        <v>4875</v>
      </c>
      <c r="D3193" s="1" t="s">
        <v>4876</v>
      </c>
      <c r="F3193" s="1" t="s">
        <v>4880</v>
      </c>
      <c r="H3193" s="1" t="s">
        <v>4881</v>
      </c>
      <c r="N3193" s="1" t="s">
        <v>4716</v>
      </c>
      <c r="P3193" s="1" t="s">
        <v>11928</v>
      </c>
      <c r="Q3193" s="30" t="s">
        <v>2565</v>
      </c>
      <c r="R3193" s="33" t="s">
        <v>3473</v>
      </c>
      <c r="S3193">
        <v>37</v>
      </c>
      <c r="T3193" s="1" t="s">
        <v>13878</v>
      </c>
      <c r="U3193" s="1" t="str">
        <f>HYPERLINK("http://ictvonline.org/taxonomy/p/taxonomy-history?taxnode_id=202101122","ICTVonline=202101122")</f>
        <v>ICTVonline=202101122</v>
      </c>
    </row>
    <row r="3194" spans="1:21" x14ac:dyDescent="0.2">
      <c r="A3194" s="3">
        <v>3193</v>
      </c>
      <c r="B3194" s="1" t="s">
        <v>4875</v>
      </c>
      <c r="D3194" s="1" t="s">
        <v>4876</v>
      </c>
      <c r="F3194" s="1" t="s">
        <v>4880</v>
      </c>
      <c r="H3194" s="1" t="s">
        <v>4881</v>
      </c>
      <c r="N3194" s="1" t="s">
        <v>4716</v>
      </c>
      <c r="P3194" s="1" t="s">
        <v>11929</v>
      </c>
      <c r="Q3194" s="30" t="s">
        <v>2565</v>
      </c>
      <c r="R3194" s="33" t="s">
        <v>3473</v>
      </c>
      <c r="S3194">
        <v>37</v>
      </c>
      <c r="T3194" s="1" t="s">
        <v>13878</v>
      </c>
      <c r="U3194" s="1" t="str">
        <f>HYPERLINK("http://ictvonline.org/taxonomy/p/taxonomy-history?taxnode_id=202101123","ICTVonline=202101123")</f>
        <v>ICTVonline=202101123</v>
      </c>
    </row>
    <row r="3195" spans="1:21" x14ac:dyDescent="0.2">
      <c r="A3195" s="3">
        <v>3194</v>
      </c>
      <c r="B3195" s="1" t="s">
        <v>4875</v>
      </c>
      <c r="D3195" s="1" t="s">
        <v>4876</v>
      </c>
      <c r="F3195" s="1" t="s">
        <v>4880</v>
      </c>
      <c r="H3195" s="1" t="s">
        <v>4881</v>
      </c>
      <c r="N3195" s="1" t="s">
        <v>4716</v>
      </c>
      <c r="P3195" s="1" t="s">
        <v>11930</v>
      </c>
      <c r="Q3195" s="30" t="s">
        <v>2565</v>
      </c>
      <c r="R3195" s="33" t="s">
        <v>3473</v>
      </c>
      <c r="S3195">
        <v>37</v>
      </c>
      <c r="T3195" s="1" t="s">
        <v>13878</v>
      </c>
      <c r="U3195" s="1" t="str">
        <f>HYPERLINK("http://ictvonline.org/taxonomy/p/taxonomy-history?taxnode_id=202101124","ICTVonline=202101124")</f>
        <v>ICTVonline=202101124</v>
      </c>
    </row>
    <row r="3196" spans="1:21" x14ac:dyDescent="0.2">
      <c r="A3196" s="3">
        <v>3195</v>
      </c>
      <c r="B3196" s="1" t="s">
        <v>4875</v>
      </c>
      <c r="D3196" s="1" t="s">
        <v>4876</v>
      </c>
      <c r="F3196" s="1" t="s">
        <v>4880</v>
      </c>
      <c r="H3196" s="1" t="s">
        <v>4881</v>
      </c>
      <c r="N3196" s="1" t="s">
        <v>4716</v>
      </c>
      <c r="P3196" s="1" t="s">
        <v>11931</v>
      </c>
      <c r="Q3196" s="30" t="s">
        <v>2565</v>
      </c>
      <c r="R3196" s="33" t="s">
        <v>3473</v>
      </c>
      <c r="S3196">
        <v>37</v>
      </c>
      <c r="T3196" s="1" t="s">
        <v>13878</v>
      </c>
      <c r="U3196" s="1" t="str">
        <f>HYPERLINK("http://ictvonline.org/taxonomy/p/taxonomy-history?taxnode_id=202101129","ICTVonline=202101129")</f>
        <v>ICTVonline=202101129</v>
      </c>
    </row>
    <row r="3197" spans="1:21" x14ac:dyDescent="0.2">
      <c r="A3197" s="3">
        <v>3196</v>
      </c>
      <c r="B3197" s="1" t="s">
        <v>4875</v>
      </c>
      <c r="D3197" s="1" t="s">
        <v>4876</v>
      </c>
      <c r="F3197" s="1" t="s">
        <v>4880</v>
      </c>
      <c r="H3197" s="1" t="s">
        <v>4881</v>
      </c>
      <c r="N3197" s="1" t="s">
        <v>4716</v>
      </c>
      <c r="P3197" s="1" t="s">
        <v>11932</v>
      </c>
      <c r="Q3197" s="30" t="s">
        <v>2565</v>
      </c>
      <c r="R3197" s="33" t="s">
        <v>3473</v>
      </c>
      <c r="S3197">
        <v>37</v>
      </c>
      <c r="T3197" s="1" t="s">
        <v>13878</v>
      </c>
      <c r="U3197" s="1" t="str">
        <f>HYPERLINK("http://ictvonline.org/taxonomy/p/taxonomy-history?taxnode_id=202101125","ICTVonline=202101125")</f>
        <v>ICTVonline=202101125</v>
      </c>
    </row>
    <row r="3198" spans="1:21" x14ac:dyDescent="0.2">
      <c r="A3198" s="3">
        <v>3197</v>
      </c>
      <c r="B3198" s="1" t="s">
        <v>4875</v>
      </c>
      <c r="D3198" s="1" t="s">
        <v>4876</v>
      </c>
      <c r="F3198" s="1" t="s">
        <v>4880</v>
      </c>
      <c r="H3198" s="1" t="s">
        <v>4881</v>
      </c>
      <c r="N3198" s="1" t="s">
        <v>4716</v>
      </c>
      <c r="P3198" s="1" t="s">
        <v>11933</v>
      </c>
      <c r="Q3198" s="30" t="s">
        <v>2565</v>
      </c>
      <c r="R3198" s="33" t="s">
        <v>3473</v>
      </c>
      <c r="S3198">
        <v>37</v>
      </c>
      <c r="T3198" s="1" t="s">
        <v>13878</v>
      </c>
      <c r="U3198" s="1" t="str">
        <f>HYPERLINK("http://ictvonline.org/taxonomy/p/taxonomy-history?taxnode_id=202101126","ICTVonline=202101126")</f>
        <v>ICTVonline=202101126</v>
      </c>
    </row>
    <row r="3199" spans="1:21" x14ac:dyDescent="0.2">
      <c r="A3199" s="3">
        <v>3198</v>
      </c>
      <c r="B3199" s="1" t="s">
        <v>4875</v>
      </c>
      <c r="D3199" s="1" t="s">
        <v>4876</v>
      </c>
      <c r="F3199" s="1" t="s">
        <v>4880</v>
      </c>
      <c r="H3199" s="1" t="s">
        <v>4881</v>
      </c>
      <c r="N3199" s="1" t="s">
        <v>4716</v>
      </c>
      <c r="P3199" s="1" t="s">
        <v>11934</v>
      </c>
      <c r="Q3199" s="30" t="s">
        <v>2565</v>
      </c>
      <c r="R3199" s="33" t="s">
        <v>3473</v>
      </c>
      <c r="S3199">
        <v>37</v>
      </c>
      <c r="T3199" s="1" t="s">
        <v>13878</v>
      </c>
      <c r="U3199" s="1" t="str">
        <f>HYPERLINK("http://ictvonline.org/taxonomy/p/taxonomy-history?taxnode_id=202101127","ICTVonline=202101127")</f>
        <v>ICTVonline=202101127</v>
      </c>
    </row>
    <row r="3200" spans="1:21" x14ac:dyDescent="0.2">
      <c r="A3200" s="3">
        <v>3199</v>
      </c>
      <c r="B3200" s="1" t="s">
        <v>4875</v>
      </c>
      <c r="D3200" s="1" t="s">
        <v>4876</v>
      </c>
      <c r="F3200" s="1" t="s">
        <v>4880</v>
      </c>
      <c r="H3200" s="1" t="s">
        <v>4881</v>
      </c>
      <c r="N3200" s="1" t="s">
        <v>4716</v>
      </c>
      <c r="P3200" s="1" t="s">
        <v>11935</v>
      </c>
      <c r="Q3200" s="30" t="s">
        <v>2565</v>
      </c>
      <c r="R3200" s="33" t="s">
        <v>3473</v>
      </c>
      <c r="S3200">
        <v>37</v>
      </c>
      <c r="T3200" s="1" t="s">
        <v>13878</v>
      </c>
      <c r="U3200" s="1" t="str">
        <f>HYPERLINK("http://ictvonline.org/taxonomy/p/taxonomy-history?taxnode_id=202101128","ICTVonline=202101128")</f>
        <v>ICTVonline=202101128</v>
      </c>
    </row>
    <row r="3201" spans="1:21" x14ac:dyDescent="0.2">
      <c r="A3201" s="3">
        <v>3200</v>
      </c>
      <c r="B3201" s="1" t="s">
        <v>4875</v>
      </c>
      <c r="D3201" s="1" t="s">
        <v>4876</v>
      </c>
      <c r="F3201" s="1" t="s">
        <v>4880</v>
      </c>
      <c r="H3201" s="1" t="s">
        <v>4881</v>
      </c>
      <c r="N3201" s="1" t="s">
        <v>4716</v>
      </c>
      <c r="P3201" s="1" t="s">
        <v>11936</v>
      </c>
      <c r="Q3201" s="30" t="s">
        <v>2565</v>
      </c>
      <c r="R3201" s="33" t="s">
        <v>3473</v>
      </c>
      <c r="S3201">
        <v>37</v>
      </c>
      <c r="T3201" s="1" t="s">
        <v>13878</v>
      </c>
      <c r="U3201" s="1" t="str">
        <f>HYPERLINK("http://ictvonline.org/taxonomy/p/taxonomy-history?taxnode_id=202101130","ICTVonline=202101130")</f>
        <v>ICTVonline=202101130</v>
      </c>
    </row>
    <row r="3202" spans="1:21" x14ac:dyDescent="0.2">
      <c r="A3202" s="3">
        <v>3201</v>
      </c>
      <c r="B3202" s="1" t="s">
        <v>4875</v>
      </c>
      <c r="D3202" s="1" t="s">
        <v>4876</v>
      </c>
      <c r="F3202" s="1" t="s">
        <v>4880</v>
      </c>
      <c r="H3202" s="1" t="s">
        <v>4881</v>
      </c>
      <c r="N3202" s="1" t="s">
        <v>4716</v>
      </c>
      <c r="P3202" s="1" t="s">
        <v>11937</v>
      </c>
      <c r="Q3202" s="30" t="s">
        <v>2565</v>
      </c>
      <c r="R3202" s="33" t="s">
        <v>3473</v>
      </c>
      <c r="S3202">
        <v>37</v>
      </c>
      <c r="T3202" s="1" t="s">
        <v>13878</v>
      </c>
      <c r="U3202" s="1" t="str">
        <f>HYPERLINK("http://ictvonline.org/taxonomy/p/taxonomy-history?taxnode_id=202101131","ICTVonline=202101131")</f>
        <v>ICTVonline=202101131</v>
      </c>
    </row>
    <row r="3203" spans="1:21" x14ac:dyDescent="0.2">
      <c r="A3203" s="3">
        <v>3202</v>
      </c>
      <c r="B3203" s="1" t="s">
        <v>4875</v>
      </c>
      <c r="D3203" s="1" t="s">
        <v>4876</v>
      </c>
      <c r="F3203" s="1" t="s">
        <v>4880</v>
      </c>
      <c r="H3203" s="1" t="s">
        <v>4881</v>
      </c>
      <c r="N3203" s="1" t="s">
        <v>4716</v>
      </c>
      <c r="P3203" s="1" t="s">
        <v>11938</v>
      </c>
      <c r="Q3203" s="30" t="s">
        <v>2565</v>
      </c>
      <c r="R3203" s="33" t="s">
        <v>3473</v>
      </c>
      <c r="S3203">
        <v>37</v>
      </c>
      <c r="T3203" s="1" t="s">
        <v>13878</v>
      </c>
      <c r="U3203" s="1" t="str">
        <f>HYPERLINK("http://ictvonline.org/taxonomy/p/taxonomy-history?taxnode_id=202101132","ICTVonline=202101132")</f>
        <v>ICTVonline=202101132</v>
      </c>
    </row>
    <row r="3204" spans="1:21" x14ac:dyDescent="0.2">
      <c r="A3204" s="3">
        <v>3203</v>
      </c>
      <c r="B3204" s="1" t="s">
        <v>4875</v>
      </c>
      <c r="D3204" s="1" t="s">
        <v>4876</v>
      </c>
      <c r="F3204" s="1" t="s">
        <v>4880</v>
      </c>
      <c r="H3204" s="1" t="s">
        <v>4881</v>
      </c>
      <c r="N3204" s="1" t="s">
        <v>4716</v>
      </c>
      <c r="P3204" s="1" t="s">
        <v>11939</v>
      </c>
      <c r="Q3204" s="30" t="s">
        <v>2565</v>
      </c>
      <c r="R3204" s="33" t="s">
        <v>3473</v>
      </c>
      <c r="S3204">
        <v>37</v>
      </c>
      <c r="T3204" s="1" t="s">
        <v>13878</v>
      </c>
      <c r="U3204" s="1" t="str">
        <f>HYPERLINK("http://ictvonline.org/taxonomy/p/taxonomy-history?taxnode_id=202101133","ICTVonline=202101133")</f>
        <v>ICTVonline=202101133</v>
      </c>
    </row>
    <row r="3205" spans="1:21" x14ac:dyDescent="0.2">
      <c r="A3205" s="3">
        <v>3204</v>
      </c>
      <c r="B3205" s="1" t="s">
        <v>4875</v>
      </c>
      <c r="D3205" s="1" t="s">
        <v>4876</v>
      </c>
      <c r="F3205" s="1" t="s">
        <v>4880</v>
      </c>
      <c r="H3205" s="1" t="s">
        <v>4881</v>
      </c>
      <c r="N3205" s="1" t="s">
        <v>4716</v>
      </c>
      <c r="P3205" s="1" t="s">
        <v>11940</v>
      </c>
      <c r="Q3205" s="30" t="s">
        <v>2565</v>
      </c>
      <c r="R3205" s="33" t="s">
        <v>3473</v>
      </c>
      <c r="S3205">
        <v>37</v>
      </c>
      <c r="T3205" s="1" t="s">
        <v>13878</v>
      </c>
      <c r="U3205" s="1" t="str">
        <f>HYPERLINK("http://ictvonline.org/taxonomy/p/taxonomy-history?taxnode_id=202101134","ICTVonline=202101134")</f>
        <v>ICTVonline=202101134</v>
      </c>
    </row>
    <row r="3206" spans="1:21" x14ac:dyDescent="0.2">
      <c r="A3206" s="3">
        <v>3205</v>
      </c>
      <c r="B3206" s="1" t="s">
        <v>4875</v>
      </c>
      <c r="D3206" s="1" t="s">
        <v>4876</v>
      </c>
      <c r="F3206" s="1" t="s">
        <v>4880</v>
      </c>
      <c r="H3206" s="1" t="s">
        <v>4881</v>
      </c>
      <c r="N3206" s="1" t="s">
        <v>4716</v>
      </c>
      <c r="P3206" s="1" t="s">
        <v>11941</v>
      </c>
      <c r="Q3206" s="30" t="s">
        <v>2565</v>
      </c>
      <c r="R3206" s="33" t="s">
        <v>3473</v>
      </c>
      <c r="S3206">
        <v>37</v>
      </c>
      <c r="T3206" s="1" t="s">
        <v>13878</v>
      </c>
      <c r="U3206" s="1" t="str">
        <f>HYPERLINK("http://ictvonline.org/taxonomy/p/taxonomy-history?taxnode_id=202101135","ICTVonline=202101135")</f>
        <v>ICTVonline=202101135</v>
      </c>
    </row>
    <row r="3207" spans="1:21" x14ac:dyDescent="0.2">
      <c r="A3207" s="3">
        <v>3206</v>
      </c>
      <c r="B3207" s="1" t="s">
        <v>4875</v>
      </c>
      <c r="D3207" s="1" t="s">
        <v>4876</v>
      </c>
      <c r="F3207" s="1" t="s">
        <v>4880</v>
      </c>
      <c r="H3207" s="1" t="s">
        <v>4881</v>
      </c>
      <c r="N3207" s="1" t="s">
        <v>4716</v>
      </c>
      <c r="P3207" s="1" t="s">
        <v>11942</v>
      </c>
      <c r="Q3207" s="30" t="s">
        <v>2565</v>
      </c>
      <c r="R3207" s="33" t="s">
        <v>3473</v>
      </c>
      <c r="S3207">
        <v>37</v>
      </c>
      <c r="T3207" s="1" t="s">
        <v>13878</v>
      </c>
      <c r="U3207" s="1" t="str">
        <f>HYPERLINK("http://ictvonline.org/taxonomy/p/taxonomy-history?taxnode_id=202101136","ICTVonline=202101136")</f>
        <v>ICTVonline=202101136</v>
      </c>
    </row>
    <row r="3208" spans="1:21" x14ac:dyDescent="0.2">
      <c r="A3208" s="3">
        <v>3207</v>
      </c>
      <c r="B3208" s="1" t="s">
        <v>4875</v>
      </c>
      <c r="D3208" s="1" t="s">
        <v>4876</v>
      </c>
      <c r="F3208" s="1" t="s">
        <v>4880</v>
      </c>
      <c r="H3208" s="1" t="s">
        <v>4881</v>
      </c>
      <c r="N3208" s="1" t="s">
        <v>4716</v>
      </c>
      <c r="P3208" s="1" t="s">
        <v>11943</v>
      </c>
      <c r="Q3208" s="30" t="s">
        <v>2565</v>
      </c>
      <c r="R3208" s="33" t="s">
        <v>3473</v>
      </c>
      <c r="S3208">
        <v>37</v>
      </c>
      <c r="T3208" s="1" t="s">
        <v>13878</v>
      </c>
      <c r="U3208" s="1" t="str">
        <f>HYPERLINK("http://ictvonline.org/taxonomy/p/taxonomy-history?taxnode_id=202101137","ICTVonline=202101137")</f>
        <v>ICTVonline=202101137</v>
      </c>
    </row>
    <row r="3209" spans="1:21" x14ac:dyDescent="0.2">
      <c r="A3209" s="3">
        <v>3208</v>
      </c>
      <c r="B3209" s="1" t="s">
        <v>4875</v>
      </c>
      <c r="D3209" s="1" t="s">
        <v>4876</v>
      </c>
      <c r="F3209" s="1" t="s">
        <v>4880</v>
      </c>
      <c r="H3209" s="1" t="s">
        <v>4881</v>
      </c>
      <c r="N3209" s="1" t="s">
        <v>4716</v>
      </c>
      <c r="P3209" s="1" t="s">
        <v>11944</v>
      </c>
      <c r="Q3209" s="30" t="s">
        <v>2565</v>
      </c>
      <c r="R3209" s="33" t="s">
        <v>3473</v>
      </c>
      <c r="S3209">
        <v>37</v>
      </c>
      <c r="T3209" s="1" t="s">
        <v>13878</v>
      </c>
      <c r="U3209" s="1" t="str">
        <f>HYPERLINK("http://ictvonline.org/taxonomy/p/taxonomy-history?taxnode_id=202101138","ICTVonline=202101138")</f>
        <v>ICTVonline=202101138</v>
      </c>
    </row>
    <row r="3210" spans="1:21" x14ac:dyDescent="0.2">
      <c r="A3210" s="3">
        <v>3209</v>
      </c>
      <c r="B3210" s="1" t="s">
        <v>4875</v>
      </c>
      <c r="D3210" s="1" t="s">
        <v>4876</v>
      </c>
      <c r="F3210" s="1" t="s">
        <v>4880</v>
      </c>
      <c r="H3210" s="1" t="s">
        <v>4881</v>
      </c>
      <c r="N3210" s="1" t="s">
        <v>4716</v>
      </c>
      <c r="P3210" s="1" t="s">
        <v>11945</v>
      </c>
      <c r="Q3210" s="30" t="s">
        <v>2565</v>
      </c>
      <c r="R3210" s="33" t="s">
        <v>3473</v>
      </c>
      <c r="S3210">
        <v>37</v>
      </c>
      <c r="T3210" s="1" t="s">
        <v>13878</v>
      </c>
      <c r="U3210" s="1" t="str">
        <f>HYPERLINK("http://ictvonline.org/taxonomy/p/taxonomy-history?taxnode_id=202101139","ICTVonline=202101139")</f>
        <v>ICTVonline=202101139</v>
      </c>
    </row>
    <row r="3211" spans="1:21" x14ac:dyDescent="0.2">
      <c r="A3211" s="3">
        <v>3210</v>
      </c>
      <c r="B3211" s="1" t="s">
        <v>4875</v>
      </c>
      <c r="D3211" s="1" t="s">
        <v>4876</v>
      </c>
      <c r="F3211" s="1" t="s">
        <v>4880</v>
      </c>
      <c r="H3211" s="1" t="s">
        <v>4881</v>
      </c>
      <c r="N3211" s="1" t="s">
        <v>4716</v>
      </c>
      <c r="P3211" s="1" t="s">
        <v>11946</v>
      </c>
      <c r="Q3211" s="30" t="s">
        <v>2565</v>
      </c>
      <c r="R3211" s="33" t="s">
        <v>3473</v>
      </c>
      <c r="S3211">
        <v>37</v>
      </c>
      <c r="T3211" s="1" t="s">
        <v>13878</v>
      </c>
      <c r="U3211" s="1" t="str">
        <f>HYPERLINK("http://ictvonline.org/taxonomy/p/taxonomy-history?taxnode_id=202101140","ICTVonline=202101140")</f>
        <v>ICTVonline=202101140</v>
      </c>
    </row>
    <row r="3212" spans="1:21" x14ac:dyDescent="0.2">
      <c r="A3212" s="3">
        <v>3211</v>
      </c>
      <c r="B3212" s="1" t="s">
        <v>4875</v>
      </c>
      <c r="D3212" s="1" t="s">
        <v>4876</v>
      </c>
      <c r="F3212" s="1" t="s">
        <v>4880</v>
      </c>
      <c r="H3212" s="1" t="s">
        <v>4881</v>
      </c>
      <c r="N3212" s="1" t="s">
        <v>4716</v>
      </c>
      <c r="P3212" s="1" t="s">
        <v>11947</v>
      </c>
      <c r="Q3212" s="30" t="s">
        <v>2565</v>
      </c>
      <c r="R3212" s="33" t="s">
        <v>3473</v>
      </c>
      <c r="S3212">
        <v>37</v>
      </c>
      <c r="T3212" s="1" t="s">
        <v>13878</v>
      </c>
      <c r="U3212" s="1" t="str">
        <f>HYPERLINK("http://ictvonline.org/taxonomy/p/taxonomy-history?taxnode_id=202101141","ICTVonline=202101141")</f>
        <v>ICTVonline=202101141</v>
      </c>
    </row>
    <row r="3213" spans="1:21" x14ac:dyDescent="0.2">
      <c r="A3213" s="3">
        <v>3212</v>
      </c>
      <c r="B3213" s="1" t="s">
        <v>4875</v>
      </c>
      <c r="D3213" s="1" t="s">
        <v>4876</v>
      </c>
      <c r="F3213" s="1" t="s">
        <v>4880</v>
      </c>
      <c r="H3213" s="1" t="s">
        <v>4881</v>
      </c>
      <c r="N3213" s="1" t="s">
        <v>4716</v>
      </c>
      <c r="P3213" s="1" t="s">
        <v>11948</v>
      </c>
      <c r="Q3213" s="30" t="s">
        <v>2565</v>
      </c>
      <c r="R3213" s="33" t="s">
        <v>3473</v>
      </c>
      <c r="S3213">
        <v>37</v>
      </c>
      <c r="T3213" s="1" t="s">
        <v>13878</v>
      </c>
      <c r="U3213" s="1" t="str">
        <f>HYPERLINK("http://ictvonline.org/taxonomy/p/taxonomy-history?taxnode_id=202101142","ICTVonline=202101142")</f>
        <v>ICTVonline=202101142</v>
      </c>
    </row>
    <row r="3214" spans="1:21" x14ac:dyDescent="0.2">
      <c r="A3214" s="3">
        <v>3213</v>
      </c>
      <c r="B3214" s="1" t="s">
        <v>4875</v>
      </c>
      <c r="D3214" s="1" t="s">
        <v>4876</v>
      </c>
      <c r="F3214" s="1" t="s">
        <v>4880</v>
      </c>
      <c r="H3214" s="1" t="s">
        <v>4881</v>
      </c>
      <c r="N3214" s="1" t="s">
        <v>4716</v>
      </c>
      <c r="P3214" s="1" t="s">
        <v>11949</v>
      </c>
      <c r="Q3214" s="30" t="s">
        <v>2565</v>
      </c>
      <c r="R3214" s="33" t="s">
        <v>3473</v>
      </c>
      <c r="S3214">
        <v>37</v>
      </c>
      <c r="T3214" s="1" t="s">
        <v>13878</v>
      </c>
      <c r="U3214" s="1" t="str">
        <f>HYPERLINK("http://ictvonline.org/taxonomy/p/taxonomy-history?taxnode_id=202101143","ICTVonline=202101143")</f>
        <v>ICTVonline=202101143</v>
      </c>
    </row>
    <row r="3215" spans="1:21" x14ac:dyDescent="0.2">
      <c r="A3215" s="3">
        <v>3214</v>
      </c>
      <c r="B3215" s="1" t="s">
        <v>4875</v>
      </c>
      <c r="D3215" s="1" t="s">
        <v>4876</v>
      </c>
      <c r="F3215" s="1" t="s">
        <v>4880</v>
      </c>
      <c r="H3215" s="1" t="s">
        <v>4881</v>
      </c>
      <c r="N3215" s="1" t="s">
        <v>4716</v>
      </c>
      <c r="P3215" s="1" t="s">
        <v>11950</v>
      </c>
      <c r="Q3215" s="30" t="s">
        <v>2565</v>
      </c>
      <c r="R3215" s="33" t="s">
        <v>3473</v>
      </c>
      <c r="S3215">
        <v>37</v>
      </c>
      <c r="T3215" s="1" t="s">
        <v>13878</v>
      </c>
      <c r="U3215" s="1" t="str">
        <f>HYPERLINK("http://ictvonline.org/taxonomy/p/taxonomy-history?taxnode_id=202101144","ICTVonline=202101144")</f>
        <v>ICTVonline=202101144</v>
      </c>
    </row>
    <row r="3216" spans="1:21" x14ac:dyDescent="0.2">
      <c r="A3216" s="3">
        <v>3215</v>
      </c>
      <c r="B3216" s="1" t="s">
        <v>4875</v>
      </c>
      <c r="D3216" s="1" t="s">
        <v>4876</v>
      </c>
      <c r="F3216" s="1" t="s">
        <v>4880</v>
      </c>
      <c r="H3216" s="1" t="s">
        <v>4881</v>
      </c>
      <c r="N3216" s="1" t="s">
        <v>4716</v>
      </c>
      <c r="P3216" s="1" t="s">
        <v>11951</v>
      </c>
      <c r="Q3216" s="30" t="s">
        <v>2565</v>
      </c>
      <c r="R3216" s="33" t="s">
        <v>3473</v>
      </c>
      <c r="S3216">
        <v>37</v>
      </c>
      <c r="T3216" s="1" t="s">
        <v>13878</v>
      </c>
      <c r="U3216" s="1" t="str">
        <f>HYPERLINK("http://ictvonline.org/taxonomy/p/taxonomy-history?taxnode_id=202101145","ICTVonline=202101145")</f>
        <v>ICTVonline=202101145</v>
      </c>
    </row>
    <row r="3217" spans="1:21" x14ac:dyDescent="0.2">
      <c r="A3217" s="3">
        <v>3216</v>
      </c>
      <c r="B3217" s="1" t="s">
        <v>4875</v>
      </c>
      <c r="D3217" s="1" t="s">
        <v>4876</v>
      </c>
      <c r="F3217" s="1" t="s">
        <v>4880</v>
      </c>
      <c r="H3217" s="1" t="s">
        <v>4881</v>
      </c>
      <c r="N3217" s="1" t="s">
        <v>4716</v>
      </c>
      <c r="P3217" s="1" t="s">
        <v>11952</v>
      </c>
      <c r="Q3217" s="30" t="s">
        <v>2565</v>
      </c>
      <c r="R3217" s="33" t="s">
        <v>3473</v>
      </c>
      <c r="S3217">
        <v>37</v>
      </c>
      <c r="T3217" s="1" t="s">
        <v>13878</v>
      </c>
      <c r="U3217" s="1" t="str">
        <f>HYPERLINK("http://ictvonline.org/taxonomy/p/taxonomy-history?taxnode_id=202101146","ICTVonline=202101146")</f>
        <v>ICTVonline=202101146</v>
      </c>
    </row>
    <row r="3218" spans="1:21" x14ac:dyDescent="0.2">
      <c r="A3218" s="3">
        <v>3217</v>
      </c>
      <c r="B3218" s="1" t="s">
        <v>4875</v>
      </c>
      <c r="D3218" s="1" t="s">
        <v>4876</v>
      </c>
      <c r="F3218" s="1" t="s">
        <v>4880</v>
      </c>
      <c r="H3218" s="1" t="s">
        <v>4881</v>
      </c>
      <c r="N3218" s="1" t="s">
        <v>4716</v>
      </c>
      <c r="P3218" s="1" t="s">
        <v>11953</v>
      </c>
      <c r="Q3218" s="30" t="s">
        <v>2565</v>
      </c>
      <c r="R3218" s="33" t="s">
        <v>3473</v>
      </c>
      <c r="S3218">
        <v>37</v>
      </c>
      <c r="T3218" s="1" t="s">
        <v>13878</v>
      </c>
      <c r="U3218" s="1" t="str">
        <f>HYPERLINK("http://ictvonline.org/taxonomy/p/taxonomy-history?taxnode_id=202101147","ICTVonline=202101147")</f>
        <v>ICTVonline=202101147</v>
      </c>
    </row>
    <row r="3219" spans="1:21" x14ac:dyDescent="0.2">
      <c r="A3219" s="3">
        <v>3218</v>
      </c>
      <c r="B3219" s="1" t="s">
        <v>4875</v>
      </c>
      <c r="D3219" s="1" t="s">
        <v>4876</v>
      </c>
      <c r="F3219" s="1" t="s">
        <v>4880</v>
      </c>
      <c r="H3219" s="1" t="s">
        <v>4881</v>
      </c>
      <c r="N3219" s="1" t="s">
        <v>4716</v>
      </c>
      <c r="P3219" s="1" t="s">
        <v>11954</v>
      </c>
      <c r="Q3219" s="30" t="s">
        <v>2565</v>
      </c>
      <c r="R3219" s="33" t="s">
        <v>3473</v>
      </c>
      <c r="S3219">
        <v>37</v>
      </c>
      <c r="T3219" s="1" t="s">
        <v>13878</v>
      </c>
      <c r="U3219" s="1" t="str">
        <f>HYPERLINK("http://ictvonline.org/taxonomy/p/taxonomy-history?taxnode_id=202101148","ICTVonline=202101148")</f>
        <v>ICTVonline=202101148</v>
      </c>
    </row>
    <row r="3220" spans="1:21" x14ac:dyDescent="0.2">
      <c r="A3220" s="3">
        <v>3219</v>
      </c>
      <c r="B3220" s="1" t="s">
        <v>4875</v>
      </c>
      <c r="D3220" s="1" t="s">
        <v>4876</v>
      </c>
      <c r="F3220" s="1" t="s">
        <v>4880</v>
      </c>
      <c r="H3220" s="1" t="s">
        <v>4881</v>
      </c>
      <c r="N3220" s="1" t="s">
        <v>4716</v>
      </c>
      <c r="P3220" s="1" t="s">
        <v>11955</v>
      </c>
      <c r="Q3220" s="30" t="s">
        <v>2565</v>
      </c>
      <c r="R3220" s="33" t="s">
        <v>3473</v>
      </c>
      <c r="S3220">
        <v>37</v>
      </c>
      <c r="T3220" s="1" t="s">
        <v>13878</v>
      </c>
      <c r="U3220" s="1" t="str">
        <f>HYPERLINK("http://ictvonline.org/taxonomy/p/taxonomy-history?taxnode_id=202101149","ICTVonline=202101149")</f>
        <v>ICTVonline=202101149</v>
      </c>
    </row>
    <row r="3221" spans="1:21" x14ac:dyDescent="0.2">
      <c r="A3221" s="3">
        <v>3220</v>
      </c>
      <c r="B3221" s="1" t="s">
        <v>4875</v>
      </c>
      <c r="D3221" s="1" t="s">
        <v>4876</v>
      </c>
      <c r="F3221" s="1" t="s">
        <v>4880</v>
      </c>
      <c r="H3221" s="1" t="s">
        <v>4881</v>
      </c>
      <c r="N3221" s="1" t="s">
        <v>4716</v>
      </c>
      <c r="P3221" s="1" t="s">
        <v>11956</v>
      </c>
      <c r="Q3221" s="30" t="s">
        <v>2565</v>
      </c>
      <c r="R3221" s="33" t="s">
        <v>3473</v>
      </c>
      <c r="S3221">
        <v>37</v>
      </c>
      <c r="T3221" s="1" t="s">
        <v>13878</v>
      </c>
      <c r="U3221" s="1" t="str">
        <f>HYPERLINK("http://ictvonline.org/taxonomy/p/taxonomy-history?taxnode_id=202101150","ICTVonline=202101150")</f>
        <v>ICTVonline=202101150</v>
      </c>
    </row>
    <row r="3222" spans="1:21" x14ac:dyDescent="0.2">
      <c r="A3222" s="3">
        <v>3221</v>
      </c>
      <c r="B3222" s="1" t="s">
        <v>4875</v>
      </c>
      <c r="D3222" s="1" t="s">
        <v>4876</v>
      </c>
      <c r="F3222" s="1" t="s">
        <v>4880</v>
      </c>
      <c r="H3222" s="1" t="s">
        <v>4881</v>
      </c>
      <c r="N3222" s="1" t="s">
        <v>4716</v>
      </c>
      <c r="P3222" s="1" t="s">
        <v>11957</v>
      </c>
      <c r="Q3222" s="30" t="s">
        <v>2565</v>
      </c>
      <c r="R3222" s="33" t="s">
        <v>3473</v>
      </c>
      <c r="S3222">
        <v>37</v>
      </c>
      <c r="T3222" s="1" t="s">
        <v>13878</v>
      </c>
      <c r="U3222" s="1" t="str">
        <f>HYPERLINK("http://ictvonline.org/taxonomy/p/taxonomy-history?taxnode_id=202101151","ICTVonline=202101151")</f>
        <v>ICTVonline=202101151</v>
      </c>
    </row>
    <row r="3223" spans="1:21" x14ac:dyDescent="0.2">
      <c r="A3223" s="3">
        <v>3222</v>
      </c>
      <c r="B3223" s="1" t="s">
        <v>4875</v>
      </c>
      <c r="D3223" s="1" t="s">
        <v>4876</v>
      </c>
      <c r="F3223" s="1" t="s">
        <v>4880</v>
      </c>
      <c r="H3223" s="1" t="s">
        <v>4881</v>
      </c>
      <c r="N3223" s="1" t="s">
        <v>4716</v>
      </c>
      <c r="P3223" s="1" t="s">
        <v>11958</v>
      </c>
      <c r="Q3223" s="30" t="s">
        <v>2565</v>
      </c>
      <c r="R3223" s="33" t="s">
        <v>3473</v>
      </c>
      <c r="S3223">
        <v>37</v>
      </c>
      <c r="T3223" s="1" t="s">
        <v>13878</v>
      </c>
      <c r="U3223" s="1" t="str">
        <f>HYPERLINK("http://ictvonline.org/taxonomy/p/taxonomy-history?taxnode_id=202101152","ICTVonline=202101152")</f>
        <v>ICTVonline=202101152</v>
      </c>
    </row>
    <row r="3224" spans="1:21" x14ac:dyDescent="0.2">
      <c r="A3224" s="3">
        <v>3223</v>
      </c>
      <c r="B3224" s="1" t="s">
        <v>4875</v>
      </c>
      <c r="D3224" s="1" t="s">
        <v>4876</v>
      </c>
      <c r="F3224" s="1" t="s">
        <v>4880</v>
      </c>
      <c r="H3224" s="1" t="s">
        <v>4881</v>
      </c>
      <c r="N3224" s="1" t="s">
        <v>4716</v>
      </c>
      <c r="P3224" s="1" t="s">
        <v>11959</v>
      </c>
      <c r="Q3224" s="30" t="s">
        <v>2565</v>
      </c>
      <c r="R3224" s="33" t="s">
        <v>3473</v>
      </c>
      <c r="S3224">
        <v>37</v>
      </c>
      <c r="T3224" s="1" t="s">
        <v>13878</v>
      </c>
      <c r="U3224" s="1" t="str">
        <f>HYPERLINK("http://ictvonline.org/taxonomy/p/taxonomy-history?taxnode_id=202101153","ICTVonline=202101153")</f>
        <v>ICTVonline=202101153</v>
      </c>
    </row>
    <row r="3225" spans="1:21" x14ac:dyDescent="0.2">
      <c r="A3225" s="3">
        <v>3224</v>
      </c>
      <c r="B3225" s="1" t="s">
        <v>4875</v>
      </c>
      <c r="D3225" s="1" t="s">
        <v>4876</v>
      </c>
      <c r="F3225" s="1" t="s">
        <v>4880</v>
      </c>
      <c r="H3225" s="1" t="s">
        <v>4881</v>
      </c>
      <c r="N3225" s="1" t="s">
        <v>4716</v>
      </c>
      <c r="P3225" s="1" t="s">
        <v>11960</v>
      </c>
      <c r="Q3225" s="30" t="s">
        <v>2565</v>
      </c>
      <c r="R3225" s="33" t="s">
        <v>3473</v>
      </c>
      <c r="S3225">
        <v>37</v>
      </c>
      <c r="T3225" s="1" t="s">
        <v>13878</v>
      </c>
      <c r="U3225" s="1" t="str">
        <f>HYPERLINK("http://ictvonline.org/taxonomy/p/taxonomy-history?taxnode_id=202101154","ICTVonline=202101154")</f>
        <v>ICTVonline=202101154</v>
      </c>
    </row>
    <row r="3226" spans="1:21" x14ac:dyDescent="0.2">
      <c r="A3226" s="3">
        <v>3225</v>
      </c>
      <c r="B3226" s="1" t="s">
        <v>4875</v>
      </c>
      <c r="D3226" s="1" t="s">
        <v>4876</v>
      </c>
      <c r="F3226" s="1" t="s">
        <v>4880</v>
      </c>
      <c r="H3226" s="1" t="s">
        <v>4881</v>
      </c>
      <c r="N3226" s="1" t="s">
        <v>4716</v>
      </c>
      <c r="P3226" s="1" t="s">
        <v>11961</v>
      </c>
      <c r="Q3226" s="30" t="s">
        <v>2565</v>
      </c>
      <c r="R3226" s="33" t="s">
        <v>3473</v>
      </c>
      <c r="S3226">
        <v>37</v>
      </c>
      <c r="T3226" s="1" t="s">
        <v>13878</v>
      </c>
      <c r="U3226" s="1" t="str">
        <f>HYPERLINK("http://ictvonline.org/taxonomy/p/taxonomy-history?taxnode_id=202101155","ICTVonline=202101155")</f>
        <v>ICTVonline=202101155</v>
      </c>
    </row>
    <row r="3227" spans="1:21" x14ac:dyDescent="0.2">
      <c r="A3227" s="3">
        <v>3226</v>
      </c>
      <c r="B3227" s="1" t="s">
        <v>4875</v>
      </c>
      <c r="D3227" s="1" t="s">
        <v>4876</v>
      </c>
      <c r="F3227" s="1" t="s">
        <v>4880</v>
      </c>
      <c r="H3227" s="1" t="s">
        <v>4881</v>
      </c>
      <c r="N3227" s="1" t="s">
        <v>4716</v>
      </c>
      <c r="P3227" s="1" t="s">
        <v>11962</v>
      </c>
      <c r="Q3227" s="30" t="s">
        <v>2565</v>
      </c>
      <c r="R3227" s="33" t="s">
        <v>3473</v>
      </c>
      <c r="S3227">
        <v>37</v>
      </c>
      <c r="T3227" s="1" t="s">
        <v>13878</v>
      </c>
      <c r="U3227" s="1" t="str">
        <f>HYPERLINK("http://ictvonline.org/taxonomy/p/taxonomy-history?taxnode_id=202101156","ICTVonline=202101156")</f>
        <v>ICTVonline=202101156</v>
      </c>
    </row>
    <row r="3228" spans="1:21" x14ac:dyDescent="0.2">
      <c r="A3228" s="3">
        <v>3227</v>
      </c>
      <c r="B3228" s="1" t="s">
        <v>4875</v>
      </c>
      <c r="D3228" s="1" t="s">
        <v>4876</v>
      </c>
      <c r="F3228" s="1" t="s">
        <v>4880</v>
      </c>
      <c r="H3228" s="1" t="s">
        <v>4881</v>
      </c>
      <c r="N3228" s="1" t="s">
        <v>4716</v>
      </c>
      <c r="P3228" s="1" t="s">
        <v>11963</v>
      </c>
      <c r="Q3228" s="30" t="s">
        <v>2565</v>
      </c>
      <c r="R3228" s="33" t="s">
        <v>3473</v>
      </c>
      <c r="S3228">
        <v>37</v>
      </c>
      <c r="T3228" s="1" t="s">
        <v>13878</v>
      </c>
      <c r="U3228" s="1" t="str">
        <f>HYPERLINK("http://ictvonline.org/taxonomy/p/taxonomy-history?taxnode_id=202101157","ICTVonline=202101157")</f>
        <v>ICTVonline=202101157</v>
      </c>
    </row>
    <row r="3229" spans="1:21" x14ac:dyDescent="0.2">
      <c r="A3229" s="3">
        <v>3228</v>
      </c>
      <c r="B3229" s="1" t="s">
        <v>4875</v>
      </c>
      <c r="D3229" s="1" t="s">
        <v>4876</v>
      </c>
      <c r="F3229" s="1" t="s">
        <v>4880</v>
      </c>
      <c r="H3229" s="1" t="s">
        <v>4881</v>
      </c>
      <c r="N3229" s="1" t="s">
        <v>4716</v>
      </c>
      <c r="P3229" s="1" t="s">
        <v>11964</v>
      </c>
      <c r="Q3229" s="30" t="s">
        <v>2565</v>
      </c>
      <c r="R3229" s="33" t="s">
        <v>3473</v>
      </c>
      <c r="S3229">
        <v>37</v>
      </c>
      <c r="T3229" s="1" t="s">
        <v>13878</v>
      </c>
      <c r="U3229" s="1" t="str">
        <f>HYPERLINK("http://ictvonline.org/taxonomy/p/taxonomy-history?taxnode_id=202101158","ICTVonline=202101158")</f>
        <v>ICTVonline=202101158</v>
      </c>
    </row>
    <row r="3230" spans="1:21" x14ac:dyDescent="0.2">
      <c r="A3230" s="3">
        <v>3229</v>
      </c>
      <c r="B3230" s="1" t="s">
        <v>4875</v>
      </c>
      <c r="D3230" s="1" t="s">
        <v>4876</v>
      </c>
      <c r="F3230" s="1" t="s">
        <v>4880</v>
      </c>
      <c r="H3230" s="1" t="s">
        <v>4881</v>
      </c>
      <c r="N3230" s="1" t="s">
        <v>4716</v>
      </c>
      <c r="P3230" s="1" t="s">
        <v>11965</v>
      </c>
      <c r="Q3230" s="30" t="s">
        <v>2565</v>
      </c>
      <c r="R3230" s="33" t="s">
        <v>3473</v>
      </c>
      <c r="S3230">
        <v>37</v>
      </c>
      <c r="T3230" s="1" t="s">
        <v>13878</v>
      </c>
      <c r="U3230" s="1" t="str">
        <f>HYPERLINK("http://ictvonline.org/taxonomy/p/taxonomy-history?taxnode_id=202101159","ICTVonline=202101159")</f>
        <v>ICTVonline=202101159</v>
      </c>
    </row>
    <row r="3231" spans="1:21" x14ac:dyDescent="0.2">
      <c r="A3231" s="3">
        <v>3230</v>
      </c>
      <c r="B3231" s="1" t="s">
        <v>4875</v>
      </c>
      <c r="D3231" s="1" t="s">
        <v>4876</v>
      </c>
      <c r="F3231" s="1" t="s">
        <v>4880</v>
      </c>
      <c r="H3231" s="1" t="s">
        <v>4881</v>
      </c>
      <c r="N3231" s="1" t="s">
        <v>4716</v>
      </c>
      <c r="P3231" s="1" t="s">
        <v>11966</v>
      </c>
      <c r="Q3231" s="30" t="s">
        <v>2565</v>
      </c>
      <c r="R3231" s="33" t="s">
        <v>3473</v>
      </c>
      <c r="S3231">
        <v>37</v>
      </c>
      <c r="T3231" s="1" t="s">
        <v>13878</v>
      </c>
      <c r="U3231" s="1" t="str">
        <f>HYPERLINK("http://ictvonline.org/taxonomy/p/taxonomy-history?taxnode_id=202101160","ICTVonline=202101160")</f>
        <v>ICTVonline=202101160</v>
      </c>
    </row>
    <row r="3232" spans="1:21" x14ac:dyDescent="0.2">
      <c r="A3232" s="3">
        <v>3231</v>
      </c>
      <c r="B3232" s="1" t="s">
        <v>4875</v>
      </c>
      <c r="D3232" s="1" t="s">
        <v>4876</v>
      </c>
      <c r="F3232" s="1" t="s">
        <v>4880</v>
      </c>
      <c r="H3232" s="1" t="s">
        <v>4881</v>
      </c>
      <c r="N3232" s="1" t="s">
        <v>4716</v>
      </c>
      <c r="P3232" s="1" t="s">
        <v>11967</v>
      </c>
      <c r="Q3232" s="30" t="s">
        <v>2565</v>
      </c>
      <c r="R3232" s="33" t="s">
        <v>3473</v>
      </c>
      <c r="S3232">
        <v>37</v>
      </c>
      <c r="T3232" s="1" t="s">
        <v>13878</v>
      </c>
      <c r="U3232" s="1" t="str">
        <f>HYPERLINK("http://ictvonline.org/taxonomy/p/taxonomy-history?taxnode_id=202101161","ICTVonline=202101161")</f>
        <v>ICTVonline=202101161</v>
      </c>
    </row>
    <row r="3233" spans="1:21" x14ac:dyDescent="0.2">
      <c r="A3233" s="3">
        <v>3232</v>
      </c>
      <c r="B3233" s="1" t="s">
        <v>4875</v>
      </c>
      <c r="D3233" s="1" t="s">
        <v>4876</v>
      </c>
      <c r="F3233" s="1" t="s">
        <v>4880</v>
      </c>
      <c r="H3233" s="1" t="s">
        <v>4881</v>
      </c>
      <c r="N3233" s="1" t="s">
        <v>4716</v>
      </c>
      <c r="P3233" s="1" t="s">
        <v>11968</v>
      </c>
      <c r="Q3233" s="30" t="s">
        <v>2565</v>
      </c>
      <c r="R3233" s="33" t="s">
        <v>3473</v>
      </c>
      <c r="S3233">
        <v>37</v>
      </c>
      <c r="T3233" s="1" t="s">
        <v>13878</v>
      </c>
      <c r="U3233" s="1" t="str">
        <f>HYPERLINK("http://ictvonline.org/taxonomy/p/taxonomy-history?taxnode_id=202101162","ICTVonline=202101162")</f>
        <v>ICTVonline=202101162</v>
      </c>
    </row>
    <row r="3234" spans="1:21" x14ac:dyDescent="0.2">
      <c r="A3234" s="3">
        <v>3233</v>
      </c>
      <c r="B3234" s="1" t="s">
        <v>4875</v>
      </c>
      <c r="D3234" s="1" t="s">
        <v>4876</v>
      </c>
      <c r="F3234" s="1" t="s">
        <v>4880</v>
      </c>
      <c r="H3234" s="1" t="s">
        <v>4881</v>
      </c>
      <c r="N3234" s="1" t="s">
        <v>4716</v>
      </c>
      <c r="P3234" s="1" t="s">
        <v>11969</v>
      </c>
      <c r="Q3234" s="30" t="s">
        <v>2565</v>
      </c>
      <c r="R3234" s="33" t="s">
        <v>3473</v>
      </c>
      <c r="S3234">
        <v>37</v>
      </c>
      <c r="T3234" s="1" t="s">
        <v>13878</v>
      </c>
      <c r="U3234" s="1" t="str">
        <f>HYPERLINK("http://ictvonline.org/taxonomy/p/taxonomy-history?taxnode_id=202101163","ICTVonline=202101163")</f>
        <v>ICTVonline=202101163</v>
      </c>
    </row>
    <row r="3235" spans="1:21" x14ac:dyDescent="0.2">
      <c r="A3235" s="3">
        <v>3234</v>
      </c>
      <c r="B3235" s="1" t="s">
        <v>4875</v>
      </c>
      <c r="D3235" s="1" t="s">
        <v>4876</v>
      </c>
      <c r="F3235" s="1" t="s">
        <v>4880</v>
      </c>
      <c r="H3235" s="1" t="s">
        <v>4881</v>
      </c>
      <c r="N3235" s="1" t="s">
        <v>4716</v>
      </c>
      <c r="P3235" s="1" t="s">
        <v>11970</v>
      </c>
      <c r="Q3235" s="30" t="s">
        <v>2565</v>
      </c>
      <c r="R3235" s="33" t="s">
        <v>3473</v>
      </c>
      <c r="S3235">
        <v>37</v>
      </c>
      <c r="T3235" s="1" t="s">
        <v>13878</v>
      </c>
      <c r="U3235" s="1" t="str">
        <f>HYPERLINK("http://ictvonline.org/taxonomy/p/taxonomy-history?taxnode_id=202101164","ICTVonline=202101164")</f>
        <v>ICTVonline=202101164</v>
      </c>
    </row>
    <row r="3236" spans="1:21" x14ac:dyDescent="0.2">
      <c r="A3236" s="3">
        <v>3235</v>
      </c>
      <c r="B3236" s="1" t="s">
        <v>4875</v>
      </c>
      <c r="D3236" s="1" t="s">
        <v>4876</v>
      </c>
      <c r="F3236" s="1" t="s">
        <v>4880</v>
      </c>
      <c r="H3236" s="1" t="s">
        <v>4881</v>
      </c>
      <c r="N3236" s="1" t="s">
        <v>4716</v>
      </c>
      <c r="P3236" s="1" t="s">
        <v>11971</v>
      </c>
      <c r="Q3236" s="30" t="s">
        <v>2565</v>
      </c>
      <c r="R3236" s="33" t="s">
        <v>3473</v>
      </c>
      <c r="S3236">
        <v>37</v>
      </c>
      <c r="T3236" s="1" t="s">
        <v>13878</v>
      </c>
      <c r="U3236" s="1" t="str">
        <f>HYPERLINK("http://ictvonline.org/taxonomy/p/taxonomy-history?taxnode_id=202101165","ICTVonline=202101165")</f>
        <v>ICTVonline=202101165</v>
      </c>
    </row>
    <row r="3237" spans="1:21" x14ac:dyDescent="0.2">
      <c r="A3237" s="3">
        <v>3236</v>
      </c>
      <c r="B3237" s="1" t="s">
        <v>4875</v>
      </c>
      <c r="D3237" s="1" t="s">
        <v>4876</v>
      </c>
      <c r="F3237" s="1" t="s">
        <v>4880</v>
      </c>
      <c r="H3237" s="1" t="s">
        <v>4881</v>
      </c>
      <c r="N3237" s="1" t="s">
        <v>4716</v>
      </c>
      <c r="P3237" s="1" t="s">
        <v>11972</v>
      </c>
      <c r="Q3237" s="30" t="s">
        <v>2565</v>
      </c>
      <c r="R3237" s="33" t="s">
        <v>3473</v>
      </c>
      <c r="S3237">
        <v>37</v>
      </c>
      <c r="T3237" s="1" t="s">
        <v>13878</v>
      </c>
      <c r="U3237" s="1" t="str">
        <f>HYPERLINK("http://ictvonline.org/taxonomy/p/taxonomy-history?taxnode_id=202101166","ICTVonline=202101166")</f>
        <v>ICTVonline=202101166</v>
      </c>
    </row>
    <row r="3238" spans="1:21" x14ac:dyDescent="0.2">
      <c r="A3238" s="3">
        <v>3237</v>
      </c>
      <c r="B3238" s="1" t="s">
        <v>4875</v>
      </c>
      <c r="D3238" s="1" t="s">
        <v>4876</v>
      </c>
      <c r="F3238" s="1" t="s">
        <v>4880</v>
      </c>
      <c r="H3238" s="1" t="s">
        <v>4881</v>
      </c>
      <c r="N3238" s="1" t="s">
        <v>4716</v>
      </c>
      <c r="P3238" s="1" t="s">
        <v>11973</v>
      </c>
      <c r="Q3238" s="30" t="s">
        <v>2565</v>
      </c>
      <c r="R3238" s="33" t="s">
        <v>3473</v>
      </c>
      <c r="S3238">
        <v>37</v>
      </c>
      <c r="T3238" s="1" t="s">
        <v>13878</v>
      </c>
      <c r="U3238" s="1" t="str">
        <f>HYPERLINK("http://ictvonline.org/taxonomy/p/taxonomy-history?taxnode_id=202101167","ICTVonline=202101167")</f>
        <v>ICTVonline=202101167</v>
      </c>
    </row>
    <row r="3239" spans="1:21" x14ac:dyDescent="0.2">
      <c r="A3239" s="3">
        <v>3238</v>
      </c>
      <c r="B3239" s="1" t="s">
        <v>4875</v>
      </c>
      <c r="D3239" s="1" t="s">
        <v>4876</v>
      </c>
      <c r="F3239" s="1" t="s">
        <v>4880</v>
      </c>
      <c r="H3239" s="1" t="s">
        <v>4881</v>
      </c>
      <c r="N3239" s="1" t="s">
        <v>4716</v>
      </c>
      <c r="P3239" s="1" t="s">
        <v>11974</v>
      </c>
      <c r="Q3239" s="30" t="s">
        <v>2565</v>
      </c>
      <c r="R3239" s="33" t="s">
        <v>3473</v>
      </c>
      <c r="S3239">
        <v>37</v>
      </c>
      <c r="T3239" s="1" t="s">
        <v>13878</v>
      </c>
      <c r="U3239" s="1" t="str">
        <f>HYPERLINK("http://ictvonline.org/taxonomy/p/taxonomy-history?taxnode_id=202101168","ICTVonline=202101168")</f>
        <v>ICTVonline=202101168</v>
      </c>
    </row>
    <row r="3240" spans="1:21" x14ac:dyDescent="0.2">
      <c r="A3240" s="3">
        <v>3239</v>
      </c>
      <c r="B3240" s="1" t="s">
        <v>4875</v>
      </c>
      <c r="D3240" s="1" t="s">
        <v>4876</v>
      </c>
      <c r="F3240" s="1" t="s">
        <v>4880</v>
      </c>
      <c r="H3240" s="1" t="s">
        <v>4881</v>
      </c>
      <c r="N3240" s="1" t="s">
        <v>4716</v>
      </c>
      <c r="P3240" s="1" t="s">
        <v>11975</v>
      </c>
      <c r="Q3240" s="30" t="s">
        <v>2565</v>
      </c>
      <c r="R3240" s="33" t="s">
        <v>3473</v>
      </c>
      <c r="S3240">
        <v>37</v>
      </c>
      <c r="T3240" s="1" t="s">
        <v>13878</v>
      </c>
      <c r="U3240" s="1" t="str">
        <f>HYPERLINK("http://ictvonline.org/taxonomy/p/taxonomy-history?taxnode_id=202101169","ICTVonline=202101169")</f>
        <v>ICTVonline=202101169</v>
      </c>
    </row>
    <row r="3241" spans="1:21" x14ac:dyDescent="0.2">
      <c r="A3241" s="3">
        <v>3240</v>
      </c>
      <c r="B3241" s="1" t="s">
        <v>4875</v>
      </c>
      <c r="D3241" s="1" t="s">
        <v>4876</v>
      </c>
      <c r="F3241" s="1" t="s">
        <v>4880</v>
      </c>
      <c r="H3241" s="1" t="s">
        <v>4881</v>
      </c>
      <c r="N3241" s="1" t="s">
        <v>4716</v>
      </c>
      <c r="P3241" s="1" t="s">
        <v>11976</v>
      </c>
      <c r="Q3241" s="30" t="s">
        <v>2565</v>
      </c>
      <c r="R3241" s="33" t="s">
        <v>3473</v>
      </c>
      <c r="S3241">
        <v>37</v>
      </c>
      <c r="T3241" s="1" t="s">
        <v>13878</v>
      </c>
      <c r="U3241" s="1" t="str">
        <f>HYPERLINK("http://ictvonline.org/taxonomy/p/taxonomy-history?taxnode_id=202101170","ICTVonline=202101170")</f>
        <v>ICTVonline=202101170</v>
      </c>
    </row>
    <row r="3242" spans="1:21" x14ac:dyDescent="0.2">
      <c r="A3242" s="3">
        <v>3241</v>
      </c>
      <c r="B3242" s="1" t="s">
        <v>4875</v>
      </c>
      <c r="D3242" s="1" t="s">
        <v>4876</v>
      </c>
      <c r="F3242" s="1" t="s">
        <v>4880</v>
      </c>
      <c r="H3242" s="1" t="s">
        <v>4881</v>
      </c>
      <c r="N3242" s="1" t="s">
        <v>4716</v>
      </c>
      <c r="P3242" s="1" t="s">
        <v>11977</v>
      </c>
      <c r="Q3242" s="30" t="s">
        <v>2565</v>
      </c>
      <c r="R3242" s="33" t="s">
        <v>3473</v>
      </c>
      <c r="S3242">
        <v>37</v>
      </c>
      <c r="T3242" s="1" t="s">
        <v>13878</v>
      </c>
      <c r="U3242" s="1" t="str">
        <f>HYPERLINK("http://ictvonline.org/taxonomy/p/taxonomy-history?taxnode_id=202101171","ICTVonline=202101171")</f>
        <v>ICTVonline=202101171</v>
      </c>
    </row>
    <row r="3243" spans="1:21" x14ac:dyDescent="0.2">
      <c r="A3243" s="3">
        <v>3242</v>
      </c>
      <c r="B3243" s="1" t="s">
        <v>4875</v>
      </c>
      <c r="D3243" s="1" t="s">
        <v>4876</v>
      </c>
      <c r="F3243" s="1" t="s">
        <v>4880</v>
      </c>
      <c r="H3243" s="1" t="s">
        <v>4881</v>
      </c>
      <c r="N3243" s="1" t="s">
        <v>4716</v>
      </c>
      <c r="P3243" s="1" t="s">
        <v>11978</v>
      </c>
      <c r="Q3243" s="30" t="s">
        <v>2565</v>
      </c>
      <c r="R3243" s="33" t="s">
        <v>3473</v>
      </c>
      <c r="S3243">
        <v>37</v>
      </c>
      <c r="T3243" s="1" t="s">
        <v>13878</v>
      </c>
      <c r="U3243" s="1" t="str">
        <f>HYPERLINK("http://ictvonline.org/taxonomy/p/taxonomy-history?taxnode_id=202101172","ICTVonline=202101172")</f>
        <v>ICTVonline=202101172</v>
      </c>
    </row>
    <row r="3244" spans="1:21" x14ac:dyDescent="0.2">
      <c r="A3244" s="3">
        <v>3243</v>
      </c>
      <c r="B3244" s="1" t="s">
        <v>4875</v>
      </c>
      <c r="D3244" s="1" t="s">
        <v>4876</v>
      </c>
      <c r="F3244" s="1" t="s">
        <v>4880</v>
      </c>
      <c r="H3244" s="1" t="s">
        <v>4881</v>
      </c>
      <c r="N3244" s="1" t="s">
        <v>4716</v>
      </c>
      <c r="P3244" s="1" t="s">
        <v>11979</v>
      </c>
      <c r="Q3244" s="30" t="s">
        <v>2565</v>
      </c>
      <c r="R3244" s="33" t="s">
        <v>3473</v>
      </c>
      <c r="S3244">
        <v>37</v>
      </c>
      <c r="T3244" s="1" t="s">
        <v>13878</v>
      </c>
      <c r="U3244" s="1" t="str">
        <f>HYPERLINK("http://ictvonline.org/taxonomy/p/taxonomy-history?taxnode_id=202101173","ICTVonline=202101173")</f>
        <v>ICTVonline=202101173</v>
      </c>
    </row>
    <row r="3245" spans="1:21" x14ac:dyDescent="0.2">
      <c r="A3245" s="3">
        <v>3244</v>
      </c>
      <c r="B3245" s="1" t="s">
        <v>4875</v>
      </c>
      <c r="D3245" s="1" t="s">
        <v>4876</v>
      </c>
      <c r="F3245" s="1" t="s">
        <v>4880</v>
      </c>
      <c r="H3245" s="1" t="s">
        <v>4881</v>
      </c>
      <c r="N3245" s="1" t="s">
        <v>2591</v>
      </c>
      <c r="P3245" s="1" t="s">
        <v>11980</v>
      </c>
      <c r="Q3245" s="30" t="s">
        <v>2565</v>
      </c>
      <c r="R3245" s="33" t="s">
        <v>3473</v>
      </c>
      <c r="S3245">
        <v>37</v>
      </c>
      <c r="T3245" s="1" t="s">
        <v>13878</v>
      </c>
      <c r="U3245" s="1" t="str">
        <f>HYPERLINK("http://ictvonline.org/taxonomy/p/taxonomy-history?taxnode_id=202100468","ICTVonline=202100468")</f>
        <v>ICTVonline=202100468</v>
      </c>
    </row>
    <row r="3246" spans="1:21" x14ac:dyDescent="0.2">
      <c r="A3246" s="3">
        <v>3245</v>
      </c>
      <c r="B3246" s="1" t="s">
        <v>4875</v>
      </c>
      <c r="D3246" s="1" t="s">
        <v>4876</v>
      </c>
      <c r="F3246" s="1" t="s">
        <v>4880</v>
      </c>
      <c r="H3246" s="1" t="s">
        <v>4881</v>
      </c>
      <c r="N3246" s="1" t="s">
        <v>2591</v>
      </c>
      <c r="P3246" s="1" t="s">
        <v>11981</v>
      </c>
      <c r="Q3246" s="30" t="s">
        <v>2565</v>
      </c>
      <c r="R3246" s="33" t="s">
        <v>3473</v>
      </c>
      <c r="S3246">
        <v>37</v>
      </c>
      <c r="T3246" s="1" t="s">
        <v>13878</v>
      </c>
      <c r="U3246" s="1" t="str">
        <f>HYPERLINK("http://ictvonline.org/taxonomy/p/taxonomy-history?taxnode_id=202100469","ICTVonline=202100469")</f>
        <v>ICTVonline=202100469</v>
      </c>
    </row>
    <row r="3247" spans="1:21" x14ac:dyDescent="0.2">
      <c r="A3247" s="3">
        <v>3246</v>
      </c>
      <c r="B3247" s="1" t="s">
        <v>4875</v>
      </c>
      <c r="D3247" s="1" t="s">
        <v>4876</v>
      </c>
      <c r="F3247" s="1" t="s">
        <v>4880</v>
      </c>
      <c r="H3247" s="1" t="s">
        <v>4881</v>
      </c>
      <c r="N3247" s="1" t="s">
        <v>2591</v>
      </c>
      <c r="P3247" s="1" t="s">
        <v>11982</v>
      </c>
      <c r="Q3247" s="30" t="s">
        <v>2565</v>
      </c>
      <c r="R3247" s="33" t="s">
        <v>3473</v>
      </c>
      <c r="S3247">
        <v>37</v>
      </c>
      <c r="T3247" s="1" t="s">
        <v>13878</v>
      </c>
      <c r="U3247" s="1" t="str">
        <f>HYPERLINK("http://ictvonline.org/taxonomy/p/taxonomy-history?taxnode_id=202100470","ICTVonline=202100470")</f>
        <v>ICTVonline=202100470</v>
      </c>
    </row>
    <row r="3248" spans="1:21" x14ac:dyDescent="0.2">
      <c r="A3248" s="3">
        <v>3247</v>
      </c>
      <c r="B3248" s="1" t="s">
        <v>4875</v>
      </c>
      <c r="D3248" s="1" t="s">
        <v>4876</v>
      </c>
      <c r="F3248" s="1" t="s">
        <v>4880</v>
      </c>
      <c r="H3248" s="1" t="s">
        <v>4881</v>
      </c>
      <c r="N3248" s="1" t="s">
        <v>2591</v>
      </c>
      <c r="P3248" s="1" t="s">
        <v>11983</v>
      </c>
      <c r="Q3248" s="30" t="s">
        <v>2565</v>
      </c>
      <c r="R3248" s="33" t="s">
        <v>3473</v>
      </c>
      <c r="S3248">
        <v>37</v>
      </c>
      <c r="T3248" s="1" t="s">
        <v>13878</v>
      </c>
      <c r="U3248" s="1" t="str">
        <f>HYPERLINK("http://ictvonline.org/taxonomy/p/taxonomy-history?taxnode_id=202107020","ICTVonline=202107020")</f>
        <v>ICTVonline=202107020</v>
      </c>
    </row>
    <row r="3249" spans="1:21" x14ac:dyDescent="0.2">
      <c r="A3249" s="3">
        <v>3248</v>
      </c>
      <c r="B3249" s="1" t="s">
        <v>4875</v>
      </c>
      <c r="D3249" s="1" t="s">
        <v>4876</v>
      </c>
      <c r="F3249" s="1" t="s">
        <v>4880</v>
      </c>
      <c r="H3249" s="1" t="s">
        <v>4881</v>
      </c>
      <c r="N3249" s="1" t="s">
        <v>2591</v>
      </c>
      <c r="P3249" s="1" t="s">
        <v>11984</v>
      </c>
      <c r="Q3249" s="30" t="s">
        <v>2565</v>
      </c>
      <c r="R3249" s="33" t="s">
        <v>3473</v>
      </c>
      <c r="S3249">
        <v>37</v>
      </c>
      <c r="T3249" s="1" t="s">
        <v>13878</v>
      </c>
      <c r="U3249" s="1" t="str">
        <f>HYPERLINK("http://ictvonline.org/taxonomy/p/taxonomy-history?taxnode_id=202107018","ICTVonline=202107018")</f>
        <v>ICTVonline=202107018</v>
      </c>
    </row>
    <row r="3250" spans="1:21" x14ac:dyDescent="0.2">
      <c r="A3250" s="3">
        <v>3249</v>
      </c>
      <c r="B3250" s="1" t="s">
        <v>4875</v>
      </c>
      <c r="D3250" s="1" t="s">
        <v>4876</v>
      </c>
      <c r="F3250" s="1" t="s">
        <v>4880</v>
      </c>
      <c r="H3250" s="1" t="s">
        <v>4881</v>
      </c>
      <c r="N3250" s="1" t="s">
        <v>2591</v>
      </c>
      <c r="P3250" s="1" t="s">
        <v>11985</v>
      </c>
      <c r="Q3250" s="30" t="s">
        <v>2565</v>
      </c>
      <c r="R3250" s="33" t="s">
        <v>3473</v>
      </c>
      <c r="S3250">
        <v>37</v>
      </c>
      <c r="T3250" s="1" t="s">
        <v>13878</v>
      </c>
      <c r="U3250" s="1" t="str">
        <f>HYPERLINK("http://ictvonline.org/taxonomy/p/taxonomy-history?taxnode_id=202107017","ICTVonline=202107017")</f>
        <v>ICTVonline=202107017</v>
      </c>
    </row>
    <row r="3251" spans="1:21" x14ac:dyDescent="0.2">
      <c r="A3251" s="3">
        <v>3250</v>
      </c>
      <c r="B3251" s="1" t="s">
        <v>4875</v>
      </c>
      <c r="D3251" s="1" t="s">
        <v>4876</v>
      </c>
      <c r="F3251" s="1" t="s">
        <v>4880</v>
      </c>
      <c r="H3251" s="1" t="s">
        <v>4881</v>
      </c>
      <c r="N3251" s="1" t="s">
        <v>2591</v>
      </c>
      <c r="P3251" s="1" t="s">
        <v>11986</v>
      </c>
      <c r="Q3251" s="30" t="s">
        <v>2565</v>
      </c>
      <c r="R3251" s="33" t="s">
        <v>3473</v>
      </c>
      <c r="S3251">
        <v>37</v>
      </c>
      <c r="T3251" s="1" t="s">
        <v>13878</v>
      </c>
      <c r="U3251" s="1" t="str">
        <f>HYPERLINK("http://ictvonline.org/taxonomy/p/taxonomy-history?taxnode_id=202100471","ICTVonline=202100471")</f>
        <v>ICTVonline=202100471</v>
      </c>
    </row>
    <row r="3252" spans="1:21" x14ac:dyDescent="0.2">
      <c r="A3252" s="3">
        <v>3251</v>
      </c>
      <c r="B3252" s="1" t="s">
        <v>4875</v>
      </c>
      <c r="D3252" s="1" t="s">
        <v>4876</v>
      </c>
      <c r="F3252" s="1" t="s">
        <v>4880</v>
      </c>
      <c r="H3252" s="1" t="s">
        <v>4881</v>
      </c>
      <c r="N3252" s="1" t="s">
        <v>2591</v>
      </c>
      <c r="P3252" s="1" t="s">
        <v>11987</v>
      </c>
      <c r="Q3252" s="30" t="s">
        <v>2565</v>
      </c>
      <c r="R3252" s="33" t="s">
        <v>3473</v>
      </c>
      <c r="S3252">
        <v>37</v>
      </c>
      <c r="T3252" s="1" t="s">
        <v>13878</v>
      </c>
      <c r="U3252" s="1" t="str">
        <f>HYPERLINK("http://ictvonline.org/taxonomy/p/taxonomy-history?taxnode_id=202107019","ICTVonline=202107019")</f>
        <v>ICTVonline=202107019</v>
      </c>
    </row>
    <row r="3253" spans="1:21" x14ac:dyDescent="0.2">
      <c r="A3253" s="3">
        <v>3252</v>
      </c>
      <c r="B3253" s="1" t="s">
        <v>4875</v>
      </c>
      <c r="D3253" s="1" t="s">
        <v>4876</v>
      </c>
      <c r="F3253" s="1" t="s">
        <v>4880</v>
      </c>
      <c r="H3253" s="1" t="s">
        <v>4881</v>
      </c>
      <c r="N3253" s="1" t="s">
        <v>2591</v>
      </c>
      <c r="P3253" s="1" t="s">
        <v>11988</v>
      </c>
      <c r="Q3253" s="30" t="s">
        <v>2565</v>
      </c>
      <c r="R3253" s="33" t="s">
        <v>3473</v>
      </c>
      <c r="S3253">
        <v>37</v>
      </c>
      <c r="T3253" s="1" t="s">
        <v>13878</v>
      </c>
      <c r="U3253" s="1" t="str">
        <f>HYPERLINK("http://ictvonline.org/taxonomy/p/taxonomy-history?taxnode_id=202100472","ICTVonline=202100472")</f>
        <v>ICTVonline=202100472</v>
      </c>
    </row>
    <row r="3254" spans="1:21" x14ac:dyDescent="0.2">
      <c r="A3254" s="3">
        <v>3253</v>
      </c>
      <c r="B3254" s="1" t="s">
        <v>4875</v>
      </c>
      <c r="D3254" s="1" t="s">
        <v>4876</v>
      </c>
      <c r="F3254" s="1" t="s">
        <v>4880</v>
      </c>
      <c r="H3254" s="1" t="s">
        <v>4881</v>
      </c>
      <c r="N3254" s="1" t="s">
        <v>2591</v>
      </c>
      <c r="P3254" s="1" t="s">
        <v>11989</v>
      </c>
      <c r="Q3254" s="30" t="s">
        <v>2565</v>
      </c>
      <c r="R3254" s="33" t="s">
        <v>3473</v>
      </c>
      <c r="S3254">
        <v>37</v>
      </c>
      <c r="T3254" s="1" t="s">
        <v>13878</v>
      </c>
      <c r="U3254" s="1" t="str">
        <f>HYPERLINK("http://ictvonline.org/taxonomy/p/taxonomy-history?taxnode_id=202100473","ICTVonline=202100473")</f>
        <v>ICTVonline=202100473</v>
      </c>
    </row>
    <row r="3255" spans="1:21" x14ac:dyDescent="0.2">
      <c r="A3255" s="3">
        <v>3254</v>
      </c>
      <c r="B3255" s="1" t="s">
        <v>4875</v>
      </c>
      <c r="D3255" s="1" t="s">
        <v>4876</v>
      </c>
      <c r="F3255" s="1" t="s">
        <v>4880</v>
      </c>
      <c r="H3255" s="1" t="s">
        <v>4881</v>
      </c>
      <c r="N3255" s="1" t="s">
        <v>2591</v>
      </c>
      <c r="P3255" s="1" t="s">
        <v>11990</v>
      </c>
      <c r="Q3255" s="30" t="s">
        <v>2565</v>
      </c>
      <c r="R3255" s="33" t="s">
        <v>3473</v>
      </c>
      <c r="S3255">
        <v>37</v>
      </c>
      <c r="T3255" s="1" t="s">
        <v>13878</v>
      </c>
      <c r="U3255" s="1" t="str">
        <f>HYPERLINK("http://ictvonline.org/taxonomy/p/taxonomy-history?taxnode_id=202107016","ICTVonline=202107016")</f>
        <v>ICTVonline=202107016</v>
      </c>
    </row>
    <row r="3256" spans="1:21" x14ac:dyDescent="0.2">
      <c r="A3256" s="3">
        <v>3255</v>
      </c>
      <c r="B3256" s="1" t="s">
        <v>4875</v>
      </c>
      <c r="D3256" s="1" t="s">
        <v>4876</v>
      </c>
      <c r="F3256" s="1" t="s">
        <v>4880</v>
      </c>
      <c r="H3256" s="1" t="s">
        <v>4881</v>
      </c>
      <c r="N3256" s="1" t="s">
        <v>4717</v>
      </c>
      <c r="P3256" s="1" t="s">
        <v>11991</v>
      </c>
      <c r="Q3256" s="30" t="s">
        <v>2565</v>
      </c>
      <c r="R3256" s="33" t="s">
        <v>3473</v>
      </c>
      <c r="S3256">
        <v>37</v>
      </c>
      <c r="T3256" s="1" t="s">
        <v>13878</v>
      </c>
      <c r="U3256" s="1" t="str">
        <f>HYPERLINK("http://ictvonline.org/taxonomy/p/taxonomy-history?taxnode_id=202101175","ICTVonline=202101175")</f>
        <v>ICTVonline=202101175</v>
      </c>
    </row>
    <row r="3257" spans="1:21" x14ac:dyDescent="0.2">
      <c r="A3257" s="3">
        <v>3256</v>
      </c>
      <c r="B3257" s="1" t="s">
        <v>4875</v>
      </c>
      <c r="D3257" s="1" t="s">
        <v>4876</v>
      </c>
      <c r="F3257" s="1" t="s">
        <v>4880</v>
      </c>
      <c r="H3257" s="1" t="s">
        <v>4881</v>
      </c>
      <c r="N3257" s="1" t="s">
        <v>4717</v>
      </c>
      <c r="P3257" s="1" t="s">
        <v>11992</v>
      </c>
      <c r="Q3257" s="30" t="s">
        <v>2565</v>
      </c>
      <c r="R3257" s="33" t="s">
        <v>3473</v>
      </c>
      <c r="S3257">
        <v>37</v>
      </c>
      <c r="T3257" s="1" t="s">
        <v>13878</v>
      </c>
      <c r="U3257" s="1" t="str">
        <f>HYPERLINK("http://ictvonline.org/taxonomy/p/taxonomy-history?taxnode_id=202101176","ICTVonline=202101176")</f>
        <v>ICTVonline=202101176</v>
      </c>
    </row>
    <row r="3258" spans="1:21" x14ac:dyDescent="0.2">
      <c r="A3258" s="3">
        <v>3257</v>
      </c>
      <c r="B3258" s="1" t="s">
        <v>4875</v>
      </c>
      <c r="D3258" s="1" t="s">
        <v>4876</v>
      </c>
      <c r="F3258" s="1" t="s">
        <v>4880</v>
      </c>
      <c r="H3258" s="1" t="s">
        <v>4881</v>
      </c>
      <c r="N3258" s="1" t="s">
        <v>6220</v>
      </c>
      <c r="P3258" s="1" t="s">
        <v>11993</v>
      </c>
      <c r="Q3258" s="30" t="s">
        <v>2565</v>
      </c>
      <c r="R3258" s="33" t="s">
        <v>3473</v>
      </c>
      <c r="S3258">
        <v>37</v>
      </c>
      <c r="T3258" s="1" t="s">
        <v>13878</v>
      </c>
      <c r="U3258" s="1" t="str">
        <f>HYPERLINK("http://ictvonline.org/taxonomy/p/taxonomy-history?taxnode_id=202109342","ICTVonline=202109342")</f>
        <v>ICTVonline=202109342</v>
      </c>
    </row>
    <row r="3259" spans="1:21" x14ac:dyDescent="0.2">
      <c r="A3259" s="3">
        <v>3258</v>
      </c>
      <c r="B3259" s="1" t="s">
        <v>4875</v>
      </c>
      <c r="D3259" s="1" t="s">
        <v>4876</v>
      </c>
      <c r="F3259" s="1" t="s">
        <v>4880</v>
      </c>
      <c r="H3259" s="1" t="s">
        <v>4881</v>
      </c>
      <c r="N3259" s="1" t="s">
        <v>6220</v>
      </c>
      <c r="P3259" s="1" t="s">
        <v>11994</v>
      </c>
      <c r="Q3259" s="30" t="s">
        <v>2565</v>
      </c>
      <c r="R3259" s="33" t="s">
        <v>3473</v>
      </c>
      <c r="S3259">
        <v>37</v>
      </c>
      <c r="T3259" s="1" t="s">
        <v>13878</v>
      </c>
      <c r="U3259" s="1" t="str">
        <f>HYPERLINK("http://ictvonline.org/taxonomy/p/taxonomy-history?taxnode_id=202109338","ICTVonline=202109338")</f>
        <v>ICTVonline=202109338</v>
      </c>
    </row>
    <row r="3260" spans="1:21" x14ac:dyDescent="0.2">
      <c r="A3260" s="3">
        <v>3259</v>
      </c>
      <c r="B3260" s="1" t="s">
        <v>4875</v>
      </c>
      <c r="D3260" s="1" t="s">
        <v>4876</v>
      </c>
      <c r="F3260" s="1" t="s">
        <v>4880</v>
      </c>
      <c r="H3260" s="1" t="s">
        <v>4881</v>
      </c>
      <c r="N3260" s="1" t="s">
        <v>6220</v>
      </c>
      <c r="P3260" s="1" t="s">
        <v>11995</v>
      </c>
      <c r="Q3260" s="30" t="s">
        <v>2565</v>
      </c>
      <c r="R3260" s="33" t="s">
        <v>3473</v>
      </c>
      <c r="S3260">
        <v>37</v>
      </c>
      <c r="T3260" s="1" t="s">
        <v>13878</v>
      </c>
      <c r="U3260" s="1" t="str">
        <f>HYPERLINK("http://ictvonline.org/taxonomy/p/taxonomy-history?taxnode_id=202109341","ICTVonline=202109341")</f>
        <v>ICTVonline=202109341</v>
      </c>
    </row>
    <row r="3261" spans="1:21" x14ac:dyDescent="0.2">
      <c r="A3261" s="3">
        <v>3260</v>
      </c>
      <c r="B3261" s="1" t="s">
        <v>4875</v>
      </c>
      <c r="D3261" s="1" t="s">
        <v>4876</v>
      </c>
      <c r="F3261" s="1" t="s">
        <v>4880</v>
      </c>
      <c r="H3261" s="1" t="s">
        <v>4881</v>
      </c>
      <c r="N3261" s="1" t="s">
        <v>6220</v>
      </c>
      <c r="P3261" s="1" t="s">
        <v>11996</v>
      </c>
      <c r="Q3261" s="30" t="s">
        <v>2565</v>
      </c>
      <c r="R3261" s="33" t="s">
        <v>3473</v>
      </c>
      <c r="S3261">
        <v>37</v>
      </c>
      <c r="T3261" s="1" t="s">
        <v>13878</v>
      </c>
      <c r="U3261" s="1" t="str">
        <f>HYPERLINK("http://ictvonline.org/taxonomy/p/taxonomy-history?taxnode_id=202109340","ICTVonline=202109340")</f>
        <v>ICTVonline=202109340</v>
      </c>
    </row>
    <row r="3262" spans="1:21" x14ac:dyDescent="0.2">
      <c r="A3262" s="3">
        <v>3261</v>
      </c>
      <c r="B3262" s="1" t="s">
        <v>4875</v>
      </c>
      <c r="D3262" s="1" t="s">
        <v>4876</v>
      </c>
      <c r="F3262" s="1" t="s">
        <v>4880</v>
      </c>
      <c r="H3262" s="1" t="s">
        <v>4881</v>
      </c>
      <c r="N3262" s="1" t="s">
        <v>6220</v>
      </c>
      <c r="P3262" s="1" t="s">
        <v>11997</v>
      </c>
      <c r="Q3262" s="30" t="s">
        <v>2565</v>
      </c>
      <c r="R3262" s="33" t="s">
        <v>3473</v>
      </c>
      <c r="S3262">
        <v>37</v>
      </c>
      <c r="T3262" s="1" t="s">
        <v>13878</v>
      </c>
      <c r="U3262" s="1" t="str">
        <f>HYPERLINK("http://ictvonline.org/taxonomy/p/taxonomy-history?taxnode_id=202109339","ICTVonline=202109339")</f>
        <v>ICTVonline=202109339</v>
      </c>
    </row>
    <row r="3263" spans="1:21" x14ac:dyDescent="0.2">
      <c r="A3263" s="3">
        <v>3262</v>
      </c>
      <c r="B3263" s="1" t="s">
        <v>4875</v>
      </c>
      <c r="D3263" s="1" t="s">
        <v>4876</v>
      </c>
      <c r="F3263" s="1" t="s">
        <v>4880</v>
      </c>
      <c r="H3263" s="1" t="s">
        <v>4881</v>
      </c>
      <c r="N3263" s="1" t="s">
        <v>4718</v>
      </c>
      <c r="P3263" s="1" t="s">
        <v>11998</v>
      </c>
      <c r="Q3263" s="30" t="s">
        <v>2565</v>
      </c>
      <c r="R3263" s="33" t="s">
        <v>3473</v>
      </c>
      <c r="S3263">
        <v>37</v>
      </c>
      <c r="T3263" s="1" t="s">
        <v>13878</v>
      </c>
      <c r="U3263" s="1" t="str">
        <f>HYPERLINK("http://ictvonline.org/taxonomy/p/taxonomy-history?taxnode_id=202101253","ICTVonline=202101253")</f>
        <v>ICTVonline=202101253</v>
      </c>
    </row>
    <row r="3264" spans="1:21" x14ac:dyDescent="0.2">
      <c r="A3264" s="3">
        <v>3263</v>
      </c>
      <c r="B3264" s="1" t="s">
        <v>4875</v>
      </c>
      <c r="D3264" s="1" t="s">
        <v>4876</v>
      </c>
      <c r="F3264" s="1" t="s">
        <v>4880</v>
      </c>
      <c r="H3264" s="1" t="s">
        <v>4881</v>
      </c>
      <c r="N3264" s="1" t="s">
        <v>4718</v>
      </c>
      <c r="P3264" s="1" t="s">
        <v>11999</v>
      </c>
      <c r="Q3264" s="30" t="s">
        <v>2565</v>
      </c>
      <c r="R3264" s="33" t="s">
        <v>3473</v>
      </c>
      <c r="S3264">
        <v>37</v>
      </c>
      <c r="T3264" s="1" t="s">
        <v>13878</v>
      </c>
      <c r="U3264" s="1" t="str">
        <f>HYPERLINK("http://ictvonline.org/taxonomy/p/taxonomy-history?taxnode_id=202101254","ICTVonline=202101254")</f>
        <v>ICTVonline=202101254</v>
      </c>
    </row>
    <row r="3265" spans="1:21" x14ac:dyDescent="0.2">
      <c r="A3265" s="3">
        <v>3264</v>
      </c>
      <c r="B3265" s="1" t="s">
        <v>4875</v>
      </c>
      <c r="D3265" s="1" t="s">
        <v>4876</v>
      </c>
      <c r="F3265" s="1" t="s">
        <v>4880</v>
      </c>
      <c r="H3265" s="1" t="s">
        <v>4881</v>
      </c>
      <c r="N3265" s="1" t="s">
        <v>6067</v>
      </c>
      <c r="P3265" s="1" t="s">
        <v>12000</v>
      </c>
      <c r="Q3265" s="30" t="s">
        <v>2565</v>
      </c>
      <c r="R3265" s="33" t="s">
        <v>3473</v>
      </c>
      <c r="S3265">
        <v>37</v>
      </c>
      <c r="T3265" s="1" t="s">
        <v>13878</v>
      </c>
      <c r="U3265" s="1" t="str">
        <f>HYPERLINK("http://ictvonline.org/taxonomy/p/taxonomy-history?taxnode_id=202111569","ICTVonline=202111569")</f>
        <v>ICTVonline=202111569</v>
      </c>
    </row>
    <row r="3266" spans="1:21" x14ac:dyDescent="0.2">
      <c r="A3266" s="3">
        <v>3265</v>
      </c>
      <c r="B3266" s="1" t="s">
        <v>4875</v>
      </c>
      <c r="D3266" s="1" t="s">
        <v>4876</v>
      </c>
      <c r="F3266" s="1" t="s">
        <v>4880</v>
      </c>
      <c r="H3266" s="1" t="s">
        <v>4881</v>
      </c>
      <c r="N3266" s="1" t="s">
        <v>3128</v>
      </c>
      <c r="P3266" s="1" t="s">
        <v>12001</v>
      </c>
      <c r="Q3266" s="30" t="s">
        <v>2565</v>
      </c>
      <c r="R3266" s="33" t="s">
        <v>3473</v>
      </c>
      <c r="S3266">
        <v>37</v>
      </c>
      <c r="T3266" s="1" t="s">
        <v>13878</v>
      </c>
      <c r="U3266" s="1" t="str">
        <f>HYPERLINK("http://ictvonline.org/taxonomy/p/taxonomy-history?taxnode_id=202101178","ICTVonline=202101178")</f>
        <v>ICTVonline=202101178</v>
      </c>
    </row>
    <row r="3267" spans="1:21" x14ac:dyDescent="0.2">
      <c r="A3267" s="3">
        <v>3266</v>
      </c>
      <c r="B3267" s="1" t="s">
        <v>4875</v>
      </c>
      <c r="D3267" s="1" t="s">
        <v>4876</v>
      </c>
      <c r="F3267" s="1" t="s">
        <v>4880</v>
      </c>
      <c r="H3267" s="1" t="s">
        <v>4881</v>
      </c>
      <c r="N3267" s="1" t="s">
        <v>2592</v>
      </c>
      <c r="P3267" s="1" t="s">
        <v>12002</v>
      </c>
      <c r="Q3267" s="30" t="s">
        <v>2565</v>
      </c>
      <c r="R3267" s="33" t="s">
        <v>3473</v>
      </c>
      <c r="S3267">
        <v>37</v>
      </c>
      <c r="T3267" s="1" t="s">
        <v>13878</v>
      </c>
      <c r="U3267" s="1" t="str">
        <f>HYPERLINK("http://ictvonline.org/taxonomy/p/taxonomy-history?taxnode_id=202100477","ICTVonline=202100477")</f>
        <v>ICTVonline=202100477</v>
      </c>
    </row>
    <row r="3268" spans="1:21" x14ac:dyDescent="0.2">
      <c r="A3268" s="3">
        <v>3267</v>
      </c>
      <c r="B3268" s="1" t="s">
        <v>4875</v>
      </c>
      <c r="D3268" s="1" t="s">
        <v>4876</v>
      </c>
      <c r="F3268" s="1" t="s">
        <v>4880</v>
      </c>
      <c r="H3268" s="1" t="s">
        <v>4881</v>
      </c>
      <c r="N3268" s="1" t="s">
        <v>2592</v>
      </c>
      <c r="P3268" s="1" t="s">
        <v>12003</v>
      </c>
      <c r="Q3268" s="30" t="s">
        <v>2565</v>
      </c>
      <c r="R3268" s="33" t="s">
        <v>3472</v>
      </c>
      <c r="S3268">
        <v>37</v>
      </c>
      <c r="T3268" s="1" t="s">
        <v>13963</v>
      </c>
      <c r="U3268" s="1" t="str">
        <f>HYPERLINK("http://ictvonline.org/taxonomy/p/taxonomy-history?taxnode_id=202112812","ICTVonline=202112812")</f>
        <v>ICTVonline=202112812</v>
      </c>
    </row>
    <row r="3269" spans="1:21" x14ac:dyDescent="0.2">
      <c r="A3269" s="3">
        <v>3268</v>
      </c>
      <c r="B3269" s="1" t="s">
        <v>4875</v>
      </c>
      <c r="D3269" s="1" t="s">
        <v>4876</v>
      </c>
      <c r="F3269" s="1" t="s">
        <v>4880</v>
      </c>
      <c r="H3269" s="1" t="s">
        <v>4881</v>
      </c>
      <c r="N3269" s="1" t="s">
        <v>2592</v>
      </c>
      <c r="P3269" s="1" t="s">
        <v>12004</v>
      </c>
      <c r="Q3269" s="30" t="s">
        <v>2565</v>
      </c>
      <c r="R3269" s="33" t="s">
        <v>3473</v>
      </c>
      <c r="S3269">
        <v>37</v>
      </c>
      <c r="T3269" s="1" t="s">
        <v>13878</v>
      </c>
      <c r="U3269" s="1" t="str">
        <f>HYPERLINK("http://ictvonline.org/taxonomy/p/taxonomy-history?taxnode_id=202111575","ICTVonline=202111575")</f>
        <v>ICTVonline=202111575</v>
      </c>
    </row>
    <row r="3270" spans="1:21" x14ac:dyDescent="0.2">
      <c r="A3270" s="3">
        <v>3269</v>
      </c>
      <c r="B3270" s="1" t="s">
        <v>4875</v>
      </c>
      <c r="D3270" s="1" t="s">
        <v>4876</v>
      </c>
      <c r="F3270" s="1" t="s">
        <v>4880</v>
      </c>
      <c r="H3270" s="1" t="s">
        <v>4881</v>
      </c>
      <c r="N3270" s="1" t="s">
        <v>2592</v>
      </c>
      <c r="P3270" s="1" t="s">
        <v>12005</v>
      </c>
      <c r="Q3270" s="30" t="s">
        <v>2565</v>
      </c>
      <c r="R3270" s="33" t="s">
        <v>3472</v>
      </c>
      <c r="S3270">
        <v>37</v>
      </c>
      <c r="T3270" s="1" t="s">
        <v>13963</v>
      </c>
      <c r="U3270" s="1" t="str">
        <f>HYPERLINK("http://ictvonline.org/taxonomy/p/taxonomy-history?taxnode_id=202112813","ICTVonline=202112813")</f>
        <v>ICTVonline=202112813</v>
      </c>
    </row>
    <row r="3271" spans="1:21" x14ac:dyDescent="0.2">
      <c r="A3271" s="3">
        <v>3270</v>
      </c>
      <c r="B3271" s="1" t="s">
        <v>4875</v>
      </c>
      <c r="D3271" s="1" t="s">
        <v>4876</v>
      </c>
      <c r="F3271" s="1" t="s">
        <v>4880</v>
      </c>
      <c r="H3271" s="1" t="s">
        <v>4881</v>
      </c>
      <c r="N3271" s="1" t="s">
        <v>2592</v>
      </c>
      <c r="P3271" s="1" t="s">
        <v>12006</v>
      </c>
      <c r="Q3271" s="30" t="s">
        <v>2565</v>
      </c>
      <c r="R3271" s="33" t="s">
        <v>3472</v>
      </c>
      <c r="S3271">
        <v>37</v>
      </c>
      <c r="T3271" s="1" t="s">
        <v>13963</v>
      </c>
      <c r="U3271" s="1" t="str">
        <f>HYPERLINK("http://ictvonline.org/taxonomy/p/taxonomy-history?taxnode_id=202112806","ICTVonline=202112806")</f>
        <v>ICTVonline=202112806</v>
      </c>
    </row>
    <row r="3272" spans="1:21" x14ac:dyDescent="0.2">
      <c r="A3272" s="3">
        <v>3271</v>
      </c>
      <c r="B3272" s="1" t="s">
        <v>4875</v>
      </c>
      <c r="D3272" s="1" t="s">
        <v>4876</v>
      </c>
      <c r="F3272" s="1" t="s">
        <v>4880</v>
      </c>
      <c r="H3272" s="1" t="s">
        <v>4881</v>
      </c>
      <c r="N3272" s="1" t="s">
        <v>2592</v>
      </c>
      <c r="P3272" s="1" t="s">
        <v>12007</v>
      </c>
      <c r="Q3272" s="30" t="s">
        <v>2565</v>
      </c>
      <c r="R3272" s="33" t="s">
        <v>3473</v>
      </c>
      <c r="S3272">
        <v>37</v>
      </c>
      <c r="T3272" s="1" t="s">
        <v>13878</v>
      </c>
      <c r="U3272" s="1" t="str">
        <f>HYPERLINK("http://ictvonline.org/taxonomy/p/taxonomy-history?taxnode_id=202100478","ICTVonline=202100478")</f>
        <v>ICTVonline=202100478</v>
      </c>
    </row>
    <row r="3273" spans="1:21" x14ac:dyDescent="0.2">
      <c r="A3273" s="3">
        <v>3272</v>
      </c>
      <c r="B3273" s="1" t="s">
        <v>4875</v>
      </c>
      <c r="D3273" s="1" t="s">
        <v>4876</v>
      </c>
      <c r="F3273" s="1" t="s">
        <v>4880</v>
      </c>
      <c r="H3273" s="1" t="s">
        <v>4881</v>
      </c>
      <c r="N3273" s="1" t="s">
        <v>2592</v>
      </c>
      <c r="P3273" s="1" t="s">
        <v>12008</v>
      </c>
      <c r="Q3273" s="30" t="s">
        <v>2565</v>
      </c>
      <c r="R3273" s="33" t="s">
        <v>3473</v>
      </c>
      <c r="S3273">
        <v>37</v>
      </c>
      <c r="T3273" s="1" t="s">
        <v>13878</v>
      </c>
      <c r="U3273" s="1" t="str">
        <f>HYPERLINK("http://ictvonline.org/taxonomy/p/taxonomy-history?taxnode_id=202107023","ICTVonline=202107023")</f>
        <v>ICTVonline=202107023</v>
      </c>
    </row>
    <row r="3274" spans="1:21" x14ac:dyDescent="0.2">
      <c r="A3274" s="3">
        <v>3273</v>
      </c>
      <c r="B3274" s="1" t="s">
        <v>4875</v>
      </c>
      <c r="D3274" s="1" t="s">
        <v>4876</v>
      </c>
      <c r="F3274" s="1" t="s">
        <v>4880</v>
      </c>
      <c r="H3274" s="1" t="s">
        <v>4881</v>
      </c>
      <c r="N3274" s="1" t="s">
        <v>2592</v>
      </c>
      <c r="P3274" s="1" t="s">
        <v>12009</v>
      </c>
      <c r="Q3274" s="30" t="s">
        <v>2565</v>
      </c>
      <c r="R3274" s="33" t="s">
        <v>3473</v>
      </c>
      <c r="S3274">
        <v>37</v>
      </c>
      <c r="T3274" s="1" t="s">
        <v>13878</v>
      </c>
      <c r="U3274" s="1" t="str">
        <f>HYPERLINK("http://ictvonline.org/taxonomy/p/taxonomy-history?taxnode_id=202107024","ICTVonline=202107024")</f>
        <v>ICTVonline=202107024</v>
      </c>
    </row>
    <row r="3275" spans="1:21" x14ac:dyDescent="0.2">
      <c r="A3275" s="3">
        <v>3274</v>
      </c>
      <c r="B3275" s="1" t="s">
        <v>4875</v>
      </c>
      <c r="D3275" s="1" t="s">
        <v>4876</v>
      </c>
      <c r="F3275" s="1" t="s">
        <v>4880</v>
      </c>
      <c r="H3275" s="1" t="s">
        <v>4881</v>
      </c>
      <c r="N3275" s="1" t="s">
        <v>2592</v>
      </c>
      <c r="P3275" s="1" t="s">
        <v>12010</v>
      </c>
      <c r="Q3275" s="30" t="s">
        <v>2565</v>
      </c>
      <c r="R3275" s="33" t="s">
        <v>3473</v>
      </c>
      <c r="S3275">
        <v>37</v>
      </c>
      <c r="T3275" s="1" t="s">
        <v>13878</v>
      </c>
      <c r="U3275" s="1" t="str">
        <f>HYPERLINK("http://ictvonline.org/taxonomy/p/taxonomy-history?taxnode_id=202107025","ICTVonline=202107025")</f>
        <v>ICTVonline=202107025</v>
      </c>
    </row>
    <row r="3276" spans="1:21" x14ac:dyDescent="0.2">
      <c r="A3276" s="3">
        <v>3275</v>
      </c>
      <c r="B3276" s="1" t="s">
        <v>4875</v>
      </c>
      <c r="D3276" s="1" t="s">
        <v>4876</v>
      </c>
      <c r="F3276" s="1" t="s">
        <v>4880</v>
      </c>
      <c r="H3276" s="1" t="s">
        <v>4881</v>
      </c>
      <c r="N3276" s="1" t="s">
        <v>2592</v>
      </c>
      <c r="P3276" s="1" t="s">
        <v>12011</v>
      </c>
      <c r="Q3276" s="30" t="s">
        <v>2565</v>
      </c>
      <c r="R3276" s="33" t="s">
        <v>3472</v>
      </c>
      <c r="S3276">
        <v>37</v>
      </c>
      <c r="T3276" s="1" t="s">
        <v>13963</v>
      </c>
      <c r="U3276" s="1" t="str">
        <f>HYPERLINK("http://ictvonline.org/taxonomy/p/taxonomy-history?taxnode_id=202112807","ICTVonline=202112807")</f>
        <v>ICTVonline=202112807</v>
      </c>
    </row>
    <row r="3277" spans="1:21" x14ac:dyDescent="0.2">
      <c r="A3277" s="3">
        <v>3276</v>
      </c>
      <c r="B3277" s="1" t="s">
        <v>4875</v>
      </c>
      <c r="D3277" s="1" t="s">
        <v>4876</v>
      </c>
      <c r="F3277" s="1" t="s">
        <v>4880</v>
      </c>
      <c r="H3277" s="1" t="s">
        <v>4881</v>
      </c>
      <c r="N3277" s="1" t="s">
        <v>2592</v>
      </c>
      <c r="P3277" s="1" t="s">
        <v>12012</v>
      </c>
      <c r="Q3277" s="30" t="s">
        <v>2565</v>
      </c>
      <c r="R3277" s="33" t="s">
        <v>3472</v>
      </c>
      <c r="S3277">
        <v>37</v>
      </c>
      <c r="T3277" s="1" t="s">
        <v>13963</v>
      </c>
      <c r="U3277" s="1" t="str">
        <f>HYPERLINK("http://ictvonline.org/taxonomy/p/taxonomy-history?taxnode_id=202112816","ICTVonline=202112816")</f>
        <v>ICTVonline=202112816</v>
      </c>
    </row>
    <row r="3278" spans="1:21" x14ac:dyDescent="0.2">
      <c r="A3278" s="3">
        <v>3277</v>
      </c>
      <c r="B3278" s="1" t="s">
        <v>4875</v>
      </c>
      <c r="D3278" s="1" t="s">
        <v>4876</v>
      </c>
      <c r="F3278" s="1" t="s">
        <v>4880</v>
      </c>
      <c r="H3278" s="1" t="s">
        <v>4881</v>
      </c>
      <c r="N3278" s="1" t="s">
        <v>2592</v>
      </c>
      <c r="P3278" s="1" t="s">
        <v>12013</v>
      </c>
      <c r="Q3278" s="30" t="s">
        <v>2565</v>
      </c>
      <c r="R3278" s="33" t="s">
        <v>3473</v>
      </c>
      <c r="S3278">
        <v>37</v>
      </c>
      <c r="T3278" s="1" t="s">
        <v>13878</v>
      </c>
      <c r="U3278" s="1" t="str">
        <f>HYPERLINK("http://ictvonline.org/taxonomy/p/taxonomy-history?taxnode_id=202111572","ICTVonline=202111572")</f>
        <v>ICTVonline=202111572</v>
      </c>
    </row>
    <row r="3279" spans="1:21" x14ac:dyDescent="0.2">
      <c r="A3279" s="3">
        <v>3278</v>
      </c>
      <c r="B3279" s="1" t="s">
        <v>4875</v>
      </c>
      <c r="D3279" s="1" t="s">
        <v>4876</v>
      </c>
      <c r="F3279" s="1" t="s">
        <v>4880</v>
      </c>
      <c r="H3279" s="1" t="s">
        <v>4881</v>
      </c>
      <c r="N3279" s="1" t="s">
        <v>2592</v>
      </c>
      <c r="P3279" s="1" t="s">
        <v>12014</v>
      </c>
      <c r="Q3279" s="30" t="s">
        <v>2565</v>
      </c>
      <c r="R3279" s="33" t="s">
        <v>3473</v>
      </c>
      <c r="S3279">
        <v>37</v>
      </c>
      <c r="T3279" s="1" t="s">
        <v>13878</v>
      </c>
      <c r="U3279" s="1" t="str">
        <f>HYPERLINK("http://ictvonline.org/taxonomy/p/taxonomy-history?taxnode_id=202100480","ICTVonline=202100480")</f>
        <v>ICTVonline=202100480</v>
      </c>
    </row>
    <row r="3280" spans="1:21" x14ac:dyDescent="0.2">
      <c r="A3280" s="3">
        <v>3279</v>
      </c>
      <c r="B3280" s="1" t="s">
        <v>4875</v>
      </c>
      <c r="D3280" s="1" t="s">
        <v>4876</v>
      </c>
      <c r="F3280" s="1" t="s">
        <v>4880</v>
      </c>
      <c r="H3280" s="1" t="s">
        <v>4881</v>
      </c>
      <c r="N3280" s="1" t="s">
        <v>2592</v>
      </c>
      <c r="P3280" s="1" t="s">
        <v>12015</v>
      </c>
      <c r="Q3280" s="30" t="s">
        <v>2565</v>
      </c>
      <c r="R3280" s="33" t="s">
        <v>3473</v>
      </c>
      <c r="S3280">
        <v>37</v>
      </c>
      <c r="T3280" s="1" t="s">
        <v>13878</v>
      </c>
      <c r="U3280" s="1" t="str">
        <f>HYPERLINK("http://ictvonline.org/taxonomy/p/taxonomy-history?taxnode_id=202100482","ICTVonline=202100482")</f>
        <v>ICTVonline=202100482</v>
      </c>
    </row>
    <row r="3281" spans="1:21" x14ac:dyDescent="0.2">
      <c r="A3281" s="3">
        <v>3280</v>
      </c>
      <c r="B3281" s="1" t="s">
        <v>4875</v>
      </c>
      <c r="D3281" s="1" t="s">
        <v>4876</v>
      </c>
      <c r="F3281" s="1" t="s">
        <v>4880</v>
      </c>
      <c r="H3281" s="1" t="s">
        <v>4881</v>
      </c>
      <c r="N3281" s="1" t="s">
        <v>2592</v>
      </c>
      <c r="P3281" s="1" t="s">
        <v>12016</v>
      </c>
      <c r="Q3281" s="30" t="s">
        <v>2565</v>
      </c>
      <c r="R3281" s="33" t="s">
        <v>3473</v>
      </c>
      <c r="S3281">
        <v>37</v>
      </c>
      <c r="T3281" s="1" t="s">
        <v>13878</v>
      </c>
      <c r="U3281" s="1" t="str">
        <f>HYPERLINK("http://ictvonline.org/taxonomy/p/taxonomy-history?taxnode_id=202107021","ICTVonline=202107021")</f>
        <v>ICTVonline=202107021</v>
      </c>
    </row>
    <row r="3282" spans="1:21" x14ac:dyDescent="0.2">
      <c r="A3282" s="3">
        <v>3281</v>
      </c>
      <c r="B3282" s="1" t="s">
        <v>4875</v>
      </c>
      <c r="D3282" s="1" t="s">
        <v>4876</v>
      </c>
      <c r="F3282" s="1" t="s">
        <v>4880</v>
      </c>
      <c r="H3282" s="1" t="s">
        <v>4881</v>
      </c>
      <c r="N3282" s="1" t="s">
        <v>2592</v>
      </c>
      <c r="P3282" s="1" t="s">
        <v>12017</v>
      </c>
      <c r="Q3282" s="30" t="s">
        <v>2565</v>
      </c>
      <c r="R3282" s="33" t="s">
        <v>3473</v>
      </c>
      <c r="S3282">
        <v>37</v>
      </c>
      <c r="T3282" s="1" t="s">
        <v>13878</v>
      </c>
      <c r="U3282" s="1" t="str">
        <f>HYPERLINK("http://ictvonline.org/taxonomy/p/taxonomy-history?taxnode_id=202100483","ICTVonline=202100483")</f>
        <v>ICTVonline=202100483</v>
      </c>
    </row>
    <row r="3283" spans="1:21" x14ac:dyDescent="0.2">
      <c r="A3283" s="3">
        <v>3282</v>
      </c>
      <c r="B3283" s="1" t="s">
        <v>4875</v>
      </c>
      <c r="D3283" s="1" t="s">
        <v>4876</v>
      </c>
      <c r="F3283" s="1" t="s">
        <v>4880</v>
      </c>
      <c r="H3283" s="1" t="s">
        <v>4881</v>
      </c>
      <c r="N3283" s="1" t="s">
        <v>2592</v>
      </c>
      <c r="P3283" s="1" t="s">
        <v>12018</v>
      </c>
      <c r="Q3283" s="30" t="s">
        <v>2565</v>
      </c>
      <c r="R3283" s="33" t="s">
        <v>3473</v>
      </c>
      <c r="S3283">
        <v>37</v>
      </c>
      <c r="T3283" s="1" t="s">
        <v>13878</v>
      </c>
      <c r="U3283" s="1" t="str">
        <f>HYPERLINK("http://ictvonline.org/taxonomy/p/taxonomy-history?taxnode_id=202100484","ICTVonline=202100484")</f>
        <v>ICTVonline=202100484</v>
      </c>
    </row>
    <row r="3284" spans="1:21" x14ac:dyDescent="0.2">
      <c r="A3284" s="3">
        <v>3283</v>
      </c>
      <c r="B3284" s="1" t="s">
        <v>4875</v>
      </c>
      <c r="D3284" s="1" t="s">
        <v>4876</v>
      </c>
      <c r="F3284" s="1" t="s">
        <v>4880</v>
      </c>
      <c r="H3284" s="1" t="s">
        <v>4881</v>
      </c>
      <c r="N3284" s="1" t="s">
        <v>2592</v>
      </c>
      <c r="P3284" s="1" t="s">
        <v>12019</v>
      </c>
      <c r="Q3284" s="30" t="s">
        <v>2565</v>
      </c>
      <c r="R3284" s="33" t="s">
        <v>3473</v>
      </c>
      <c r="S3284">
        <v>37</v>
      </c>
      <c r="T3284" s="1" t="s">
        <v>13878</v>
      </c>
      <c r="U3284" s="1" t="str">
        <f>HYPERLINK("http://ictvonline.org/taxonomy/p/taxonomy-history?taxnode_id=202111577","ICTVonline=202111577")</f>
        <v>ICTVonline=202111577</v>
      </c>
    </row>
    <row r="3285" spans="1:21" x14ac:dyDescent="0.2">
      <c r="A3285" s="3">
        <v>3284</v>
      </c>
      <c r="B3285" s="1" t="s">
        <v>4875</v>
      </c>
      <c r="D3285" s="1" t="s">
        <v>4876</v>
      </c>
      <c r="F3285" s="1" t="s">
        <v>4880</v>
      </c>
      <c r="H3285" s="1" t="s">
        <v>4881</v>
      </c>
      <c r="N3285" s="1" t="s">
        <v>2592</v>
      </c>
      <c r="P3285" s="1" t="s">
        <v>12020</v>
      </c>
      <c r="Q3285" s="30" t="s">
        <v>2565</v>
      </c>
      <c r="R3285" s="33" t="s">
        <v>3473</v>
      </c>
      <c r="S3285">
        <v>37</v>
      </c>
      <c r="T3285" s="1" t="s">
        <v>13878</v>
      </c>
      <c r="U3285" s="1" t="str">
        <f>HYPERLINK("http://ictvonline.org/taxonomy/p/taxonomy-history?taxnode_id=202111576","ICTVonline=202111576")</f>
        <v>ICTVonline=202111576</v>
      </c>
    </row>
    <row r="3286" spans="1:21" x14ac:dyDescent="0.2">
      <c r="A3286" s="3">
        <v>3285</v>
      </c>
      <c r="B3286" s="1" t="s">
        <v>4875</v>
      </c>
      <c r="D3286" s="1" t="s">
        <v>4876</v>
      </c>
      <c r="F3286" s="1" t="s">
        <v>4880</v>
      </c>
      <c r="H3286" s="1" t="s">
        <v>4881</v>
      </c>
      <c r="N3286" s="1" t="s">
        <v>2592</v>
      </c>
      <c r="P3286" s="1" t="s">
        <v>12021</v>
      </c>
      <c r="Q3286" s="30" t="s">
        <v>2565</v>
      </c>
      <c r="R3286" s="33" t="s">
        <v>3473</v>
      </c>
      <c r="S3286">
        <v>37</v>
      </c>
      <c r="T3286" s="1" t="s">
        <v>13878</v>
      </c>
      <c r="U3286" s="1" t="str">
        <f>HYPERLINK("http://ictvonline.org/taxonomy/p/taxonomy-history?taxnode_id=202107022","ICTVonline=202107022")</f>
        <v>ICTVonline=202107022</v>
      </c>
    </row>
    <row r="3287" spans="1:21" x14ac:dyDescent="0.2">
      <c r="A3287" s="3">
        <v>3286</v>
      </c>
      <c r="B3287" s="1" t="s">
        <v>4875</v>
      </c>
      <c r="D3287" s="1" t="s">
        <v>4876</v>
      </c>
      <c r="F3287" s="1" t="s">
        <v>4880</v>
      </c>
      <c r="H3287" s="1" t="s">
        <v>4881</v>
      </c>
      <c r="N3287" s="1" t="s">
        <v>2592</v>
      </c>
      <c r="P3287" s="1" t="s">
        <v>12022</v>
      </c>
      <c r="Q3287" s="30" t="s">
        <v>2565</v>
      </c>
      <c r="R3287" s="33" t="s">
        <v>3472</v>
      </c>
      <c r="S3287">
        <v>37</v>
      </c>
      <c r="T3287" s="1" t="s">
        <v>13963</v>
      </c>
      <c r="U3287" s="1" t="str">
        <f>HYPERLINK("http://ictvonline.org/taxonomy/p/taxonomy-history?taxnode_id=202112809","ICTVonline=202112809")</f>
        <v>ICTVonline=202112809</v>
      </c>
    </row>
    <row r="3288" spans="1:21" x14ac:dyDescent="0.2">
      <c r="A3288" s="3">
        <v>3287</v>
      </c>
      <c r="B3288" s="1" t="s">
        <v>4875</v>
      </c>
      <c r="D3288" s="1" t="s">
        <v>4876</v>
      </c>
      <c r="F3288" s="1" t="s">
        <v>4880</v>
      </c>
      <c r="H3288" s="1" t="s">
        <v>4881</v>
      </c>
      <c r="N3288" s="1" t="s">
        <v>2592</v>
      </c>
      <c r="P3288" s="1" t="s">
        <v>12023</v>
      </c>
      <c r="Q3288" s="30" t="s">
        <v>2565</v>
      </c>
      <c r="R3288" s="33" t="s">
        <v>3473</v>
      </c>
      <c r="S3288">
        <v>37</v>
      </c>
      <c r="T3288" s="1" t="s">
        <v>13878</v>
      </c>
      <c r="U3288" s="1" t="str">
        <f>HYPERLINK("http://ictvonline.org/taxonomy/p/taxonomy-history?taxnode_id=202111579","ICTVonline=202111579")</f>
        <v>ICTVonline=202111579</v>
      </c>
    </row>
    <row r="3289" spans="1:21" x14ac:dyDescent="0.2">
      <c r="A3289" s="3">
        <v>3288</v>
      </c>
      <c r="B3289" s="1" t="s">
        <v>4875</v>
      </c>
      <c r="D3289" s="1" t="s">
        <v>4876</v>
      </c>
      <c r="F3289" s="1" t="s">
        <v>4880</v>
      </c>
      <c r="H3289" s="1" t="s">
        <v>4881</v>
      </c>
      <c r="N3289" s="1" t="s">
        <v>2592</v>
      </c>
      <c r="P3289" s="1" t="s">
        <v>12024</v>
      </c>
      <c r="Q3289" s="30" t="s">
        <v>2565</v>
      </c>
      <c r="R3289" s="33" t="s">
        <v>3472</v>
      </c>
      <c r="S3289">
        <v>37</v>
      </c>
      <c r="T3289" s="1" t="s">
        <v>13963</v>
      </c>
      <c r="U3289" s="1" t="str">
        <f>HYPERLINK("http://ictvonline.org/taxonomy/p/taxonomy-history?taxnode_id=202112808","ICTVonline=202112808")</f>
        <v>ICTVonline=202112808</v>
      </c>
    </row>
    <row r="3290" spans="1:21" x14ac:dyDescent="0.2">
      <c r="A3290" s="3">
        <v>3289</v>
      </c>
      <c r="B3290" s="1" t="s">
        <v>4875</v>
      </c>
      <c r="D3290" s="1" t="s">
        <v>4876</v>
      </c>
      <c r="F3290" s="1" t="s">
        <v>4880</v>
      </c>
      <c r="H3290" s="1" t="s">
        <v>4881</v>
      </c>
      <c r="N3290" s="1" t="s">
        <v>2592</v>
      </c>
      <c r="P3290" s="1" t="s">
        <v>12025</v>
      </c>
      <c r="Q3290" s="30" t="s">
        <v>2565</v>
      </c>
      <c r="R3290" s="33" t="s">
        <v>3473</v>
      </c>
      <c r="S3290">
        <v>37</v>
      </c>
      <c r="T3290" s="1" t="s">
        <v>13878</v>
      </c>
      <c r="U3290" s="1" t="str">
        <f>HYPERLINK("http://ictvonline.org/taxonomy/p/taxonomy-history?taxnode_id=202100485","ICTVonline=202100485")</f>
        <v>ICTVonline=202100485</v>
      </c>
    </row>
    <row r="3291" spans="1:21" x14ac:dyDescent="0.2">
      <c r="A3291" s="3">
        <v>3290</v>
      </c>
      <c r="B3291" s="1" t="s">
        <v>4875</v>
      </c>
      <c r="D3291" s="1" t="s">
        <v>4876</v>
      </c>
      <c r="F3291" s="1" t="s">
        <v>4880</v>
      </c>
      <c r="H3291" s="1" t="s">
        <v>4881</v>
      </c>
      <c r="N3291" s="1" t="s">
        <v>2592</v>
      </c>
      <c r="P3291" s="1" t="s">
        <v>12026</v>
      </c>
      <c r="Q3291" s="30" t="s">
        <v>2565</v>
      </c>
      <c r="R3291" s="33" t="s">
        <v>3473</v>
      </c>
      <c r="S3291">
        <v>37</v>
      </c>
      <c r="T3291" s="1" t="s">
        <v>13878</v>
      </c>
      <c r="U3291" s="1" t="str">
        <f>HYPERLINK("http://ictvonline.org/taxonomy/p/taxonomy-history?taxnode_id=202107027","ICTVonline=202107027")</f>
        <v>ICTVonline=202107027</v>
      </c>
    </row>
    <row r="3292" spans="1:21" x14ac:dyDescent="0.2">
      <c r="A3292" s="3">
        <v>3291</v>
      </c>
      <c r="B3292" s="1" t="s">
        <v>4875</v>
      </c>
      <c r="D3292" s="1" t="s">
        <v>4876</v>
      </c>
      <c r="F3292" s="1" t="s">
        <v>4880</v>
      </c>
      <c r="H3292" s="1" t="s">
        <v>4881</v>
      </c>
      <c r="N3292" s="1" t="s">
        <v>2592</v>
      </c>
      <c r="P3292" s="1" t="s">
        <v>12027</v>
      </c>
      <c r="Q3292" s="30" t="s">
        <v>2565</v>
      </c>
      <c r="R3292" s="33" t="s">
        <v>3473</v>
      </c>
      <c r="S3292">
        <v>37</v>
      </c>
      <c r="T3292" s="1" t="s">
        <v>13878</v>
      </c>
      <c r="U3292" s="1" t="str">
        <f>HYPERLINK("http://ictvonline.org/taxonomy/p/taxonomy-history?taxnode_id=202100476","ICTVonline=202100476")</f>
        <v>ICTVonline=202100476</v>
      </c>
    </row>
    <row r="3293" spans="1:21" x14ac:dyDescent="0.2">
      <c r="A3293" s="3">
        <v>3292</v>
      </c>
      <c r="B3293" s="1" t="s">
        <v>4875</v>
      </c>
      <c r="D3293" s="1" t="s">
        <v>4876</v>
      </c>
      <c r="F3293" s="1" t="s">
        <v>4880</v>
      </c>
      <c r="H3293" s="1" t="s">
        <v>4881</v>
      </c>
      <c r="N3293" s="1" t="s">
        <v>2592</v>
      </c>
      <c r="P3293" s="1" t="s">
        <v>12028</v>
      </c>
      <c r="Q3293" s="30" t="s">
        <v>2565</v>
      </c>
      <c r="R3293" s="33" t="s">
        <v>3473</v>
      </c>
      <c r="S3293">
        <v>37</v>
      </c>
      <c r="T3293" s="1" t="s">
        <v>13878</v>
      </c>
      <c r="U3293" s="1" t="str">
        <f>HYPERLINK("http://ictvonline.org/taxonomy/p/taxonomy-history?taxnode_id=202111580","ICTVonline=202111580")</f>
        <v>ICTVonline=202111580</v>
      </c>
    </row>
    <row r="3294" spans="1:21" x14ac:dyDescent="0.2">
      <c r="A3294" s="3">
        <v>3293</v>
      </c>
      <c r="B3294" s="1" t="s">
        <v>4875</v>
      </c>
      <c r="D3294" s="1" t="s">
        <v>4876</v>
      </c>
      <c r="F3294" s="1" t="s">
        <v>4880</v>
      </c>
      <c r="H3294" s="1" t="s">
        <v>4881</v>
      </c>
      <c r="N3294" s="1" t="s">
        <v>2592</v>
      </c>
      <c r="P3294" s="1" t="s">
        <v>12029</v>
      </c>
      <c r="Q3294" s="30" t="s">
        <v>2565</v>
      </c>
      <c r="R3294" s="33" t="s">
        <v>3473</v>
      </c>
      <c r="S3294">
        <v>37</v>
      </c>
      <c r="T3294" s="1" t="s">
        <v>13878</v>
      </c>
      <c r="U3294" s="1" t="str">
        <f>HYPERLINK("http://ictvonline.org/taxonomy/p/taxonomy-history?taxnode_id=202111574","ICTVonline=202111574")</f>
        <v>ICTVonline=202111574</v>
      </c>
    </row>
    <row r="3295" spans="1:21" x14ac:dyDescent="0.2">
      <c r="A3295" s="3">
        <v>3294</v>
      </c>
      <c r="B3295" s="1" t="s">
        <v>4875</v>
      </c>
      <c r="D3295" s="1" t="s">
        <v>4876</v>
      </c>
      <c r="F3295" s="1" t="s">
        <v>4880</v>
      </c>
      <c r="H3295" s="1" t="s">
        <v>4881</v>
      </c>
      <c r="N3295" s="1" t="s">
        <v>2592</v>
      </c>
      <c r="P3295" s="1" t="s">
        <v>12030</v>
      </c>
      <c r="Q3295" s="30" t="s">
        <v>2565</v>
      </c>
      <c r="R3295" s="33" t="s">
        <v>3473</v>
      </c>
      <c r="S3295">
        <v>37</v>
      </c>
      <c r="T3295" s="1" t="s">
        <v>13878</v>
      </c>
      <c r="U3295" s="1" t="str">
        <f>HYPERLINK("http://ictvonline.org/taxonomy/p/taxonomy-history?taxnode_id=202111573","ICTVonline=202111573")</f>
        <v>ICTVonline=202111573</v>
      </c>
    </row>
    <row r="3296" spans="1:21" x14ac:dyDescent="0.2">
      <c r="A3296" s="3">
        <v>3295</v>
      </c>
      <c r="B3296" s="1" t="s">
        <v>4875</v>
      </c>
      <c r="D3296" s="1" t="s">
        <v>4876</v>
      </c>
      <c r="F3296" s="1" t="s">
        <v>4880</v>
      </c>
      <c r="H3296" s="1" t="s">
        <v>4881</v>
      </c>
      <c r="N3296" s="1" t="s">
        <v>2592</v>
      </c>
      <c r="P3296" s="1" t="s">
        <v>12031</v>
      </c>
      <c r="Q3296" s="30" t="s">
        <v>2565</v>
      </c>
      <c r="R3296" s="33" t="s">
        <v>3472</v>
      </c>
      <c r="S3296">
        <v>37</v>
      </c>
      <c r="T3296" s="1" t="s">
        <v>13963</v>
      </c>
      <c r="U3296" s="1" t="str">
        <f>HYPERLINK("http://ictvonline.org/taxonomy/p/taxonomy-history?taxnode_id=202112815","ICTVonline=202112815")</f>
        <v>ICTVonline=202112815</v>
      </c>
    </row>
    <row r="3297" spans="1:21" x14ac:dyDescent="0.2">
      <c r="A3297" s="3">
        <v>3296</v>
      </c>
      <c r="B3297" s="1" t="s">
        <v>4875</v>
      </c>
      <c r="D3297" s="1" t="s">
        <v>4876</v>
      </c>
      <c r="F3297" s="1" t="s">
        <v>4880</v>
      </c>
      <c r="H3297" s="1" t="s">
        <v>4881</v>
      </c>
      <c r="N3297" s="1" t="s">
        <v>2592</v>
      </c>
      <c r="P3297" s="1" t="s">
        <v>12032</v>
      </c>
      <c r="Q3297" s="30" t="s">
        <v>2565</v>
      </c>
      <c r="R3297" s="33" t="s">
        <v>3473</v>
      </c>
      <c r="S3297">
        <v>37</v>
      </c>
      <c r="T3297" s="1" t="s">
        <v>13878</v>
      </c>
      <c r="U3297" s="1" t="str">
        <f>HYPERLINK("http://ictvonline.org/taxonomy/p/taxonomy-history?taxnode_id=202111578","ICTVonline=202111578")</f>
        <v>ICTVonline=202111578</v>
      </c>
    </row>
    <row r="3298" spans="1:21" x14ac:dyDescent="0.2">
      <c r="A3298" s="3">
        <v>3297</v>
      </c>
      <c r="B3298" s="1" t="s">
        <v>4875</v>
      </c>
      <c r="D3298" s="1" t="s">
        <v>4876</v>
      </c>
      <c r="F3298" s="1" t="s">
        <v>4880</v>
      </c>
      <c r="H3298" s="1" t="s">
        <v>4881</v>
      </c>
      <c r="N3298" s="1" t="s">
        <v>2592</v>
      </c>
      <c r="P3298" s="1" t="s">
        <v>12033</v>
      </c>
      <c r="Q3298" s="30" t="s">
        <v>2565</v>
      </c>
      <c r="R3298" s="33" t="s">
        <v>3473</v>
      </c>
      <c r="S3298">
        <v>37</v>
      </c>
      <c r="T3298" s="1" t="s">
        <v>13878</v>
      </c>
      <c r="U3298" s="1" t="str">
        <f>HYPERLINK("http://ictvonline.org/taxonomy/p/taxonomy-history?taxnode_id=202100486","ICTVonline=202100486")</f>
        <v>ICTVonline=202100486</v>
      </c>
    </row>
    <row r="3299" spans="1:21" x14ac:dyDescent="0.2">
      <c r="A3299" s="3">
        <v>3298</v>
      </c>
      <c r="B3299" s="1" t="s">
        <v>4875</v>
      </c>
      <c r="D3299" s="1" t="s">
        <v>4876</v>
      </c>
      <c r="F3299" s="1" t="s">
        <v>4880</v>
      </c>
      <c r="H3299" s="1" t="s">
        <v>4881</v>
      </c>
      <c r="N3299" s="1" t="s">
        <v>2592</v>
      </c>
      <c r="P3299" s="1" t="s">
        <v>12034</v>
      </c>
      <c r="Q3299" s="30" t="s">
        <v>2565</v>
      </c>
      <c r="R3299" s="33" t="s">
        <v>3472</v>
      </c>
      <c r="S3299">
        <v>37</v>
      </c>
      <c r="T3299" s="1" t="s">
        <v>13963</v>
      </c>
      <c r="U3299" s="1" t="str">
        <f>HYPERLINK("http://ictvonline.org/taxonomy/p/taxonomy-history?taxnode_id=202112811","ICTVonline=202112811")</f>
        <v>ICTVonline=202112811</v>
      </c>
    </row>
    <row r="3300" spans="1:21" x14ac:dyDescent="0.2">
      <c r="A3300" s="3">
        <v>3299</v>
      </c>
      <c r="B3300" s="1" t="s">
        <v>4875</v>
      </c>
      <c r="D3300" s="1" t="s">
        <v>4876</v>
      </c>
      <c r="F3300" s="1" t="s">
        <v>4880</v>
      </c>
      <c r="H3300" s="1" t="s">
        <v>4881</v>
      </c>
      <c r="N3300" s="1" t="s">
        <v>2592</v>
      </c>
      <c r="P3300" s="1" t="s">
        <v>2593</v>
      </c>
      <c r="Q3300" s="30" t="s">
        <v>2565</v>
      </c>
      <c r="R3300" s="33" t="s">
        <v>3474</v>
      </c>
      <c r="S3300">
        <v>37</v>
      </c>
      <c r="T3300" s="1" t="s">
        <v>13880</v>
      </c>
      <c r="U3300" s="1" t="str">
        <f>HYPERLINK("http://ictvonline.org/taxonomy/p/taxonomy-history?taxnode_id=202100479","ICTVonline=202100479")</f>
        <v>ICTVonline=202100479</v>
      </c>
    </row>
    <row r="3301" spans="1:21" x14ac:dyDescent="0.2">
      <c r="A3301" s="3">
        <v>3300</v>
      </c>
      <c r="B3301" s="1" t="s">
        <v>4875</v>
      </c>
      <c r="D3301" s="1" t="s">
        <v>4876</v>
      </c>
      <c r="F3301" s="1" t="s">
        <v>4880</v>
      </c>
      <c r="H3301" s="1" t="s">
        <v>4881</v>
      </c>
      <c r="N3301" s="1" t="s">
        <v>2592</v>
      </c>
      <c r="P3301" s="1" t="s">
        <v>2594</v>
      </c>
      <c r="Q3301" s="30" t="s">
        <v>2565</v>
      </c>
      <c r="R3301" s="33" t="s">
        <v>3474</v>
      </c>
      <c r="S3301">
        <v>37</v>
      </c>
      <c r="T3301" s="1" t="s">
        <v>13880</v>
      </c>
      <c r="U3301" s="1" t="str">
        <f>HYPERLINK("http://ictvonline.org/taxonomy/p/taxonomy-history?taxnode_id=202100481","ICTVonline=202100481")</f>
        <v>ICTVonline=202100481</v>
      </c>
    </row>
    <row r="3302" spans="1:21" x14ac:dyDescent="0.2">
      <c r="A3302" s="3">
        <v>3301</v>
      </c>
      <c r="B3302" s="1" t="s">
        <v>4875</v>
      </c>
      <c r="D3302" s="1" t="s">
        <v>4876</v>
      </c>
      <c r="F3302" s="1" t="s">
        <v>4880</v>
      </c>
      <c r="H3302" s="1" t="s">
        <v>4881</v>
      </c>
      <c r="N3302" s="1" t="s">
        <v>2592</v>
      </c>
      <c r="P3302" s="1" t="s">
        <v>4562</v>
      </c>
      <c r="Q3302" s="30" t="s">
        <v>2565</v>
      </c>
      <c r="R3302" s="33" t="s">
        <v>3474</v>
      </c>
      <c r="S3302">
        <v>37</v>
      </c>
      <c r="T3302" s="1" t="s">
        <v>13880</v>
      </c>
      <c r="U3302" s="1" t="str">
        <f>HYPERLINK("http://ictvonline.org/taxonomy/p/taxonomy-history?taxnode_id=202107026","ICTVonline=202107026")</f>
        <v>ICTVonline=202107026</v>
      </c>
    </row>
    <row r="3303" spans="1:21" x14ac:dyDescent="0.2">
      <c r="A3303" s="3">
        <v>3302</v>
      </c>
      <c r="B3303" s="1" t="s">
        <v>4875</v>
      </c>
      <c r="D3303" s="1" t="s">
        <v>4876</v>
      </c>
      <c r="F3303" s="1" t="s">
        <v>4880</v>
      </c>
      <c r="H3303" s="1" t="s">
        <v>4881</v>
      </c>
      <c r="N3303" s="1" t="s">
        <v>4563</v>
      </c>
      <c r="P3303" s="1" t="s">
        <v>12035</v>
      </c>
      <c r="Q3303" s="30" t="s">
        <v>2565</v>
      </c>
      <c r="R3303" s="33" t="s">
        <v>3473</v>
      </c>
      <c r="S3303">
        <v>37</v>
      </c>
      <c r="T3303" s="1" t="s">
        <v>13878</v>
      </c>
      <c r="U3303" s="1" t="str">
        <f>HYPERLINK("http://ictvonline.org/taxonomy/p/taxonomy-history?taxnode_id=202106857","ICTVonline=202106857")</f>
        <v>ICTVonline=202106857</v>
      </c>
    </row>
    <row r="3304" spans="1:21" x14ac:dyDescent="0.2">
      <c r="A3304" s="3">
        <v>3303</v>
      </c>
      <c r="B3304" s="1" t="s">
        <v>4875</v>
      </c>
      <c r="D3304" s="1" t="s">
        <v>4876</v>
      </c>
      <c r="F3304" s="1" t="s">
        <v>4880</v>
      </c>
      <c r="H3304" s="1" t="s">
        <v>4881</v>
      </c>
      <c r="N3304" s="1" t="s">
        <v>6034</v>
      </c>
      <c r="P3304" s="1" t="s">
        <v>12036</v>
      </c>
      <c r="Q3304" s="30" t="s">
        <v>2565</v>
      </c>
      <c r="R3304" s="33" t="s">
        <v>3473</v>
      </c>
      <c r="S3304">
        <v>37</v>
      </c>
      <c r="T3304" s="1" t="s">
        <v>13878</v>
      </c>
      <c r="U3304" s="1" t="str">
        <f>HYPERLINK("http://ictvonline.org/taxonomy/p/taxonomy-history?taxnode_id=202111617","ICTVonline=202111617")</f>
        <v>ICTVonline=202111617</v>
      </c>
    </row>
    <row r="3305" spans="1:21" x14ac:dyDescent="0.2">
      <c r="A3305" s="3">
        <v>3304</v>
      </c>
      <c r="B3305" s="1" t="s">
        <v>4875</v>
      </c>
      <c r="D3305" s="1" t="s">
        <v>4876</v>
      </c>
      <c r="F3305" s="1" t="s">
        <v>4880</v>
      </c>
      <c r="H3305" s="1" t="s">
        <v>4881</v>
      </c>
      <c r="N3305" s="1" t="s">
        <v>4719</v>
      </c>
      <c r="P3305" s="1" t="s">
        <v>12037</v>
      </c>
      <c r="Q3305" s="30" t="s">
        <v>2565</v>
      </c>
      <c r="R3305" s="33" t="s">
        <v>3473</v>
      </c>
      <c r="S3305">
        <v>37</v>
      </c>
      <c r="T3305" s="1" t="s">
        <v>13878</v>
      </c>
      <c r="U3305" s="1" t="str">
        <f>HYPERLINK("http://ictvonline.org/taxonomy/p/taxonomy-history?taxnode_id=202101182","ICTVonline=202101182")</f>
        <v>ICTVonline=202101182</v>
      </c>
    </row>
    <row r="3306" spans="1:21" x14ac:dyDescent="0.2">
      <c r="A3306" s="3">
        <v>3305</v>
      </c>
      <c r="B3306" s="1" t="s">
        <v>4875</v>
      </c>
      <c r="D3306" s="1" t="s">
        <v>4876</v>
      </c>
      <c r="F3306" s="1" t="s">
        <v>4880</v>
      </c>
      <c r="H3306" s="1" t="s">
        <v>4881</v>
      </c>
      <c r="N3306" s="1" t="s">
        <v>4719</v>
      </c>
      <c r="P3306" s="1" t="s">
        <v>12038</v>
      </c>
      <c r="Q3306" s="30" t="s">
        <v>2565</v>
      </c>
      <c r="R3306" s="33" t="s">
        <v>3473</v>
      </c>
      <c r="S3306">
        <v>37</v>
      </c>
      <c r="T3306" s="1" t="s">
        <v>13878</v>
      </c>
      <c r="U3306" s="1" t="str">
        <f>HYPERLINK("http://ictvonline.org/taxonomy/p/taxonomy-history?taxnode_id=202101183","ICTVonline=202101183")</f>
        <v>ICTVonline=202101183</v>
      </c>
    </row>
    <row r="3307" spans="1:21" x14ac:dyDescent="0.2">
      <c r="A3307" s="3">
        <v>3306</v>
      </c>
      <c r="B3307" s="1" t="s">
        <v>4875</v>
      </c>
      <c r="D3307" s="1" t="s">
        <v>4876</v>
      </c>
      <c r="F3307" s="1" t="s">
        <v>4880</v>
      </c>
      <c r="H3307" s="1" t="s">
        <v>4881</v>
      </c>
      <c r="N3307" s="1" t="s">
        <v>4619</v>
      </c>
      <c r="P3307" s="1" t="s">
        <v>12039</v>
      </c>
      <c r="Q3307" s="30" t="s">
        <v>2565</v>
      </c>
      <c r="R3307" s="33" t="s">
        <v>3473</v>
      </c>
      <c r="S3307">
        <v>37</v>
      </c>
      <c r="T3307" s="1" t="s">
        <v>13878</v>
      </c>
      <c r="U3307" s="1" t="str">
        <f>HYPERLINK("http://ictvonline.org/taxonomy/p/taxonomy-history?taxnode_id=202100695","ICTVonline=202100695")</f>
        <v>ICTVonline=202100695</v>
      </c>
    </row>
    <row r="3308" spans="1:21" x14ac:dyDescent="0.2">
      <c r="A3308" s="3">
        <v>3307</v>
      </c>
      <c r="B3308" s="1" t="s">
        <v>4875</v>
      </c>
      <c r="D3308" s="1" t="s">
        <v>4876</v>
      </c>
      <c r="F3308" s="1" t="s">
        <v>4880</v>
      </c>
      <c r="H3308" s="1" t="s">
        <v>4881</v>
      </c>
      <c r="N3308" s="1" t="s">
        <v>4619</v>
      </c>
      <c r="P3308" s="1" t="s">
        <v>12040</v>
      </c>
      <c r="Q3308" s="30" t="s">
        <v>2565</v>
      </c>
      <c r="R3308" s="33" t="s">
        <v>3473</v>
      </c>
      <c r="S3308">
        <v>37</v>
      </c>
      <c r="T3308" s="1" t="s">
        <v>13878</v>
      </c>
      <c r="U3308" s="1" t="str">
        <f>HYPERLINK("http://ictvonline.org/taxonomy/p/taxonomy-history?taxnode_id=202100696","ICTVonline=202100696")</f>
        <v>ICTVonline=202100696</v>
      </c>
    </row>
    <row r="3309" spans="1:21" x14ac:dyDescent="0.2">
      <c r="A3309" s="3">
        <v>3308</v>
      </c>
      <c r="B3309" s="1" t="s">
        <v>4875</v>
      </c>
      <c r="D3309" s="1" t="s">
        <v>4876</v>
      </c>
      <c r="F3309" s="1" t="s">
        <v>4880</v>
      </c>
      <c r="H3309" s="1" t="s">
        <v>4881</v>
      </c>
      <c r="N3309" s="1" t="s">
        <v>5128</v>
      </c>
      <c r="P3309" s="1" t="s">
        <v>12041</v>
      </c>
      <c r="Q3309" s="30" t="s">
        <v>2565</v>
      </c>
      <c r="R3309" s="33" t="s">
        <v>3473</v>
      </c>
      <c r="S3309">
        <v>37</v>
      </c>
      <c r="T3309" s="1" t="s">
        <v>13878</v>
      </c>
      <c r="U3309" s="1" t="str">
        <f>HYPERLINK("http://ictvonline.org/taxonomy/p/taxonomy-history?taxnode_id=202107985","ICTVonline=202107985")</f>
        <v>ICTVonline=202107985</v>
      </c>
    </row>
    <row r="3310" spans="1:21" x14ac:dyDescent="0.2">
      <c r="A3310" s="3">
        <v>3309</v>
      </c>
      <c r="B3310" s="1" t="s">
        <v>4875</v>
      </c>
      <c r="D3310" s="1" t="s">
        <v>4876</v>
      </c>
      <c r="F3310" s="1" t="s">
        <v>4880</v>
      </c>
      <c r="H3310" s="1" t="s">
        <v>4881</v>
      </c>
      <c r="N3310" s="1" t="s">
        <v>5129</v>
      </c>
      <c r="P3310" s="1" t="s">
        <v>12042</v>
      </c>
      <c r="Q3310" s="30" t="s">
        <v>2565</v>
      </c>
      <c r="R3310" s="33" t="s">
        <v>3473</v>
      </c>
      <c r="S3310">
        <v>37</v>
      </c>
      <c r="T3310" s="1" t="s">
        <v>13878</v>
      </c>
      <c r="U3310" s="1" t="str">
        <f>HYPERLINK("http://ictvonline.org/taxonomy/p/taxonomy-history?taxnode_id=202108188","ICTVonline=202108188")</f>
        <v>ICTVonline=202108188</v>
      </c>
    </row>
    <row r="3311" spans="1:21" x14ac:dyDescent="0.2">
      <c r="A3311" s="3">
        <v>3310</v>
      </c>
      <c r="B3311" s="1" t="s">
        <v>4875</v>
      </c>
      <c r="D3311" s="1" t="s">
        <v>4876</v>
      </c>
      <c r="F3311" s="1" t="s">
        <v>4880</v>
      </c>
      <c r="H3311" s="1" t="s">
        <v>4881</v>
      </c>
      <c r="N3311" s="1" t="s">
        <v>12043</v>
      </c>
      <c r="P3311" s="1" t="s">
        <v>12044</v>
      </c>
      <c r="Q3311" s="30" t="s">
        <v>2565</v>
      </c>
      <c r="R3311" s="33" t="s">
        <v>3472</v>
      </c>
      <c r="S3311">
        <v>37</v>
      </c>
      <c r="T3311" s="1" t="s">
        <v>13964</v>
      </c>
      <c r="U3311" s="1" t="str">
        <f>HYPERLINK("http://ictvonline.org/taxonomy/p/taxonomy-history?taxnode_id=202112878","ICTVonline=202112878")</f>
        <v>ICTVonline=202112878</v>
      </c>
    </row>
    <row r="3312" spans="1:21" x14ac:dyDescent="0.2">
      <c r="A3312" s="3">
        <v>3311</v>
      </c>
      <c r="B3312" s="1" t="s">
        <v>4875</v>
      </c>
      <c r="D3312" s="1" t="s">
        <v>4876</v>
      </c>
      <c r="F3312" s="1" t="s">
        <v>4880</v>
      </c>
      <c r="H3312" s="1" t="s">
        <v>4881</v>
      </c>
      <c r="N3312" s="1" t="s">
        <v>12043</v>
      </c>
      <c r="P3312" s="1" t="s">
        <v>12045</v>
      </c>
      <c r="Q3312" s="30" t="s">
        <v>2565</v>
      </c>
      <c r="R3312" s="33" t="s">
        <v>3472</v>
      </c>
      <c r="S3312">
        <v>37</v>
      </c>
      <c r="T3312" s="1" t="s">
        <v>13964</v>
      </c>
      <c r="U3312" s="1" t="str">
        <f>HYPERLINK("http://ictvonline.org/taxonomy/p/taxonomy-history?taxnode_id=202112879","ICTVonline=202112879")</f>
        <v>ICTVonline=202112879</v>
      </c>
    </row>
    <row r="3313" spans="1:21" x14ac:dyDescent="0.2">
      <c r="A3313" s="3">
        <v>3312</v>
      </c>
      <c r="B3313" s="1" t="s">
        <v>4875</v>
      </c>
      <c r="D3313" s="1" t="s">
        <v>4876</v>
      </c>
      <c r="F3313" s="1" t="s">
        <v>4880</v>
      </c>
      <c r="H3313" s="1" t="s">
        <v>4881</v>
      </c>
      <c r="N3313" s="1" t="s">
        <v>2645</v>
      </c>
      <c r="P3313" s="1" t="s">
        <v>12046</v>
      </c>
      <c r="Q3313" s="30" t="s">
        <v>2565</v>
      </c>
      <c r="R3313" s="33" t="s">
        <v>3473</v>
      </c>
      <c r="S3313">
        <v>37</v>
      </c>
      <c r="T3313" s="1" t="s">
        <v>13878</v>
      </c>
      <c r="U3313" s="1" t="str">
        <f>HYPERLINK("http://ictvonline.org/taxonomy/p/taxonomy-history?taxnode_id=202101227","ICTVonline=202101227")</f>
        <v>ICTVonline=202101227</v>
      </c>
    </row>
    <row r="3314" spans="1:21" x14ac:dyDescent="0.2">
      <c r="A3314" s="3">
        <v>3313</v>
      </c>
      <c r="B3314" s="1" t="s">
        <v>4875</v>
      </c>
      <c r="D3314" s="1" t="s">
        <v>4876</v>
      </c>
      <c r="F3314" s="1" t="s">
        <v>4880</v>
      </c>
      <c r="H3314" s="1" t="s">
        <v>4881</v>
      </c>
      <c r="N3314" s="1" t="s">
        <v>2645</v>
      </c>
      <c r="P3314" s="1" t="s">
        <v>12047</v>
      </c>
      <c r="Q3314" s="30" t="s">
        <v>2565</v>
      </c>
      <c r="R3314" s="33" t="s">
        <v>3473</v>
      </c>
      <c r="S3314">
        <v>37</v>
      </c>
      <c r="T3314" s="1" t="s">
        <v>13878</v>
      </c>
      <c r="U3314" s="1" t="str">
        <f>HYPERLINK("http://ictvonline.org/taxonomy/p/taxonomy-history?taxnode_id=202101228","ICTVonline=202101228")</f>
        <v>ICTVonline=202101228</v>
      </c>
    </row>
    <row r="3315" spans="1:21" x14ac:dyDescent="0.2">
      <c r="A3315" s="3">
        <v>3314</v>
      </c>
      <c r="B3315" s="1" t="s">
        <v>4875</v>
      </c>
      <c r="D3315" s="1" t="s">
        <v>4876</v>
      </c>
      <c r="F3315" s="1" t="s">
        <v>4880</v>
      </c>
      <c r="H3315" s="1" t="s">
        <v>4881</v>
      </c>
      <c r="N3315" s="1" t="s">
        <v>2645</v>
      </c>
      <c r="P3315" s="1" t="s">
        <v>12048</v>
      </c>
      <c r="Q3315" s="30" t="s">
        <v>2565</v>
      </c>
      <c r="R3315" s="33" t="s">
        <v>3473</v>
      </c>
      <c r="S3315">
        <v>37</v>
      </c>
      <c r="T3315" s="1" t="s">
        <v>13878</v>
      </c>
      <c r="U3315" s="1" t="str">
        <f>HYPERLINK("http://ictvonline.org/taxonomy/p/taxonomy-history?taxnode_id=202101229","ICTVonline=202101229")</f>
        <v>ICTVonline=202101229</v>
      </c>
    </row>
    <row r="3316" spans="1:21" x14ac:dyDescent="0.2">
      <c r="A3316" s="3">
        <v>3315</v>
      </c>
      <c r="B3316" s="1" t="s">
        <v>4875</v>
      </c>
      <c r="D3316" s="1" t="s">
        <v>4876</v>
      </c>
      <c r="F3316" s="1" t="s">
        <v>4880</v>
      </c>
      <c r="H3316" s="1" t="s">
        <v>4881</v>
      </c>
      <c r="N3316" s="1" t="s">
        <v>2595</v>
      </c>
      <c r="P3316" s="1" t="s">
        <v>12049</v>
      </c>
      <c r="Q3316" s="30" t="s">
        <v>2565</v>
      </c>
      <c r="R3316" s="33" t="s">
        <v>3473</v>
      </c>
      <c r="S3316">
        <v>37</v>
      </c>
      <c r="T3316" s="1" t="s">
        <v>13878</v>
      </c>
      <c r="U3316" s="1" t="str">
        <f>HYPERLINK("http://ictvonline.org/taxonomy/p/taxonomy-history?taxnode_id=202100488","ICTVonline=202100488")</f>
        <v>ICTVonline=202100488</v>
      </c>
    </row>
    <row r="3317" spans="1:21" x14ac:dyDescent="0.2">
      <c r="A3317" s="3">
        <v>3316</v>
      </c>
      <c r="B3317" s="1" t="s">
        <v>4875</v>
      </c>
      <c r="D3317" s="1" t="s">
        <v>4876</v>
      </c>
      <c r="F3317" s="1" t="s">
        <v>4880</v>
      </c>
      <c r="H3317" s="1" t="s">
        <v>4881</v>
      </c>
      <c r="N3317" s="1" t="s">
        <v>2595</v>
      </c>
      <c r="P3317" s="1" t="s">
        <v>12050</v>
      </c>
      <c r="Q3317" s="30" t="s">
        <v>2565</v>
      </c>
      <c r="R3317" s="33" t="s">
        <v>3473</v>
      </c>
      <c r="S3317">
        <v>37</v>
      </c>
      <c r="T3317" s="1" t="s">
        <v>13878</v>
      </c>
      <c r="U3317" s="1" t="str">
        <f>HYPERLINK("http://ictvonline.org/taxonomy/p/taxonomy-history?taxnode_id=202100489","ICTVonline=202100489")</f>
        <v>ICTVonline=202100489</v>
      </c>
    </row>
    <row r="3318" spans="1:21" x14ac:dyDescent="0.2">
      <c r="A3318" s="3">
        <v>3317</v>
      </c>
      <c r="B3318" s="1" t="s">
        <v>4875</v>
      </c>
      <c r="D3318" s="1" t="s">
        <v>4876</v>
      </c>
      <c r="F3318" s="1" t="s">
        <v>4880</v>
      </c>
      <c r="H3318" s="1" t="s">
        <v>4881</v>
      </c>
      <c r="N3318" s="1" t="s">
        <v>2595</v>
      </c>
      <c r="P3318" s="1" t="s">
        <v>12051</v>
      </c>
      <c r="Q3318" s="30" t="s">
        <v>2565</v>
      </c>
      <c r="R3318" s="33" t="s">
        <v>3473</v>
      </c>
      <c r="S3318">
        <v>37</v>
      </c>
      <c r="T3318" s="1" t="s">
        <v>13878</v>
      </c>
      <c r="U3318" s="1" t="str">
        <f>HYPERLINK("http://ictvonline.org/taxonomy/p/taxonomy-history?taxnode_id=202107032","ICTVonline=202107032")</f>
        <v>ICTVonline=202107032</v>
      </c>
    </row>
    <row r="3319" spans="1:21" x14ac:dyDescent="0.2">
      <c r="A3319" s="3">
        <v>3318</v>
      </c>
      <c r="B3319" s="1" t="s">
        <v>4875</v>
      </c>
      <c r="D3319" s="1" t="s">
        <v>4876</v>
      </c>
      <c r="F3319" s="1" t="s">
        <v>4880</v>
      </c>
      <c r="H3319" s="1" t="s">
        <v>4881</v>
      </c>
      <c r="N3319" s="1" t="s">
        <v>12052</v>
      </c>
      <c r="P3319" s="1" t="s">
        <v>12053</v>
      </c>
      <c r="Q3319" s="30" t="s">
        <v>2565</v>
      </c>
      <c r="R3319" s="33" t="s">
        <v>3472</v>
      </c>
      <c r="S3319">
        <v>37</v>
      </c>
      <c r="T3319" s="1" t="s">
        <v>13965</v>
      </c>
      <c r="U3319" s="1" t="str">
        <f>HYPERLINK("http://ictvonline.org/taxonomy/p/taxonomy-history?taxnode_id=202112884","ICTVonline=202112884")</f>
        <v>ICTVonline=202112884</v>
      </c>
    </row>
    <row r="3320" spans="1:21" x14ac:dyDescent="0.2">
      <c r="A3320" s="3">
        <v>3319</v>
      </c>
      <c r="B3320" s="1" t="s">
        <v>4875</v>
      </c>
      <c r="D3320" s="1" t="s">
        <v>4876</v>
      </c>
      <c r="F3320" s="1" t="s">
        <v>4880</v>
      </c>
      <c r="H3320" s="1" t="s">
        <v>4881</v>
      </c>
      <c r="N3320" s="1" t="s">
        <v>12054</v>
      </c>
      <c r="P3320" s="1" t="s">
        <v>12055</v>
      </c>
      <c r="Q3320" s="30" t="s">
        <v>2565</v>
      </c>
      <c r="R3320" s="33" t="s">
        <v>3472</v>
      </c>
      <c r="S3320">
        <v>37</v>
      </c>
      <c r="T3320" s="1" t="s">
        <v>13966</v>
      </c>
      <c r="U3320" s="1" t="str">
        <f>HYPERLINK("http://ictvonline.org/taxonomy/p/taxonomy-history?taxnode_id=202112886","ICTVonline=202112886")</f>
        <v>ICTVonline=202112886</v>
      </c>
    </row>
    <row r="3321" spans="1:21" x14ac:dyDescent="0.2">
      <c r="A3321" s="3">
        <v>3320</v>
      </c>
      <c r="B3321" s="1" t="s">
        <v>4875</v>
      </c>
      <c r="D3321" s="1" t="s">
        <v>4876</v>
      </c>
      <c r="F3321" s="1" t="s">
        <v>4880</v>
      </c>
      <c r="H3321" s="1" t="s">
        <v>4881</v>
      </c>
      <c r="N3321" s="1" t="s">
        <v>5222</v>
      </c>
      <c r="P3321" s="1" t="s">
        <v>12056</v>
      </c>
      <c r="Q3321" s="30" t="s">
        <v>2565</v>
      </c>
      <c r="R3321" s="33" t="s">
        <v>3473</v>
      </c>
      <c r="S3321">
        <v>37</v>
      </c>
      <c r="T3321" s="1" t="s">
        <v>13878</v>
      </c>
      <c r="U3321" s="1" t="str">
        <f>HYPERLINK("http://ictvonline.org/taxonomy/p/taxonomy-history?taxnode_id=202107512","ICTVonline=202107512")</f>
        <v>ICTVonline=202107512</v>
      </c>
    </row>
    <row r="3322" spans="1:21" x14ac:dyDescent="0.2">
      <c r="A3322" s="3">
        <v>3321</v>
      </c>
      <c r="B3322" s="1" t="s">
        <v>4875</v>
      </c>
      <c r="D3322" s="1" t="s">
        <v>4876</v>
      </c>
      <c r="F3322" s="1" t="s">
        <v>4880</v>
      </c>
      <c r="H3322" s="1" t="s">
        <v>4881</v>
      </c>
      <c r="N3322" s="1" t="s">
        <v>4720</v>
      </c>
      <c r="P3322" s="1" t="s">
        <v>12057</v>
      </c>
      <c r="Q3322" s="30" t="s">
        <v>2565</v>
      </c>
      <c r="R3322" s="33" t="s">
        <v>3473</v>
      </c>
      <c r="S3322">
        <v>37</v>
      </c>
      <c r="T3322" s="1" t="s">
        <v>13878</v>
      </c>
      <c r="U3322" s="1" t="str">
        <f>HYPERLINK("http://ictvonline.org/taxonomy/p/taxonomy-history?taxnode_id=202106749","ICTVonline=202106749")</f>
        <v>ICTVonline=202106749</v>
      </c>
    </row>
    <row r="3323" spans="1:21" x14ac:dyDescent="0.2">
      <c r="A3323" s="3">
        <v>3322</v>
      </c>
      <c r="B3323" s="1" t="s">
        <v>4875</v>
      </c>
      <c r="D3323" s="1" t="s">
        <v>4876</v>
      </c>
      <c r="F3323" s="1" t="s">
        <v>4880</v>
      </c>
      <c r="H3323" s="1" t="s">
        <v>4881</v>
      </c>
      <c r="N3323" s="1" t="s">
        <v>4564</v>
      </c>
      <c r="P3323" s="1" t="s">
        <v>12058</v>
      </c>
      <c r="Q3323" s="30" t="s">
        <v>2565</v>
      </c>
      <c r="R3323" s="33" t="s">
        <v>3473</v>
      </c>
      <c r="S3323">
        <v>37</v>
      </c>
      <c r="T3323" s="1" t="s">
        <v>13878</v>
      </c>
      <c r="U3323" s="1" t="str">
        <f>HYPERLINK("http://ictvonline.org/taxonomy/p/taxonomy-history?taxnode_id=202106859","ICTVonline=202106859")</f>
        <v>ICTVonline=202106859</v>
      </c>
    </row>
    <row r="3324" spans="1:21" x14ac:dyDescent="0.2">
      <c r="A3324" s="3">
        <v>3323</v>
      </c>
      <c r="B3324" s="1" t="s">
        <v>4875</v>
      </c>
      <c r="D3324" s="1" t="s">
        <v>4876</v>
      </c>
      <c r="F3324" s="1" t="s">
        <v>4880</v>
      </c>
      <c r="H3324" s="1" t="s">
        <v>4881</v>
      </c>
      <c r="N3324" s="1" t="s">
        <v>6036</v>
      </c>
      <c r="P3324" s="1" t="s">
        <v>12059</v>
      </c>
      <c r="Q3324" s="30" t="s">
        <v>2565</v>
      </c>
      <c r="R3324" s="33" t="s">
        <v>3473</v>
      </c>
      <c r="S3324">
        <v>37</v>
      </c>
      <c r="T3324" s="1" t="s">
        <v>13878</v>
      </c>
      <c r="U3324" s="1" t="str">
        <f>HYPERLINK("http://ictvonline.org/taxonomy/p/taxonomy-history?taxnode_id=202111619","ICTVonline=202111619")</f>
        <v>ICTVonline=202111619</v>
      </c>
    </row>
    <row r="3325" spans="1:21" x14ac:dyDescent="0.2">
      <c r="A3325" s="3">
        <v>3324</v>
      </c>
      <c r="B3325" s="1" t="s">
        <v>4875</v>
      </c>
      <c r="D3325" s="1" t="s">
        <v>4876</v>
      </c>
      <c r="F3325" s="1" t="s">
        <v>4880</v>
      </c>
      <c r="H3325" s="1" t="s">
        <v>4881</v>
      </c>
      <c r="N3325" s="1" t="s">
        <v>6036</v>
      </c>
      <c r="P3325" s="1" t="s">
        <v>12060</v>
      </c>
      <c r="Q3325" s="30" t="s">
        <v>2565</v>
      </c>
      <c r="R3325" s="33" t="s">
        <v>3473</v>
      </c>
      <c r="S3325">
        <v>37</v>
      </c>
      <c r="T3325" s="1" t="s">
        <v>13878</v>
      </c>
      <c r="U3325" s="1" t="str">
        <f>HYPERLINK("http://ictvonline.org/taxonomy/p/taxonomy-history?taxnode_id=202111621","ICTVonline=202111621")</f>
        <v>ICTVonline=202111621</v>
      </c>
    </row>
    <row r="3326" spans="1:21" x14ac:dyDescent="0.2">
      <c r="A3326" s="3">
        <v>3325</v>
      </c>
      <c r="B3326" s="1" t="s">
        <v>4875</v>
      </c>
      <c r="D3326" s="1" t="s">
        <v>4876</v>
      </c>
      <c r="F3326" s="1" t="s">
        <v>4880</v>
      </c>
      <c r="H3326" s="1" t="s">
        <v>4881</v>
      </c>
      <c r="N3326" s="1" t="s">
        <v>6036</v>
      </c>
      <c r="P3326" s="1" t="s">
        <v>12061</v>
      </c>
      <c r="Q3326" s="30" t="s">
        <v>2565</v>
      </c>
      <c r="R3326" s="33" t="s">
        <v>3473</v>
      </c>
      <c r="S3326">
        <v>37</v>
      </c>
      <c r="T3326" s="1" t="s">
        <v>13878</v>
      </c>
      <c r="U3326" s="1" t="str">
        <f>HYPERLINK("http://ictvonline.org/taxonomy/p/taxonomy-history?taxnode_id=202111620","ICTVonline=202111620")</f>
        <v>ICTVonline=202111620</v>
      </c>
    </row>
    <row r="3327" spans="1:21" x14ac:dyDescent="0.2">
      <c r="A3327" s="3">
        <v>3326</v>
      </c>
      <c r="B3327" s="1" t="s">
        <v>4875</v>
      </c>
      <c r="D3327" s="1" t="s">
        <v>4876</v>
      </c>
      <c r="F3327" s="1" t="s">
        <v>4880</v>
      </c>
      <c r="H3327" s="1" t="s">
        <v>4881</v>
      </c>
      <c r="N3327" s="1" t="s">
        <v>6036</v>
      </c>
      <c r="P3327" s="1" t="s">
        <v>12062</v>
      </c>
      <c r="Q3327" s="30" t="s">
        <v>2565</v>
      </c>
      <c r="R3327" s="33" t="s">
        <v>3473</v>
      </c>
      <c r="S3327">
        <v>37</v>
      </c>
      <c r="T3327" s="1" t="s">
        <v>13878</v>
      </c>
      <c r="U3327" s="1" t="str">
        <f>HYPERLINK("http://ictvonline.org/taxonomy/p/taxonomy-history?taxnode_id=202111622","ICTVonline=202111622")</f>
        <v>ICTVonline=202111622</v>
      </c>
    </row>
    <row r="3328" spans="1:21" x14ac:dyDescent="0.2">
      <c r="A3328" s="3">
        <v>3327</v>
      </c>
      <c r="B3328" s="1" t="s">
        <v>4875</v>
      </c>
      <c r="D3328" s="1" t="s">
        <v>4876</v>
      </c>
      <c r="F3328" s="1" t="s">
        <v>4880</v>
      </c>
      <c r="H3328" s="1" t="s">
        <v>4881</v>
      </c>
      <c r="N3328" s="1" t="s">
        <v>6221</v>
      </c>
      <c r="P3328" s="1" t="s">
        <v>12063</v>
      </c>
      <c r="Q3328" s="30" t="s">
        <v>2565</v>
      </c>
      <c r="R3328" s="33" t="s">
        <v>3473</v>
      </c>
      <c r="S3328">
        <v>37</v>
      </c>
      <c r="T3328" s="1" t="s">
        <v>13878</v>
      </c>
      <c r="U3328" s="1" t="str">
        <f>HYPERLINK("http://ictvonline.org/taxonomy/p/taxonomy-history?taxnode_id=202110187","ICTVonline=202110187")</f>
        <v>ICTVonline=202110187</v>
      </c>
    </row>
    <row r="3329" spans="1:21" x14ac:dyDescent="0.2">
      <c r="A3329" s="3">
        <v>3328</v>
      </c>
      <c r="B3329" s="1" t="s">
        <v>4875</v>
      </c>
      <c r="D3329" s="1" t="s">
        <v>4876</v>
      </c>
      <c r="F3329" s="1" t="s">
        <v>4880</v>
      </c>
      <c r="H3329" s="1" t="s">
        <v>4881</v>
      </c>
      <c r="N3329" s="1" t="s">
        <v>6222</v>
      </c>
      <c r="P3329" s="1" t="s">
        <v>12064</v>
      </c>
      <c r="Q3329" s="30" t="s">
        <v>2565</v>
      </c>
      <c r="R3329" s="33" t="s">
        <v>3473</v>
      </c>
      <c r="S3329">
        <v>37</v>
      </c>
      <c r="T3329" s="1" t="s">
        <v>13878</v>
      </c>
      <c r="U3329" s="1" t="str">
        <f>HYPERLINK("http://ictvonline.org/taxonomy/p/taxonomy-history?taxnode_id=202110185","ICTVonline=202110185")</f>
        <v>ICTVonline=202110185</v>
      </c>
    </row>
    <row r="3330" spans="1:21" x14ac:dyDescent="0.2">
      <c r="A3330" s="3">
        <v>3329</v>
      </c>
      <c r="B3330" s="1" t="s">
        <v>4875</v>
      </c>
      <c r="D3330" s="1" t="s">
        <v>4876</v>
      </c>
      <c r="F3330" s="1" t="s">
        <v>4880</v>
      </c>
      <c r="H3330" s="1" t="s">
        <v>4881</v>
      </c>
      <c r="N3330" s="1" t="s">
        <v>6222</v>
      </c>
      <c r="P3330" s="1" t="s">
        <v>12065</v>
      </c>
      <c r="Q3330" s="30" t="s">
        <v>2565</v>
      </c>
      <c r="R3330" s="33" t="s">
        <v>3473</v>
      </c>
      <c r="S3330">
        <v>37</v>
      </c>
      <c r="T3330" s="1" t="s">
        <v>13878</v>
      </c>
      <c r="U3330" s="1" t="str">
        <f>HYPERLINK("http://ictvonline.org/taxonomy/p/taxonomy-history?taxnode_id=202110184","ICTVonline=202110184")</f>
        <v>ICTVonline=202110184</v>
      </c>
    </row>
    <row r="3331" spans="1:21" x14ac:dyDescent="0.2">
      <c r="A3331" s="3">
        <v>3330</v>
      </c>
      <c r="B3331" s="1" t="s">
        <v>4875</v>
      </c>
      <c r="D3331" s="1" t="s">
        <v>4876</v>
      </c>
      <c r="F3331" s="1" t="s">
        <v>4880</v>
      </c>
      <c r="H3331" s="1" t="s">
        <v>4881</v>
      </c>
      <c r="N3331" s="1" t="s">
        <v>4565</v>
      </c>
      <c r="P3331" s="1" t="s">
        <v>12066</v>
      </c>
      <c r="Q3331" s="30" t="s">
        <v>2565</v>
      </c>
      <c r="R3331" s="33" t="s">
        <v>3473</v>
      </c>
      <c r="S3331">
        <v>37</v>
      </c>
      <c r="T3331" s="1" t="s">
        <v>13878</v>
      </c>
      <c r="U3331" s="1" t="str">
        <f>HYPERLINK("http://ictvonline.org/taxonomy/p/taxonomy-history?taxnode_id=202106720","ICTVonline=202106720")</f>
        <v>ICTVonline=202106720</v>
      </c>
    </row>
    <row r="3332" spans="1:21" x14ac:dyDescent="0.2">
      <c r="A3332" s="3">
        <v>3331</v>
      </c>
      <c r="B3332" s="1" t="s">
        <v>4875</v>
      </c>
      <c r="D3332" s="1" t="s">
        <v>4876</v>
      </c>
      <c r="F3332" s="1" t="s">
        <v>4880</v>
      </c>
      <c r="H3332" s="1" t="s">
        <v>4881</v>
      </c>
      <c r="N3332" s="1" t="s">
        <v>4566</v>
      </c>
      <c r="P3332" s="1" t="s">
        <v>12067</v>
      </c>
      <c r="Q3332" s="30" t="s">
        <v>2565</v>
      </c>
      <c r="R3332" s="33" t="s">
        <v>3473</v>
      </c>
      <c r="S3332">
        <v>37</v>
      </c>
      <c r="T3332" s="1" t="s">
        <v>13878</v>
      </c>
      <c r="U3332" s="1" t="str">
        <f>HYPERLINK("http://ictvonline.org/taxonomy/p/taxonomy-history?taxnode_id=202106778","ICTVonline=202106778")</f>
        <v>ICTVonline=202106778</v>
      </c>
    </row>
    <row r="3333" spans="1:21" x14ac:dyDescent="0.2">
      <c r="A3333" s="3">
        <v>3332</v>
      </c>
      <c r="B3333" s="1" t="s">
        <v>4875</v>
      </c>
      <c r="D3333" s="1" t="s">
        <v>4876</v>
      </c>
      <c r="F3333" s="1" t="s">
        <v>4880</v>
      </c>
      <c r="H3333" s="1" t="s">
        <v>4881</v>
      </c>
      <c r="N3333" s="1" t="s">
        <v>4721</v>
      </c>
      <c r="P3333" s="1" t="s">
        <v>12068</v>
      </c>
      <c r="Q3333" s="30" t="s">
        <v>2565</v>
      </c>
      <c r="R3333" s="33" t="s">
        <v>3473</v>
      </c>
      <c r="S3333">
        <v>37</v>
      </c>
      <c r="T3333" s="1" t="s">
        <v>13878</v>
      </c>
      <c r="U3333" s="1" t="str">
        <f>HYPERLINK("http://ictvonline.org/taxonomy/p/taxonomy-history?taxnode_id=202106592","ICTVonline=202106592")</f>
        <v>ICTVonline=202106592</v>
      </c>
    </row>
    <row r="3334" spans="1:21" x14ac:dyDescent="0.2">
      <c r="A3334" s="3">
        <v>3333</v>
      </c>
      <c r="B3334" s="1" t="s">
        <v>4875</v>
      </c>
      <c r="D3334" s="1" t="s">
        <v>4876</v>
      </c>
      <c r="F3334" s="1" t="s">
        <v>4880</v>
      </c>
      <c r="H3334" s="1" t="s">
        <v>4881</v>
      </c>
      <c r="N3334" s="1" t="s">
        <v>6223</v>
      </c>
      <c r="P3334" s="1" t="s">
        <v>12069</v>
      </c>
      <c r="Q3334" s="30" t="s">
        <v>2565</v>
      </c>
      <c r="R3334" s="33" t="s">
        <v>3473</v>
      </c>
      <c r="S3334">
        <v>37</v>
      </c>
      <c r="T3334" s="1" t="s">
        <v>13878</v>
      </c>
      <c r="U3334" s="1" t="str">
        <f>HYPERLINK("http://ictvonline.org/taxonomy/p/taxonomy-history?taxnode_id=202100856","ICTVonline=202100856")</f>
        <v>ICTVonline=202100856</v>
      </c>
    </row>
    <row r="3335" spans="1:21" x14ac:dyDescent="0.2">
      <c r="A3335" s="3">
        <v>3334</v>
      </c>
      <c r="B3335" s="1" t="s">
        <v>4875</v>
      </c>
      <c r="D3335" s="1" t="s">
        <v>4876</v>
      </c>
      <c r="F3335" s="1" t="s">
        <v>4880</v>
      </c>
      <c r="H3335" s="1" t="s">
        <v>4881</v>
      </c>
      <c r="N3335" s="1" t="s">
        <v>6068</v>
      </c>
      <c r="P3335" s="1" t="s">
        <v>12070</v>
      </c>
      <c r="Q3335" s="30" t="s">
        <v>2565</v>
      </c>
      <c r="R3335" s="33" t="s">
        <v>3473</v>
      </c>
      <c r="S3335">
        <v>37</v>
      </c>
      <c r="T3335" s="1" t="s">
        <v>13878</v>
      </c>
      <c r="U3335" s="1" t="str">
        <f>HYPERLINK("http://ictvonline.org/taxonomy/p/taxonomy-history?taxnode_id=202111625","ICTVonline=202111625")</f>
        <v>ICTVonline=202111625</v>
      </c>
    </row>
    <row r="3336" spans="1:21" x14ac:dyDescent="0.2">
      <c r="A3336" s="3">
        <v>3335</v>
      </c>
      <c r="B3336" s="1" t="s">
        <v>4875</v>
      </c>
      <c r="D3336" s="1" t="s">
        <v>4876</v>
      </c>
      <c r="F3336" s="1" t="s">
        <v>4880</v>
      </c>
      <c r="H3336" s="1" t="s">
        <v>4881</v>
      </c>
      <c r="N3336" s="1" t="s">
        <v>6068</v>
      </c>
      <c r="P3336" s="1" t="s">
        <v>12071</v>
      </c>
      <c r="Q3336" s="30" t="s">
        <v>2565</v>
      </c>
      <c r="R3336" s="33" t="s">
        <v>3473</v>
      </c>
      <c r="S3336">
        <v>37</v>
      </c>
      <c r="T3336" s="1" t="s">
        <v>13878</v>
      </c>
      <c r="U3336" s="1" t="str">
        <f>HYPERLINK("http://ictvonline.org/taxonomy/p/taxonomy-history?taxnode_id=202111626","ICTVonline=202111626")</f>
        <v>ICTVonline=202111626</v>
      </c>
    </row>
    <row r="3337" spans="1:21" x14ac:dyDescent="0.2">
      <c r="A3337" s="3">
        <v>3336</v>
      </c>
      <c r="B3337" s="1" t="s">
        <v>4875</v>
      </c>
      <c r="D3337" s="1" t="s">
        <v>4876</v>
      </c>
      <c r="F3337" s="1" t="s">
        <v>4880</v>
      </c>
      <c r="H3337" s="1" t="s">
        <v>4881</v>
      </c>
      <c r="N3337" s="1" t="s">
        <v>2646</v>
      </c>
      <c r="P3337" s="1" t="s">
        <v>12072</v>
      </c>
      <c r="Q3337" s="30" t="s">
        <v>2565</v>
      </c>
      <c r="R3337" s="33" t="s">
        <v>3473</v>
      </c>
      <c r="S3337">
        <v>37</v>
      </c>
      <c r="T3337" s="1" t="s">
        <v>13878</v>
      </c>
      <c r="U3337" s="1" t="str">
        <f>HYPERLINK("http://ictvonline.org/taxonomy/p/taxonomy-history?taxnode_id=202101237","ICTVonline=202101237")</f>
        <v>ICTVonline=202101237</v>
      </c>
    </row>
    <row r="3338" spans="1:21" x14ac:dyDescent="0.2">
      <c r="A3338" s="3">
        <v>3337</v>
      </c>
      <c r="B3338" s="1" t="s">
        <v>4875</v>
      </c>
      <c r="D3338" s="1" t="s">
        <v>4876</v>
      </c>
      <c r="F3338" s="1" t="s">
        <v>4880</v>
      </c>
      <c r="H3338" s="1" t="s">
        <v>4881</v>
      </c>
      <c r="N3338" s="1" t="s">
        <v>2646</v>
      </c>
      <c r="P3338" s="1" t="s">
        <v>12073</v>
      </c>
      <c r="Q3338" s="30" t="s">
        <v>2565</v>
      </c>
      <c r="R3338" s="33" t="s">
        <v>3473</v>
      </c>
      <c r="S3338">
        <v>37</v>
      </c>
      <c r="T3338" s="1" t="s">
        <v>13878</v>
      </c>
      <c r="U3338" s="1" t="str">
        <f>HYPERLINK("http://ictvonline.org/taxonomy/p/taxonomy-history?taxnode_id=202101238","ICTVonline=202101238")</f>
        <v>ICTVonline=202101238</v>
      </c>
    </row>
    <row r="3339" spans="1:21" x14ac:dyDescent="0.2">
      <c r="A3339" s="3">
        <v>3338</v>
      </c>
      <c r="B3339" s="1" t="s">
        <v>4875</v>
      </c>
      <c r="D3339" s="1" t="s">
        <v>4876</v>
      </c>
      <c r="F3339" s="1" t="s">
        <v>4880</v>
      </c>
      <c r="H3339" s="1" t="s">
        <v>4881</v>
      </c>
      <c r="N3339" s="1" t="s">
        <v>12074</v>
      </c>
      <c r="P3339" s="1" t="s">
        <v>12075</v>
      </c>
      <c r="Q3339" s="30" t="s">
        <v>2565</v>
      </c>
      <c r="R3339" s="33" t="s">
        <v>3472</v>
      </c>
      <c r="S3339">
        <v>37</v>
      </c>
      <c r="T3339" s="1" t="s">
        <v>13967</v>
      </c>
      <c r="U3339" s="1" t="str">
        <f>HYPERLINK("http://ictvonline.org/taxonomy/p/taxonomy-history?taxnode_id=202112889","ICTVonline=202112889")</f>
        <v>ICTVonline=202112889</v>
      </c>
    </row>
    <row r="3340" spans="1:21" x14ac:dyDescent="0.2">
      <c r="A3340" s="3">
        <v>3339</v>
      </c>
      <c r="B3340" s="1" t="s">
        <v>4875</v>
      </c>
      <c r="D3340" s="1" t="s">
        <v>4876</v>
      </c>
      <c r="F3340" s="1" t="s">
        <v>4880</v>
      </c>
      <c r="H3340" s="1" t="s">
        <v>4881</v>
      </c>
      <c r="N3340" s="1" t="s">
        <v>12074</v>
      </c>
      <c r="P3340" s="1" t="s">
        <v>12076</v>
      </c>
      <c r="Q3340" s="30" t="s">
        <v>2565</v>
      </c>
      <c r="R3340" s="33" t="s">
        <v>3472</v>
      </c>
      <c r="S3340">
        <v>37</v>
      </c>
      <c r="T3340" s="1" t="s">
        <v>13967</v>
      </c>
      <c r="U3340" s="1" t="str">
        <f>HYPERLINK("http://ictvonline.org/taxonomy/p/taxonomy-history?taxnode_id=202112888","ICTVonline=202112888")</f>
        <v>ICTVonline=202112888</v>
      </c>
    </row>
    <row r="3341" spans="1:21" x14ac:dyDescent="0.2">
      <c r="A3341" s="3">
        <v>3340</v>
      </c>
      <c r="B3341" s="1" t="s">
        <v>4875</v>
      </c>
      <c r="D3341" s="1" t="s">
        <v>4876</v>
      </c>
      <c r="F3341" s="1" t="s">
        <v>4880</v>
      </c>
      <c r="H3341" s="1" t="s">
        <v>4881</v>
      </c>
      <c r="N3341" s="1" t="s">
        <v>12074</v>
      </c>
      <c r="P3341" s="1" t="s">
        <v>12077</v>
      </c>
      <c r="Q3341" s="30" t="s">
        <v>2565</v>
      </c>
      <c r="R3341" s="33" t="s">
        <v>3472</v>
      </c>
      <c r="S3341">
        <v>37</v>
      </c>
      <c r="T3341" s="1" t="s">
        <v>13967</v>
      </c>
      <c r="U3341" s="1" t="str">
        <f>HYPERLINK("http://ictvonline.org/taxonomy/p/taxonomy-history?taxnode_id=202112890","ICTVonline=202112890")</f>
        <v>ICTVonline=202112890</v>
      </c>
    </row>
    <row r="3342" spans="1:21" x14ac:dyDescent="0.2">
      <c r="A3342" s="3">
        <v>3341</v>
      </c>
      <c r="B3342" s="1" t="s">
        <v>4875</v>
      </c>
      <c r="D3342" s="1" t="s">
        <v>4876</v>
      </c>
      <c r="F3342" s="1" t="s">
        <v>4880</v>
      </c>
      <c r="H3342" s="1" t="s">
        <v>4881</v>
      </c>
      <c r="N3342" s="1" t="s">
        <v>12074</v>
      </c>
      <c r="P3342" s="1" t="s">
        <v>12078</v>
      </c>
      <c r="Q3342" s="30" t="s">
        <v>2565</v>
      </c>
      <c r="R3342" s="33" t="s">
        <v>3473</v>
      </c>
      <c r="S3342">
        <v>37</v>
      </c>
      <c r="T3342" s="1" t="s">
        <v>13967</v>
      </c>
      <c r="U3342" s="1" t="str">
        <f>HYPERLINK("http://ictvonline.org/taxonomy/p/taxonomy-history?taxnode_id=202101050","ICTVonline=202101050")</f>
        <v>ICTVonline=202101050</v>
      </c>
    </row>
    <row r="3343" spans="1:21" x14ac:dyDescent="0.2">
      <c r="A3343" s="3">
        <v>3342</v>
      </c>
      <c r="B3343" s="1" t="s">
        <v>4875</v>
      </c>
      <c r="D3343" s="1" t="s">
        <v>4876</v>
      </c>
      <c r="F3343" s="1" t="s">
        <v>4880</v>
      </c>
      <c r="H3343" s="1" t="s">
        <v>4881</v>
      </c>
      <c r="N3343" s="1" t="s">
        <v>4723</v>
      </c>
      <c r="P3343" s="1" t="s">
        <v>12079</v>
      </c>
      <c r="Q3343" s="30" t="s">
        <v>2565</v>
      </c>
      <c r="R3343" s="33" t="s">
        <v>3473</v>
      </c>
      <c r="S3343">
        <v>37</v>
      </c>
      <c r="T3343" s="1" t="s">
        <v>13878</v>
      </c>
      <c r="U3343" s="1" t="str">
        <f>HYPERLINK("http://ictvonline.org/taxonomy/p/taxonomy-history?taxnode_id=202105561","ICTVonline=202105561")</f>
        <v>ICTVonline=202105561</v>
      </c>
    </row>
    <row r="3344" spans="1:21" x14ac:dyDescent="0.2">
      <c r="A3344" s="3">
        <v>3343</v>
      </c>
      <c r="B3344" s="1" t="s">
        <v>4875</v>
      </c>
      <c r="D3344" s="1" t="s">
        <v>4876</v>
      </c>
      <c r="F3344" s="1" t="s">
        <v>4880</v>
      </c>
      <c r="H3344" s="1" t="s">
        <v>4881</v>
      </c>
      <c r="N3344" s="1" t="s">
        <v>4567</v>
      </c>
      <c r="P3344" s="1" t="s">
        <v>2590</v>
      </c>
      <c r="Q3344" s="30" t="s">
        <v>2565</v>
      </c>
      <c r="R3344" s="33" t="s">
        <v>3474</v>
      </c>
      <c r="S3344">
        <v>37</v>
      </c>
      <c r="T3344" s="1" t="s">
        <v>13880</v>
      </c>
      <c r="U3344" s="1" t="str">
        <f>HYPERLINK("http://ictvonline.org/taxonomy/p/taxonomy-history?taxnode_id=202100465","ICTVonline=202100465")</f>
        <v>ICTVonline=202100465</v>
      </c>
    </row>
    <row r="3345" spans="1:21" x14ac:dyDescent="0.2">
      <c r="A3345" s="3">
        <v>3344</v>
      </c>
      <c r="B3345" s="1" t="s">
        <v>4875</v>
      </c>
      <c r="D3345" s="1" t="s">
        <v>4876</v>
      </c>
      <c r="F3345" s="1" t="s">
        <v>4880</v>
      </c>
      <c r="H3345" s="1" t="s">
        <v>4881</v>
      </c>
      <c r="N3345" s="1" t="s">
        <v>4567</v>
      </c>
      <c r="P3345" s="1" t="s">
        <v>12080</v>
      </c>
      <c r="Q3345" s="30" t="s">
        <v>2565</v>
      </c>
      <c r="R3345" s="33" t="s">
        <v>3473</v>
      </c>
      <c r="S3345">
        <v>37</v>
      </c>
      <c r="T3345" s="1" t="s">
        <v>13878</v>
      </c>
      <c r="U3345" s="1" t="str">
        <f>HYPERLINK("http://ictvonline.org/taxonomy/p/taxonomy-history?taxnode_id=202100466","ICTVonline=202100466")</f>
        <v>ICTVonline=202100466</v>
      </c>
    </row>
    <row r="3346" spans="1:21" x14ac:dyDescent="0.2">
      <c r="A3346" s="3">
        <v>3345</v>
      </c>
      <c r="B3346" s="1" t="s">
        <v>4875</v>
      </c>
      <c r="D3346" s="1" t="s">
        <v>4876</v>
      </c>
      <c r="F3346" s="1" t="s">
        <v>4880</v>
      </c>
      <c r="H3346" s="1" t="s">
        <v>4881</v>
      </c>
      <c r="N3346" s="1" t="s">
        <v>4567</v>
      </c>
      <c r="P3346" s="1" t="s">
        <v>12081</v>
      </c>
      <c r="Q3346" s="30" t="s">
        <v>2565</v>
      </c>
      <c r="R3346" s="33" t="s">
        <v>3473</v>
      </c>
      <c r="S3346">
        <v>37</v>
      </c>
      <c r="T3346" s="1" t="s">
        <v>13878</v>
      </c>
      <c r="U3346" s="1" t="str">
        <f>HYPERLINK("http://ictvonline.org/taxonomy/p/taxonomy-history?taxnode_id=202107014","ICTVonline=202107014")</f>
        <v>ICTVonline=202107014</v>
      </c>
    </row>
    <row r="3347" spans="1:21" x14ac:dyDescent="0.2">
      <c r="A3347" s="3">
        <v>3346</v>
      </c>
      <c r="B3347" s="1" t="s">
        <v>4875</v>
      </c>
      <c r="D3347" s="1" t="s">
        <v>4876</v>
      </c>
      <c r="F3347" s="1" t="s">
        <v>4880</v>
      </c>
      <c r="H3347" s="1" t="s">
        <v>4881</v>
      </c>
      <c r="N3347" s="1" t="s">
        <v>4567</v>
      </c>
      <c r="P3347" s="1" t="s">
        <v>12082</v>
      </c>
      <c r="Q3347" s="30" t="s">
        <v>2565</v>
      </c>
      <c r="R3347" s="33" t="s">
        <v>3473</v>
      </c>
      <c r="S3347">
        <v>37</v>
      </c>
      <c r="T3347" s="1" t="s">
        <v>13878</v>
      </c>
      <c r="U3347" s="1" t="str">
        <f>HYPERLINK("http://ictvonline.org/taxonomy/p/taxonomy-history?taxnode_id=202107015","ICTVonline=202107015")</f>
        <v>ICTVonline=202107015</v>
      </c>
    </row>
    <row r="3348" spans="1:21" x14ac:dyDescent="0.2">
      <c r="A3348" s="3">
        <v>3347</v>
      </c>
      <c r="B3348" s="1" t="s">
        <v>4875</v>
      </c>
      <c r="D3348" s="1" t="s">
        <v>4876</v>
      </c>
      <c r="F3348" s="1" t="s">
        <v>4880</v>
      </c>
      <c r="H3348" s="1" t="s">
        <v>4881</v>
      </c>
      <c r="N3348" s="1" t="s">
        <v>12083</v>
      </c>
      <c r="P3348" s="1" t="s">
        <v>12084</v>
      </c>
      <c r="Q3348" s="30" t="s">
        <v>2565</v>
      </c>
      <c r="R3348" s="33" t="s">
        <v>3472</v>
      </c>
      <c r="S3348">
        <v>37</v>
      </c>
      <c r="T3348" s="1" t="s">
        <v>13968</v>
      </c>
      <c r="U3348" s="1" t="str">
        <f>HYPERLINK("http://ictvonline.org/taxonomy/p/taxonomy-history?taxnode_id=202112892","ICTVonline=202112892")</f>
        <v>ICTVonline=202112892</v>
      </c>
    </row>
    <row r="3349" spans="1:21" x14ac:dyDescent="0.2">
      <c r="A3349" s="3">
        <v>3348</v>
      </c>
      <c r="B3349" s="1" t="s">
        <v>4875</v>
      </c>
      <c r="D3349" s="1" t="s">
        <v>4876</v>
      </c>
      <c r="F3349" s="1" t="s">
        <v>4880</v>
      </c>
      <c r="H3349" s="1" t="s">
        <v>4881</v>
      </c>
      <c r="N3349" s="1" t="s">
        <v>5137</v>
      </c>
      <c r="P3349" s="1" t="s">
        <v>12085</v>
      </c>
      <c r="Q3349" s="30" t="s">
        <v>2565</v>
      </c>
      <c r="R3349" s="33" t="s">
        <v>3473</v>
      </c>
      <c r="S3349">
        <v>37</v>
      </c>
      <c r="T3349" s="1" t="s">
        <v>13878</v>
      </c>
      <c r="U3349" s="1" t="str">
        <f>HYPERLINK("http://ictvonline.org/taxonomy/p/taxonomy-history?taxnode_id=202107516","ICTVonline=202107516")</f>
        <v>ICTVonline=202107516</v>
      </c>
    </row>
    <row r="3350" spans="1:21" x14ac:dyDescent="0.2">
      <c r="A3350" s="3">
        <v>3349</v>
      </c>
      <c r="B3350" s="1" t="s">
        <v>4875</v>
      </c>
      <c r="D3350" s="1" t="s">
        <v>4876</v>
      </c>
      <c r="F3350" s="1" t="s">
        <v>4880</v>
      </c>
      <c r="H3350" s="1" t="s">
        <v>4881</v>
      </c>
      <c r="N3350" s="1" t="s">
        <v>6224</v>
      </c>
      <c r="P3350" s="1" t="s">
        <v>12086</v>
      </c>
      <c r="Q3350" s="30" t="s">
        <v>2565</v>
      </c>
      <c r="R3350" s="33" t="s">
        <v>3473</v>
      </c>
      <c r="S3350">
        <v>37</v>
      </c>
      <c r="T3350" s="1" t="s">
        <v>13878</v>
      </c>
      <c r="U3350" s="1" t="str">
        <f>HYPERLINK("http://ictvonline.org/taxonomy/p/taxonomy-history?taxnode_id=202111639","ICTVonline=202111639")</f>
        <v>ICTVonline=202111639</v>
      </c>
    </row>
    <row r="3351" spans="1:21" x14ac:dyDescent="0.2">
      <c r="A3351" s="3">
        <v>3350</v>
      </c>
      <c r="B3351" s="1" t="s">
        <v>4875</v>
      </c>
      <c r="D3351" s="1" t="s">
        <v>4876</v>
      </c>
      <c r="F3351" s="1" t="s">
        <v>4880</v>
      </c>
      <c r="H3351" s="1" t="s">
        <v>4881</v>
      </c>
      <c r="N3351" s="1" t="s">
        <v>5224</v>
      </c>
      <c r="P3351" s="1" t="s">
        <v>12087</v>
      </c>
      <c r="Q3351" s="30" t="s">
        <v>2565</v>
      </c>
      <c r="R3351" s="33" t="s">
        <v>3473</v>
      </c>
      <c r="S3351">
        <v>37</v>
      </c>
      <c r="T3351" s="1" t="s">
        <v>13878</v>
      </c>
      <c r="U3351" s="1" t="str">
        <f>HYPERLINK("http://ictvonline.org/taxonomy/p/taxonomy-history?taxnode_id=202107537","ICTVonline=202107537")</f>
        <v>ICTVonline=202107537</v>
      </c>
    </row>
    <row r="3352" spans="1:21" x14ac:dyDescent="0.2">
      <c r="A3352" s="3">
        <v>3351</v>
      </c>
      <c r="B3352" s="1" t="s">
        <v>4875</v>
      </c>
      <c r="D3352" s="1" t="s">
        <v>4876</v>
      </c>
      <c r="F3352" s="1" t="s">
        <v>4880</v>
      </c>
      <c r="H3352" s="1" t="s">
        <v>4881</v>
      </c>
      <c r="N3352" s="1" t="s">
        <v>5224</v>
      </c>
      <c r="P3352" s="1" t="s">
        <v>12088</v>
      </c>
      <c r="Q3352" s="30" t="s">
        <v>2565</v>
      </c>
      <c r="R3352" s="33" t="s">
        <v>3473</v>
      </c>
      <c r="S3352">
        <v>37</v>
      </c>
      <c r="T3352" s="1" t="s">
        <v>13878</v>
      </c>
      <c r="U3352" s="1" t="str">
        <f>HYPERLINK("http://ictvonline.org/taxonomy/p/taxonomy-history?taxnode_id=202107535","ICTVonline=202107535")</f>
        <v>ICTVonline=202107535</v>
      </c>
    </row>
    <row r="3353" spans="1:21" x14ac:dyDescent="0.2">
      <c r="A3353" s="3">
        <v>3352</v>
      </c>
      <c r="B3353" s="1" t="s">
        <v>4875</v>
      </c>
      <c r="D3353" s="1" t="s">
        <v>4876</v>
      </c>
      <c r="F3353" s="1" t="s">
        <v>4880</v>
      </c>
      <c r="H3353" s="1" t="s">
        <v>4881</v>
      </c>
      <c r="N3353" s="1" t="s">
        <v>5224</v>
      </c>
      <c r="P3353" s="1" t="s">
        <v>12089</v>
      </c>
      <c r="Q3353" s="30" t="s">
        <v>2565</v>
      </c>
      <c r="R3353" s="33" t="s">
        <v>3473</v>
      </c>
      <c r="S3353">
        <v>37</v>
      </c>
      <c r="T3353" s="1" t="s">
        <v>13878</v>
      </c>
      <c r="U3353" s="1" t="str">
        <f>HYPERLINK("http://ictvonline.org/taxonomy/p/taxonomy-history?taxnode_id=202107536","ICTVonline=202107536")</f>
        <v>ICTVonline=202107536</v>
      </c>
    </row>
    <row r="3354" spans="1:21" x14ac:dyDescent="0.2">
      <c r="A3354" s="3">
        <v>3353</v>
      </c>
      <c r="B3354" s="1" t="s">
        <v>4875</v>
      </c>
      <c r="D3354" s="1" t="s">
        <v>4876</v>
      </c>
      <c r="F3354" s="1" t="s">
        <v>4880</v>
      </c>
      <c r="H3354" s="1" t="s">
        <v>4881</v>
      </c>
      <c r="N3354" s="1" t="s">
        <v>6225</v>
      </c>
      <c r="P3354" s="1" t="s">
        <v>12090</v>
      </c>
      <c r="Q3354" s="30" t="s">
        <v>2565</v>
      </c>
      <c r="R3354" s="33" t="s">
        <v>3473</v>
      </c>
      <c r="S3354">
        <v>37</v>
      </c>
      <c r="T3354" s="1" t="s">
        <v>13878</v>
      </c>
      <c r="U3354" s="1" t="str">
        <f>HYPERLINK("http://ictvonline.org/taxonomy/p/taxonomy-history?taxnode_id=202109355","ICTVonline=202109355")</f>
        <v>ICTVonline=202109355</v>
      </c>
    </row>
    <row r="3355" spans="1:21" x14ac:dyDescent="0.2">
      <c r="A3355" s="3">
        <v>3354</v>
      </c>
      <c r="B3355" s="1" t="s">
        <v>4875</v>
      </c>
      <c r="D3355" s="1" t="s">
        <v>4876</v>
      </c>
      <c r="F3355" s="1" t="s">
        <v>4880</v>
      </c>
      <c r="H3355" s="1" t="s">
        <v>4881</v>
      </c>
      <c r="N3355" s="1" t="s">
        <v>6037</v>
      </c>
      <c r="P3355" s="1" t="s">
        <v>12091</v>
      </c>
      <c r="Q3355" s="30" t="s">
        <v>2565</v>
      </c>
      <c r="R3355" s="33" t="s">
        <v>3473</v>
      </c>
      <c r="S3355">
        <v>37</v>
      </c>
      <c r="T3355" s="1" t="s">
        <v>13878</v>
      </c>
      <c r="U3355" s="1" t="str">
        <f>HYPERLINK("http://ictvonline.org/taxonomy/p/taxonomy-history?taxnode_id=202111667","ICTVonline=202111667")</f>
        <v>ICTVonline=202111667</v>
      </c>
    </row>
    <row r="3356" spans="1:21" x14ac:dyDescent="0.2">
      <c r="A3356" s="3">
        <v>3355</v>
      </c>
      <c r="B3356" s="1" t="s">
        <v>4875</v>
      </c>
      <c r="D3356" s="1" t="s">
        <v>4876</v>
      </c>
      <c r="F3356" s="1" t="s">
        <v>4880</v>
      </c>
      <c r="H3356" s="1" t="s">
        <v>4881</v>
      </c>
      <c r="N3356" s="1" t="s">
        <v>5225</v>
      </c>
      <c r="P3356" s="1" t="s">
        <v>12092</v>
      </c>
      <c r="Q3356" s="30" t="s">
        <v>2565</v>
      </c>
      <c r="R3356" s="33" t="s">
        <v>3473</v>
      </c>
      <c r="S3356">
        <v>37</v>
      </c>
      <c r="T3356" s="1" t="s">
        <v>13878</v>
      </c>
      <c r="U3356" s="1" t="str">
        <f>HYPERLINK("http://ictvonline.org/taxonomy/p/taxonomy-history?taxnode_id=202108018","ICTVonline=202108018")</f>
        <v>ICTVonline=202108018</v>
      </c>
    </row>
    <row r="3357" spans="1:21" x14ac:dyDescent="0.2">
      <c r="A3357" s="3">
        <v>3356</v>
      </c>
      <c r="B3357" s="1" t="s">
        <v>4875</v>
      </c>
      <c r="D3357" s="1" t="s">
        <v>4876</v>
      </c>
      <c r="F3357" s="1" t="s">
        <v>4880</v>
      </c>
      <c r="H3357" s="1" t="s">
        <v>4881</v>
      </c>
      <c r="N3357" s="1" t="s">
        <v>5225</v>
      </c>
      <c r="P3357" s="1" t="s">
        <v>12093</v>
      </c>
      <c r="Q3357" s="30" t="s">
        <v>2565</v>
      </c>
      <c r="R3357" s="33" t="s">
        <v>3473</v>
      </c>
      <c r="S3357">
        <v>37</v>
      </c>
      <c r="T3357" s="1" t="s">
        <v>13878</v>
      </c>
      <c r="U3357" s="1" t="str">
        <f>HYPERLINK("http://ictvonline.org/taxonomy/p/taxonomy-history?taxnode_id=202108017","ICTVonline=202108017")</f>
        <v>ICTVonline=202108017</v>
      </c>
    </row>
    <row r="3358" spans="1:21" x14ac:dyDescent="0.2">
      <c r="A3358" s="3">
        <v>3357</v>
      </c>
      <c r="B3358" s="1" t="s">
        <v>4875</v>
      </c>
      <c r="D3358" s="1" t="s">
        <v>4876</v>
      </c>
      <c r="F3358" s="1" t="s">
        <v>4880</v>
      </c>
      <c r="H3358" s="1" t="s">
        <v>4881</v>
      </c>
      <c r="N3358" s="1" t="s">
        <v>4620</v>
      </c>
      <c r="P3358" s="1" t="s">
        <v>12094</v>
      </c>
      <c r="Q3358" s="30" t="s">
        <v>2565</v>
      </c>
      <c r="R3358" s="33" t="s">
        <v>3473</v>
      </c>
      <c r="S3358">
        <v>37</v>
      </c>
      <c r="T3358" s="1" t="s">
        <v>13878</v>
      </c>
      <c r="U3358" s="1" t="str">
        <f>HYPERLINK("http://ictvonline.org/taxonomy/p/taxonomy-history?taxnode_id=202100627","ICTVonline=202100627")</f>
        <v>ICTVonline=202100627</v>
      </c>
    </row>
    <row r="3359" spans="1:21" x14ac:dyDescent="0.2">
      <c r="A3359" s="3">
        <v>3358</v>
      </c>
      <c r="B3359" s="1" t="s">
        <v>4875</v>
      </c>
      <c r="D3359" s="1" t="s">
        <v>4876</v>
      </c>
      <c r="F3359" s="1" t="s">
        <v>4880</v>
      </c>
      <c r="H3359" s="1" t="s">
        <v>4881</v>
      </c>
      <c r="N3359" s="1" t="s">
        <v>6226</v>
      </c>
      <c r="P3359" s="1" t="s">
        <v>12095</v>
      </c>
      <c r="Q3359" s="30" t="s">
        <v>2565</v>
      </c>
      <c r="R3359" s="33" t="s">
        <v>3473</v>
      </c>
      <c r="S3359">
        <v>37</v>
      </c>
      <c r="T3359" s="1" t="s">
        <v>13878</v>
      </c>
      <c r="U3359" s="1" t="str">
        <f>HYPERLINK("http://ictvonline.org/taxonomy/p/taxonomy-history?taxnode_id=202111670","ICTVonline=202111670")</f>
        <v>ICTVonline=202111670</v>
      </c>
    </row>
    <row r="3360" spans="1:21" x14ac:dyDescent="0.2">
      <c r="A3360" s="3">
        <v>3359</v>
      </c>
      <c r="B3360" s="1" t="s">
        <v>4875</v>
      </c>
      <c r="D3360" s="1" t="s">
        <v>4876</v>
      </c>
      <c r="F3360" s="1" t="s">
        <v>4880</v>
      </c>
      <c r="H3360" s="1" t="s">
        <v>4881</v>
      </c>
      <c r="N3360" s="1" t="s">
        <v>6226</v>
      </c>
      <c r="P3360" s="1" t="s">
        <v>12096</v>
      </c>
      <c r="Q3360" s="30" t="s">
        <v>2565</v>
      </c>
      <c r="R3360" s="33" t="s">
        <v>3473</v>
      </c>
      <c r="S3360">
        <v>37</v>
      </c>
      <c r="T3360" s="1" t="s">
        <v>13878</v>
      </c>
      <c r="U3360" s="1" t="str">
        <f>HYPERLINK("http://ictvonline.org/taxonomy/p/taxonomy-history?taxnode_id=202111671","ICTVonline=202111671")</f>
        <v>ICTVonline=202111671</v>
      </c>
    </row>
    <row r="3361" spans="1:21" x14ac:dyDescent="0.2">
      <c r="A3361" s="3">
        <v>3360</v>
      </c>
      <c r="B3361" s="1" t="s">
        <v>4875</v>
      </c>
      <c r="D3361" s="1" t="s">
        <v>4876</v>
      </c>
      <c r="F3361" s="1" t="s">
        <v>4880</v>
      </c>
      <c r="H3361" s="1" t="s">
        <v>4881</v>
      </c>
      <c r="N3361" s="1" t="s">
        <v>6226</v>
      </c>
      <c r="P3361" s="1" t="s">
        <v>12097</v>
      </c>
      <c r="Q3361" s="30" t="s">
        <v>2565</v>
      </c>
      <c r="R3361" s="33" t="s">
        <v>3473</v>
      </c>
      <c r="S3361">
        <v>37</v>
      </c>
      <c r="T3361" s="1" t="s">
        <v>13878</v>
      </c>
      <c r="U3361" s="1" t="str">
        <f>HYPERLINK("http://ictvonline.org/taxonomy/p/taxonomy-history?taxnode_id=202111669","ICTVonline=202111669")</f>
        <v>ICTVonline=202111669</v>
      </c>
    </row>
    <row r="3362" spans="1:21" x14ac:dyDescent="0.2">
      <c r="A3362" s="3">
        <v>3361</v>
      </c>
      <c r="B3362" s="1" t="s">
        <v>4875</v>
      </c>
      <c r="D3362" s="1" t="s">
        <v>4876</v>
      </c>
      <c r="F3362" s="1" t="s">
        <v>4880</v>
      </c>
      <c r="H3362" s="1" t="s">
        <v>4881</v>
      </c>
      <c r="N3362" s="1" t="s">
        <v>4724</v>
      </c>
      <c r="P3362" s="1" t="s">
        <v>12098</v>
      </c>
      <c r="Q3362" s="30" t="s">
        <v>2565</v>
      </c>
      <c r="R3362" s="33" t="s">
        <v>3473</v>
      </c>
      <c r="S3362">
        <v>37</v>
      </c>
      <c r="T3362" s="1" t="s">
        <v>13878</v>
      </c>
      <c r="U3362" s="1" t="str">
        <f>HYPERLINK("http://ictvonline.org/taxonomy/p/taxonomy-history?taxnode_id=202101085","ICTVonline=202101085")</f>
        <v>ICTVonline=202101085</v>
      </c>
    </row>
    <row r="3363" spans="1:21" x14ac:dyDescent="0.2">
      <c r="A3363" s="3">
        <v>3362</v>
      </c>
      <c r="B3363" s="1" t="s">
        <v>4875</v>
      </c>
      <c r="D3363" s="1" t="s">
        <v>4876</v>
      </c>
      <c r="F3363" s="1" t="s">
        <v>4880</v>
      </c>
      <c r="H3363" s="1" t="s">
        <v>4881</v>
      </c>
      <c r="N3363" s="1" t="s">
        <v>12099</v>
      </c>
      <c r="P3363" s="1" t="s">
        <v>13969</v>
      </c>
      <c r="Q3363" s="30" t="s">
        <v>2565</v>
      </c>
      <c r="R3363" s="33" t="s">
        <v>3472</v>
      </c>
      <c r="S3363">
        <v>37</v>
      </c>
      <c r="T3363" s="1" t="s">
        <v>13964</v>
      </c>
      <c r="U3363" s="1" t="str">
        <f>HYPERLINK("http://ictvonline.org/taxonomy/p/taxonomy-history?taxnode_id=202112882","ICTVonline=202112882")</f>
        <v>ICTVonline=202112882</v>
      </c>
    </row>
    <row r="3364" spans="1:21" x14ac:dyDescent="0.2">
      <c r="A3364" s="3">
        <v>3363</v>
      </c>
      <c r="B3364" s="1" t="s">
        <v>4875</v>
      </c>
      <c r="D3364" s="1" t="s">
        <v>4876</v>
      </c>
      <c r="F3364" s="1" t="s">
        <v>4880</v>
      </c>
      <c r="H3364" s="1" t="s">
        <v>4881</v>
      </c>
      <c r="N3364" s="1" t="s">
        <v>12099</v>
      </c>
      <c r="P3364" s="1" t="s">
        <v>13970</v>
      </c>
      <c r="Q3364" s="30" t="s">
        <v>2565</v>
      </c>
      <c r="R3364" s="33" t="s">
        <v>3472</v>
      </c>
      <c r="S3364">
        <v>37</v>
      </c>
      <c r="T3364" s="1" t="s">
        <v>13964</v>
      </c>
      <c r="U3364" s="1" t="str">
        <f>HYPERLINK("http://ictvonline.org/taxonomy/p/taxonomy-history?taxnode_id=202112881","ICTVonline=202112881")</f>
        <v>ICTVonline=202112881</v>
      </c>
    </row>
    <row r="3365" spans="1:21" x14ac:dyDescent="0.2">
      <c r="A3365" s="3">
        <v>3364</v>
      </c>
      <c r="B3365" s="1" t="s">
        <v>4875</v>
      </c>
      <c r="D3365" s="1" t="s">
        <v>4876</v>
      </c>
      <c r="F3365" s="1" t="s">
        <v>4880</v>
      </c>
      <c r="H3365" s="1" t="s">
        <v>4881</v>
      </c>
      <c r="N3365" s="1" t="s">
        <v>4725</v>
      </c>
      <c r="P3365" s="1" t="s">
        <v>12100</v>
      </c>
      <c r="Q3365" s="30" t="s">
        <v>2565</v>
      </c>
      <c r="R3365" s="33" t="s">
        <v>3472</v>
      </c>
      <c r="S3365">
        <v>37</v>
      </c>
      <c r="T3365" s="1" t="s">
        <v>13971</v>
      </c>
      <c r="U3365" s="1" t="str">
        <f>HYPERLINK("http://ictvonline.org/taxonomy/p/taxonomy-history?taxnode_id=202112894","ICTVonline=202112894")</f>
        <v>ICTVonline=202112894</v>
      </c>
    </row>
    <row r="3366" spans="1:21" x14ac:dyDescent="0.2">
      <c r="A3366" s="3">
        <v>3365</v>
      </c>
      <c r="B3366" s="1" t="s">
        <v>4875</v>
      </c>
      <c r="D3366" s="1" t="s">
        <v>4876</v>
      </c>
      <c r="F3366" s="1" t="s">
        <v>4880</v>
      </c>
      <c r="H3366" s="1" t="s">
        <v>4881</v>
      </c>
      <c r="N3366" s="1" t="s">
        <v>4725</v>
      </c>
      <c r="P3366" s="1" t="s">
        <v>12101</v>
      </c>
      <c r="Q3366" s="30" t="s">
        <v>2565</v>
      </c>
      <c r="R3366" s="33" t="s">
        <v>3472</v>
      </c>
      <c r="S3366">
        <v>37</v>
      </c>
      <c r="T3366" s="1" t="s">
        <v>13971</v>
      </c>
      <c r="U3366" s="1" t="str">
        <f>HYPERLINK("http://ictvonline.org/taxonomy/p/taxonomy-history?taxnode_id=202112893","ICTVonline=202112893")</f>
        <v>ICTVonline=202112893</v>
      </c>
    </row>
    <row r="3367" spans="1:21" x14ac:dyDescent="0.2">
      <c r="A3367" s="3">
        <v>3366</v>
      </c>
      <c r="B3367" s="1" t="s">
        <v>4875</v>
      </c>
      <c r="D3367" s="1" t="s">
        <v>4876</v>
      </c>
      <c r="F3367" s="1" t="s">
        <v>4880</v>
      </c>
      <c r="H3367" s="1" t="s">
        <v>4881</v>
      </c>
      <c r="N3367" s="1" t="s">
        <v>4725</v>
      </c>
      <c r="P3367" s="1" t="s">
        <v>12102</v>
      </c>
      <c r="Q3367" s="30" t="s">
        <v>2565</v>
      </c>
      <c r="R3367" s="33" t="s">
        <v>3473</v>
      </c>
      <c r="S3367">
        <v>37</v>
      </c>
      <c r="T3367" s="1" t="s">
        <v>13878</v>
      </c>
      <c r="U3367" s="1" t="str">
        <f>HYPERLINK("http://ictvonline.org/taxonomy/p/taxonomy-history?taxnode_id=202101245","ICTVonline=202101245")</f>
        <v>ICTVonline=202101245</v>
      </c>
    </row>
    <row r="3368" spans="1:21" x14ac:dyDescent="0.2">
      <c r="A3368" s="3">
        <v>3367</v>
      </c>
      <c r="B3368" s="1" t="s">
        <v>4875</v>
      </c>
      <c r="D3368" s="1" t="s">
        <v>4876</v>
      </c>
      <c r="F3368" s="1" t="s">
        <v>4880</v>
      </c>
      <c r="H3368" s="1" t="s">
        <v>4881</v>
      </c>
      <c r="N3368" s="1" t="s">
        <v>4725</v>
      </c>
      <c r="P3368" s="1" t="s">
        <v>12103</v>
      </c>
      <c r="Q3368" s="30" t="s">
        <v>2565</v>
      </c>
      <c r="R3368" s="33" t="s">
        <v>3473</v>
      </c>
      <c r="S3368">
        <v>37</v>
      </c>
      <c r="T3368" s="1" t="s">
        <v>13878</v>
      </c>
      <c r="U3368" s="1" t="str">
        <f>HYPERLINK("http://ictvonline.org/taxonomy/p/taxonomy-history?taxnode_id=202101363","ICTVonline=202101363")</f>
        <v>ICTVonline=202101363</v>
      </c>
    </row>
    <row r="3369" spans="1:21" x14ac:dyDescent="0.2">
      <c r="A3369" s="3">
        <v>3368</v>
      </c>
      <c r="B3369" s="1" t="s">
        <v>4875</v>
      </c>
      <c r="D3369" s="1" t="s">
        <v>4876</v>
      </c>
      <c r="F3369" s="1" t="s">
        <v>4880</v>
      </c>
      <c r="H3369" s="1" t="s">
        <v>4881</v>
      </c>
      <c r="N3369" s="1" t="s">
        <v>4725</v>
      </c>
      <c r="P3369" s="1" t="s">
        <v>12104</v>
      </c>
      <c r="Q3369" s="30" t="s">
        <v>2565</v>
      </c>
      <c r="R3369" s="33" t="s">
        <v>3472</v>
      </c>
      <c r="S3369">
        <v>37</v>
      </c>
      <c r="T3369" s="1" t="s">
        <v>13971</v>
      </c>
      <c r="U3369" s="1" t="str">
        <f>HYPERLINK("http://ictvonline.org/taxonomy/p/taxonomy-history?taxnode_id=202112895","ICTVonline=202112895")</f>
        <v>ICTVonline=202112895</v>
      </c>
    </row>
    <row r="3370" spans="1:21" x14ac:dyDescent="0.2">
      <c r="A3370" s="3">
        <v>3369</v>
      </c>
      <c r="B3370" s="1" t="s">
        <v>4875</v>
      </c>
      <c r="D3370" s="1" t="s">
        <v>4876</v>
      </c>
      <c r="F3370" s="1" t="s">
        <v>4880</v>
      </c>
      <c r="H3370" s="1" t="s">
        <v>4881</v>
      </c>
      <c r="N3370" s="1" t="s">
        <v>4725</v>
      </c>
      <c r="P3370" s="1" t="s">
        <v>6227</v>
      </c>
      <c r="Q3370" s="30" t="s">
        <v>2565</v>
      </c>
      <c r="R3370" s="33" t="s">
        <v>3474</v>
      </c>
      <c r="S3370">
        <v>37</v>
      </c>
      <c r="T3370" s="1" t="s">
        <v>13880</v>
      </c>
      <c r="U3370" s="1" t="str">
        <f>HYPERLINK("http://ictvonline.org/taxonomy/p/taxonomy-history?taxnode_id=202111673","ICTVonline=202111673")</f>
        <v>ICTVonline=202111673</v>
      </c>
    </row>
    <row r="3371" spans="1:21" x14ac:dyDescent="0.2">
      <c r="A3371" s="3">
        <v>3370</v>
      </c>
      <c r="B3371" s="1" t="s">
        <v>4875</v>
      </c>
      <c r="D3371" s="1" t="s">
        <v>4876</v>
      </c>
      <c r="F3371" s="1" t="s">
        <v>4880</v>
      </c>
      <c r="H3371" s="1" t="s">
        <v>4881</v>
      </c>
      <c r="N3371" s="1" t="s">
        <v>4725</v>
      </c>
      <c r="P3371" s="1" t="s">
        <v>6228</v>
      </c>
      <c r="Q3371" s="30" t="s">
        <v>2565</v>
      </c>
      <c r="R3371" s="33" t="s">
        <v>3474</v>
      </c>
      <c r="S3371">
        <v>37</v>
      </c>
      <c r="T3371" s="1" t="s">
        <v>13880</v>
      </c>
      <c r="U3371" s="1" t="str">
        <f>HYPERLINK("http://ictvonline.org/taxonomy/p/taxonomy-history?taxnode_id=202111672","ICTVonline=202111672")</f>
        <v>ICTVonline=202111672</v>
      </c>
    </row>
    <row r="3372" spans="1:21" x14ac:dyDescent="0.2">
      <c r="A3372" s="3">
        <v>3371</v>
      </c>
      <c r="B3372" s="1" t="s">
        <v>4875</v>
      </c>
      <c r="D3372" s="1" t="s">
        <v>4876</v>
      </c>
      <c r="F3372" s="1" t="s">
        <v>4880</v>
      </c>
      <c r="H3372" s="1" t="s">
        <v>4881</v>
      </c>
      <c r="N3372" s="1" t="s">
        <v>4726</v>
      </c>
      <c r="P3372" s="1" t="s">
        <v>12105</v>
      </c>
      <c r="Q3372" s="30" t="s">
        <v>2565</v>
      </c>
      <c r="R3372" s="33" t="s">
        <v>3473</v>
      </c>
      <c r="S3372">
        <v>37</v>
      </c>
      <c r="T3372" s="1" t="s">
        <v>13878</v>
      </c>
      <c r="U3372" s="1" t="str">
        <f>HYPERLINK("http://ictvonline.org/taxonomy/p/taxonomy-history?taxnode_id=202106863","ICTVonline=202106863")</f>
        <v>ICTVonline=202106863</v>
      </c>
    </row>
    <row r="3373" spans="1:21" x14ac:dyDescent="0.2">
      <c r="A3373" s="3">
        <v>3372</v>
      </c>
      <c r="B3373" s="1" t="s">
        <v>4875</v>
      </c>
      <c r="D3373" s="1" t="s">
        <v>4876</v>
      </c>
      <c r="F3373" s="1" t="s">
        <v>4880</v>
      </c>
      <c r="H3373" s="1" t="s">
        <v>4881</v>
      </c>
      <c r="N3373" s="1" t="s">
        <v>4727</v>
      </c>
      <c r="P3373" s="1" t="s">
        <v>12106</v>
      </c>
      <c r="Q3373" s="30" t="s">
        <v>2565</v>
      </c>
      <c r="R3373" s="33" t="s">
        <v>3473</v>
      </c>
      <c r="S3373">
        <v>37</v>
      </c>
      <c r="T3373" s="1" t="s">
        <v>13878</v>
      </c>
      <c r="U3373" s="1" t="str">
        <f>HYPERLINK("http://ictvonline.org/taxonomy/p/taxonomy-history?taxnode_id=202106752","ICTVonline=202106752")</f>
        <v>ICTVonline=202106752</v>
      </c>
    </row>
    <row r="3374" spans="1:21" x14ac:dyDescent="0.2">
      <c r="A3374" s="3">
        <v>3373</v>
      </c>
      <c r="B3374" s="1" t="s">
        <v>4875</v>
      </c>
      <c r="D3374" s="1" t="s">
        <v>4876</v>
      </c>
      <c r="F3374" s="1" t="s">
        <v>4880</v>
      </c>
      <c r="H3374" s="1" t="s">
        <v>4881</v>
      </c>
      <c r="N3374" s="1" t="s">
        <v>4727</v>
      </c>
      <c r="P3374" s="1" t="s">
        <v>12107</v>
      </c>
      <c r="Q3374" s="30" t="s">
        <v>2565</v>
      </c>
      <c r="R3374" s="33" t="s">
        <v>3473</v>
      </c>
      <c r="S3374">
        <v>37</v>
      </c>
      <c r="T3374" s="1" t="s">
        <v>13878</v>
      </c>
      <c r="U3374" s="1" t="str">
        <f>HYPERLINK("http://ictvonline.org/taxonomy/p/taxonomy-history?taxnode_id=202106751","ICTVonline=202106751")</f>
        <v>ICTVonline=202106751</v>
      </c>
    </row>
    <row r="3375" spans="1:21" x14ac:dyDescent="0.2">
      <c r="A3375" s="3">
        <v>3374</v>
      </c>
      <c r="B3375" s="1" t="s">
        <v>4875</v>
      </c>
      <c r="D3375" s="1" t="s">
        <v>4876</v>
      </c>
      <c r="F3375" s="1" t="s">
        <v>4880</v>
      </c>
      <c r="H3375" s="1" t="s">
        <v>4881</v>
      </c>
      <c r="N3375" s="1" t="s">
        <v>4568</v>
      </c>
      <c r="P3375" s="1" t="s">
        <v>12108</v>
      </c>
      <c r="Q3375" s="30" t="s">
        <v>2565</v>
      </c>
      <c r="R3375" s="33" t="s">
        <v>3473</v>
      </c>
      <c r="S3375">
        <v>37</v>
      </c>
      <c r="T3375" s="1" t="s">
        <v>13878</v>
      </c>
      <c r="U3375" s="1" t="str">
        <f>HYPERLINK("http://ictvonline.org/taxonomy/p/taxonomy-history?taxnode_id=202106865","ICTVonline=202106865")</f>
        <v>ICTVonline=202106865</v>
      </c>
    </row>
    <row r="3376" spans="1:21" x14ac:dyDescent="0.2">
      <c r="A3376" s="3">
        <v>3375</v>
      </c>
      <c r="B3376" s="1" t="s">
        <v>4875</v>
      </c>
      <c r="D3376" s="1" t="s">
        <v>4876</v>
      </c>
      <c r="F3376" s="1" t="s">
        <v>4880</v>
      </c>
      <c r="H3376" s="1" t="s">
        <v>4881</v>
      </c>
      <c r="N3376" s="1" t="s">
        <v>4569</v>
      </c>
      <c r="P3376" s="1" t="s">
        <v>12109</v>
      </c>
      <c r="Q3376" s="30" t="s">
        <v>2565</v>
      </c>
      <c r="R3376" s="33" t="s">
        <v>3473</v>
      </c>
      <c r="S3376">
        <v>37</v>
      </c>
      <c r="T3376" s="1" t="s">
        <v>13878</v>
      </c>
      <c r="U3376" s="1" t="str">
        <f>HYPERLINK("http://ictvonline.org/taxonomy/p/taxonomy-history?taxnode_id=202106867","ICTVonline=202106867")</f>
        <v>ICTVonline=202106867</v>
      </c>
    </row>
    <row r="3377" spans="1:21" x14ac:dyDescent="0.2">
      <c r="A3377" s="3">
        <v>3376</v>
      </c>
      <c r="B3377" s="1" t="s">
        <v>4875</v>
      </c>
      <c r="D3377" s="1" t="s">
        <v>4876</v>
      </c>
      <c r="F3377" s="1" t="s">
        <v>4880</v>
      </c>
      <c r="H3377" s="1" t="s">
        <v>4881</v>
      </c>
      <c r="N3377" s="1" t="s">
        <v>6229</v>
      </c>
      <c r="P3377" s="1" t="s">
        <v>12110</v>
      </c>
      <c r="Q3377" s="30" t="s">
        <v>2565</v>
      </c>
      <c r="R3377" s="33" t="s">
        <v>3473</v>
      </c>
      <c r="S3377">
        <v>37</v>
      </c>
      <c r="T3377" s="1" t="s">
        <v>13878</v>
      </c>
      <c r="U3377" s="1" t="str">
        <f>HYPERLINK("http://ictvonline.org/taxonomy/p/taxonomy-history?taxnode_id=202101210","ICTVonline=202101210")</f>
        <v>ICTVonline=202101210</v>
      </c>
    </row>
    <row r="3378" spans="1:21" x14ac:dyDescent="0.2">
      <c r="A3378" s="3">
        <v>3377</v>
      </c>
      <c r="B3378" s="1" t="s">
        <v>4875</v>
      </c>
      <c r="D3378" s="1" t="s">
        <v>4876</v>
      </c>
      <c r="F3378" s="1" t="s">
        <v>4880</v>
      </c>
      <c r="H3378" s="1" t="s">
        <v>4881</v>
      </c>
      <c r="N3378" s="1" t="s">
        <v>6229</v>
      </c>
      <c r="P3378" s="1" t="s">
        <v>12111</v>
      </c>
      <c r="Q3378" s="30" t="s">
        <v>2565</v>
      </c>
      <c r="R3378" s="33" t="s">
        <v>3473</v>
      </c>
      <c r="S3378">
        <v>37</v>
      </c>
      <c r="T3378" s="1" t="s">
        <v>13878</v>
      </c>
      <c r="U3378" s="1" t="str">
        <f>HYPERLINK("http://ictvonline.org/taxonomy/p/taxonomy-history?taxnode_id=202111676","ICTVonline=202111676")</f>
        <v>ICTVonline=202111676</v>
      </c>
    </row>
    <row r="3379" spans="1:21" x14ac:dyDescent="0.2">
      <c r="A3379" s="3">
        <v>3378</v>
      </c>
      <c r="B3379" s="1" t="s">
        <v>4875</v>
      </c>
      <c r="D3379" s="1" t="s">
        <v>4876</v>
      </c>
      <c r="F3379" s="1" t="s">
        <v>4880</v>
      </c>
      <c r="H3379" s="1" t="s">
        <v>4881</v>
      </c>
      <c r="N3379" s="1" t="s">
        <v>6229</v>
      </c>
      <c r="P3379" s="1" t="s">
        <v>12112</v>
      </c>
      <c r="Q3379" s="30" t="s">
        <v>2565</v>
      </c>
      <c r="R3379" s="33" t="s">
        <v>3473</v>
      </c>
      <c r="S3379">
        <v>37</v>
      </c>
      <c r="T3379" s="1" t="s">
        <v>13878</v>
      </c>
      <c r="U3379" s="1" t="str">
        <f>HYPERLINK("http://ictvonline.org/taxonomy/p/taxonomy-history?taxnode_id=202111675","ICTVonline=202111675")</f>
        <v>ICTVonline=202111675</v>
      </c>
    </row>
    <row r="3380" spans="1:21" x14ac:dyDescent="0.2">
      <c r="A3380" s="3">
        <v>3379</v>
      </c>
      <c r="B3380" s="1" t="s">
        <v>4875</v>
      </c>
      <c r="D3380" s="1" t="s">
        <v>4876</v>
      </c>
      <c r="F3380" s="1" t="s">
        <v>4880</v>
      </c>
      <c r="H3380" s="1" t="s">
        <v>4881</v>
      </c>
      <c r="N3380" s="1" t="s">
        <v>6229</v>
      </c>
      <c r="P3380" s="1" t="s">
        <v>12113</v>
      </c>
      <c r="Q3380" s="30" t="s">
        <v>2565</v>
      </c>
      <c r="R3380" s="33" t="s">
        <v>3473</v>
      </c>
      <c r="S3380">
        <v>37</v>
      </c>
      <c r="T3380" s="1" t="s">
        <v>13878</v>
      </c>
      <c r="U3380" s="1" t="str">
        <f>HYPERLINK("http://ictvonline.org/taxonomy/p/taxonomy-history?taxnode_id=202101212","ICTVonline=202101212")</f>
        <v>ICTVonline=202101212</v>
      </c>
    </row>
    <row r="3381" spans="1:21" x14ac:dyDescent="0.2">
      <c r="A3381" s="3">
        <v>3380</v>
      </c>
      <c r="B3381" s="1" t="s">
        <v>4875</v>
      </c>
      <c r="D3381" s="1" t="s">
        <v>4876</v>
      </c>
      <c r="F3381" s="1" t="s">
        <v>4880</v>
      </c>
      <c r="H3381" s="1" t="s">
        <v>4881</v>
      </c>
      <c r="N3381" s="1" t="s">
        <v>6229</v>
      </c>
      <c r="P3381" s="1" t="s">
        <v>12114</v>
      </c>
      <c r="Q3381" s="30" t="s">
        <v>2565</v>
      </c>
      <c r="R3381" s="33" t="s">
        <v>3473</v>
      </c>
      <c r="S3381">
        <v>37</v>
      </c>
      <c r="T3381" s="1" t="s">
        <v>13878</v>
      </c>
      <c r="U3381" s="1" t="str">
        <f>HYPERLINK("http://ictvonline.org/taxonomy/p/taxonomy-history?taxnode_id=202101213","ICTVonline=202101213")</f>
        <v>ICTVonline=202101213</v>
      </c>
    </row>
    <row r="3382" spans="1:21" x14ac:dyDescent="0.2">
      <c r="A3382" s="3">
        <v>3381</v>
      </c>
      <c r="B3382" s="1" t="s">
        <v>4875</v>
      </c>
      <c r="D3382" s="1" t="s">
        <v>4876</v>
      </c>
      <c r="F3382" s="1" t="s">
        <v>4880</v>
      </c>
      <c r="H3382" s="1" t="s">
        <v>4881</v>
      </c>
      <c r="N3382" s="1" t="s">
        <v>6229</v>
      </c>
      <c r="P3382" s="1" t="s">
        <v>12115</v>
      </c>
      <c r="Q3382" s="30" t="s">
        <v>2565</v>
      </c>
      <c r="R3382" s="33" t="s">
        <v>3473</v>
      </c>
      <c r="S3382">
        <v>37</v>
      </c>
      <c r="T3382" s="1" t="s">
        <v>13878</v>
      </c>
      <c r="U3382" s="1" t="str">
        <f>HYPERLINK("http://ictvonline.org/taxonomy/p/taxonomy-history?taxnode_id=202101215","ICTVonline=202101215")</f>
        <v>ICTVonline=202101215</v>
      </c>
    </row>
    <row r="3383" spans="1:21" x14ac:dyDescent="0.2">
      <c r="A3383" s="3">
        <v>3382</v>
      </c>
      <c r="B3383" s="1" t="s">
        <v>4875</v>
      </c>
      <c r="D3383" s="1" t="s">
        <v>4876</v>
      </c>
      <c r="F3383" s="1" t="s">
        <v>4880</v>
      </c>
      <c r="H3383" s="1" t="s">
        <v>4881</v>
      </c>
      <c r="N3383" s="1" t="s">
        <v>6230</v>
      </c>
      <c r="P3383" s="1" t="s">
        <v>12116</v>
      </c>
      <c r="Q3383" s="30" t="s">
        <v>2565</v>
      </c>
      <c r="R3383" s="33" t="s">
        <v>3473</v>
      </c>
      <c r="S3383">
        <v>37</v>
      </c>
      <c r="T3383" s="1" t="s">
        <v>13878</v>
      </c>
      <c r="U3383" s="1" t="str">
        <f>HYPERLINK("http://ictvonline.org/taxonomy/p/taxonomy-history?taxnode_id=202111678","ICTVonline=202111678")</f>
        <v>ICTVonline=202111678</v>
      </c>
    </row>
    <row r="3384" spans="1:21" x14ac:dyDescent="0.2">
      <c r="A3384" s="3">
        <v>3383</v>
      </c>
      <c r="B3384" s="1" t="s">
        <v>4875</v>
      </c>
      <c r="D3384" s="1" t="s">
        <v>4876</v>
      </c>
      <c r="F3384" s="1" t="s">
        <v>4880</v>
      </c>
      <c r="H3384" s="1" t="s">
        <v>4881</v>
      </c>
      <c r="N3384" s="1" t="s">
        <v>5226</v>
      </c>
      <c r="P3384" s="1" t="s">
        <v>12117</v>
      </c>
      <c r="Q3384" s="30" t="s">
        <v>2565</v>
      </c>
      <c r="R3384" s="33" t="s">
        <v>3473</v>
      </c>
      <c r="S3384">
        <v>37</v>
      </c>
      <c r="T3384" s="1" t="s">
        <v>13878</v>
      </c>
      <c r="U3384" s="1" t="str">
        <f>HYPERLINK("http://ictvonline.org/taxonomy/p/taxonomy-history?taxnode_id=202107546","ICTVonline=202107546")</f>
        <v>ICTVonline=202107546</v>
      </c>
    </row>
    <row r="3385" spans="1:21" x14ac:dyDescent="0.2">
      <c r="A3385" s="3">
        <v>3384</v>
      </c>
      <c r="B3385" s="1" t="s">
        <v>4875</v>
      </c>
      <c r="D3385" s="1" t="s">
        <v>4876</v>
      </c>
      <c r="F3385" s="1" t="s">
        <v>4880</v>
      </c>
      <c r="H3385" s="1" t="s">
        <v>4881</v>
      </c>
      <c r="N3385" s="1" t="s">
        <v>5227</v>
      </c>
      <c r="P3385" s="1" t="s">
        <v>12118</v>
      </c>
      <c r="Q3385" s="30" t="s">
        <v>2565</v>
      </c>
      <c r="R3385" s="33" t="s">
        <v>3473</v>
      </c>
      <c r="S3385">
        <v>37</v>
      </c>
      <c r="T3385" s="1" t="s">
        <v>13878</v>
      </c>
      <c r="U3385" s="1" t="str">
        <f>HYPERLINK("http://ictvonline.org/taxonomy/p/taxonomy-history?taxnode_id=202107556","ICTVonline=202107556")</f>
        <v>ICTVonline=202107556</v>
      </c>
    </row>
    <row r="3386" spans="1:21" x14ac:dyDescent="0.2">
      <c r="A3386" s="3">
        <v>3385</v>
      </c>
      <c r="B3386" s="1" t="s">
        <v>4875</v>
      </c>
      <c r="D3386" s="1" t="s">
        <v>4876</v>
      </c>
      <c r="F3386" s="1" t="s">
        <v>4880</v>
      </c>
      <c r="H3386" s="1" t="s">
        <v>4881</v>
      </c>
      <c r="N3386" s="1" t="s">
        <v>5227</v>
      </c>
      <c r="P3386" s="1" t="s">
        <v>12119</v>
      </c>
      <c r="Q3386" s="30" t="s">
        <v>2565</v>
      </c>
      <c r="R3386" s="33" t="s">
        <v>3473</v>
      </c>
      <c r="S3386">
        <v>37</v>
      </c>
      <c r="T3386" s="1" t="s">
        <v>13878</v>
      </c>
      <c r="U3386" s="1" t="str">
        <f>HYPERLINK("http://ictvonline.org/taxonomy/p/taxonomy-history?taxnode_id=202107555","ICTVonline=202107555")</f>
        <v>ICTVonline=202107555</v>
      </c>
    </row>
    <row r="3387" spans="1:21" x14ac:dyDescent="0.2">
      <c r="A3387" s="3">
        <v>3386</v>
      </c>
      <c r="B3387" s="1" t="s">
        <v>4875</v>
      </c>
      <c r="D3387" s="1" t="s">
        <v>4876</v>
      </c>
      <c r="F3387" s="1" t="s">
        <v>4880</v>
      </c>
      <c r="H3387" s="1" t="s">
        <v>4881</v>
      </c>
      <c r="N3387" s="1" t="s">
        <v>12120</v>
      </c>
      <c r="P3387" s="1" t="s">
        <v>12121</v>
      </c>
      <c r="Q3387" s="30" t="s">
        <v>2565</v>
      </c>
      <c r="R3387" s="33" t="s">
        <v>3472</v>
      </c>
      <c r="S3387">
        <v>37</v>
      </c>
      <c r="T3387" s="1" t="s">
        <v>13972</v>
      </c>
      <c r="U3387" s="1" t="str">
        <f>HYPERLINK("http://ictvonline.org/taxonomy/p/taxonomy-history?taxnode_id=202112897","ICTVonline=202112897")</f>
        <v>ICTVonline=202112897</v>
      </c>
    </row>
    <row r="3388" spans="1:21" x14ac:dyDescent="0.2">
      <c r="A3388" s="3">
        <v>3387</v>
      </c>
      <c r="B3388" s="1" t="s">
        <v>4875</v>
      </c>
      <c r="D3388" s="1" t="s">
        <v>4876</v>
      </c>
      <c r="F3388" s="1" t="s">
        <v>4880</v>
      </c>
      <c r="H3388" s="1" t="s">
        <v>4881</v>
      </c>
      <c r="N3388" s="1" t="s">
        <v>5138</v>
      </c>
      <c r="P3388" s="1" t="s">
        <v>12122</v>
      </c>
      <c r="Q3388" s="30" t="s">
        <v>2565</v>
      </c>
      <c r="R3388" s="33" t="s">
        <v>3473</v>
      </c>
      <c r="S3388">
        <v>37</v>
      </c>
      <c r="T3388" s="1" t="s">
        <v>13878</v>
      </c>
      <c r="U3388" s="1" t="str">
        <f>HYPERLINK("http://ictvonline.org/taxonomy/p/taxonomy-history?taxnode_id=202111684","ICTVonline=202111684")</f>
        <v>ICTVonline=202111684</v>
      </c>
    </row>
    <row r="3389" spans="1:21" x14ac:dyDescent="0.2">
      <c r="A3389" s="3">
        <v>3388</v>
      </c>
      <c r="B3389" s="1" t="s">
        <v>4875</v>
      </c>
      <c r="D3389" s="1" t="s">
        <v>4876</v>
      </c>
      <c r="F3389" s="1" t="s">
        <v>4880</v>
      </c>
      <c r="H3389" s="1" t="s">
        <v>4881</v>
      </c>
      <c r="N3389" s="1" t="s">
        <v>5138</v>
      </c>
      <c r="P3389" s="1" t="s">
        <v>12123</v>
      </c>
      <c r="Q3389" s="30" t="s">
        <v>2565</v>
      </c>
      <c r="R3389" s="33" t="s">
        <v>3473</v>
      </c>
      <c r="S3389">
        <v>37</v>
      </c>
      <c r="T3389" s="1" t="s">
        <v>13878</v>
      </c>
      <c r="U3389" s="1" t="str">
        <f>HYPERLINK("http://ictvonline.org/taxonomy/p/taxonomy-history?taxnode_id=202107916","ICTVonline=202107916")</f>
        <v>ICTVonline=202107916</v>
      </c>
    </row>
    <row r="3390" spans="1:21" x14ac:dyDescent="0.2">
      <c r="A3390" s="3">
        <v>3389</v>
      </c>
      <c r="B3390" s="1" t="s">
        <v>4875</v>
      </c>
      <c r="D3390" s="1" t="s">
        <v>4876</v>
      </c>
      <c r="F3390" s="1" t="s">
        <v>4880</v>
      </c>
      <c r="H3390" s="1" t="s">
        <v>4881</v>
      </c>
      <c r="N3390" s="1" t="s">
        <v>5138</v>
      </c>
      <c r="P3390" s="1" t="s">
        <v>12124</v>
      </c>
      <c r="Q3390" s="30" t="s">
        <v>2565</v>
      </c>
      <c r="R3390" s="33" t="s">
        <v>3473</v>
      </c>
      <c r="S3390">
        <v>37</v>
      </c>
      <c r="T3390" s="1" t="s">
        <v>13878</v>
      </c>
      <c r="U3390" s="1" t="str">
        <f>HYPERLINK("http://ictvonline.org/taxonomy/p/taxonomy-history?taxnode_id=202111682","ICTVonline=202111682")</f>
        <v>ICTVonline=202111682</v>
      </c>
    </row>
    <row r="3391" spans="1:21" x14ac:dyDescent="0.2">
      <c r="A3391" s="3">
        <v>3390</v>
      </c>
      <c r="B3391" s="1" t="s">
        <v>4875</v>
      </c>
      <c r="D3391" s="1" t="s">
        <v>4876</v>
      </c>
      <c r="F3391" s="1" t="s">
        <v>4880</v>
      </c>
      <c r="H3391" s="1" t="s">
        <v>4881</v>
      </c>
      <c r="N3391" s="1" t="s">
        <v>5138</v>
      </c>
      <c r="P3391" s="1" t="s">
        <v>12125</v>
      </c>
      <c r="Q3391" s="30" t="s">
        <v>2565</v>
      </c>
      <c r="R3391" s="33" t="s">
        <v>3473</v>
      </c>
      <c r="S3391">
        <v>37</v>
      </c>
      <c r="T3391" s="1" t="s">
        <v>13878</v>
      </c>
      <c r="U3391" s="1" t="str">
        <f>HYPERLINK("http://ictvonline.org/taxonomy/p/taxonomy-history?taxnode_id=202111685","ICTVonline=202111685")</f>
        <v>ICTVonline=202111685</v>
      </c>
    </row>
    <row r="3392" spans="1:21" x14ac:dyDescent="0.2">
      <c r="A3392" s="3">
        <v>3391</v>
      </c>
      <c r="B3392" s="1" t="s">
        <v>4875</v>
      </c>
      <c r="D3392" s="1" t="s">
        <v>4876</v>
      </c>
      <c r="F3392" s="1" t="s">
        <v>4880</v>
      </c>
      <c r="H3392" s="1" t="s">
        <v>4881</v>
      </c>
      <c r="N3392" s="1" t="s">
        <v>5138</v>
      </c>
      <c r="P3392" s="1" t="s">
        <v>12126</v>
      </c>
      <c r="Q3392" s="30" t="s">
        <v>2565</v>
      </c>
      <c r="R3392" s="33" t="s">
        <v>3473</v>
      </c>
      <c r="S3392">
        <v>37</v>
      </c>
      <c r="T3392" s="1" t="s">
        <v>13878</v>
      </c>
      <c r="U3392" s="1" t="str">
        <f>HYPERLINK("http://ictvonline.org/taxonomy/p/taxonomy-history?taxnode_id=202111683","ICTVonline=202111683")</f>
        <v>ICTVonline=202111683</v>
      </c>
    </row>
    <row r="3393" spans="1:21" x14ac:dyDescent="0.2">
      <c r="A3393" s="3">
        <v>3392</v>
      </c>
      <c r="B3393" s="1" t="s">
        <v>4875</v>
      </c>
      <c r="D3393" s="1" t="s">
        <v>4876</v>
      </c>
      <c r="F3393" s="1" t="s">
        <v>4880</v>
      </c>
      <c r="H3393" s="1" t="s">
        <v>4881</v>
      </c>
      <c r="N3393" s="1" t="s">
        <v>4728</v>
      </c>
      <c r="P3393" s="1" t="s">
        <v>12127</v>
      </c>
      <c r="Q3393" s="30" t="s">
        <v>2565</v>
      </c>
      <c r="R3393" s="33" t="s">
        <v>3473</v>
      </c>
      <c r="S3393">
        <v>37</v>
      </c>
      <c r="T3393" s="1" t="s">
        <v>13878</v>
      </c>
      <c r="U3393" s="1" t="str">
        <f>HYPERLINK("http://ictvonline.org/taxonomy/p/taxonomy-history?taxnode_id=202101235","ICTVonline=202101235")</f>
        <v>ICTVonline=202101235</v>
      </c>
    </row>
    <row r="3394" spans="1:21" x14ac:dyDescent="0.2">
      <c r="A3394" s="3">
        <v>3393</v>
      </c>
      <c r="B3394" s="1" t="s">
        <v>4875</v>
      </c>
      <c r="D3394" s="1" t="s">
        <v>4876</v>
      </c>
      <c r="F3394" s="1" t="s">
        <v>4880</v>
      </c>
      <c r="H3394" s="1" t="s">
        <v>4881</v>
      </c>
      <c r="N3394" s="1" t="s">
        <v>5228</v>
      </c>
      <c r="P3394" s="1" t="s">
        <v>12128</v>
      </c>
      <c r="Q3394" s="30" t="s">
        <v>2565</v>
      </c>
      <c r="R3394" s="33" t="s">
        <v>3473</v>
      </c>
      <c r="S3394">
        <v>37</v>
      </c>
      <c r="T3394" s="1" t="s">
        <v>13878</v>
      </c>
      <c r="U3394" s="1" t="str">
        <f>HYPERLINK("http://ictvonline.org/taxonomy/p/taxonomy-history?taxnode_id=202108025","ICTVonline=202108025")</f>
        <v>ICTVonline=202108025</v>
      </c>
    </row>
    <row r="3395" spans="1:21" x14ac:dyDescent="0.2">
      <c r="A3395" s="3">
        <v>3394</v>
      </c>
      <c r="B3395" s="1" t="s">
        <v>4875</v>
      </c>
      <c r="D3395" s="1" t="s">
        <v>4876</v>
      </c>
      <c r="F3395" s="1" t="s">
        <v>4880</v>
      </c>
      <c r="H3395" s="1" t="s">
        <v>4881</v>
      </c>
      <c r="N3395" s="1" t="s">
        <v>5229</v>
      </c>
      <c r="P3395" s="1" t="s">
        <v>12129</v>
      </c>
      <c r="Q3395" s="30" t="s">
        <v>2565</v>
      </c>
      <c r="R3395" s="33" t="s">
        <v>3473</v>
      </c>
      <c r="S3395">
        <v>37</v>
      </c>
      <c r="T3395" s="1" t="s">
        <v>13878</v>
      </c>
      <c r="U3395" s="1" t="str">
        <f>HYPERLINK("http://ictvonline.org/taxonomy/p/taxonomy-history?taxnode_id=202109982","ICTVonline=202109982")</f>
        <v>ICTVonline=202109982</v>
      </c>
    </row>
    <row r="3396" spans="1:21" x14ac:dyDescent="0.2">
      <c r="A3396" s="3">
        <v>3395</v>
      </c>
      <c r="B3396" s="1" t="s">
        <v>4875</v>
      </c>
      <c r="D3396" s="1" t="s">
        <v>4876</v>
      </c>
      <c r="F3396" s="1" t="s">
        <v>4880</v>
      </c>
      <c r="H3396" s="1" t="s">
        <v>4881</v>
      </c>
      <c r="N3396" s="1" t="s">
        <v>5229</v>
      </c>
      <c r="P3396" s="1" t="s">
        <v>12130</v>
      </c>
      <c r="Q3396" s="30" t="s">
        <v>2565</v>
      </c>
      <c r="R3396" s="33" t="s">
        <v>3473</v>
      </c>
      <c r="S3396">
        <v>37</v>
      </c>
      <c r="T3396" s="1" t="s">
        <v>13878</v>
      </c>
      <c r="U3396" s="1" t="str">
        <f>HYPERLINK("http://ictvonline.org/taxonomy/p/taxonomy-history?taxnode_id=202107568","ICTVonline=202107568")</f>
        <v>ICTVonline=202107568</v>
      </c>
    </row>
    <row r="3397" spans="1:21" x14ac:dyDescent="0.2">
      <c r="A3397" s="3">
        <v>3396</v>
      </c>
      <c r="B3397" s="1" t="s">
        <v>4875</v>
      </c>
      <c r="D3397" s="1" t="s">
        <v>4876</v>
      </c>
      <c r="F3397" s="1" t="s">
        <v>4880</v>
      </c>
      <c r="H3397" s="1" t="s">
        <v>4881</v>
      </c>
      <c r="N3397" s="1" t="s">
        <v>5159</v>
      </c>
      <c r="P3397" s="1" t="s">
        <v>12131</v>
      </c>
      <c r="Q3397" s="30" t="s">
        <v>2565</v>
      </c>
      <c r="R3397" s="33" t="s">
        <v>3473</v>
      </c>
      <c r="S3397">
        <v>37</v>
      </c>
      <c r="T3397" s="1" t="s">
        <v>13878</v>
      </c>
      <c r="U3397" s="1" t="str">
        <f>HYPERLINK("http://ictvonline.org/taxonomy/p/taxonomy-history?taxnode_id=202100628","ICTVonline=202100628")</f>
        <v>ICTVonline=202100628</v>
      </c>
    </row>
    <row r="3398" spans="1:21" x14ac:dyDescent="0.2">
      <c r="A3398" s="3">
        <v>3397</v>
      </c>
      <c r="B3398" s="1" t="s">
        <v>4875</v>
      </c>
      <c r="D3398" s="1" t="s">
        <v>4876</v>
      </c>
      <c r="F3398" s="1" t="s">
        <v>4880</v>
      </c>
      <c r="H3398" s="1" t="s">
        <v>4881</v>
      </c>
      <c r="N3398" s="1" t="s">
        <v>5139</v>
      </c>
      <c r="P3398" s="1" t="s">
        <v>12132</v>
      </c>
      <c r="Q3398" s="30" t="s">
        <v>2565</v>
      </c>
      <c r="R3398" s="33" t="s">
        <v>3473</v>
      </c>
      <c r="S3398">
        <v>37</v>
      </c>
      <c r="T3398" s="1" t="s">
        <v>13878</v>
      </c>
      <c r="U3398" s="1" t="str">
        <f>HYPERLINK("http://ictvonline.org/taxonomy/p/taxonomy-history?taxnode_id=202107935","ICTVonline=202107935")</f>
        <v>ICTVonline=202107935</v>
      </c>
    </row>
    <row r="3399" spans="1:21" x14ac:dyDescent="0.2">
      <c r="A3399" s="3">
        <v>3398</v>
      </c>
      <c r="B3399" s="1" t="s">
        <v>4875</v>
      </c>
      <c r="D3399" s="1" t="s">
        <v>4876</v>
      </c>
      <c r="F3399" s="1" t="s">
        <v>4880</v>
      </c>
      <c r="H3399" s="1" t="s">
        <v>4881</v>
      </c>
      <c r="N3399" s="1" t="s">
        <v>5139</v>
      </c>
      <c r="P3399" s="1" t="s">
        <v>12133</v>
      </c>
      <c r="Q3399" s="30" t="s">
        <v>2565</v>
      </c>
      <c r="R3399" s="33" t="s">
        <v>3473</v>
      </c>
      <c r="S3399">
        <v>37</v>
      </c>
      <c r="T3399" s="1" t="s">
        <v>13878</v>
      </c>
      <c r="U3399" s="1" t="str">
        <f>HYPERLINK("http://ictvonline.org/taxonomy/p/taxonomy-history?taxnode_id=202107934","ICTVonline=202107934")</f>
        <v>ICTVonline=202107934</v>
      </c>
    </row>
    <row r="3400" spans="1:21" x14ac:dyDescent="0.2">
      <c r="A3400" s="3">
        <v>3399</v>
      </c>
      <c r="B3400" s="1" t="s">
        <v>4875</v>
      </c>
      <c r="D3400" s="1" t="s">
        <v>4876</v>
      </c>
      <c r="F3400" s="1" t="s">
        <v>4880</v>
      </c>
      <c r="H3400" s="1" t="s">
        <v>4881</v>
      </c>
      <c r="N3400" s="1" t="s">
        <v>5139</v>
      </c>
      <c r="P3400" s="1" t="s">
        <v>12134</v>
      </c>
      <c r="Q3400" s="30" t="s">
        <v>2565</v>
      </c>
      <c r="R3400" s="33" t="s">
        <v>3473</v>
      </c>
      <c r="S3400">
        <v>37</v>
      </c>
      <c r="T3400" s="1" t="s">
        <v>13878</v>
      </c>
      <c r="U3400" s="1" t="str">
        <f>HYPERLINK("http://ictvonline.org/taxonomy/p/taxonomy-history?taxnode_id=202107933","ICTVonline=202107933")</f>
        <v>ICTVonline=202107933</v>
      </c>
    </row>
    <row r="3401" spans="1:21" x14ac:dyDescent="0.2">
      <c r="A3401" s="3">
        <v>3400</v>
      </c>
      <c r="B3401" s="1" t="s">
        <v>4875</v>
      </c>
      <c r="D3401" s="1" t="s">
        <v>4876</v>
      </c>
      <c r="F3401" s="1" t="s">
        <v>4880</v>
      </c>
      <c r="H3401" s="1" t="s">
        <v>4881</v>
      </c>
      <c r="N3401" s="1" t="s">
        <v>12135</v>
      </c>
      <c r="P3401" s="1" t="s">
        <v>12136</v>
      </c>
      <c r="Q3401" s="30" t="s">
        <v>2565</v>
      </c>
      <c r="R3401" s="33" t="s">
        <v>3472</v>
      </c>
      <c r="S3401">
        <v>37</v>
      </c>
      <c r="T3401" s="1" t="s">
        <v>13973</v>
      </c>
      <c r="U3401" s="1" t="str">
        <f>HYPERLINK("http://ictvonline.org/taxonomy/p/taxonomy-history?taxnode_id=202112913","ICTVonline=202112913")</f>
        <v>ICTVonline=202112913</v>
      </c>
    </row>
    <row r="3402" spans="1:21" x14ac:dyDescent="0.2">
      <c r="A3402" s="3">
        <v>3401</v>
      </c>
      <c r="B3402" s="1" t="s">
        <v>4875</v>
      </c>
      <c r="D3402" s="1" t="s">
        <v>4876</v>
      </c>
      <c r="F3402" s="1" t="s">
        <v>4880</v>
      </c>
      <c r="H3402" s="1" t="s">
        <v>4881</v>
      </c>
      <c r="N3402" s="1" t="s">
        <v>6039</v>
      </c>
      <c r="P3402" s="1" t="s">
        <v>12137</v>
      </c>
      <c r="Q3402" s="30" t="s">
        <v>2565</v>
      </c>
      <c r="R3402" s="33" t="s">
        <v>3473</v>
      </c>
      <c r="S3402">
        <v>37</v>
      </c>
      <c r="T3402" s="1" t="s">
        <v>13878</v>
      </c>
      <c r="U3402" s="1" t="str">
        <f>HYPERLINK("http://ictvonline.org/taxonomy/p/taxonomy-history?taxnode_id=202111724","ICTVonline=202111724")</f>
        <v>ICTVonline=202111724</v>
      </c>
    </row>
    <row r="3403" spans="1:21" x14ac:dyDescent="0.2">
      <c r="A3403" s="3">
        <v>3402</v>
      </c>
      <c r="B3403" s="1" t="s">
        <v>4875</v>
      </c>
      <c r="D3403" s="1" t="s">
        <v>4876</v>
      </c>
      <c r="F3403" s="1" t="s">
        <v>4880</v>
      </c>
      <c r="H3403" s="1" t="s">
        <v>4881</v>
      </c>
      <c r="N3403" s="1" t="s">
        <v>5141</v>
      </c>
      <c r="P3403" s="1" t="s">
        <v>12138</v>
      </c>
      <c r="Q3403" s="30" t="s">
        <v>2565</v>
      </c>
      <c r="R3403" s="33" t="s">
        <v>3473</v>
      </c>
      <c r="S3403">
        <v>37</v>
      </c>
      <c r="T3403" s="1" t="s">
        <v>13878</v>
      </c>
      <c r="U3403" s="1" t="str">
        <f>HYPERLINK("http://ictvonline.org/taxonomy/p/taxonomy-history?taxnode_id=202107925","ICTVonline=202107925")</f>
        <v>ICTVonline=202107925</v>
      </c>
    </row>
    <row r="3404" spans="1:21" x14ac:dyDescent="0.2">
      <c r="A3404" s="3">
        <v>3403</v>
      </c>
      <c r="B3404" s="1" t="s">
        <v>4875</v>
      </c>
      <c r="D3404" s="1" t="s">
        <v>4876</v>
      </c>
      <c r="F3404" s="1" t="s">
        <v>4880</v>
      </c>
      <c r="H3404" s="1" t="s">
        <v>4881</v>
      </c>
      <c r="N3404" s="1" t="s">
        <v>5141</v>
      </c>
      <c r="P3404" s="1" t="s">
        <v>12139</v>
      </c>
      <c r="Q3404" s="30" t="s">
        <v>2565</v>
      </c>
      <c r="R3404" s="33" t="s">
        <v>3473</v>
      </c>
      <c r="S3404">
        <v>37</v>
      </c>
      <c r="T3404" s="1" t="s">
        <v>13878</v>
      </c>
      <c r="U3404" s="1" t="str">
        <f>HYPERLINK("http://ictvonline.org/taxonomy/p/taxonomy-history?taxnode_id=202107926","ICTVonline=202107926")</f>
        <v>ICTVonline=202107926</v>
      </c>
    </row>
    <row r="3405" spans="1:21" x14ac:dyDescent="0.2">
      <c r="A3405" s="3">
        <v>3404</v>
      </c>
      <c r="B3405" s="1" t="s">
        <v>4875</v>
      </c>
      <c r="D3405" s="1" t="s">
        <v>4876</v>
      </c>
      <c r="F3405" s="1" t="s">
        <v>4880</v>
      </c>
      <c r="H3405" s="1" t="s">
        <v>4881</v>
      </c>
      <c r="N3405" s="1" t="s">
        <v>12140</v>
      </c>
      <c r="P3405" s="1" t="s">
        <v>12141</v>
      </c>
      <c r="Q3405" s="30" t="s">
        <v>2565</v>
      </c>
      <c r="R3405" s="33" t="s">
        <v>3472</v>
      </c>
      <c r="S3405">
        <v>37</v>
      </c>
      <c r="T3405" s="1" t="s">
        <v>13927</v>
      </c>
      <c r="U3405" s="1" t="str">
        <f>HYPERLINK("http://ictvonline.org/taxonomy/p/taxonomy-history?taxnode_id=202113642","ICTVonline=202113642")</f>
        <v>ICTVonline=202113642</v>
      </c>
    </row>
    <row r="3406" spans="1:21" x14ac:dyDescent="0.2">
      <c r="A3406" s="3">
        <v>3405</v>
      </c>
      <c r="B3406" s="1" t="s">
        <v>4875</v>
      </c>
      <c r="D3406" s="1" t="s">
        <v>4876</v>
      </c>
      <c r="F3406" s="1" t="s">
        <v>4880</v>
      </c>
      <c r="H3406" s="1" t="s">
        <v>4881</v>
      </c>
      <c r="N3406" s="1" t="s">
        <v>4730</v>
      </c>
      <c r="P3406" s="1" t="s">
        <v>12142</v>
      </c>
      <c r="Q3406" s="30" t="s">
        <v>2565</v>
      </c>
      <c r="R3406" s="33" t="s">
        <v>3473</v>
      </c>
      <c r="S3406">
        <v>37</v>
      </c>
      <c r="T3406" s="1" t="s">
        <v>13878</v>
      </c>
      <c r="U3406" s="1" t="str">
        <f>HYPERLINK("http://ictvonline.org/taxonomy/p/taxonomy-history?taxnode_id=202106869","ICTVonline=202106869")</f>
        <v>ICTVonline=202106869</v>
      </c>
    </row>
    <row r="3407" spans="1:21" x14ac:dyDescent="0.2">
      <c r="A3407" s="3">
        <v>3406</v>
      </c>
      <c r="B3407" s="1" t="s">
        <v>4875</v>
      </c>
      <c r="D3407" s="1" t="s">
        <v>4876</v>
      </c>
      <c r="F3407" s="1" t="s">
        <v>4880</v>
      </c>
      <c r="H3407" s="1" t="s">
        <v>4881</v>
      </c>
      <c r="N3407" s="1" t="s">
        <v>5230</v>
      </c>
      <c r="P3407" s="1" t="s">
        <v>12143</v>
      </c>
      <c r="Q3407" s="30" t="s">
        <v>2565</v>
      </c>
      <c r="R3407" s="33" t="s">
        <v>3473</v>
      </c>
      <c r="S3407">
        <v>37</v>
      </c>
      <c r="T3407" s="1" t="s">
        <v>13878</v>
      </c>
      <c r="U3407" s="1" t="str">
        <f>HYPERLINK("http://ictvonline.org/taxonomy/p/taxonomy-history?taxnode_id=202111962","ICTVonline=202111962")</f>
        <v>ICTVonline=202111962</v>
      </c>
    </row>
    <row r="3408" spans="1:21" x14ac:dyDescent="0.2">
      <c r="A3408" s="3">
        <v>3407</v>
      </c>
      <c r="B3408" s="1" t="s">
        <v>4875</v>
      </c>
      <c r="D3408" s="1" t="s">
        <v>4876</v>
      </c>
      <c r="F3408" s="1" t="s">
        <v>4880</v>
      </c>
      <c r="H3408" s="1" t="s">
        <v>4881</v>
      </c>
      <c r="N3408" s="1" t="s">
        <v>5230</v>
      </c>
      <c r="P3408" s="1" t="s">
        <v>12144</v>
      </c>
      <c r="Q3408" s="30" t="s">
        <v>2565</v>
      </c>
      <c r="R3408" s="33" t="s">
        <v>3473</v>
      </c>
      <c r="S3408">
        <v>37</v>
      </c>
      <c r="T3408" s="1" t="s">
        <v>13878</v>
      </c>
      <c r="U3408" s="1" t="str">
        <f>HYPERLINK("http://ictvonline.org/taxonomy/p/taxonomy-history?taxnode_id=202111961","ICTVonline=202111961")</f>
        <v>ICTVonline=202111961</v>
      </c>
    </row>
    <row r="3409" spans="1:21" x14ac:dyDescent="0.2">
      <c r="A3409" s="3">
        <v>3408</v>
      </c>
      <c r="B3409" s="1" t="s">
        <v>4875</v>
      </c>
      <c r="D3409" s="1" t="s">
        <v>4876</v>
      </c>
      <c r="F3409" s="1" t="s">
        <v>4880</v>
      </c>
      <c r="H3409" s="1" t="s">
        <v>4881</v>
      </c>
      <c r="N3409" s="1" t="s">
        <v>5230</v>
      </c>
      <c r="P3409" s="1" t="s">
        <v>12145</v>
      </c>
      <c r="Q3409" s="30" t="s">
        <v>2565</v>
      </c>
      <c r="R3409" s="33" t="s">
        <v>3473</v>
      </c>
      <c r="S3409">
        <v>37</v>
      </c>
      <c r="T3409" s="1" t="s">
        <v>13878</v>
      </c>
      <c r="U3409" s="1" t="str">
        <f>HYPERLINK("http://ictvonline.org/taxonomy/p/taxonomy-history?taxnode_id=202107653","ICTVonline=202107653")</f>
        <v>ICTVonline=202107653</v>
      </c>
    </row>
    <row r="3410" spans="1:21" x14ac:dyDescent="0.2">
      <c r="A3410" s="3">
        <v>3409</v>
      </c>
      <c r="B3410" s="1" t="s">
        <v>4875</v>
      </c>
      <c r="D3410" s="1" t="s">
        <v>4876</v>
      </c>
      <c r="F3410" s="1" t="s">
        <v>4880</v>
      </c>
      <c r="H3410" s="1" t="s">
        <v>4881</v>
      </c>
      <c r="N3410" s="1" t="s">
        <v>5230</v>
      </c>
      <c r="P3410" s="1" t="s">
        <v>12146</v>
      </c>
      <c r="Q3410" s="30" t="s">
        <v>2565</v>
      </c>
      <c r="R3410" s="33" t="s">
        <v>3473</v>
      </c>
      <c r="S3410">
        <v>37</v>
      </c>
      <c r="T3410" s="1" t="s">
        <v>13878</v>
      </c>
      <c r="U3410" s="1" t="str">
        <f>HYPERLINK("http://ictvonline.org/taxonomy/p/taxonomy-history?taxnode_id=202111960","ICTVonline=202111960")</f>
        <v>ICTVonline=202111960</v>
      </c>
    </row>
    <row r="3411" spans="1:21" x14ac:dyDescent="0.2">
      <c r="A3411" s="3">
        <v>3410</v>
      </c>
      <c r="B3411" s="1" t="s">
        <v>4875</v>
      </c>
      <c r="D3411" s="1" t="s">
        <v>4876</v>
      </c>
      <c r="F3411" s="1" t="s">
        <v>4880</v>
      </c>
      <c r="H3411" s="1" t="s">
        <v>4881</v>
      </c>
      <c r="N3411" s="1" t="s">
        <v>5230</v>
      </c>
      <c r="P3411" s="1" t="s">
        <v>12147</v>
      </c>
      <c r="Q3411" s="30" t="s">
        <v>2565</v>
      </c>
      <c r="R3411" s="33" t="s">
        <v>3473</v>
      </c>
      <c r="S3411">
        <v>37</v>
      </c>
      <c r="T3411" s="1" t="s">
        <v>13878</v>
      </c>
      <c r="U3411" s="1" t="str">
        <f>HYPERLINK("http://ictvonline.org/taxonomy/p/taxonomy-history?taxnode_id=202111959","ICTVonline=202111959")</f>
        <v>ICTVonline=202111959</v>
      </c>
    </row>
    <row r="3412" spans="1:21" x14ac:dyDescent="0.2">
      <c r="A3412" s="3">
        <v>3411</v>
      </c>
      <c r="B3412" s="1" t="s">
        <v>4875</v>
      </c>
      <c r="D3412" s="1" t="s">
        <v>4876</v>
      </c>
      <c r="F3412" s="1" t="s">
        <v>4880</v>
      </c>
      <c r="H3412" s="1" t="s">
        <v>4881</v>
      </c>
      <c r="N3412" s="1" t="s">
        <v>6231</v>
      </c>
      <c r="P3412" s="1" t="s">
        <v>12148</v>
      </c>
      <c r="Q3412" s="30" t="s">
        <v>2565</v>
      </c>
      <c r="R3412" s="33" t="s">
        <v>3473</v>
      </c>
      <c r="S3412">
        <v>37</v>
      </c>
      <c r="T3412" s="1" t="s">
        <v>13878</v>
      </c>
      <c r="U3412" s="1" t="str">
        <f>HYPERLINK("http://ictvonline.org/taxonomy/p/taxonomy-history?taxnode_id=202111764","ICTVonline=202111764")</f>
        <v>ICTVonline=202111764</v>
      </c>
    </row>
    <row r="3413" spans="1:21" x14ac:dyDescent="0.2">
      <c r="A3413" s="3">
        <v>3412</v>
      </c>
      <c r="B3413" s="1" t="s">
        <v>4875</v>
      </c>
      <c r="D3413" s="1" t="s">
        <v>4876</v>
      </c>
      <c r="F3413" s="1" t="s">
        <v>4880</v>
      </c>
      <c r="H3413" s="1" t="s">
        <v>4881</v>
      </c>
      <c r="N3413" s="1" t="s">
        <v>5231</v>
      </c>
      <c r="P3413" s="1" t="s">
        <v>5232</v>
      </c>
      <c r="Q3413" s="30" t="s">
        <v>2565</v>
      </c>
      <c r="R3413" s="33" t="s">
        <v>3474</v>
      </c>
      <c r="S3413">
        <v>37</v>
      </c>
      <c r="T3413" s="1" t="s">
        <v>13880</v>
      </c>
      <c r="U3413" s="1" t="str">
        <f>HYPERLINK("http://ictvonline.org/taxonomy/p/taxonomy-history?taxnode_id=202107658","ICTVonline=202107658")</f>
        <v>ICTVonline=202107658</v>
      </c>
    </row>
    <row r="3414" spans="1:21" x14ac:dyDescent="0.2">
      <c r="A3414" s="3">
        <v>3413</v>
      </c>
      <c r="B3414" s="1" t="s">
        <v>4875</v>
      </c>
      <c r="D3414" s="1" t="s">
        <v>4876</v>
      </c>
      <c r="F3414" s="1" t="s">
        <v>4880</v>
      </c>
      <c r="H3414" s="1" t="s">
        <v>4881</v>
      </c>
      <c r="N3414" s="1" t="s">
        <v>12149</v>
      </c>
      <c r="P3414" s="1" t="s">
        <v>12150</v>
      </c>
      <c r="Q3414" s="30" t="s">
        <v>2565</v>
      </c>
      <c r="R3414" s="33" t="s">
        <v>3472</v>
      </c>
      <c r="S3414">
        <v>37</v>
      </c>
      <c r="T3414" s="1" t="s">
        <v>13974</v>
      </c>
      <c r="U3414" s="1" t="str">
        <f>HYPERLINK("http://ictvonline.org/taxonomy/p/taxonomy-history?taxnode_id=202112915","ICTVonline=202112915")</f>
        <v>ICTVonline=202112915</v>
      </c>
    </row>
    <row r="3415" spans="1:21" x14ac:dyDescent="0.2">
      <c r="A3415" s="3">
        <v>3414</v>
      </c>
      <c r="B3415" s="1" t="s">
        <v>4875</v>
      </c>
      <c r="D3415" s="1" t="s">
        <v>4876</v>
      </c>
      <c r="F3415" s="1" t="s">
        <v>4880</v>
      </c>
      <c r="H3415" s="1" t="s">
        <v>4881</v>
      </c>
      <c r="N3415" s="1" t="s">
        <v>4733</v>
      </c>
      <c r="P3415" s="1" t="s">
        <v>12151</v>
      </c>
      <c r="Q3415" s="30" t="s">
        <v>2565</v>
      </c>
      <c r="R3415" s="33" t="s">
        <v>3473</v>
      </c>
      <c r="S3415">
        <v>37</v>
      </c>
      <c r="T3415" s="1" t="s">
        <v>13878</v>
      </c>
      <c r="U3415" s="1" t="str">
        <f>HYPERLINK("http://ictvonline.org/taxonomy/p/taxonomy-history?taxnode_id=202101247","ICTVonline=202101247")</f>
        <v>ICTVonline=202101247</v>
      </c>
    </row>
    <row r="3416" spans="1:21" x14ac:dyDescent="0.2">
      <c r="A3416" s="3">
        <v>3415</v>
      </c>
      <c r="B3416" s="1" t="s">
        <v>4875</v>
      </c>
      <c r="D3416" s="1" t="s">
        <v>4876</v>
      </c>
      <c r="F3416" s="1" t="s">
        <v>4880</v>
      </c>
      <c r="H3416" s="1" t="s">
        <v>4881</v>
      </c>
      <c r="N3416" s="1" t="s">
        <v>4733</v>
      </c>
      <c r="P3416" s="1" t="s">
        <v>12152</v>
      </c>
      <c r="Q3416" s="30" t="s">
        <v>2565</v>
      </c>
      <c r="R3416" s="33" t="s">
        <v>3473</v>
      </c>
      <c r="S3416">
        <v>37</v>
      </c>
      <c r="T3416" s="1" t="s">
        <v>13878</v>
      </c>
      <c r="U3416" s="1" t="str">
        <f>HYPERLINK("http://ictvonline.org/taxonomy/p/taxonomy-history?taxnode_id=202101248","ICTVonline=202101248")</f>
        <v>ICTVonline=202101248</v>
      </c>
    </row>
    <row r="3417" spans="1:21" x14ac:dyDescent="0.2">
      <c r="A3417" s="3">
        <v>3416</v>
      </c>
      <c r="B3417" s="1" t="s">
        <v>4875</v>
      </c>
      <c r="D3417" s="1" t="s">
        <v>4876</v>
      </c>
      <c r="F3417" s="1" t="s">
        <v>4880</v>
      </c>
      <c r="H3417" s="1" t="s">
        <v>4881</v>
      </c>
      <c r="N3417" s="1" t="s">
        <v>4733</v>
      </c>
      <c r="P3417" s="1" t="s">
        <v>12153</v>
      </c>
      <c r="Q3417" s="30" t="s">
        <v>2565</v>
      </c>
      <c r="R3417" s="33" t="s">
        <v>3473</v>
      </c>
      <c r="S3417">
        <v>37</v>
      </c>
      <c r="T3417" s="1" t="s">
        <v>13878</v>
      </c>
      <c r="U3417" s="1" t="str">
        <f>HYPERLINK("http://ictvonline.org/taxonomy/p/taxonomy-history?taxnode_id=202101249","ICTVonline=202101249")</f>
        <v>ICTVonline=202101249</v>
      </c>
    </row>
    <row r="3418" spans="1:21" x14ac:dyDescent="0.2">
      <c r="A3418" s="3">
        <v>3417</v>
      </c>
      <c r="B3418" s="1" t="s">
        <v>4875</v>
      </c>
      <c r="D3418" s="1" t="s">
        <v>4876</v>
      </c>
      <c r="F3418" s="1" t="s">
        <v>4880</v>
      </c>
      <c r="H3418" s="1" t="s">
        <v>4881</v>
      </c>
      <c r="N3418" s="1" t="s">
        <v>4733</v>
      </c>
      <c r="P3418" s="1" t="s">
        <v>12154</v>
      </c>
      <c r="Q3418" s="30" t="s">
        <v>2565</v>
      </c>
      <c r="R3418" s="33" t="s">
        <v>3473</v>
      </c>
      <c r="S3418">
        <v>37</v>
      </c>
      <c r="T3418" s="1" t="s">
        <v>13878</v>
      </c>
      <c r="U3418" s="1" t="str">
        <f>HYPERLINK("http://ictvonline.org/taxonomy/p/taxonomy-history?taxnode_id=202101251","ICTVonline=202101251")</f>
        <v>ICTVonline=202101251</v>
      </c>
    </row>
    <row r="3419" spans="1:21" x14ac:dyDescent="0.2">
      <c r="A3419" s="3">
        <v>3418</v>
      </c>
      <c r="B3419" s="1" t="s">
        <v>4875</v>
      </c>
      <c r="D3419" s="1" t="s">
        <v>4876</v>
      </c>
      <c r="F3419" s="1" t="s">
        <v>4880</v>
      </c>
      <c r="H3419" s="1" t="s">
        <v>4881</v>
      </c>
      <c r="N3419" s="1" t="s">
        <v>4733</v>
      </c>
      <c r="P3419" s="1" t="s">
        <v>12155</v>
      </c>
      <c r="Q3419" s="30" t="s">
        <v>2565</v>
      </c>
      <c r="R3419" s="33" t="s">
        <v>3473</v>
      </c>
      <c r="S3419">
        <v>37</v>
      </c>
      <c r="T3419" s="1" t="s">
        <v>13878</v>
      </c>
      <c r="U3419" s="1" t="str">
        <f>HYPERLINK("http://ictvonline.org/taxonomy/p/taxonomy-history?taxnode_id=202101250","ICTVonline=202101250")</f>
        <v>ICTVonline=202101250</v>
      </c>
    </row>
    <row r="3420" spans="1:21" x14ac:dyDescent="0.2">
      <c r="A3420" s="3">
        <v>3419</v>
      </c>
      <c r="B3420" s="1" t="s">
        <v>4875</v>
      </c>
      <c r="D3420" s="1" t="s">
        <v>4876</v>
      </c>
      <c r="F3420" s="1" t="s">
        <v>4880</v>
      </c>
      <c r="H3420" s="1" t="s">
        <v>4881</v>
      </c>
      <c r="N3420" s="1" t="s">
        <v>6040</v>
      </c>
      <c r="P3420" s="1" t="s">
        <v>12156</v>
      </c>
      <c r="Q3420" s="30" t="s">
        <v>2565</v>
      </c>
      <c r="R3420" s="33" t="s">
        <v>3473</v>
      </c>
      <c r="S3420">
        <v>37</v>
      </c>
      <c r="T3420" s="1" t="s">
        <v>13878</v>
      </c>
      <c r="U3420" s="1" t="str">
        <f>HYPERLINK("http://ictvonline.org/taxonomy/p/taxonomy-history?taxnode_id=202111766","ICTVonline=202111766")</f>
        <v>ICTVonline=202111766</v>
      </c>
    </row>
    <row r="3421" spans="1:21" x14ac:dyDescent="0.2">
      <c r="A3421" s="3">
        <v>3420</v>
      </c>
      <c r="B3421" s="1" t="s">
        <v>4875</v>
      </c>
      <c r="D3421" s="1" t="s">
        <v>4876</v>
      </c>
      <c r="F3421" s="1" t="s">
        <v>4880</v>
      </c>
      <c r="H3421" s="1" t="s">
        <v>4881</v>
      </c>
      <c r="N3421" s="1" t="s">
        <v>6040</v>
      </c>
      <c r="P3421" s="1" t="s">
        <v>12157</v>
      </c>
      <c r="Q3421" s="30" t="s">
        <v>2565</v>
      </c>
      <c r="R3421" s="33" t="s">
        <v>3473</v>
      </c>
      <c r="S3421">
        <v>37</v>
      </c>
      <c r="T3421" s="1" t="s">
        <v>13878</v>
      </c>
      <c r="U3421" s="1" t="str">
        <f>HYPERLINK("http://ictvonline.org/taxonomy/p/taxonomy-history?taxnode_id=202111767","ICTVonline=202111767")</f>
        <v>ICTVonline=202111767</v>
      </c>
    </row>
    <row r="3422" spans="1:21" x14ac:dyDescent="0.2">
      <c r="A3422" s="3">
        <v>3421</v>
      </c>
      <c r="B3422" s="1" t="s">
        <v>4875</v>
      </c>
      <c r="D3422" s="1" t="s">
        <v>4876</v>
      </c>
      <c r="F3422" s="1" t="s">
        <v>4880</v>
      </c>
      <c r="H3422" s="1" t="s">
        <v>4881</v>
      </c>
      <c r="N3422" s="1" t="s">
        <v>5233</v>
      </c>
      <c r="P3422" s="1" t="s">
        <v>12158</v>
      </c>
      <c r="Q3422" s="30" t="s">
        <v>2565</v>
      </c>
      <c r="R3422" s="33" t="s">
        <v>3473</v>
      </c>
      <c r="S3422">
        <v>37</v>
      </c>
      <c r="T3422" s="1" t="s">
        <v>13878</v>
      </c>
      <c r="U3422" s="1" t="str">
        <f>HYPERLINK("http://ictvonline.org/taxonomy/p/taxonomy-history?taxnode_id=202108027","ICTVonline=202108027")</f>
        <v>ICTVonline=202108027</v>
      </c>
    </row>
    <row r="3423" spans="1:21" x14ac:dyDescent="0.2">
      <c r="A3423" s="3">
        <v>3422</v>
      </c>
      <c r="B3423" s="1" t="s">
        <v>4875</v>
      </c>
      <c r="D3423" s="1" t="s">
        <v>4876</v>
      </c>
      <c r="F3423" s="1" t="s">
        <v>4880</v>
      </c>
      <c r="H3423" s="1" t="s">
        <v>4881</v>
      </c>
      <c r="N3423" s="1" t="s">
        <v>5142</v>
      </c>
      <c r="P3423" s="1" t="s">
        <v>12159</v>
      </c>
      <c r="Q3423" s="30" t="s">
        <v>2565</v>
      </c>
      <c r="R3423" s="33" t="s">
        <v>3473</v>
      </c>
      <c r="S3423">
        <v>37</v>
      </c>
      <c r="T3423" s="1" t="s">
        <v>13878</v>
      </c>
      <c r="U3423" s="1" t="str">
        <f>HYPERLINK("http://ictvonline.org/taxonomy/p/taxonomy-history?taxnode_id=202107923","ICTVonline=202107923")</f>
        <v>ICTVonline=202107923</v>
      </c>
    </row>
    <row r="3424" spans="1:21" x14ac:dyDescent="0.2">
      <c r="A3424" s="3">
        <v>3423</v>
      </c>
      <c r="B3424" s="1" t="s">
        <v>4875</v>
      </c>
      <c r="D3424" s="1" t="s">
        <v>4876</v>
      </c>
      <c r="F3424" s="1" t="s">
        <v>4880</v>
      </c>
      <c r="H3424" s="1" t="s">
        <v>4881</v>
      </c>
      <c r="N3424" s="1" t="s">
        <v>4734</v>
      </c>
      <c r="P3424" s="1" t="s">
        <v>12160</v>
      </c>
      <c r="Q3424" s="30" t="s">
        <v>2565</v>
      </c>
      <c r="R3424" s="33" t="s">
        <v>3473</v>
      </c>
      <c r="S3424">
        <v>37</v>
      </c>
      <c r="T3424" s="1" t="s">
        <v>13878</v>
      </c>
      <c r="U3424" s="1" t="str">
        <f>HYPERLINK("http://ictvonline.org/taxonomy/p/taxonomy-history?taxnode_id=202106834","ICTVonline=202106834")</f>
        <v>ICTVonline=202106834</v>
      </c>
    </row>
    <row r="3425" spans="1:21" x14ac:dyDescent="0.2">
      <c r="A3425" s="3">
        <v>3424</v>
      </c>
      <c r="B3425" s="1" t="s">
        <v>4875</v>
      </c>
      <c r="D3425" s="1" t="s">
        <v>4876</v>
      </c>
      <c r="F3425" s="1" t="s">
        <v>4880</v>
      </c>
      <c r="H3425" s="1" t="s">
        <v>4881</v>
      </c>
      <c r="N3425" s="1" t="s">
        <v>4735</v>
      </c>
      <c r="P3425" s="1" t="s">
        <v>12161</v>
      </c>
      <c r="Q3425" s="30" t="s">
        <v>2565</v>
      </c>
      <c r="R3425" s="33" t="s">
        <v>3473</v>
      </c>
      <c r="S3425">
        <v>37</v>
      </c>
      <c r="T3425" s="1" t="s">
        <v>13878</v>
      </c>
      <c r="U3425" s="1" t="str">
        <f>HYPERLINK("http://ictvonline.org/taxonomy/p/taxonomy-history?taxnode_id=202105563","ICTVonline=202105563")</f>
        <v>ICTVonline=202105563</v>
      </c>
    </row>
    <row r="3426" spans="1:21" x14ac:dyDescent="0.2">
      <c r="A3426" s="3">
        <v>3425</v>
      </c>
      <c r="B3426" s="1" t="s">
        <v>4875</v>
      </c>
      <c r="D3426" s="1" t="s">
        <v>4876</v>
      </c>
      <c r="F3426" s="1" t="s">
        <v>4880</v>
      </c>
      <c r="H3426" s="1" t="s">
        <v>4881</v>
      </c>
      <c r="N3426" s="1" t="s">
        <v>6232</v>
      </c>
      <c r="P3426" s="1" t="s">
        <v>12162</v>
      </c>
      <c r="Q3426" s="30" t="s">
        <v>2565</v>
      </c>
      <c r="R3426" s="33" t="s">
        <v>3473</v>
      </c>
      <c r="S3426">
        <v>37</v>
      </c>
      <c r="T3426" s="1" t="s">
        <v>13878</v>
      </c>
      <c r="U3426" s="1" t="str">
        <f>HYPERLINK("http://ictvonline.org/taxonomy/p/taxonomy-history?taxnode_id=202109333","ICTVonline=202109333")</f>
        <v>ICTVonline=202109333</v>
      </c>
    </row>
    <row r="3427" spans="1:21" x14ac:dyDescent="0.2">
      <c r="A3427" s="3">
        <v>3426</v>
      </c>
      <c r="B3427" s="1" t="s">
        <v>4875</v>
      </c>
      <c r="D3427" s="1" t="s">
        <v>4876</v>
      </c>
      <c r="F3427" s="1" t="s">
        <v>4880</v>
      </c>
      <c r="H3427" s="1" t="s">
        <v>4881</v>
      </c>
      <c r="N3427" s="1" t="s">
        <v>4736</v>
      </c>
      <c r="P3427" s="1" t="s">
        <v>12163</v>
      </c>
      <c r="Q3427" s="30" t="s">
        <v>2565</v>
      </c>
      <c r="R3427" s="33" t="s">
        <v>3473</v>
      </c>
      <c r="S3427">
        <v>37</v>
      </c>
      <c r="T3427" s="1" t="s">
        <v>13878</v>
      </c>
      <c r="U3427" s="1" t="str">
        <f>HYPERLINK("http://ictvonline.org/taxonomy/p/taxonomy-history?taxnode_id=202106754","ICTVonline=202106754")</f>
        <v>ICTVonline=202106754</v>
      </c>
    </row>
    <row r="3428" spans="1:21" x14ac:dyDescent="0.2">
      <c r="A3428" s="3">
        <v>3427</v>
      </c>
      <c r="B3428" s="1" t="s">
        <v>4875</v>
      </c>
      <c r="D3428" s="1" t="s">
        <v>4876</v>
      </c>
      <c r="F3428" s="1" t="s">
        <v>4880</v>
      </c>
      <c r="H3428" s="1" t="s">
        <v>4881</v>
      </c>
      <c r="N3428" s="1" t="s">
        <v>4621</v>
      </c>
      <c r="P3428" s="1" t="s">
        <v>12164</v>
      </c>
      <c r="Q3428" s="30" t="s">
        <v>2565</v>
      </c>
      <c r="R3428" s="33" t="s">
        <v>3473</v>
      </c>
      <c r="S3428">
        <v>37</v>
      </c>
      <c r="T3428" s="1" t="s">
        <v>13878</v>
      </c>
      <c r="U3428" s="1" t="str">
        <f>HYPERLINK("http://ictvonline.org/taxonomy/p/taxonomy-history?taxnode_id=202100699","ICTVonline=202100699")</f>
        <v>ICTVonline=202100699</v>
      </c>
    </row>
    <row r="3429" spans="1:21" x14ac:dyDescent="0.2">
      <c r="A3429" s="3">
        <v>3428</v>
      </c>
      <c r="B3429" s="1" t="s">
        <v>4875</v>
      </c>
      <c r="D3429" s="1" t="s">
        <v>4876</v>
      </c>
      <c r="F3429" s="1" t="s">
        <v>4880</v>
      </c>
      <c r="H3429" s="1" t="s">
        <v>4881</v>
      </c>
      <c r="N3429" s="1" t="s">
        <v>4621</v>
      </c>
      <c r="P3429" s="1" t="s">
        <v>12165</v>
      </c>
      <c r="Q3429" s="30" t="s">
        <v>2565</v>
      </c>
      <c r="R3429" s="33" t="s">
        <v>3473</v>
      </c>
      <c r="S3429">
        <v>37</v>
      </c>
      <c r="T3429" s="1" t="s">
        <v>13878</v>
      </c>
      <c r="U3429" s="1" t="str">
        <f>HYPERLINK("http://ictvonline.org/taxonomy/p/taxonomy-history?taxnode_id=202100700","ICTVonline=202100700")</f>
        <v>ICTVonline=202100700</v>
      </c>
    </row>
    <row r="3430" spans="1:21" x14ac:dyDescent="0.2">
      <c r="A3430" s="3">
        <v>3429</v>
      </c>
      <c r="B3430" s="1" t="s">
        <v>4875</v>
      </c>
      <c r="D3430" s="1" t="s">
        <v>4876</v>
      </c>
      <c r="F3430" s="1" t="s">
        <v>4880</v>
      </c>
      <c r="H3430" s="1" t="s">
        <v>4881</v>
      </c>
      <c r="N3430" s="1" t="s">
        <v>4621</v>
      </c>
      <c r="P3430" s="1" t="s">
        <v>12166</v>
      </c>
      <c r="Q3430" s="30" t="s">
        <v>2565</v>
      </c>
      <c r="R3430" s="33" t="s">
        <v>3473</v>
      </c>
      <c r="S3430">
        <v>37</v>
      </c>
      <c r="T3430" s="1" t="s">
        <v>13878</v>
      </c>
      <c r="U3430" s="1" t="str">
        <f>HYPERLINK("http://ictvonline.org/taxonomy/p/taxonomy-history?taxnode_id=202100698","ICTVonline=202100698")</f>
        <v>ICTVonline=202100698</v>
      </c>
    </row>
    <row r="3431" spans="1:21" x14ac:dyDescent="0.2">
      <c r="A3431" s="3">
        <v>3430</v>
      </c>
      <c r="B3431" s="1" t="s">
        <v>4875</v>
      </c>
      <c r="D3431" s="1" t="s">
        <v>4876</v>
      </c>
      <c r="F3431" s="1" t="s">
        <v>4880</v>
      </c>
      <c r="H3431" s="1" t="s">
        <v>4881</v>
      </c>
      <c r="N3431" s="1" t="s">
        <v>5143</v>
      </c>
      <c r="P3431" s="1" t="s">
        <v>12167</v>
      </c>
      <c r="Q3431" s="30" t="s">
        <v>2565</v>
      </c>
      <c r="R3431" s="33" t="s">
        <v>3473</v>
      </c>
      <c r="S3431">
        <v>37</v>
      </c>
      <c r="T3431" s="1" t="s">
        <v>13878</v>
      </c>
      <c r="U3431" s="1" t="str">
        <f>HYPERLINK("http://ictvonline.org/taxonomy/p/taxonomy-history?taxnode_id=202108029","ICTVonline=202108029")</f>
        <v>ICTVonline=202108029</v>
      </c>
    </row>
    <row r="3432" spans="1:21" x14ac:dyDescent="0.2">
      <c r="A3432" s="3">
        <v>3431</v>
      </c>
      <c r="B3432" s="1" t="s">
        <v>4875</v>
      </c>
      <c r="D3432" s="1" t="s">
        <v>4876</v>
      </c>
      <c r="F3432" s="1" t="s">
        <v>4880</v>
      </c>
      <c r="H3432" s="1" t="s">
        <v>4881</v>
      </c>
      <c r="N3432" s="1" t="s">
        <v>5234</v>
      </c>
      <c r="P3432" s="1" t="s">
        <v>12168</v>
      </c>
      <c r="Q3432" s="30" t="s">
        <v>2565</v>
      </c>
      <c r="R3432" s="33" t="s">
        <v>3473</v>
      </c>
      <c r="S3432">
        <v>37</v>
      </c>
      <c r="T3432" s="1" t="s">
        <v>13878</v>
      </c>
      <c r="U3432" s="1" t="str">
        <f>HYPERLINK("http://ictvonline.org/taxonomy/p/taxonomy-history?taxnode_id=202108031","ICTVonline=202108031")</f>
        <v>ICTVonline=202108031</v>
      </c>
    </row>
    <row r="3433" spans="1:21" x14ac:dyDescent="0.2">
      <c r="A3433" s="3">
        <v>3432</v>
      </c>
      <c r="B3433" s="1" t="s">
        <v>4875</v>
      </c>
      <c r="D3433" s="1" t="s">
        <v>4876</v>
      </c>
      <c r="F3433" s="1" t="s">
        <v>4880</v>
      </c>
      <c r="H3433" s="1" t="s">
        <v>4881</v>
      </c>
      <c r="N3433" s="1" t="s">
        <v>5235</v>
      </c>
      <c r="P3433" s="1" t="s">
        <v>12169</v>
      </c>
      <c r="Q3433" s="30" t="s">
        <v>2565</v>
      </c>
      <c r="R3433" s="33" t="s">
        <v>3473</v>
      </c>
      <c r="S3433">
        <v>37</v>
      </c>
      <c r="T3433" s="1" t="s">
        <v>13878</v>
      </c>
      <c r="U3433" s="1" t="str">
        <f>HYPERLINK("http://ictvonline.org/taxonomy/p/taxonomy-history?taxnode_id=202107665","ICTVonline=202107665")</f>
        <v>ICTVonline=202107665</v>
      </c>
    </row>
    <row r="3434" spans="1:21" x14ac:dyDescent="0.2">
      <c r="A3434" s="3">
        <v>3433</v>
      </c>
      <c r="B3434" s="1" t="s">
        <v>4875</v>
      </c>
      <c r="D3434" s="1" t="s">
        <v>4876</v>
      </c>
      <c r="F3434" s="1" t="s">
        <v>4880</v>
      </c>
      <c r="H3434" s="1" t="s">
        <v>4881</v>
      </c>
      <c r="N3434" s="1" t="s">
        <v>12170</v>
      </c>
      <c r="P3434" s="1" t="s">
        <v>12171</v>
      </c>
      <c r="Q3434" s="30" t="s">
        <v>2565</v>
      </c>
      <c r="R3434" s="33" t="s">
        <v>3472</v>
      </c>
      <c r="S3434">
        <v>37</v>
      </c>
      <c r="T3434" s="1" t="s">
        <v>13927</v>
      </c>
      <c r="U3434" s="1" t="str">
        <f>HYPERLINK("http://ictvonline.org/taxonomy/p/taxonomy-history?taxnode_id=202113644","ICTVonline=202113644")</f>
        <v>ICTVonline=202113644</v>
      </c>
    </row>
    <row r="3435" spans="1:21" x14ac:dyDescent="0.2">
      <c r="A3435" s="3">
        <v>3434</v>
      </c>
      <c r="B3435" s="1" t="s">
        <v>4875</v>
      </c>
      <c r="D3435" s="1" t="s">
        <v>4876</v>
      </c>
      <c r="F3435" s="1" t="s">
        <v>4880</v>
      </c>
      <c r="H3435" s="1" t="s">
        <v>4881</v>
      </c>
      <c r="N3435" s="1" t="s">
        <v>6069</v>
      </c>
      <c r="P3435" s="1" t="s">
        <v>12172</v>
      </c>
      <c r="Q3435" s="30" t="s">
        <v>2565</v>
      </c>
      <c r="R3435" s="33" t="s">
        <v>3473</v>
      </c>
      <c r="S3435">
        <v>37</v>
      </c>
      <c r="T3435" s="1" t="s">
        <v>13878</v>
      </c>
      <c r="U3435" s="1" t="str">
        <f>HYPERLINK("http://ictvonline.org/taxonomy/p/taxonomy-history?taxnode_id=202100702","ICTVonline=202100702")</f>
        <v>ICTVonline=202100702</v>
      </c>
    </row>
    <row r="3436" spans="1:21" x14ac:dyDescent="0.2">
      <c r="A3436" s="3">
        <v>3435</v>
      </c>
      <c r="B3436" s="1" t="s">
        <v>4875</v>
      </c>
      <c r="D3436" s="1" t="s">
        <v>4876</v>
      </c>
      <c r="F3436" s="1" t="s">
        <v>4880</v>
      </c>
      <c r="H3436" s="1" t="s">
        <v>4881</v>
      </c>
      <c r="N3436" s="1" t="s">
        <v>6069</v>
      </c>
      <c r="P3436" s="1" t="s">
        <v>12173</v>
      </c>
      <c r="Q3436" s="30" t="s">
        <v>2565</v>
      </c>
      <c r="R3436" s="33" t="s">
        <v>3473</v>
      </c>
      <c r="S3436">
        <v>37</v>
      </c>
      <c r="T3436" s="1" t="s">
        <v>13878</v>
      </c>
      <c r="U3436" s="1" t="str">
        <f>HYPERLINK("http://ictvonline.org/taxonomy/p/taxonomy-history?taxnode_id=202111844","ICTVonline=202111844")</f>
        <v>ICTVonline=202111844</v>
      </c>
    </row>
    <row r="3437" spans="1:21" x14ac:dyDescent="0.2">
      <c r="A3437" s="3">
        <v>3436</v>
      </c>
      <c r="B3437" s="1" t="s">
        <v>4875</v>
      </c>
      <c r="D3437" s="1" t="s">
        <v>4876</v>
      </c>
      <c r="F3437" s="1" t="s">
        <v>4880</v>
      </c>
      <c r="H3437" s="1" t="s">
        <v>4881</v>
      </c>
      <c r="N3437" s="1" t="s">
        <v>6233</v>
      </c>
      <c r="P3437" s="1" t="s">
        <v>12174</v>
      </c>
      <c r="Q3437" s="30" t="s">
        <v>2565</v>
      </c>
      <c r="R3437" s="33" t="s">
        <v>3473</v>
      </c>
      <c r="S3437">
        <v>37</v>
      </c>
      <c r="T3437" s="1" t="s">
        <v>13878</v>
      </c>
      <c r="U3437" s="1" t="str">
        <f>HYPERLINK("http://ictvonline.org/taxonomy/p/taxonomy-history?taxnode_id=202110213","ICTVonline=202110213")</f>
        <v>ICTVonline=202110213</v>
      </c>
    </row>
    <row r="3438" spans="1:21" x14ac:dyDescent="0.2">
      <c r="A3438" s="3">
        <v>3437</v>
      </c>
      <c r="B3438" s="1" t="s">
        <v>4875</v>
      </c>
      <c r="D3438" s="1" t="s">
        <v>4876</v>
      </c>
      <c r="F3438" s="1" t="s">
        <v>4880</v>
      </c>
      <c r="H3438" s="1" t="s">
        <v>4881</v>
      </c>
      <c r="N3438" s="1" t="s">
        <v>4570</v>
      </c>
      <c r="P3438" s="1" t="s">
        <v>12175</v>
      </c>
      <c r="Q3438" s="30" t="s">
        <v>2565</v>
      </c>
      <c r="R3438" s="33" t="s">
        <v>3473</v>
      </c>
      <c r="S3438">
        <v>37</v>
      </c>
      <c r="T3438" s="1" t="s">
        <v>13878</v>
      </c>
      <c r="U3438" s="1" t="str">
        <f>HYPERLINK("http://ictvonline.org/taxonomy/p/taxonomy-history?taxnode_id=202100508","ICTVonline=202100508")</f>
        <v>ICTVonline=202100508</v>
      </c>
    </row>
    <row r="3439" spans="1:21" x14ac:dyDescent="0.2">
      <c r="A3439" s="3">
        <v>3438</v>
      </c>
      <c r="B3439" s="1" t="s">
        <v>4875</v>
      </c>
      <c r="D3439" s="1" t="s">
        <v>4876</v>
      </c>
      <c r="F3439" s="1" t="s">
        <v>4880</v>
      </c>
      <c r="H3439" s="1" t="s">
        <v>4881</v>
      </c>
      <c r="N3439" s="1" t="s">
        <v>4737</v>
      </c>
      <c r="P3439" s="1" t="s">
        <v>12176</v>
      </c>
      <c r="Q3439" s="30" t="s">
        <v>2565</v>
      </c>
      <c r="R3439" s="33" t="s">
        <v>3473</v>
      </c>
      <c r="S3439">
        <v>37</v>
      </c>
      <c r="T3439" s="1" t="s">
        <v>13878</v>
      </c>
      <c r="U3439" s="1" t="str">
        <f>HYPERLINK("http://ictvonline.org/taxonomy/p/taxonomy-history?taxnode_id=202101258","ICTVonline=202101258")</f>
        <v>ICTVonline=202101258</v>
      </c>
    </row>
    <row r="3440" spans="1:21" x14ac:dyDescent="0.2">
      <c r="A3440" s="3">
        <v>3439</v>
      </c>
      <c r="B3440" s="1" t="s">
        <v>4875</v>
      </c>
      <c r="D3440" s="1" t="s">
        <v>4876</v>
      </c>
      <c r="F3440" s="1" t="s">
        <v>4880</v>
      </c>
      <c r="H3440" s="1" t="s">
        <v>4881</v>
      </c>
      <c r="N3440" s="1" t="s">
        <v>4737</v>
      </c>
      <c r="P3440" s="1" t="s">
        <v>12177</v>
      </c>
      <c r="Q3440" s="30" t="s">
        <v>2565</v>
      </c>
      <c r="R3440" s="33" t="s">
        <v>3473</v>
      </c>
      <c r="S3440">
        <v>37</v>
      </c>
      <c r="T3440" s="1" t="s">
        <v>13878</v>
      </c>
      <c r="U3440" s="1" t="str">
        <f>HYPERLINK("http://ictvonline.org/taxonomy/p/taxonomy-history?taxnode_id=202101259","ICTVonline=202101259")</f>
        <v>ICTVonline=202101259</v>
      </c>
    </row>
    <row r="3441" spans="1:21" x14ac:dyDescent="0.2">
      <c r="A3441" s="3">
        <v>3440</v>
      </c>
      <c r="B3441" s="1" t="s">
        <v>4875</v>
      </c>
      <c r="D3441" s="1" t="s">
        <v>4876</v>
      </c>
      <c r="F3441" s="1" t="s">
        <v>4880</v>
      </c>
      <c r="H3441" s="1" t="s">
        <v>4881</v>
      </c>
      <c r="N3441" s="1" t="s">
        <v>4737</v>
      </c>
      <c r="P3441" s="1" t="s">
        <v>12178</v>
      </c>
      <c r="Q3441" s="30" t="s">
        <v>2565</v>
      </c>
      <c r="R3441" s="33" t="s">
        <v>3473</v>
      </c>
      <c r="S3441">
        <v>37</v>
      </c>
      <c r="T3441" s="1" t="s">
        <v>13878</v>
      </c>
      <c r="U3441" s="1" t="str">
        <f>HYPERLINK("http://ictvonline.org/taxonomy/p/taxonomy-history?taxnode_id=202101257","ICTVonline=202101257")</f>
        <v>ICTVonline=202101257</v>
      </c>
    </row>
    <row r="3442" spans="1:21" x14ac:dyDescent="0.2">
      <c r="A3442" s="3">
        <v>3441</v>
      </c>
      <c r="B3442" s="1" t="s">
        <v>4875</v>
      </c>
      <c r="D3442" s="1" t="s">
        <v>4876</v>
      </c>
      <c r="F3442" s="1" t="s">
        <v>4880</v>
      </c>
      <c r="H3442" s="1" t="s">
        <v>4881</v>
      </c>
      <c r="N3442" s="1" t="s">
        <v>5236</v>
      </c>
      <c r="P3442" s="1" t="s">
        <v>12179</v>
      </c>
      <c r="Q3442" s="30" t="s">
        <v>2565</v>
      </c>
      <c r="R3442" s="33" t="s">
        <v>3473</v>
      </c>
      <c r="S3442">
        <v>37</v>
      </c>
      <c r="T3442" s="1" t="s">
        <v>13878</v>
      </c>
      <c r="U3442" s="1" t="str">
        <f>HYPERLINK("http://ictvonline.org/taxonomy/p/taxonomy-history?taxnode_id=202108035","ICTVonline=202108035")</f>
        <v>ICTVonline=202108035</v>
      </c>
    </row>
    <row r="3443" spans="1:21" x14ac:dyDescent="0.2">
      <c r="A3443" s="3">
        <v>3442</v>
      </c>
      <c r="B3443" s="1" t="s">
        <v>4875</v>
      </c>
      <c r="D3443" s="1" t="s">
        <v>4876</v>
      </c>
      <c r="F3443" s="1" t="s">
        <v>4880</v>
      </c>
      <c r="H3443" s="1" t="s">
        <v>4881</v>
      </c>
      <c r="N3443" s="1" t="s">
        <v>2650</v>
      </c>
      <c r="P3443" s="1" t="s">
        <v>12180</v>
      </c>
      <c r="Q3443" s="30" t="s">
        <v>2565</v>
      </c>
      <c r="R3443" s="33" t="s">
        <v>3473</v>
      </c>
      <c r="S3443">
        <v>37</v>
      </c>
      <c r="T3443" s="1" t="s">
        <v>13878</v>
      </c>
      <c r="U3443" s="1" t="str">
        <f>HYPERLINK("http://ictvonline.org/taxonomy/p/taxonomy-history?taxnode_id=202101264","ICTVonline=202101264")</f>
        <v>ICTVonline=202101264</v>
      </c>
    </row>
    <row r="3444" spans="1:21" x14ac:dyDescent="0.2">
      <c r="A3444" s="3">
        <v>3443</v>
      </c>
      <c r="B3444" s="1" t="s">
        <v>4875</v>
      </c>
      <c r="D3444" s="1" t="s">
        <v>4876</v>
      </c>
      <c r="F3444" s="1" t="s">
        <v>4880</v>
      </c>
      <c r="H3444" s="1" t="s">
        <v>4881</v>
      </c>
      <c r="N3444" s="1" t="s">
        <v>2650</v>
      </c>
      <c r="P3444" s="1" t="s">
        <v>12181</v>
      </c>
      <c r="Q3444" s="30" t="s">
        <v>2565</v>
      </c>
      <c r="R3444" s="33" t="s">
        <v>3473</v>
      </c>
      <c r="S3444">
        <v>37</v>
      </c>
      <c r="T3444" s="1" t="s">
        <v>13878</v>
      </c>
      <c r="U3444" s="1" t="str">
        <f>HYPERLINK("http://ictvonline.org/taxonomy/p/taxonomy-history?taxnode_id=202101265","ICTVonline=202101265")</f>
        <v>ICTVonline=202101265</v>
      </c>
    </row>
    <row r="3445" spans="1:21" x14ac:dyDescent="0.2">
      <c r="A3445" s="3">
        <v>3444</v>
      </c>
      <c r="B3445" s="1" t="s">
        <v>4875</v>
      </c>
      <c r="D3445" s="1" t="s">
        <v>4876</v>
      </c>
      <c r="F3445" s="1" t="s">
        <v>4880</v>
      </c>
      <c r="H3445" s="1" t="s">
        <v>4881</v>
      </c>
      <c r="N3445" s="1" t="s">
        <v>6041</v>
      </c>
      <c r="P3445" s="1" t="s">
        <v>12182</v>
      </c>
      <c r="Q3445" s="30" t="s">
        <v>2565</v>
      </c>
      <c r="R3445" s="33" t="s">
        <v>3473</v>
      </c>
      <c r="S3445">
        <v>37</v>
      </c>
      <c r="T3445" s="1" t="s">
        <v>13878</v>
      </c>
      <c r="U3445" s="1" t="str">
        <f>HYPERLINK("http://ictvonline.org/taxonomy/p/taxonomy-history?taxnode_id=202111856","ICTVonline=202111856")</f>
        <v>ICTVonline=202111856</v>
      </c>
    </row>
    <row r="3446" spans="1:21" x14ac:dyDescent="0.2">
      <c r="A3446" s="3">
        <v>3445</v>
      </c>
      <c r="B3446" s="1" t="s">
        <v>4875</v>
      </c>
      <c r="D3446" s="1" t="s">
        <v>4876</v>
      </c>
      <c r="F3446" s="1" t="s">
        <v>4880</v>
      </c>
      <c r="H3446" s="1" t="s">
        <v>4881</v>
      </c>
      <c r="N3446" s="1" t="s">
        <v>12183</v>
      </c>
      <c r="P3446" s="1" t="s">
        <v>12184</v>
      </c>
      <c r="Q3446" s="30" t="s">
        <v>2565</v>
      </c>
      <c r="R3446" s="33" t="s">
        <v>3472</v>
      </c>
      <c r="S3446">
        <v>37</v>
      </c>
      <c r="T3446" s="1" t="s">
        <v>13975</v>
      </c>
      <c r="U3446" s="1" t="str">
        <f>HYPERLINK("http://ictvonline.org/taxonomy/p/taxonomy-history?taxnode_id=202113614","ICTVonline=202113614")</f>
        <v>ICTVonline=202113614</v>
      </c>
    </row>
    <row r="3447" spans="1:21" x14ac:dyDescent="0.2">
      <c r="A3447" s="3">
        <v>3446</v>
      </c>
      <c r="B3447" s="1" t="s">
        <v>4875</v>
      </c>
      <c r="D3447" s="1" t="s">
        <v>4876</v>
      </c>
      <c r="F3447" s="1" t="s">
        <v>4880</v>
      </c>
      <c r="H3447" s="1" t="s">
        <v>4881</v>
      </c>
      <c r="N3447" s="1" t="s">
        <v>6042</v>
      </c>
      <c r="P3447" s="1" t="s">
        <v>12185</v>
      </c>
      <c r="Q3447" s="30" t="s">
        <v>2565</v>
      </c>
      <c r="R3447" s="33" t="s">
        <v>3473</v>
      </c>
      <c r="S3447">
        <v>37</v>
      </c>
      <c r="T3447" s="1" t="s">
        <v>13878</v>
      </c>
      <c r="U3447" s="1" t="str">
        <f>HYPERLINK("http://ictvonline.org/taxonomy/p/taxonomy-history?taxnode_id=202109896","ICTVonline=202109896")</f>
        <v>ICTVonline=202109896</v>
      </c>
    </row>
    <row r="3448" spans="1:21" x14ac:dyDescent="0.2">
      <c r="A3448" s="3">
        <v>3447</v>
      </c>
      <c r="B3448" s="1" t="s">
        <v>4875</v>
      </c>
      <c r="D3448" s="1" t="s">
        <v>4876</v>
      </c>
      <c r="F3448" s="1" t="s">
        <v>4880</v>
      </c>
      <c r="H3448" s="1" t="s">
        <v>4881</v>
      </c>
      <c r="N3448" s="1" t="s">
        <v>6042</v>
      </c>
      <c r="P3448" s="1" t="s">
        <v>12186</v>
      </c>
      <c r="Q3448" s="30" t="s">
        <v>2565</v>
      </c>
      <c r="R3448" s="33" t="s">
        <v>3473</v>
      </c>
      <c r="S3448">
        <v>37</v>
      </c>
      <c r="T3448" s="1" t="s">
        <v>13878</v>
      </c>
      <c r="U3448" s="1" t="str">
        <f>HYPERLINK("http://ictvonline.org/taxonomy/p/taxonomy-history?taxnode_id=202109893","ICTVonline=202109893")</f>
        <v>ICTVonline=202109893</v>
      </c>
    </row>
    <row r="3449" spans="1:21" x14ac:dyDescent="0.2">
      <c r="A3449" s="3">
        <v>3448</v>
      </c>
      <c r="B3449" s="1" t="s">
        <v>4875</v>
      </c>
      <c r="D3449" s="1" t="s">
        <v>4876</v>
      </c>
      <c r="F3449" s="1" t="s">
        <v>4880</v>
      </c>
      <c r="H3449" s="1" t="s">
        <v>4881</v>
      </c>
      <c r="N3449" s="1" t="s">
        <v>6042</v>
      </c>
      <c r="P3449" s="1" t="s">
        <v>12187</v>
      </c>
      <c r="Q3449" s="30" t="s">
        <v>2565</v>
      </c>
      <c r="R3449" s="33" t="s">
        <v>3473</v>
      </c>
      <c r="S3449">
        <v>37</v>
      </c>
      <c r="T3449" s="1" t="s">
        <v>13878</v>
      </c>
      <c r="U3449" s="1" t="str">
        <f>HYPERLINK("http://ictvonline.org/taxonomy/p/taxonomy-history?taxnode_id=202109895","ICTVonline=202109895")</f>
        <v>ICTVonline=202109895</v>
      </c>
    </row>
    <row r="3450" spans="1:21" x14ac:dyDescent="0.2">
      <c r="A3450" s="3">
        <v>3449</v>
      </c>
      <c r="B3450" s="1" t="s">
        <v>4875</v>
      </c>
      <c r="D3450" s="1" t="s">
        <v>4876</v>
      </c>
      <c r="F3450" s="1" t="s">
        <v>4880</v>
      </c>
      <c r="H3450" s="1" t="s">
        <v>4881</v>
      </c>
      <c r="N3450" s="1" t="s">
        <v>6042</v>
      </c>
      <c r="P3450" s="1" t="s">
        <v>12188</v>
      </c>
      <c r="Q3450" s="30" t="s">
        <v>2565</v>
      </c>
      <c r="R3450" s="33" t="s">
        <v>3473</v>
      </c>
      <c r="S3450">
        <v>37</v>
      </c>
      <c r="T3450" s="1" t="s">
        <v>13878</v>
      </c>
      <c r="U3450" s="1" t="str">
        <f>HYPERLINK("http://ictvonline.org/taxonomy/p/taxonomy-history?taxnode_id=202109892","ICTVonline=202109892")</f>
        <v>ICTVonline=202109892</v>
      </c>
    </row>
    <row r="3451" spans="1:21" x14ac:dyDescent="0.2">
      <c r="A3451" s="3">
        <v>3450</v>
      </c>
      <c r="B3451" s="1" t="s">
        <v>4875</v>
      </c>
      <c r="D3451" s="1" t="s">
        <v>4876</v>
      </c>
      <c r="F3451" s="1" t="s">
        <v>4880</v>
      </c>
      <c r="H3451" s="1" t="s">
        <v>4881</v>
      </c>
      <c r="N3451" s="1" t="s">
        <v>6042</v>
      </c>
      <c r="P3451" s="1" t="s">
        <v>12189</v>
      </c>
      <c r="Q3451" s="30" t="s">
        <v>2565</v>
      </c>
      <c r="R3451" s="33" t="s">
        <v>3473</v>
      </c>
      <c r="S3451">
        <v>37</v>
      </c>
      <c r="T3451" s="1" t="s">
        <v>13878</v>
      </c>
      <c r="U3451" s="1" t="str">
        <f>HYPERLINK("http://ictvonline.org/taxonomy/p/taxonomy-history?taxnode_id=202109894","ICTVonline=202109894")</f>
        <v>ICTVonline=202109894</v>
      </c>
    </row>
    <row r="3452" spans="1:21" x14ac:dyDescent="0.2">
      <c r="A3452" s="3">
        <v>3451</v>
      </c>
      <c r="B3452" s="1" t="s">
        <v>4875</v>
      </c>
      <c r="D3452" s="1" t="s">
        <v>4876</v>
      </c>
      <c r="F3452" s="1" t="s">
        <v>4880</v>
      </c>
      <c r="H3452" s="1" t="s">
        <v>4881</v>
      </c>
      <c r="N3452" s="1" t="s">
        <v>6042</v>
      </c>
      <c r="P3452" s="1" t="s">
        <v>12190</v>
      </c>
      <c r="Q3452" s="30" t="s">
        <v>2565</v>
      </c>
      <c r="R3452" s="33" t="s">
        <v>3473</v>
      </c>
      <c r="S3452">
        <v>37</v>
      </c>
      <c r="T3452" s="1" t="s">
        <v>13878</v>
      </c>
      <c r="U3452" s="1" t="str">
        <f>HYPERLINK("http://ictvonline.org/taxonomy/p/taxonomy-history?taxnode_id=202109891","ICTVonline=202109891")</f>
        <v>ICTVonline=202109891</v>
      </c>
    </row>
    <row r="3453" spans="1:21" x14ac:dyDescent="0.2">
      <c r="A3453" s="3">
        <v>3452</v>
      </c>
      <c r="B3453" s="1" t="s">
        <v>4875</v>
      </c>
      <c r="D3453" s="1" t="s">
        <v>4876</v>
      </c>
      <c r="F3453" s="1" t="s">
        <v>4880</v>
      </c>
      <c r="H3453" s="1" t="s">
        <v>4881</v>
      </c>
      <c r="N3453" s="1" t="s">
        <v>6043</v>
      </c>
      <c r="P3453" s="1" t="s">
        <v>12191</v>
      </c>
      <c r="Q3453" s="30" t="s">
        <v>2565</v>
      </c>
      <c r="R3453" s="33" t="s">
        <v>3473</v>
      </c>
      <c r="S3453">
        <v>37</v>
      </c>
      <c r="T3453" s="1" t="s">
        <v>13878</v>
      </c>
      <c r="U3453" s="1" t="str">
        <f>HYPERLINK("http://ictvonline.org/taxonomy/p/taxonomy-history?taxnode_id=202111858","ICTVonline=202111858")</f>
        <v>ICTVonline=202111858</v>
      </c>
    </row>
    <row r="3454" spans="1:21" x14ac:dyDescent="0.2">
      <c r="A3454" s="3">
        <v>3453</v>
      </c>
      <c r="B3454" s="1" t="s">
        <v>4875</v>
      </c>
      <c r="D3454" s="1" t="s">
        <v>4876</v>
      </c>
      <c r="F3454" s="1" t="s">
        <v>4880</v>
      </c>
      <c r="H3454" s="1" t="s">
        <v>4881</v>
      </c>
      <c r="N3454" s="1" t="s">
        <v>12192</v>
      </c>
      <c r="P3454" s="1" t="s">
        <v>12193</v>
      </c>
      <c r="Q3454" s="30" t="s">
        <v>2565</v>
      </c>
      <c r="R3454" s="33" t="s">
        <v>3472</v>
      </c>
      <c r="S3454">
        <v>37</v>
      </c>
      <c r="T3454" s="1" t="s">
        <v>13927</v>
      </c>
      <c r="U3454" s="1" t="str">
        <f>HYPERLINK("http://ictvonline.org/taxonomy/p/taxonomy-history?taxnode_id=202113637","ICTVonline=202113637")</f>
        <v>ICTVonline=202113637</v>
      </c>
    </row>
    <row r="3455" spans="1:21" x14ac:dyDescent="0.2">
      <c r="A3455" s="3">
        <v>3454</v>
      </c>
      <c r="B3455" s="1" t="s">
        <v>4875</v>
      </c>
      <c r="D3455" s="1" t="s">
        <v>4876</v>
      </c>
      <c r="F3455" s="1" t="s">
        <v>4880</v>
      </c>
      <c r="H3455" s="1" t="s">
        <v>4881</v>
      </c>
      <c r="N3455" s="1" t="s">
        <v>5161</v>
      </c>
      <c r="P3455" s="1" t="s">
        <v>12194</v>
      </c>
      <c r="Q3455" s="30" t="s">
        <v>2565</v>
      </c>
      <c r="R3455" s="33" t="s">
        <v>3473</v>
      </c>
      <c r="S3455">
        <v>37</v>
      </c>
      <c r="T3455" s="1" t="s">
        <v>13878</v>
      </c>
      <c r="U3455" s="1" t="str">
        <f>HYPERLINK("http://ictvonline.org/taxonomy/p/taxonomy-history?taxnode_id=202107993","ICTVonline=202107993")</f>
        <v>ICTVonline=202107993</v>
      </c>
    </row>
    <row r="3456" spans="1:21" x14ac:dyDescent="0.2">
      <c r="A3456" s="3">
        <v>3455</v>
      </c>
      <c r="B3456" s="1" t="s">
        <v>4875</v>
      </c>
      <c r="D3456" s="1" t="s">
        <v>4876</v>
      </c>
      <c r="F3456" s="1" t="s">
        <v>4880</v>
      </c>
      <c r="H3456" s="1" t="s">
        <v>4881</v>
      </c>
      <c r="N3456" s="1" t="s">
        <v>12195</v>
      </c>
      <c r="P3456" s="1" t="s">
        <v>12196</v>
      </c>
      <c r="Q3456" s="30" t="s">
        <v>2565</v>
      </c>
      <c r="R3456" s="33" t="s">
        <v>3472</v>
      </c>
      <c r="S3456">
        <v>37</v>
      </c>
      <c r="T3456" s="1" t="s">
        <v>13927</v>
      </c>
      <c r="U3456" s="1" t="str">
        <f>HYPERLINK("http://ictvonline.org/taxonomy/p/taxonomy-history?taxnode_id=202113629","ICTVonline=202113629")</f>
        <v>ICTVonline=202113629</v>
      </c>
    </row>
    <row r="3457" spans="1:21" x14ac:dyDescent="0.2">
      <c r="A3457" s="3">
        <v>3456</v>
      </c>
      <c r="B3457" s="1" t="s">
        <v>4875</v>
      </c>
      <c r="D3457" s="1" t="s">
        <v>4876</v>
      </c>
      <c r="F3457" s="1" t="s">
        <v>4880</v>
      </c>
      <c r="H3457" s="1" t="s">
        <v>4881</v>
      </c>
      <c r="N3457" s="1" t="s">
        <v>12195</v>
      </c>
      <c r="P3457" s="1" t="s">
        <v>12197</v>
      </c>
      <c r="Q3457" s="30" t="s">
        <v>2565</v>
      </c>
      <c r="R3457" s="33" t="s">
        <v>3472</v>
      </c>
      <c r="S3457">
        <v>37</v>
      </c>
      <c r="T3457" s="1" t="s">
        <v>13927</v>
      </c>
      <c r="U3457" s="1" t="str">
        <f>HYPERLINK("http://ictvonline.org/taxonomy/p/taxonomy-history?taxnode_id=202113624","ICTVonline=202113624")</f>
        <v>ICTVonline=202113624</v>
      </c>
    </row>
    <row r="3458" spans="1:21" x14ac:dyDescent="0.2">
      <c r="A3458" s="3">
        <v>3457</v>
      </c>
      <c r="B3458" s="1" t="s">
        <v>4875</v>
      </c>
      <c r="D3458" s="1" t="s">
        <v>4876</v>
      </c>
      <c r="F3458" s="1" t="s">
        <v>4880</v>
      </c>
      <c r="H3458" s="1" t="s">
        <v>4881</v>
      </c>
      <c r="N3458" s="1" t="s">
        <v>12195</v>
      </c>
      <c r="P3458" s="1" t="s">
        <v>12198</v>
      </c>
      <c r="Q3458" s="30" t="s">
        <v>2565</v>
      </c>
      <c r="R3458" s="33" t="s">
        <v>3472</v>
      </c>
      <c r="S3458">
        <v>37</v>
      </c>
      <c r="T3458" s="1" t="s">
        <v>13927</v>
      </c>
      <c r="U3458" s="1" t="str">
        <f>HYPERLINK("http://ictvonline.org/taxonomy/p/taxonomy-history?taxnode_id=202113628","ICTVonline=202113628")</f>
        <v>ICTVonline=202113628</v>
      </c>
    </row>
    <row r="3459" spans="1:21" x14ac:dyDescent="0.2">
      <c r="A3459" s="3">
        <v>3458</v>
      </c>
      <c r="B3459" s="1" t="s">
        <v>4875</v>
      </c>
      <c r="D3459" s="1" t="s">
        <v>4876</v>
      </c>
      <c r="F3459" s="1" t="s">
        <v>4880</v>
      </c>
      <c r="H3459" s="1" t="s">
        <v>4881</v>
      </c>
      <c r="N3459" s="1" t="s">
        <v>12195</v>
      </c>
      <c r="P3459" s="1" t="s">
        <v>12199</v>
      </c>
      <c r="Q3459" s="30" t="s">
        <v>2565</v>
      </c>
      <c r="R3459" s="33" t="s">
        <v>3472</v>
      </c>
      <c r="S3459">
        <v>37</v>
      </c>
      <c r="T3459" s="1" t="s">
        <v>13927</v>
      </c>
      <c r="U3459" s="1" t="str">
        <f>HYPERLINK("http://ictvonline.org/taxonomy/p/taxonomy-history?taxnode_id=202113626","ICTVonline=202113626")</f>
        <v>ICTVonline=202113626</v>
      </c>
    </row>
    <row r="3460" spans="1:21" x14ac:dyDescent="0.2">
      <c r="A3460" s="3">
        <v>3459</v>
      </c>
      <c r="B3460" s="1" t="s">
        <v>4875</v>
      </c>
      <c r="D3460" s="1" t="s">
        <v>4876</v>
      </c>
      <c r="F3460" s="1" t="s">
        <v>4880</v>
      </c>
      <c r="H3460" s="1" t="s">
        <v>4881</v>
      </c>
      <c r="N3460" s="1" t="s">
        <v>12195</v>
      </c>
      <c r="P3460" s="1" t="s">
        <v>12200</v>
      </c>
      <c r="Q3460" s="30" t="s">
        <v>2565</v>
      </c>
      <c r="R3460" s="33" t="s">
        <v>3472</v>
      </c>
      <c r="S3460">
        <v>37</v>
      </c>
      <c r="T3460" s="1" t="s">
        <v>13927</v>
      </c>
      <c r="U3460" s="1" t="str">
        <f>HYPERLINK("http://ictvonline.org/taxonomy/p/taxonomy-history?taxnode_id=202113625","ICTVonline=202113625")</f>
        <v>ICTVonline=202113625</v>
      </c>
    </row>
    <row r="3461" spans="1:21" x14ac:dyDescent="0.2">
      <c r="A3461" s="3">
        <v>3460</v>
      </c>
      <c r="B3461" s="1" t="s">
        <v>4875</v>
      </c>
      <c r="D3461" s="1" t="s">
        <v>4876</v>
      </c>
      <c r="F3461" s="1" t="s">
        <v>4880</v>
      </c>
      <c r="H3461" s="1" t="s">
        <v>4881</v>
      </c>
      <c r="N3461" s="1" t="s">
        <v>12195</v>
      </c>
      <c r="P3461" s="1" t="s">
        <v>12201</v>
      </c>
      <c r="Q3461" s="30" t="s">
        <v>2565</v>
      </c>
      <c r="R3461" s="33" t="s">
        <v>3472</v>
      </c>
      <c r="S3461">
        <v>37</v>
      </c>
      <c r="T3461" s="1" t="s">
        <v>13927</v>
      </c>
      <c r="U3461" s="1" t="str">
        <f>HYPERLINK("http://ictvonline.org/taxonomy/p/taxonomy-history?taxnode_id=202113623","ICTVonline=202113623")</f>
        <v>ICTVonline=202113623</v>
      </c>
    </row>
    <row r="3462" spans="1:21" x14ac:dyDescent="0.2">
      <c r="A3462" s="3">
        <v>3461</v>
      </c>
      <c r="B3462" s="1" t="s">
        <v>4875</v>
      </c>
      <c r="D3462" s="1" t="s">
        <v>4876</v>
      </c>
      <c r="F3462" s="1" t="s">
        <v>4880</v>
      </c>
      <c r="H3462" s="1" t="s">
        <v>4881</v>
      </c>
      <c r="N3462" s="1" t="s">
        <v>12195</v>
      </c>
      <c r="P3462" s="1" t="s">
        <v>12202</v>
      </c>
      <c r="Q3462" s="30" t="s">
        <v>2565</v>
      </c>
      <c r="R3462" s="33" t="s">
        <v>3472</v>
      </c>
      <c r="S3462">
        <v>37</v>
      </c>
      <c r="T3462" s="1" t="s">
        <v>13927</v>
      </c>
      <c r="U3462" s="1" t="str">
        <f>HYPERLINK("http://ictvonline.org/taxonomy/p/taxonomy-history?taxnode_id=202113627","ICTVonline=202113627")</f>
        <v>ICTVonline=202113627</v>
      </c>
    </row>
    <row r="3463" spans="1:21" x14ac:dyDescent="0.2">
      <c r="A3463" s="3">
        <v>3462</v>
      </c>
      <c r="B3463" s="1" t="s">
        <v>4875</v>
      </c>
      <c r="D3463" s="1" t="s">
        <v>4876</v>
      </c>
      <c r="F3463" s="1" t="s">
        <v>4880</v>
      </c>
      <c r="H3463" s="1" t="s">
        <v>4881</v>
      </c>
      <c r="N3463" s="1" t="s">
        <v>12203</v>
      </c>
      <c r="P3463" s="1" t="s">
        <v>12204</v>
      </c>
      <c r="Q3463" s="30" t="s">
        <v>2565</v>
      </c>
      <c r="R3463" s="33" t="s">
        <v>3472</v>
      </c>
      <c r="S3463">
        <v>37</v>
      </c>
      <c r="T3463" s="1" t="s">
        <v>13976</v>
      </c>
      <c r="U3463" s="1" t="str">
        <f>HYPERLINK("http://ictvonline.org/taxonomy/p/taxonomy-history?taxnode_id=202113646","ICTVonline=202113646")</f>
        <v>ICTVonline=202113646</v>
      </c>
    </row>
    <row r="3464" spans="1:21" x14ac:dyDescent="0.2">
      <c r="A3464" s="3">
        <v>3463</v>
      </c>
      <c r="B3464" s="1" t="s">
        <v>4875</v>
      </c>
      <c r="D3464" s="1" t="s">
        <v>4876</v>
      </c>
      <c r="F3464" s="1" t="s">
        <v>4880</v>
      </c>
      <c r="H3464" s="1" t="s">
        <v>4881</v>
      </c>
      <c r="N3464" s="1" t="s">
        <v>4738</v>
      </c>
      <c r="P3464" s="1" t="s">
        <v>12205</v>
      </c>
      <c r="Q3464" s="30" t="s">
        <v>2565</v>
      </c>
      <c r="R3464" s="33" t="s">
        <v>3473</v>
      </c>
      <c r="S3464">
        <v>37</v>
      </c>
      <c r="T3464" s="1" t="s">
        <v>13878</v>
      </c>
      <c r="U3464" s="1" t="str">
        <f>HYPERLINK("http://ictvonline.org/taxonomy/p/taxonomy-history?taxnode_id=202111879","ICTVonline=202111879")</f>
        <v>ICTVonline=202111879</v>
      </c>
    </row>
    <row r="3465" spans="1:21" x14ac:dyDescent="0.2">
      <c r="A3465" s="3">
        <v>3464</v>
      </c>
      <c r="B3465" s="1" t="s">
        <v>4875</v>
      </c>
      <c r="D3465" s="1" t="s">
        <v>4876</v>
      </c>
      <c r="F3465" s="1" t="s">
        <v>4880</v>
      </c>
      <c r="H3465" s="1" t="s">
        <v>4881</v>
      </c>
      <c r="N3465" s="1" t="s">
        <v>4738</v>
      </c>
      <c r="P3465" s="1" t="s">
        <v>12206</v>
      </c>
      <c r="Q3465" s="30" t="s">
        <v>2565</v>
      </c>
      <c r="R3465" s="33" t="s">
        <v>3473</v>
      </c>
      <c r="S3465">
        <v>37</v>
      </c>
      <c r="T3465" s="1" t="s">
        <v>13878</v>
      </c>
      <c r="U3465" s="1" t="str">
        <f>HYPERLINK("http://ictvonline.org/taxonomy/p/taxonomy-history?taxnode_id=202101287","ICTVonline=202101287")</f>
        <v>ICTVonline=202101287</v>
      </c>
    </row>
    <row r="3466" spans="1:21" x14ac:dyDescent="0.2">
      <c r="A3466" s="3">
        <v>3465</v>
      </c>
      <c r="B3466" s="1" t="s">
        <v>4875</v>
      </c>
      <c r="D3466" s="1" t="s">
        <v>4876</v>
      </c>
      <c r="F3466" s="1" t="s">
        <v>4880</v>
      </c>
      <c r="H3466" s="1" t="s">
        <v>4881</v>
      </c>
      <c r="N3466" s="1" t="s">
        <v>4738</v>
      </c>
      <c r="P3466" s="1" t="s">
        <v>12207</v>
      </c>
      <c r="Q3466" s="30" t="s">
        <v>2565</v>
      </c>
      <c r="R3466" s="33" t="s">
        <v>3473</v>
      </c>
      <c r="S3466">
        <v>37</v>
      </c>
      <c r="T3466" s="1" t="s">
        <v>13878</v>
      </c>
      <c r="U3466" s="1" t="str">
        <f>HYPERLINK("http://ictvonline.org/taxonomy/p/taxonomy-history?taxnode_id=202101288","ICTVonline=202101288")</f>
        <v>ICTVonline=202101288</v>
      </c>
    </row>
    <row r="3467" spans="1:21" x14ac:dyDescent="0.2">
      <c r="A3467" s="3">
        <v>3466</v>
      </c>
      <c r="B3467" s="1" t="s">
        <v>4875</v>
      </c>
      <c r="D3467" s="1" t="s">
        <v>4876</v>
      </c>
      <c r="F3467" s="1" t="s">
        <v>4880</v>
      </c>
      <c r="H3467" s="1" t="s">
        <v>4881</v>
      </c>
      <c r="N3467" s="1" t="s">
        <v>4738</v>
      </c>
      <c r="P3467" s="1" t="s">
        <v>12208</v>
      </c>
      <c r="Q3467" s="30" t="s">
        <v>2565</v>
      </c>
      <c r="R3467" s="33" t="s">
        <v>3473</v>
      </c>
      <c r="S3467">
        <v>37</v>
      </c>
      <c r="T3467" s="1" t="s">
        <v>13878</v>
      </c>
      <c r="U3467" s="1" t="str">
        <f>HYPERLINK("http://ictvonline.org/taxonomy/p/taxonomy-history?taxnode_id=202101289","ICTVonline=202101289")</f>
        <v>ICTVonline=202101289</v>
      </c>
    </row>
    <row r="3468" spans="1:21" x14ac:dyDescent="0.2">
      <c r="A3468" s="3">
        <v>3467</v>
      </c>
      <c r="B3468" s="1" t="s">
        <v>4875</v>
      </c>
      <c r="D3468" s="1" t="s">
        <v>4876</v>
      </c>
      <c r="F3468" s="1" t="s">
        <v>4880</v>
      </c>
      <c r="H3468" s="1" t="s">
        <v>4881</v>
      </c>
      <c r="N3468" s="1" t="s">
        <v>4738</v>
      </c>
      <c r="P3468" s="1" t="s">
        <v>12209</v>
      </c>
      <c r="Q3468" s="30" t="s">
        <v>2565</v>
      </c>
      <c r="R3468" s="33" t="s">
        <v>3473</v>
      </c>
      <c r="S3468">
        <v>37</v>
      </c>
      <c r="T3468" s="1" t="s">
        <v>13878</v>
      </c>
      <c r="U3468" s="1" t="str">
        <f>HYPERLINK("http://ictvonline.org/taxonomy/p/taxonomy-history?taxnode_id=202101290","ICTVonline=202101290")</f>
        <v>ICTVonline=202101290</v>
      </c>
    </row>
    <row r="3469" spans="1:21" x14ac:dyDescent="0.2">
      <c r="A3469" s="3">
        <v>3468</v>
      </c>
      <c r="B3469" s="1" t="s">
        <v>4875</v>
      </c>
      <c r="D3469" s="1" t="s">
        <v>4876</v>
      </c>
      <c r="F3469" s="1" t="s">
        <v>4880</v>
      </c>
      <c r="H3469" s="1" t="s">
        <v>4881</v>
      </c>
      <c r="N3469" s="1" t="s">
        <v>4738</v>
      </c>
      <c r="P3469" s="1" t="s">
        <v>12210</v>
      </c>
      <c r="Q3469" s="30" t="s">
        <v>2565</v>
      </c>
      <c r="R3469" s="33" t="s">
        <v>3473</v>
      </c>
      <c r="S3469">
        <v>37</v>
      </c>
      <c r="T3469" s="1" t="s">
        <v>13878</v>
      </c>
      <c r="U3469" s="1" t="str">
        <f>HYPERLINK("http://ictvonline.org/taxonomy/p/taxonomy-history?taxnode_id=202101291","ICTVonline=202101291")</f>
        <v>ICTVonline=202101291</v>
      </c>
    </row>
    <row r="3470" spans="1:21" x14ac:dyDescent="0.2">
      <c r="A3470" s="3">
        <v>3469</v>
      </c>
      <c r="B3470" s="1" t="s">
        <v>4875</v>
      </c>
      <c r="D3470" s="1" t="s">
        <v>4876</v>
      </c>
      <c r="F3470" s="1" t="s">
        <v>4880</v>
      </c>
      <c r="H3470" s="1" t="s">
        <v>4881</v>
      </c>
      <c r="N3470" s="1" t="s">
        <v>4738</v>
      </c>
      <c r="P3470" s="1" t="s">
        <v>12211</v>
      </c>
      <c r="Q3470" s="30" t="s">
        <v>2565</v>
      </c>
      <c r="R3470" s="33" t="s">
        <v>3473</v>
      </c>
      <c r="S3470">
        <v>37</v>
      </c>
      <c r="T3470" s="1" t="s">
        <v>13878</v>
      </c>
      <c r="U3470" s="1" t="str">
        <f>HYPERLINK("http://ictvonline.org/taxonomy/p/taxonomy-history?taxnode_id=202111880","ICTVonline=202111880")</f>
        <v>ICTVonline=202111880</v>
      </c>
    </row>
    <row r="3471" spans="1:21" x14ac:dyDescent="0.2">
      <c r="A3471" s="3">
        <v>3470</v>
      </c>
      <c r="B3471" s="1" t="s">
        <v>4875</v>
      </c>
      <c r="D3471" s="1" t="s">
        <v>4876</v>
      </c>
      <c r="F3471" s="1" t="s">
        <v>4880</v>
      </c>
      <c r="H3471" s="1" t="s">
        <v>4881</v>
      </c>
      <c r="N3471" s="1" t="s">
        <v>4738</v>
      </c>
      <c r="P3471" s="1" t="s">
        <v>12212</v>
      </c>
      <c r="Q3471" s="30" t="s">
        <v>2565</v>
      </c>
      <c r="R3471" s="33" t="s">
        <v>3473</v>
      </c>
      <c r="S3471">
        <v>37</v>
      </c>
      <c r="T3471" s="1" t="s">
        <v>13878</v>
      </c>
      <c r="U3471" s="1" t="str">
        <f>HYPERLINK("http://ictvonline.org/taxonomy/p/taxonomy-history?taxnode_id=202101292","ICTVonline=202101292")</f>
        <v>ICTVonline=202101292</v>
      </c>
    </row>
    <row r="3472" spans="1:21" x14ac:dyDescent="0.2">
      <c r="A3472" s="3">
        <v>3471</v>
      </c>
      <c r="B3472" s="1" t="s">
        <v>4875</v>
      </c>
      <c r="D3472" s="1" t="s">
        <v>4876</v>
      </c>
      <c r="F3472" s="1" t="s">
        <v>4880</v>
      </c>
      <c r="H3472" s="1" t="s">
        <v>4881</v>
      </c>
      <c r="N3472" s="1" t="s">
        <v>4738</v>
      </c>
      <c r="P3472" s="1" t="s">
        <v>12213</v>
      </c>
      <c r="Q3472" s="30" t="s">
        <v>2565</v>
      </c>
      <c r="R3472" s="33" t="s">
        <v>3473</v>
      </c>
      <c r="S3472">
        <v>37</v>
      </c>
      <c r="T3472" s="1" t="s">
        <v>13878</v>
      </c>
      <c r="U3472" s="1" t="str">
        <f>HYPERLINK("http://ictvonline.org/taxonomy/p/taxonomy-history?taxnode_id=202111942","ICTVonline=202111942")</f>
        <v>ICTVonline=202111942</v>
      </c>
    </row>
    <row r="3473" spans="1:21" x14ac:dyDescent="0.2">
      <c r="A3473" s="3">
        <v>3472</v>
      </c>
      <c r="B3473" s="1" t="s">
        <v>4875</v>
      </c>
      <c r="D3473" s="1" t="s">
        <v>4876</v>
      </c>
      <c r="F3473" s="1" t="s">
        <v>4880</v>
      </c>
      <c r="H3473" s="1" t="s">
        <v>4881</v>
      </c>
      <c r="N3473" s="1" t="s">
        <v>4738</v>
      </c>
      <c r="P3473" s="1" t="s">
        <v>12214</v>
      </c>
      <c r="Q3473" s="30" t="s">
        <v>2565</v>
      </c>
      <c r="R3473" s="33" t="s">
        <v>3473</v>
      </c>
      <c r="S3473">
        <v>37</v>
      </c>
      <c r="T3473" s="1" t="s">
        <v>13878</v>
      </c>
      <c r="U3473" s="1" t="str">
        <f>HYPERLINK("http://ictvonline.org/taxonomy/p/taxonomy-history?taxnode_id=202111926","ICTVonline=202111926")</f>
        <v>ICTVonline=202111926</v>
      </c>
    </row>
    <row r="3474" spans="1:21" x14ac:dyDescent="0.2">
      <c r="A3474" s="3">
        <v>3473</v>
      </c>
      <c r="B3474" s="1" t="s">
        <v>4875</v>
      </c>
      <c r="D3474" s="1" t="s">
        <v>4876</v>
      </c>
      <c r="F3474" s="1" t="s">
        <v>4880</v>
      </c>
      <c r="H3474" s="1" t="s">
        <v>4881</v>
      </c>
      <c r="N3474" s="1" t="s">
        <v>4738</v>
      </c>
      <c r="P3474" s="1" t="s">
        <v>12215</v>
      </c>
      <c r="Q3474" s="30" t="s">
        <v>2565</v>
      </c>
      <c r="R3474" s="33" t="s">
        <v>3473</v>
      </c>
      <c r="S3474">
        <v>37</v>
      </c>
      <c r="T3474" s="1" t="s">
        <v>13878</v>
      </c>
      <c r="U3474" s="1" t="str">
        <f>HYPERLINK("http://ictvonline.org/taxonomy/p/taxonomy-history?taxnode_id=202101293","ICTVonline=202101293")</f>
        <v>ICTVonline=202101293</v>
      </c>
    </row>
    <row r="3475" spans="1:21" x14ac:dyDescent="0.2">
      <c r="A3475" s="3">
        <v>3474</v>
      </c>
      <c r="B3475" s="1" t="s">
        <v>4875</v>
      </c>
      <c r="D3475" s="1" t="s">
        <v>4876</v>
      </c>
      <c r="F3475" s="1" t="s">
        <v>4880</v>
      </c>
      <c r="H3475" s="1" t="s">
        <v>4881</v>
      </c>
      <c r="N3475" s="1" t="s">
        <v>4738</v>
      </c>
      <c r="P3475" s="1" t="s">
        <v>12216</v>
      </c>
      <c r="Q3475" s="30" t="s">
        <v>2565</v>
      </c>
      <c r="R3475" s="33" t="s">
        <v>3473</v>
      </c>
      <c r="S3475">
        <v>37</v>
      </c>
      <c r="T3475" s="1" t="s">
        <v>13878</v>
      </c>
      <c r="U3475" s="1" t="str">
        <f>HYPERLINK("http://ictvonline.org/taxonomy/p/taxonomy-history?taxnode_id=202111876","ICTVonline=202111876")</f>
        <v>ICTVonline=202111876</v>
      </c>
    </row>
    <row r="3476" spans="1:21" x14ac:dyDescent="0.2">
      <c r="A3476" s="3">
        <v>3475</v>
      </c>
      <c r="B3476" s="1" t="s">
        <v>4875</v>
      </c>
      <c r="D3476" s="1" t="s">
        <v>4876</v>
      </c>
      <c r="F3476" s="1" t="s">
        <v>4880</v>
      </c>
      <c r="H3476" s="1" t="s">
        <v>4881</v>
      </c>
      <c r="N3476" s="1" t="s">
        <v>4738</v>
      </c>
      <c r="P3476" s="1" t="s">
        <v>12217</v>
      </c>
      <c r="Q3476" s="30" t="s">
        <v>2565</v>
      </c>
      <c r="R3476" s="33" t="s">
        <v>3473</v>
      </c>
      <c r="S3476">
        <v>37</v>
      </c>
      <c r="T3476" s="1" t="s">
        <v>13878</v>
      </c>
      <c r="U3476" s="1" t="str">
        <f>HYPERLINK("http://ictvonline.org/taxonomy/p/taxonomy-history?taxnode_id=202101294","ICTVonline=202101294")</f>
        <v>ICTVonline=202101294</v>
      </c>
    </row>
    <row r="3477" spans="1:21" x14ac:dyDescent="0.2">
      <c r="A3477" s="3">
        <v>3476</v>
      </c>
      <c r="B3477" s="1" t="s">
        <v>4875</v>
      </c>
      <c r="D3477" s="1" t="s">
        <v>4876</v>
      </c>
      <c r="F3477" s="1" t="s">
        <v>4880</v>
      </c>
      <c r="H3477" s="1" t="s">
        <v>4881</v>
      </c>
      <c r="N3477" s="1" t="s">
        <v>4738</v>
      </c>
      <c r="P3477" s="1" t="s">
        <v>12218</v>
      </c>
      <c r="Q3477" s="30" t="s">
        <v>2565</v>
      </c>
      <c r="R3477" s="33" t="s">
        <v>3473</v>
      </c>
      <c r="S3477">
        <v>37</v>
      </c>
      <c r="T3477" s="1" t="s">
        <v>13878</v>
      </c>
      <c r="U3477" s="1" t="str">
        <f>HYPERLINK("http://ictvonline.org/taxonomy/p/taxonomy-history?taxnode_id=202101295","ICTVonline=202101295")</f>
        <v>ICTVonline=202101295</v>
      </c>
    </row>
    <row r="3478" spans="1:21" x14ac:dyDescent="0.2">
      <c r="A3478" s="3">
        <v>3477</v>
      </c>
      <c r="B3478" s="1" t="s">
        <v>4875</v>
      </c>
      <c r="D3478" s="1" t="s">
        <v>4876</v>
      </c>
      <c r="F3478" s="1" t="s">
        <v>4880</v>
      </c>
      <c r="H3478" s="1" t="s">
        <v>4881</v>
      </c>
      <c r="N3478" s="1" t="s">
        <v>4738</v>
      </c>
      <c r="P3478" s="1" t="s">
        <v>12219</v>
      </c>
      <c r="Q3478" s="30" t="s">
        <v>2565</v>
      </c>
      <c r="R3478" s="33" t="s">
        <v>3473</v>
      </c>
      <c r="S3478">
        <v>37</v>
      </c>
      <c r="T3478" s="1" t="s">
        <v>13878</v>
      </c>
      <c r="U3478" s="1" t="str">
        <f>HYPERLINK("http://ictvonline.org/taxonomy/p/taxonomy-history?taxnode_id=202101296","ICTVonline=202101296")</f>
        <v>ICTVonline=202101296</v>
      </c>
    </row>
    <row r="3479" spans="1:21" x14ac:dyDescent="0.2">
      <c r="A3479" s="3">
        <v>3478</v>
      </c>
      <c r="B3479" s="1" t="s">
        <v>4875</v>
      </c>
      <c r="D3479" s="1" t="s">
        <v>4876</v>
      </c>
      <c r="F3479" s="1" t="s">
        <v>4880</v>
      </c>
      <c r="H3479" s="1" t="s">
        <v>4881</v>
      </c>
      <c r="N3479" s="1" t="s">
        <v>4738</v>
      </c>
      <c r="P3479" s="1" t="s">
        <v>12220</v>
      </c>
      <c r="Q3479" s="30" t="s">
        <v>2565</v>
      </c>
      <c r="R3479" s="33" t="s">
        <v>3473</v>
      </c>
      <c r="S3479">
        <v>37</v>
      </c>
      <c r="T3479" s="1" t="s">
        <v>13878</v>
      </c>
      <c r="U3479" s="1" t="str">
        <f>HYPERLINK("http://ictvonline.org/taxonomy/p/taxonomy-history?taxnode_id=202111936","ICTVonline=202111936")</f>
        <v>ICTVonline=202111936</v>
      </c>
    </row>
    <row r="3480" spans="1:21" x14ac:dyDescent="0.2">
      <c r="A3480" s="3">
        <v>3479</v>
      </c>
      <c r="B3480" s="1" t="s">
        <v>4875</v>
      </c>
      <c r="D3480" s="1" t="s">
        <v>4876</v>
      </c>
      <c r="F3480" s="1" t="s">
        <v>4880</v>
      </c>
      <c r="H3480" s="1" t="s">
        <v>4881</v>
      </c>
      <c r="N3480" s="1" t="s">
        <v>4738</v>
      </c>
      <c r="P3480" s="1" t="s">
        <v>12221</v>
      </c>
      <c r="Q3480" s="30" t="s">
        <v>2565</v>
      </c>
      <c r="R3480" s="33" t="s">
        <v>3473</v>
      </c>
      <c r="S3480">
        <v>37</v>
      </c>
      <c r="T3480" s="1" t="s">
        <v>13878</v>
      </c>
      <c r="U3480" s="1" t="str">
        <f>HYPERLINK("http://ictvonline.org/taxonomy/p/taxonomy-history?taxnode_id=202111933","ICTVonline=202111933")</f>
        <v>ICTVonline=202111933</v>
      </c>
    </row>
    <row r="3481" spans="1:21" x14ac:dyDescent="0.2">
      <c r="A3481" s="3">
        <v>3480</v>
      </c>
      <c r="B3481" s="1" t="s">
        <v>4875</v>
      </c>
      <c r="D3481" s="1" t="s">
        <v>4876</v>
      </c>
      <c r="F3481" s="1" t="s">
        <v>4880</v>
      </c>
      <c r="H3481" s="1" t="s">
        <v>4881</v>
      </c>
      <c r="N3481" s="1" t="s">
        <v>4738</v>
      </c>
      <c r="P3481" s="1" t="s">
        <v>12222</v>
      </c>
      <c r="Q3481" s="30" t="s">
        <v>2565</v>
      </c>
      <c r="R3481" s="33" t="s">
        <v>3473</v>
      </c>
      <c r="S3481">
        <v>37</v>
      </c>
      <c r="T3481" s="1" t="s">
        <v>13878</v>
      </c>
      <c r="U3481" s="1" t="str">
        <f>HYPERLINK("http://ictvonline.org/taxonomy/p/taxonomy-history?taxnode_id=202111934","ICTVonline=202111934")</f>
        <v>ICTVonline=202111934</v>
      </c>
    </row>
    <row r="3482" spans="1:21" x14ac:dyDescent="0.2">
      <c r="A3482" s="3">
        <v>3481</v>
      </c>
      <c r="B3482" s="1" t="s">
        <v>4875</v>
      </c>
      <c r="D3482" s="1" t="s">
        <v>4876</v>
      </c>
      <c r="F3482" s="1" t="s">
        <v>4880</v>
      </c>
      <c r="H3482" s="1" t="s">
        <v>4881</v>
      </c>
      <c r="N3482" s="1" t="s">
        <v>4738</v>
      </c>
      <c r="P3482" s="1" t="s">
        <v>12223</v>
      </c>
      <c r="Q3482" s="30" t="s">
        <v>2565</v>
      </c>
      <c r="R3482" s="33" t="s">
        <v>3473</v>
      </c>
      <c r="S3482">
        <v>37</v>
      </c>
      <c r="T3482" s="1" t="s">
        <v>13878</v>
      </c>
      <c r="U3482" s="1" t="str">
        <f>HYPERLINK("http://ictvonline.org/taxonomy/p/taxonomy-history?taxnode_id=202111935","ICTVonline=202111935")</f>
        <v>ICTVonline=202111935</v>
      </c>
    </row>
    <row r="3483" spans="1:21" x14ac:dyDescent="0.2">
      <c r="A3483" s="3">
        <v>3482</v>
      </c>
      <c r="B3483" s="1" t="s">
        <v>4875</v>
      </c>
      <c r="D3483" s="1" t="s">
        <v>4876</v>
      </c>
      <c r="F3483" s="1" t="s">
        <v>4880</v>
      </c>
      <c r="H3483" s="1" t="s">
        <v>4881</v>
      </c>
      <c r="N3483" s="1" t="s">
        <v>4738</v>
      </c>
      <c r="P3483" s="1" t="s">
        <v>12224</v>
      </c>
      <c r="Q3483" s="30" t="s">
        <v>2565</v>
      </c>
      <c r="R3483" s="33" t="s">
        <v>3473</v>
      </c>
      <c r="S3483">
        <v>37</v>
      </c>
      <c r="T3483" s="1" t="s">
        <v>13878</v>
      </c>
      <c r="U3483" s="1" t="str">
        <f>HYPERLINK("http://ictvonline.org/taxonomy/p/taxonomy-history?taxnode_id=202111937","ICTVonline=202111937")</f>
        <v>ICTVonline=202111937</v>
      </c>
    </row>
    <row r="3484" spans="1:21" x14ac:dyDescent="0.2">
      <c r="A3484" s="3">
        <v>3483</v>
      </c>
      <c r="B3484" s="1" t="s">
        <v>4875</v>
      </c>
      <c r="D3484" s="1" t="s">
        <v>4876</v>
      </c>
      <c r="F3484" s="1" t="s">
        <v>4880</v>
      </c>
      <c r="H3484" s="1" t="s">
        <v>4881</v>
      </c>
      <c r="N3484" s="1" t="s">
        <v>4738</v>
      </c>
      <c r="P3484" s="1" t="s">
        <v>12225</v>
      </c>
      <c r="Q3484" s="30" t="s">
        <v>2565</v>
      </c>
      <c r="R3484" s="33" t="s">
        <v>3473</v>
      </c>
      <c r="S3484">
        <v>37</v>
      </c>
      <c r="T3484" s="1" t="s">
        <v>13878</v>
      </c>
      <c r="U3484" s="1" t="str">
        <f>HYPERLINK("http://ictvonline.org/taxonomy/p/taxonomy-history?taxnode_id=202111938","ICTVonline=202111938")</f>
        <v>ICTVonline=202111938</v>
      </c>
    </row>
    <row r="3485" spans="1:21" x14ac:dyDescent="0.2">
      <c r="A3485" s="3">
        <v>3484</v>
      </c>
      <c r="B3485" s="1" t="s">
        <v>4875</v>
      </c>
      <c r="D3485" s="1" t="s">
        <v>4876</v>
      </c>
      <c r="F3485" s="1" t="s">
        <v>4880</v>
      </c>
      <c r="H3485" s="1" t="s">
        <v>4881</v>
      </c>
      <c r="N3485" s="1" t="s">
        <v>4738</v>
      </c>
      <c r="P3485" s="1" t="s">
        <v>12226</v>
      </c>
      <c r="Q3485" s="30" t="s">
        <v>2565</v>
      </c>
      <c r="R3485" s="33" t="s">
        <v>3473</v>
      </c>
      <c r="S3485">
        <v>37</v>
      </c>
      <c r="T3485" s="1" t="s">
        <v>13878</v>
      </c>
      <c r="U3485" s="1" t="str">
        <f>HYPERLINK("http://ictvonline.org/taxonomy/p/taxonomy-history?taxnode_id=202111939","ICTVonline=202111939")</f>
        <v>ICTVonline=202111939</v>
      </c>
    </row>
    <row r="3486" spans="1:21" x14ac:dyDescent="0.2">
      <c r="A3486" s="3">
        <v>3485</v>
      </c>
      <c r="B3486" s="1" t="s">
        <v>4875</v>
      </c>
      <c r="D3486" s="1" t="s">
        <v>4876</v>
      </c>
      <c r="F3486" s="1" t="s">
        <v>4880</v>
      </c>
      <c r="H3486" s="1" t="s">
        <v>4881</v>
      </c>
      <c r="N3486" s="1" t="s">
        <v>4738</v>
      </c>
      <c r="P3486" s="1" t="s">
        <v>12227</v>
      </c>
      <c r="Q3486" s="30" t="s">
        <v>2565</v>
      </c>
      <c r="R3486" s="33" t="s">
        <v>3473</v>
      </c>
      <c r="S3486">
        <v>37</v>
      </c>
      <c r="T3486" s="1" t="s">
        <v>13878</v>
      </c>
      <c r="U3486" s="1" t="str">
        <f>HYPERLINK("http://ictvonline.org/taxonomy/p/taxonomy-history?taxnode_id=202111940","ICTVonline=202111940")</f>
        <v>ICTVonline=202111940</v>
      </c>
    </row>
    <row r="3487" spans="1:21" x14ac:dyDescent="0.2">
      <c r="A3487" s="3">
        <v>3486</v>
      </c>
      <c r="B3487" s="1" t="s">
        <v>4875</v>
      </c>
      <c r="D3487" s="1" t="s">
        <v>4876</v>
      </c>
      <c r="F3487" s="1" t="s">
        <v>4880</v>
      </c>
      <c r="H3487" s="1" t="s">
        <v>4881</v>
      </c>
      <c r="N3487" s="1" t="s">
        <v>4738</v>
      </c>
      <c r="P3487" s="1" t="s">
        <v>12228</v>
      </c>
      <c r="Q3487" s="30" t="s">
        <v>2565</v>
      </c>
      <c r="R3487" s="33" t="s">
        <v>3473</v>
      </c>
      <c r="S3487">
        <v>37</v>
      </c>
      <c r="T3487" s="1" t="s">
        <v>13878</v>
      </c>
      <c r="U3487" s="1" t="str">
        <f>HYPERLINK("http://ictvonline.org/taxonomy/p/taxonomy-history?taxnode_id=202111941","ICTVonline=202111941")</f>
        <v>ICTVonline=202111941</v>
      </c>
    </row>
    <row r="3488" spans="1:21" x14ac:dyDescent="0.2">
      <c r="A3488" s="3">
        <v>3487</v>
      </c>
      <c r="B3488" s="1" t="s">
        <v>4875</v>
      </c>
      <c r="D3488" s="1" t="s">
        <v>4876</v>
      </c>
      <c r="F3488" s="1" t="s">
        <v>4880</v>
      </c>
      <c r="H3488" s="1" t="s">
        <v>4881</v>
      </c>
      <c r="N3488" s="1" t="s">
        <v>4738</v>
      </c>
      <c r="P3488" s="1" t="s">
        <v>12229</v>
      </c>
      <c r="Q3488" s="30" t="s">
        <v>2565</v>
      </c>
      <c r="R3488" s="33" t="s">
        <v>3473</v>
      </c>
      <c r="S3488">
        <v>37</v>
      </c>
      <c r="T3488" s="1" t="s">
        <v>13878</v>
      </c>
      <c r="U3488" s="1" t="str">
        <f>HYPERLINK("http://ictvonline.org/taxonomy/p/taxonomy-history?taxnode_id=202111891","ICTVonline=202111891")</f>
        <v>ICTVonline=202111891</v>
      </c>
    </row>
    <row r="3489" spans="1:21" x14ac:dyDescent="0.2">
      <c r="A3489" s="3">
        <v>3488</v>
      </c>
      <c r="B3489" s="1" t="s">
        <v>4875</v>
      </c>
      <c r="D3489" s="1" t="s">
        <v>4876</v>
      </c>
      <c r="F3489" s="1" t="s">
        <v>4880</v>
      </c>
      <c r="H3489" s="1" t="s">
        <v>4881</v>
      </c>
      <c r="N3489" s="1" t="s">
        <v>4738</v>
      </c>
      <c r="P3489" s="1" t="s">
        <v>12230</v>
      </c>
      <c r="Q3489" s="30" t="s">
        <v>2565</v>
      </c>
      <c r="R3489" s="33" t="s">
        <v>3473</v>
      </c>
      <c r="S3489">
        <v>37</v>
      </c>
      <c r="T3489" s="1" t="s">
        <v>13878</v>
      </c>
      <c r="U3489" s="1" t="str">
        <f>HYPERLINK("http://ictvonline.org/taxonomy/p/taxonomy-history?taxnode_id=202111883","ICTVonline=202111883")</f>
        <v>ICTVonline=202111883</v>
      </c>
    </row>
    <row r="3490" spans="1:21" x14ac:dyDescent="0.2">
      <c r="A3490" s="3">
        <v>3489</v>
      </c>
      <c r="B3490" s="1" t="s">
        <v>4875</v>
      </c>
      <c r="D3490" s="1" t="s">
        <v>4876</v>
      </c>
      <c r="F3490" s="1" t="s">
        <v>4880</v>
      </c>
      <c r="H3490" s="1" t="s">
        <v>4881</v>
      </c>
      <c r="N3490" s="1" t="s">
        <v>4738</v>
      </c>
      <c r="P3490" s="1" t="s">
        <v>12231</v>
      </c>
      <c r="Q3490" s="30" t="s">
        <v>2565</v>
      </c>
      <c r="R3490" s="33" t="s">
        <v>3473</v>
      </c>
      <c r="S3490">
        <v>37</v>
      </c>
      <c r="T3490" s="1" t="s">
        <v>13878</v>
      </c>
      <c r="U3490" s="1" t="str">
        <f>HYPERLINK("http://ictvonline.org/taxonomy/p/taxonomy-history?taxnode_id=202111869","ICTVonline=202111869")</f>
        <v>ICTVonline=202111869</v>
      </c>
    </row>
    <row r="3491" spans="1:21" x14ac:dyDescent="0.2">
      <c r="A3491" s="3">
        <v>3490</v>
      </c>
      <c r="B3491" s="1" t="s">
        <v>4875</v>
      </c>
      <c r="D3491" s="1" t="s">
        <v>4876</v>
      </c>
      <c r="F3491" s="1" t="s">
        <v>4880</v>
      </c>
      <c r="H3491" s="1" t="s">
        <v>4881</v>
      </c>
      <c r="N3491" s="1" t="s">
        <v>4738</v>
      </c>
      <c r="P3491" s="1" t="s">
        <v>12232</v>
      </c>
      <c r="Q3491" s="30" t="s">
        <v>2565</v>
      </c>
      <c r="R3491" s="33" t="s">
        <v>3473</v>
      </c>
      <c r="S3491">
        <v>37</v>
      </c>
      <c r="T3491" s="1" t="s">
        <v>13878</v>
      </c>
      <c r="U3491" s="1" t="str">
        <f>HYPERLINK("http://ictvonline.org/taxonomy/p/taxonomy-history?taxnode_id=202111896","ICTVonline=202111896")</f>
        <v>ICTVonline=202111896</v>
      </c>
    </row>
    <row r="3492" spans="1:21" x14ac:dyDescent="0.2">
      <c r="A3492" s="3">
        <v>3491</v>
      </c>
      <c r="B3492" s="1" t="s">
        <v>4875</v>
      </c>
      <c r="D3492" s="1" t="s">
        <v>4876</v>
      </c>
      <c r="F3492" s="1" t="s">
        <v>4880</v>
      </c>
      <c r="H3492" s="1" t="s">
        <v>4881</v>
      </c>
      <c r="N3492" s="1" t="s">
        <v>4738</v>
      </c>
      <c r="P3492" s="1" t="s">
        <v>12233</v>
      </c>
      <c r="Q3492" s="30" t="s">
        <v>2565</v>
      </c>
      <c r="R3492" s="33" t="s">
        <v>3473</v>
      </c>
      <c r="S3492">
        <v>37</v>
      </c>
      <c r="T3492" s="1" t="s">
        <v>13878</v>
      </c>
      <c r="U3492" s="1" t="str">
        <f>HYPERLINK("http://ictvonline.org/taxonomy/p/taxonomy-history?taxnode_id=202111889","ICTVonline=202111889")</f>
        <v>ICTVonline=202111889</v>
      </c>
    </row>
    <row r="3493" spans="1:21" x14ac:dyDescent="0.2">
      <c r="A3493" s="3">
        <v>3492</v>
      </c>
      <c r="B3493" s="1" t="s">
        <v>4875</v>
      </c>
      <c r="D3493" s="1" t="s">
        <v>4876</v>
      </c>
      <c r="F3493" s="1" t="s">
        <v>4880</v>
      </c>
      <c r="H3493" s="1" t="s">
        <v>4881</v>
      </c>
      <c r="N3493" s="1" t="s">
        <v>4738</v>
      </c>
      <c r="P3493" s="1" t="s">
        <v>12234</v>
      </c>
      <c r="Q3493" s="30" t="s">
        <v>2565</v>
      </c>
      <c r="R3493" s="33" t="s">
        <v>3473</v>
      </c>
      <c r="S3493">
        <v>37</v>
      </c>
      <c r="T3493" s="1" t="s">
        <v>13878</v>
      </c>
      <c r="U3493" s="1" t="str">
        <f>HYPERLINK("http://ictvonline.org/taxonomy/p/taxonomy-history?taxnode_id=202111870","ICTVonline=202111870")</f>
        <v>ICTVonline=202111870</v>
      </c>
    </row>
    <row r="3494" spans="1:21" x14ac:dyDescent="0.2">
      <c r="A3494" s="3">
        <v>3493</v>
      </c>
      <c r="B3494" s="1" t="s">
        <v>4875</v>
      </c>
      <c r="D3494" s="1" t="s">
        <v>4876</v>
      </c>
      <c r="F3494" s="1" t="s">
        <v>4880</v>
      </c>
      <c r="H3494" s="1" t="s">
        <v>4881</v>
      </c>
      <c r="N3494" s="1" t="s">
        <v>4738</v>
      </c>
      <c r="P3494" s="1" t="s">
        <v>12235</v>
      </c>
      <c r="Q3494" s="30" t="s">
        <v>2565</v>
      </c>
      <c r="R3494" s="33" t="s">
        <v>3473</v>
      </c>
      <c r="S3494">
        <v>37</v>
      </c>
      <c r="T3494" s="1" t="s">
        <v>13878</v>
      </c>
      <c r="U3494" s="1" t="str">
        <f>HYPERLINK("http://ictvonline.org/taxonomy/p/taxonomy-history?taxnode_id=202111871","ICTVonline=202111871")</f>
        <v>ICTVonline=202111871</v>
      </c>
    </row>
    <row r="3495" spans="1:21" x14ac:dyDescent="0.2">
      <c r="A3495" s="3">
        <v>3494</v>
      </c>
      <c r="B3495" s="1" t="s">
        <v>4875</v>
      </c>
      <c r="D3495" s="1" t="s">
        <v>4876</v>
      </c>
      <c r="F3495" s="1" t="s">
        <v>4880</v>
      </c>
      <c r="H3495" s="1" t="s">
        <v>4881</v>
      </c>
      <c r="N3495" s="1" t="s">
        <v>4738</v>
      </c>
      <c r="P3495" s="1" t="s">
        <v>12236</v>
      </c>
      <c r="Q3495" s="30" t="s">
        <v>2565</v>
      </c>
      <c r="R3495" s="33" t="s">
        <v>3473</v>
      </c>
      <c r="S3495">
        <v>37</v>
      </c>
      <c r="T3495" s="1" t="s">
        <v>13878</v>
      </c>
      <c r="U3495" s="1" t="str">
        <f>HYPERLINK("http://ictvonline.org/taxonomy/p/taxonomy-history?taxnode_id=202111886","ICTVonline=202111886")</f>
        <v>ICTVonline=202111886</v>
      </c>
    </row>
    <row r="3496" spans="1:21" x14ac:dyDescent="0.2">
      <c r="A3496" s="3">
        <v>3495</v>
      </c>
      <c r="B3496" s="1" t="s">
        <v>4875</v>
      </c>
      <c r="D3496" s="1" t="s">
        <v>4876</v>
      </c>
      <c r="F3496" s="1" t="s">
        <v>4880</v>
      </c>
      <c r="H3496" s="1" t="s">
        <v>4881</v>
      </c>
      <c r="N3496" s="1" t="s">
        <v>4738</v>
      </c>
      <c r="P3496" s="1" t="s">
        <v>12237</v>
      </c>
      <c r="Q3496" s="30" t="s">
        <v>2565</v>
      </c>
      <c r="R3496" s="33" t="s">
        <v>3473</v>
      </c>
      <c r="S3496">
        <v>37</v>
      </c>
      <c r="T3496" s="1" t="s">
        <v>13878</v>
      </c>
      <c r="U3496" s="1" t="str">
        <f>HYPERLINK("http://ictvonline.org/taxonomy/p/taxonomy-history?taxnode_id=202111884","ICTVonline=202111884")</f>
        <v>ICTVonline=202111884</v>
      </c>
    </row>
    <row r="3497" spans="1:21" x14ac:dyDescent="0.2">
      <c r="A3497" s="3">
        <v>3496</v>
      </c>
      <c r="B3497" s="1" t="s">
        <v>4875</v>
      </c>
      <c r="D3497" s="1" t="s">
        <v>4876</v>
      </c>
      <c r="F3497" s="1" t="s">
        <v>4880</v>
      </c>
      <c r="H3497" s="1" t="s">
        <v>4881</v>
      </c>
      <c r="N3497" s="1" t="s">
        <v>4738</v>
      </c>
      <c r="P3497" s="1" t="s">
        <v>12238</v>
      </c>
      <c r="Q3497" s="30" t="s">
        <v>2565</v>
      </c>
      <c r="R3497" s="33" t="s">
        <v>3473</v>
      </c>
      <c r="S3497">
        <v>37</v>
      </c>
      <c r="T3497" s="1" t="s">
        <v>13878</v>
      </c>
      <c r="U3497" s="1" t="str">
        <f>HYPERLINK("http://ictvonline.org/taxonomy/p/taxonomy-history?taxnode_id=202111893","ICTVonline=202111893")</f>
        <v>ICTVonline=202111893</v>
      </c>
    </row>
    <row r="3498" spans="1:21" x14ac:dyDescent="0.2">
      <c r="A3498" s="3">
        <v>3497</v>
      </c>
      <c r="B3498" s="1" t="s">
        <v>4875</v>
      </c>
      <c r="D3498" s="1" t="s">
        <v>4876</v>
      </c>
      <c r="F3498" s="1" t="s">
        <v>4880</v>
      </c>
      <c r="H3498" s="1" t="s">
        <v>4881</v>
      </c>
      <c r="N3498" s="1" t="s">
        <v>4738</v>
      </c>
      <c r="P3498" s="1" t="s">
        <v>12239</v>
      </c>
      <c r="Q3498" s="30" t="s">
        <v>2565</v>
      </c>
      <c r="R3498" s="33" t="s">
        <v>3473</v>
      </c>
      <c r="S3498">
        <v>37</v>
      </c>
      <c r="T3498" s="1" t="s">
        <v>13878</v>
      </c>
      <c r="U3498" s="1" t="str">
        <f>HYPERLINK("http://ictvonline.org/taxonomy/p/taxonomy-history?taxnode_id=202111923","ICTVonline=202111923")</f>
        <v>ICTVonline=202111923</v>
      </c>
    </row>
    <row r="3499" spans="1:21" x14ac:dyDescent="0.2">
      <c r="A3499" s="3">
        <v>3498</v>
      </c>
      <c r="B3499" s="1" t="s">
        <v>4875</v>
      </c>
      <c r="D3499" s="1" t="s">
        <v>4876</v>
      </c>
      <c r="F3499" s="1" t="s">
        <v>4880</v>
      </c>
      <c r="H3499" s="1" t="s">
        <v>4881</v>
      </c>
      <c r="N3499" s="1" t="s">
        <v>4738</v>
      </c>
      <c r="P3499" s="1" t="s">
        <v>12240</v>
      </c>
      <c r="Q3499" s="30" t="s">
        <v>2565</v>
      </c>
      <c r="R3499" s="33" t="s">
        <v>3473</v>
      </c>
      <c r="S3499">
        <v>37</v>
      </c>
      <c r="T3499" s="1" t="s">
        <v>13878</v>
      </c>
      <c r="U3499" s="1" t="str">
        <f>HYPERLINK("http://ictvonline.org/taxonomy/p/taxonomy-history?taxnode_id=202111924","ICTVonline=202111924")</f>
        <v>ICTVonline=202111924</v>
      </c>
    </row>
    <row r="3500" spans="1:21" x14ac:dyDescent="0.2">
      <c r="A3500" s="3">
        <v>3499</v>
      </c>
      <c r="B3500" s="1" t="s">
        <v>4875</v>
      </c>
      <c r="D3500" s="1" t="s">
        <v>4876</v>
      </c>
      <c r="F3500" s="1" t="s">
        <v>4880</v>
      </c>
      <c r="H3500" s="1" t="s">
        <v>4881</v>
      </c>
      <c r="N3500" s="1" t="s">
        <v>4738</v>
      </c>
      <c r="P3500" s="1" t="s">
        <v>12241</v>
      </c>
      <c r="Q3500" s="30" t="s">
        <v>2565</v>
      </c>
      <c r="R3500" s="33" t="s">
        <v>3473</v>
      </c>
      <c r="S3500">
        <v>37</v>
      </c>
      <c r="T3500" s="1" t="s">
        <v>13878</v>
      </c>
      <c r="U3500" s="1" t="str">
        <f>HYPERLINK("http://ictvonline.org/taxonomy/p/taxonomy-history?taxnode_id=202111918","ICTVonline=202111918")</f>
        <v>ICTVonline=202111918</v>
      </c>
    </row>
    <row r="3501" spans="1:21" x14ac:dyDescent="0.2">
      <c r="A3501" s="3">
        <v>3500</v>
      </c>
      <c r="B3501" s="1" t="s">
        <v>4875</v>
      </c>
      <c r="D3501" s="1" t="s">
        <v>4876</v>
      </c>
      <c r="F3501" s="1" t="s">
        <v>4880</v>
      </c>
      <c r="H3501" s="1" t="s">
        <v>4881</v>
      </c>
      <c r="N3501" s="1" t="s">
        <v>4738</v>
      </c>
      <c r="P3501" s="1" t="s">
        <v>12242</v>
      </c>
      <c r="Q3501" s="30" t="s">
        <v>2565</v>
      </c>
      <c r="R3501" s="33" t="s">
        <v>3473</v>
      </c>
      <c r="S3501">
        <v>37</v>
      </c>
      <c r="T3501" s="1" t="s">
        <v>13878</v>
      </c>
      <c r="U3501" s="1" t="str">
        <f>HYPERLINK("http://ictvonline.org/taxonomy/p/taxonomy-history?taxnode_id=202111919","ICTVonline=202111919")</f>
        <v>ICTVonline=202111919</v>
      </c>
    </row>
    <row r="3502" spans="1:21" x14ac:dyDescent="0.2">
      <c r="A3502" s="3">
        <v>3501</v>
      </c>
      <c r="B3502" s="1" t="s">
        <v>4875</v>
      </c>
      <c r="D3502" s="1" t="s">
        <v>4876</v>
      </c>
      <c r="F3502" s="1" t="s">
        <v>4880</v>
      </c>
      <c r="H3502" s="1" t="s">
        <v>4881</v>
      </c>
      <c r="N3502" s="1" t="s">
        <v>4738</v>
      </c>
      <c r="P3502" s="1" t="s">
        <v>12243</v>
      </c>
      <c r="Q3502" s="30" t="s">
        <v>2565</v>
      </c>
      <c r="R3502" s="33" t="s">
        <v>3473</v>
      </c>
      <c r="S3502">
        <v>37</v>
      </c>
      <c r="T3502" s="1" t="s">
        <v>13878</v>
      </c>
      <c r="U3502" s="1" t="str">
        <f>HYPERLINK("http://ictvonline.org/taxonomy/p/taxonomy-history?taxnode_id=202111920","ICTVonline=202111920")</f>
        <v>ICTVonline=202111920</v>
      </c>
    </row>
    <row r="3503" spans="1:21" x14ac:dyDescent="0.2">
      <c r="A3503" s="3">
        <v>3502</v>
      </c>
      <c r="B3503" s="1" t="s">
        <v>4875</v>
      </c>
      <c r="D3503" s="1" t="s">
        <v>4876</v>
      </c>
      <c r="F3503" s="1" t="s">
        <v>4880</v>
      </c>
      <c r="H3503" s="1" t="s">
        <v>4881</v>
      </c>
      <c r="N3503" s="1" t="s">
        <v>4738</v>
      </c>
      <c r="P3503" s="1" t="s">
        <v>12244</v>
      </c>
      <c r="Q3503" s="30" t="s">
        <v>2565</v>
      </c>
      <c r="R3503" s="33" t="s">
        <v>3473</v>
      </c>
      <c r="S3503">
        <v>37</v>
      </c>
      <c r="T3503" s="1" t="s">
        <v>13878</v>
      </c>
      <c r="U3503" s="1" t="str">
        <f>HYPERLINK("http://ictvonline.org/taxonomy/p/taxonomy-history?taxnode_id=202111921","ICTVonline=202111921")</f>
        <v>ICTVonline=202111921</v>
      </c>
    </row>
    <row r="3504" spans="1:21" x14ac:dyDescent="0.2">
      <c r="A3504" s="3">
        <v>3503</v>
      </c>
      <c r="B3504" s="1" t="s">
        <v>4875</v>
      </c>
      <c r="D3504" s="1" t="s">
        <v>4876</v>
      </c>
      <c r="F3504" s="1" t="s">
        <v>4880</v>
      </c>
      <c r="H3504" s="1" t="s">
        <v>4881</v>
      </c>
      <c r="N3504" s="1" t="s">
        <v>4738</v>
      </c>
      <c r="P3504" s="1" t="s">
        <v>12245</v>
      </c>
      <c r="Q3504" s="30" t="s">
        <v>2565</v>
      </c>
      <c r="R3504" s="33" t="s">
        <v>3473</v>
      </c>
      <c r="S3504">
        <v>37</v>
      </c>
      <c r="T3504" s="1" t="s">
        <v>13878</v>
      </c>
      <c r="U3504" s="1" t="str">
        <f>HYPERLINK("http://ictvonline.org/taxonomy/p/taxonomy-history?taxnode_id=202111943","ICTVonline=202111943")</f>
        <v>ICTVonline=202111943</v>
      </c>
    </row>
    <row r="3505" spans="1:21" x14ac:dyDescent="0.2">
      <c r="A3505" s="3">
        <v>3504</v>
      </c>
      <c r="B3505" s="1" t="s">
        <v>4875</v>
      </c>
      <c r="D3505" s="1" t="s">
        <v>4876</v>
      </c>
      <c r="F3505" s="1" t="s">
        <v>4880</v>
      </c>
      <c r="H3505" s="1" t="s">
        <v>4881</v>
      </c>
      <c r="N3505" s="1" t="s">
        <v>4738</v>
      </c>
      <c r="P3505" s="1" t="s">
        <v>12246</v>
      </c>
      <c r="Q3505" s="30" t="s">
        <v>2565</v>
      </c>
      <c r="R3505" s="33" t="s">
        <v>3473</v>
      </c>
      <c r="S3505">
        <v>37</v>
      </c>
      <c r="T3505" s="1" t="s">
        <v>13878</v>
      </c>
      <c r="U3505" s="1" t="str">
        <f>HYPERLINK("http://ictvonline.org/taxonomy/p/taxonomy-history?taxnode_id=202111922","ICTVonline=202111922")</f>
        <v>ICTVonline=202111922</v>
      </c>
    </row>
    <row r="3506" spans="1:21" x14ac:dyDescent="0.2">
      <c r="A3506" s="3">
        <v>3505</v>
      </c>
      <c r="B3506" s="1" t="s">
        <v>4875</v>
      </c>
      <c r="D3506" s="1" t="s">
        <v>4876</v>
      </c>
      <c r="F3506" s="1" t="s">
        <v>4880</v>
      </c>
      <c r="H3506" s="1" t="s">
        <v>4881</v>
      </c>
      <c r="N3506" s="1" t="s">
        <v>4738</v>
      </c>
      <c r="P3506" s="1" t="s">
        <v>12247</v>
      </c>
      <c r="Q3506" s="30" t="s">
        <v>2565</v>
      </c>
      <c r="R3506" s="33" t="s">
        <v>3473</v>
      </c>
      <c r="S3506">
        <v>37</v>
      </c>
      <c r="T3506" s="1" t="s">
        <v>13878</v>
      </c>
      <c r="U3506" s="1" t="str">
        <f>HYPERLINK("http://ictvonline.org/taxonomy/p/taxonomy-history?taxnode_id=202111925","ICTVonline=202111925")</f>
        <v>ICTVonline=202111925</v>
      </c>
    </row>
    <row r="3507" spans="1:21" x14ac:dyDescent="0.2">
      <c r="A3507" s="3">
        <v>3506</v>
      </c>
      <c r="B3507" s="1" t="s">
        <v>4875</v>
      </c>
      <c r="D3507" s="1" t="s">
        <v>4876</v>
      </c>
      <c r="F3507" s="1" t="s">
        <v>4880</v>
      </c>
      <c r="H3507" s="1" t="s">
        <v>4881</v>
      </c>
      <c r="N3507" s="1" t="s">
        <v>4738</v>
      </c>
      <c r="P3507" s="1" t="s">
        <v>12248</v>
      </c>
      <c r="Q3507" s="30" t="s">
        <v>2565</v>
      </c>
      <c r="R3507" s="33" t="s">
        <v>3473</v>
      </c>
      <c r="S3507">
        <v>37</v>
      </c>
      <c r="T3507" s="1" t="s">
        <v>13878</v>
      </c>
      <c r="U3507" s="1" t="str">
        <f>HYPERLINK("http://ictvonline.org/taxonomy/p/taxonomy-history?taxnode_id=202111892","ICTVonline=202111892")</f>
        <v>ICTVonline=202111892</v>
      </c>
    </row>
    <row r="3508" spans="1:21" x14ac:dyDescent="0.2">
      <c r="A3508" s="3">
        <v>3507</v>
      </c>
      <c r="B3508" s="1" t="s">
        <v>4875</v>
      </c>
      <c r="D3508" s="1" t="s">
        <v>4876</v>
      </c>
      <c r="F3508" s="1" t="s">
        <v>4880</v>
      </c>
      <c r="H3508" s="1" t="s">
        <v>4881</v>
      </c>
      <c r="N3508" s="1" t="s">
        <v>4738</v>
      </c>
      <c r="P3508" s="1" t="s">
        <v>12249</v>
      </c>
      <c r="Q3508" s="30" t="s">
        <v>2565</v>
      </c>
      <c r="R3508" s="33" t="s">
        <v>3473</v>
      </c>
      <c r="S3508">
        <v>37</v>
      </c>
      <c r="T3508" s="1" t="s">
        <v>13878</v>
      </c>
      <c r="U3508" s="1" t="str">
        <f>HYPERLINK("http://ictvonline.org/taxonomy/p/taxonomy-history?taxnode_id=202111927","ICTVonline=202111927")</f>
        <v>ICTVonline=202111927</v>
      </c>
    </row>
    <row r="3509" spans="1:21" x14ac:dyDescent="0.2">
      <c r="A3509" s="3">
        <v>3508</v>
      </c>
      <c r="B3509" s="1" t="s">
        <v>4875</v>
      </c>
      <c r="D3509" s="1" t="s">
        <v>4876</v>
      </c>
      <c r="F3509" s="1" t="s">
        <v>4880</v>
      </c>
      <c r="H3509" s="1" t="s">
        <v>4881</v>
      </c>
      <c r="N3509" s="1" t="s">
        <v>4738</v>
      </c>
      <c r="P3509" s="1" t="s">
        <v>12250</v>
      </c>
      <c r="Q3509" s="30" t="s">
        <v>2565</v>
      </c>
      <c r="R3509" s="33" t="s">
        <v>3473</v>
      </c>
      <c r="S3509">
        <v>37</v>
      </c>
      <c r="T3509" s="1" t="s">
        <v>13878</v>
      </c>
      <c r="U3509" s="1" t="str">
        <f>HYPERLINK("http://ictvonline.org/taxonomy/p/taxonomy-history?taxnode_id=202111929","ICTVonline=202111929")</f>
        <v>ICTVonline=202111929</v>
      </c>
    </row>
    <row r="3510" spans="1:21" x14ac:dyDescent="0.2">
      <c r="A3510" s="3">
        <v>3509</v>
      </c>
      <c r="B3510" s="1" t="s">
        <v>4875</v>
      </c>
      <c r="D3510" s="1" t="s">
        <v>4876</v>
      </c>
      <c r="F3510" s="1" t="s">
        <v>4880</v>
      </c>
      <c r="H3510" s="1" t="s">
        <v>4881</v>
      </c>
      <c r="N3510" s="1" t="s">
        <v>4738</v>
      </c>
      <c r="P3510" s="1" t="s">
        <v>12251</v>
      </c>
      <c r="Q3510" s="30" t="s">
        <v>2565</v>
      </c>
      <c r="R3510" s="33" t="s">
        <v>3473</v>
      </c>
      <c r="S3510">
        <v>37</v>
      </c>
      <c r="T3510" s="1" t="s">
        <v>13878</v>
      </c>
      <c r="U3510" s="1" t="str">
        <f>HYPERLINK("http://ictvonline.org/taxonomy/p/taxonomy-history?taxnode_id=202101300","ICTVonline=202101300")</f>
        <v>ICTVonline=202101300</v>
      </c>
    </row>
    <row r="3511" spans="1:21" x14ac:dyDescent="0.2">
      <c r="A3511" s="3">
        <v>3510</v>
      </c>
      <c r="B3511" s="1" t="s">
        <v>4875</v>
      </c>
      <c r="D3511" s="1" t="s">
        <v>4876</v>
      </c>
      <c r="F3511" s="1" t="s">
        <v>4880</v>
      </c>
      <c r="H3511" s="1" t="s">
        <v>4881</v>
      </c>
      <c r="N3511" s="1" t="s">
        <v>4738</v>
      </c>
      <c r="P3511" s="1" t="s">
        <v>12252</v>
      </c>
      <c r="Q3511" s="30" t="s">
        <v>2565</v>
      </c>
      <c r="R3511" s="33" t="s">
        <v>3473</v>
      </c>
      <c r="S3511">
        <v>37</v>
      </c>
      <c r="T3511" s="1" t="s">
        <v>13878</v>
      </c>
      <c r="U3511" s="1" t="str">
        <f>HYPERLINK("http://ictvonline.org/taxonomy/p/taxonomy-history?taxnode_id=202111872","ICTVonline=202111872")</f>
        <v>ICTVonline=202111872</v>
      </c>
    </row>
    <row r="3512" spans="1:21" x14ac:dyDescent="0.2">
      <c r="A3512" s="3">
        <v>3511</v>
      </c>
      <c r="B3512" s="1" t="s">
        <v>4875</v>
      </c>
      <c r="D3512" s="1" t="s">
        <v>4876</v>
      </c>
      <c r="F3512" s="1" t="s">
        <v>4880</v>
      </c>
      <c r="H3512" s="1" t="s">
        <v>4881</v>
      </c>
      <c r="N3512" s="1" t="s">
        <v>4738</v>
      </c>
      <c r="P3512" s="1" t="s">
        <v>12253</v>
      </c>
      <c r="Q3512" s="30" t="s">
        <v>2565</v>
      </c>
      <c r="R3512" s="33" t="s">
        <v>3473</v>
      </c>
      <c r="S3512">
        <v>37</v>
      </c>
      <c r="T3512" s="1" t="s">
        <v>13878</v>
      </c>
      <c r="U3512" s="1" t="str">
        <f>HYPERLINK("http://ictvonline.org/taxonomy/p/taxonomy-history?taxnode_id=202111873","ICTVonline=202111873")</f>
        <v>ICTVonline=202111873</v>
      </c>
    </row>
    <row r="3513" spans="1:21" x14ac:dyDescent="0.2">
      <c r="A3513" s="3">
        <v>3512</v>
      </c>
      <c r="B3513" s="1" t="s">
        <v>4875</v>
      </c>
      <c r="D3513" s="1" t="s">
        <v>4876</v>
      </c>
      <c r="F3513" s="1" t="s">
        <v>4880</v>
      </c>
      <c r="H3513" s="1" t="s">
        <v>4881</v>
      </c>
      <c r="N3513" s="1" t="s">
        <v>4738</v>
      </c>
      <c r="P3513" s="1" t="s">
        <v>12254</v>
      </c>
      <c r="Q3513" s="30" t="s">
        <v>2565</v>
      </c>
      <c r="R3513" s="33" t="s">
        <v>3473</v>
      </c>
      <c r="S3513">
        <v>37</v>
      </c>
      <c r="T3513" s="1" t="s">
        <v>13878</v>
      </c>
      <c r="U3513" s="1" t="str">
        <f>HYPERLINK("http://ictvonline.org/taxonomy/p/taxonomy-history?taxnode_id=202111931","ICTVonline=202111931")</f>
        <v>ICTVonline=202111931</v>
      </c>
    </row>
    <row r="3514" spans="1:21" x14ac:dyDescent="0.2">
      <c r="A3514" s="3">
        <v>3513</v>
      </c>
      <c r="B3514" s="1" t="s">
        <v>4875</v>
      </c>
      <c r="D3514" s="1" t="s">
        <v>4876</v>
      </c>
      <c r="F3514" s="1" t="s">
        <v>4880</v>
      </c>
      <c r="H3514" s="1" t="s">
        <v>4881</v>
      </c>
      <c r="N3514" s="1" t="s">
        <v>4738</v>
      </c>
      <c r="P3514" s="1" t="s">
        <v>12255</v>
      </c>
      <c r="Q3514" s="30" t="s">
        <v>2565</v>
      </c>
      <c r="R3514" s="33" t="s">
        <v>3473</v>
      </c>
      <c r="S3514">
        <v>37</v>
      </c>
      <c r="T3514" s="1" t="s">
        <v>13878</v>
      </c>
      <c r="U3514" s="1" t="str">
        <f>HYPERLINK("http://ictvonline.org/taxonomy/p/taxonomy-history?taxnode_id=202111874","ICTVonline=202111874")</f>
        <v>ICTVonline=202111874</v>
      </c>
    </row>
    <row r="3515" spans="1:21" x14ac:dyDescent="0.2">
      <c r="A3515" s="3">
        <v>3514</v>
      </c>
      <c r="B3515" s="1" t="s">
        <v>4875</v>
      </c>
      <c r="D3515" s="1" t="s">
        <v>4876</v>
      </c>
      <c r="F3515" s="1" t="s">
        <v>4880</v>
      </c>
      <c r="H3515" s="1" t="s">
        <v>4881</v>
      </c>
      <c r="N3515" s="1" t="s">
        <v>4738</v>
      </c>
      <c r="P3515" s="1" t="s">
        <v>12256</v>
      </c>
      <c r="Q3515" s="30" t="s">
        <v>2565</v>
      </c>
      <c r="R3515" s="33" t="s">
        <v>3473</v>
      </c>
      <c r="S3515">
        <v>37</v>
      </c>
      <c r="T3515" s="1" t="s">
        <v>13878</v>
      </c>
      <c r="U3515" s="1" t="str">
        <f>HYPERLINK("http://ictvonline.org/taxonomy/p/taxonomy-history?taxnode_id=202111930","ICTVonline=202111930")</f>
        <v>ICTVonline=202111930</v>
      </c>
    </row>
    <row r="3516" spans="1:21" x14ac:dyDescent="0.2">
      <c r="A3516" s="3">
        <v>3515</v>
      </c>
      <c r="B3516" s="1" t="s">
        <v>4875</v>
      </c>
      <c r="D3516" s="1" t="s">
        <v>4876</v>
      </c>
      <c r="F3516" s="1" t="s">
        <v>4880</v>
      </c>
      <c r="H3516" s="1" t="s">
        <v>4881</v>
      </c>
      <c r="N3516" s="1" t="s">
        <v>4738</v>
      </c>
      <c r="P3516" s="1" t="s">
        <v>12257</v>
      </c>
      <c r="Q3516" s="30" t="s">
        <v>2565</v>
      </c>
      <c r="R3516" s="33" t="s">
        <v>3473</v>
      </c>
      <c r="S3516">
        <v>37</v>
      </c>
      <c r="T3516" s="1" t="s">
        <v>13878</v>
      </c>
      <c r="U3516" s="1" t="str">
        <f>HYPERLINK("http://ictvonline.org/taxonomy/p/taxonomy-history?taxnode_id=202111932","ICTVonline=202111932")</f>
        <v>ICTVonline=202111932</v>
      </c>
    </row>
    <row r="3517" spans="1:21" x14ac:dyDescent="0.2">
      <c r="A3517" s="3">
        <v>3516</v>
      </c>
      <c r="B3517" s="1" t="s">
        <v>4875</v>
      </c>
      <c r="D3517" s="1" t="s">
        <v>4876</v>
      </c>
      <c r="F3517" s="1" t="s">
        <v>4880</v>
      </c>
      <c r="H3517" s="1" t="s">
        <v>4881</v>
      </c>
      <c r="N3517" s="1" t="s">
        <v>4738</v>
      </c>
      <c r="P3517" s="1" t="s">
        <v>12258</v>
      </c>
      <c r="Q3517" s="30" t="s">
        <v>2565</v>
      </c>
      <c r="R3517" s="33" t="s">
        <v>3473</v>
      </c>
      <c r="S3517">
        <v>37</v>
      </c>
      <c r="T3517" s="1" t="s">
        <v>13878</v>
      </c>
      <c r="U3517" s="1" t="str">
        <f>HYPERLINK("http://ictvonline.org/taxonomy/p/taxonomy-history?taxnode_id=202111898","ICTVonline=202111898")</f>
        <v>ICTVonline=202111898</v>
      </c>
    </row>
    <row r="3518" spans="1:21" x14ac:dyDescent="0.2">
      <c r="A3518" s="3">
        <v>3517</v>
      </c>
      <c r="B3518" s="1" t="s">
        <v>4875</v>
      </c>
      <c r="D3518" s="1" t="s">
        <v>4876</v>
      </c>
      <c r="F3518" s="1" t="s">
        <v>4880</v>
      </c>
      <c r="H3518" s="1" t="s">
        <v>4881</v>
      </c>
      <c r="N3518" s="1" t="s">
        <v>4738</v>
      </c>
      <c r="P3518" s="1" t="s">
        <v>12259</v>
      </c>
      <c r="Q3518" s="30" t="s">
        <v>2565</v>
      </c>
      <c r="R3518" s="33" t="s">
        <v>3473</v>
      </c>
      <c r="S3518">
        <v>37</v>
      </c>
      <c r="T3518" s="1" t="s">
        <v>13878</v>
      </c>
      <c r="U3518" s="1" t="str">
        <f>HYPERLINK("http://ictvonline.org/taxonomy/p/taxonomy-history?taxnode_id=202111894","ICTVonline=202111894")</f>
        <v>ICTVonline=202111894</v>
      </c>
    </row>
    <row r="3519" spans="1:21" x14ac:dyDescent="0.2">
      <c r="A3519" s="3">
        <v>3518</v>
      </c>
      <c r="B3519" s="1" t="s">
        <v>4875</v>
      </c>
      <c r="D3519" s="1" t="s">
        <v>4876</v>
      </c>
      <c r="F3519" s="1" t="s">
        <v>4880</v>
      </c>
      <c r="H3519" s="1" t="s">
        <v>4881</v>
      </c>
      <c r="N3519" s="1" t="s">
        <v>4738</v>
      </c>
      <c r="P3519" s="1" t="s">
        <v>12260</v>
      </c>
      <c r="Q3519" s="30" t="s">
        <v>2565</v>
      </c>
      <c r="R3519" s="33" t="s">
        <v>3473</v>
      </c>
      <c r="S3519">
        <v>37</v>
      </c>
      <c r="T3519" s="1" t="s">
        <v>13878</v>
      </c>
      <c r="U3519" s="1" t="str">
        <f>HYPERLINK("http://ictvonline.org/taxonomy/p/taxonomy-history?taxnode_id=202101301","ICTVonline=202101301")</f>
        <v>ICTVonline=202101301</v>
      </c>
    </row>
    <row r="3520" spans="1:21" x14ac:dyDescent="0.2">
      <c r="A3520" s="3">
        <v>3519</v>
      </c>
      <c r="B3520" s="1" t="s">
        <v>4875</v>
      </c>
      <c r="D3520" s="1" t="s">
        <v>4876</v>
      </c>
      <c r="F3520" s="1" t="s">
        <v>4880</v>
      </c>
      <c r="H3520" s="1" t="s">
        <v>4881</v>
      </c>
      <c r="N3520" s="1" t="s">
        <v>4738</v>
      </c>
      <c r="P3520" s="1" t="s">
        <v>12261</v>
      </c>
      <c r="Q3520" s="30" t="s">
        <v>2565</v>
      </c>
      <c r="R3520" s="33" t="s">
        <v>3473</v>
      </c>
      <c r="S3520">
        <v>37</v>
      </c>
      <c r="T3520" s="1" t="s">
        <v>13878</v>
      </c>
      <c r="U3520" s="1" t="str">
        <f>HYPERLINK("http://ictvonline.org/taxonomy/p/taxonomy-history?taxnode_id=202101302","ICTVonline=202101302")</f>
        <v>ICTVonline=202101302</v>
      </c>
    </row>
    <row r="3521" spans="1:21" x14ac:dyDescent="0.2">
      <c r="A3521" s="3">
        <v>3520</v>
      </c>
      <c r="B3521" s="1" t="s">
        <v>4875</v>
      </c>
      <c r="D3521" s="1" t="s">
        <v>4876</v>
      </c>
      <c r="F3521" s="1" t="s">
        <v>4880</v>
      </c>
      <c r="H3521" s="1" t="s">
        <v>4881</v>
      </c>
      <c r="N3521" s="1" t="s">
        <v>4738</v>
      </c>
      <c r="P3521" s="1" t="s">
        <v>12262</v>
      </c>
      <c r="Q3521" s="30" t="s">
        <v>2565</v>
      </c>
      <c r="R3521" s="33" t="s">
        <v>3473</v>
      </c>
      <c r="S3521">
        <v>37</v>
      </c>
      <c r="T3521" s="1" t="s">
        <v>13878</v>
      </c>
      <c r="U3521" s="1" t="str">
        <f>HYPERLINK("http://ictvonline.org/taxonomy/p/taxonomy-history?taxnode_id=202111875","ICTVonline=202111875")</f>
        <v>ICTVonline=202111875</v>
      </c>
    </row>
    <row r="3522" spans="1:21" x14ac:dyDescent="0.2">
      <c r="A3522" s="3">
        <v>3521</v>
      </c>
      <c r="B3522" s="1" t="s">
        <v>4875</v>
      </c>
      <c r="D3522" s="1" t="s">
        <v>4876</v>
      </c>
      <c r="F3522" s="1" t="s">
        <v>4880</v>
      </c>
      <c r="H3522" s="1" t="s">
        <v>4881</v>
      </c>
      <c r="N3522" s="1" t="s">
        <v>4738</v>
      </c>
      <c r="P3522" s="1" t="s">
        <v>12263</v>
      </c>
      <c r="Q3522" s="30" t="s">
        <v>2565</v>
      </c>
      <c r="R3522" s="33" t="s">
        <v>3473</v>
      </c>
      <c r="S3522">
        <v>37</v>
      </c>
      <c r="T3522" s="1" t="s">
        <v>13878</v>
      </c>
      <c r="U3522" s="1" t="str">
        <f>HYPERLINK("http://ictvonline.org/taxonomy/p/taxonomy-history?taxnode_id=202111877","ICTVonline=202111877")</f>
        <v>ICTVonline=202111877</v>
      </c>
    </row>
    <row r="3523" spans="1:21" x14ac:dyDescent="0.2">
      <c r="A3523" s="3">
        <v>3522</v>
      </c>
      <c r="B3523" s="1" t="s">
        <v>4875</v>
      </c>
      <c r="D3523" s="1" t="s">
        <v>4876</v>
      </c>
      <c r="F3523" s="1" t="s">
        <v>4880</v>
      </c>
      <c r="H3523" s="1" t="s">
        <v>4881</v>
      </c>
      <c r="N3523" s="1" t="s">
        <v>4738</v>
      </c>
      <c r="P3523" s="1" t="s">
        <v>12264</v>
      </c>
      <c r="Q3523" s="30" t="s">
        <v>2565</v>
      </c>
      <c r="R3523" s="33" t="s">
        <v>3473</v>
      </c>
      <c r="S3523">
        <v>37</v>
      </c>
      <c r="T3523" s="1" t="s">
        <v>13878</v>
      </c>
      <c r="U3523" s="1" t="str">
        <f>HYPERLINK("http://ictvonline.org/taxonomy/p/taxonomy-history?taxnode_id=202111887","ICTVonline=202111887")</f>
        <v>ICTVonline=202111887</v>
      </c>
    </row>
    <row r="3524" spans="1:21" x14ac:dyDescent="0.2">
      <c r="A3524" s="3">
        <v>3523</v>
      </c>
      <c r="B3524" s="1" t="s">
        <v>4875</v>
      </c>
      <c r="D3524" s="1" t="s">
        <v>4876</v>
      </c>
      <c r="F3524" s="1" t="s">
        <v>4880</v>
      </c>
      <c r="H3524" s="1" t="s">
        <v>4881</v>
      </c>
      <c r="N3524" s="1" t="s">
        <v>4738</v>
      </c>
      <c r="P3524" s="1" t="s">
        <v>12265</v>
      </c>
      <c r="Q3524" s="30" t="s">
        <v>2565</v>
      </c>
      <c r="R3524" s="33" t="s">
        <v>3473</v>
      </c>
      <c r="S3524">
        <v>37</v>
      </c>
      <c r="T3524" s="1" t="s">
        <v>13878</v>
      </c>
      <c r="U3524" s="1" t="str">
        <f>HYPERLINK("http://ictvonline.org/taxonomy/p/taxonomy-history?taxnode_id=202111946","ICTVonline=202111946")</f>
        <v>ICTVonline=202111946</v>
      </c>
    </row>
    <row r="3525" spans="1:21" x14ac:dyDescent="0.2">
      <c r="A3525" s="3">
        <v>3524</v>
      </c>
      <c r="B3525" s="1" t="s">
        <v>4875</v>
      </c>
      <c r="D3525" s="1" t="s">
        <v>4876</v>
      </c>
      <c r="F3525" s="1" t="s">
        <v>4880</v>
      </c>
      <c r="H3525" s="1" t="s">
        <v>4881</v>
      </c>
      <c r="N3525" s="1" t="s">
        <v>4738</v>
      </c>
      <c r="P3525" s="1" t="s">
        <v>12266</v>
      </c>
      <c r="Q3525" s="30" t="s">
        <v>2565</v>
      </c>
      <c r="R3525" s="33" t="s">
        <v>3473</v>
      </c>
      <c r="S3525">
        <v>37</v>
      </c>
      <c r="T3525" s="1" t="s">
        <v>13878</v>
      </c>
      <c r="U3525" s="1" t="str">
        <f>HYPERLINK("http://ictvonline.org/taxonomy/p/taxonomy-history?taxnode_id=202111885","ICTVonline=202111885")</f>
        <v>ICTVonline=202111885</v>
      </c>
    </row>
    <row r="3526" spans="1:21" x14ac:dyDescent="0.2">
      <c r="A3526" s="3">
        <v>3525</v>
      </c>
      <c r="B3526" s="1" t="s">
        <v>4875</v>
      </c>
      <c r="D3526" s="1" t="s">
        <v>4876</v>
      </c>
      <c r="F3526" s="1" t="s">
        <v>4880</v>
      </c>
      <c r="H3526" s="1" t="s">
        <v>4881</v>
      </c>
      <c r="N3526" s="1" t="s">
        <v>4738</v>
      </c>
      <c r="P3526" s="1" t="s">
        <v>12267</v>
      </c>
      <c r="Q3526" s="30" t="s">
        <v>2565</v>
      </c>
      <c r="R3526" s="33" t="s">
        <v>3473</v>
      </c>
      <c r="S3526">
        <v>37</v>
      </c>
      <c r="T3526" s="1" t="s">
        <v>13878</v>
      </c>
      <c r="U3526" s="1" t="str">
        <f>HYPERLINK("http://ictvonline.org/taxonomy/p/taxonomy-history?taxnode_id=202111878","ICTVonline=202111878")</f>
        <v>ICTVonline=202111878</v>
      </c>
    </row>
    <row r="3527" spans="1:21" x14ac:dyDescent="0.2">
      <c r="A3527" s="3">
        <v>3526</v>
      </c>
      <c r="B3527" s="1" t="s">
        <v>4875</v>
      </c>
      <c r="D3527" s="1" t="s">
        <v>4876</v>
      </c>
      <c r="F3527" s="1" t="s">
        <v>4880</v>
      </c>
      <c r="H3527" s="1" t="s">
        <v>4881</v>
      </c>
      <c r="N3527" s="1" t="s">
        <v>4738</v>
      </c>
      <c r="P3527" s="1" t="s">
        <v>12268</v>
      </c>
      <c r="Q3527" s="30" t="s">
        <v>2565</v>
      </c>
      <c r="R3527" s="33" t="s">
        <v>3473</v>
      </c>
      <c r="S3527">
        <v>37</v>
      </c>
      <c r="T3527" s="1" t="s">
        <v>13878</v>
      </c>
      <c r="U3527" s="1" t="str">
        <f>HYPERLINK("http://ictvonline.org/taxonomy/p/taxonomy-history?taxnode_id=202111890","ICTVonline=202111890")</f>
        <v>ICTVonline=202111890</v>
      </c>
    </row>
    <row r="3528" spans="1:21" x14ac:dyDescent="0.2">
      <c r="A3528" s="3">
        <v>3527</v>
      </c>
      <c r="B3528" s="1" t="s">
        <v>4875</v>
      </c>
      <c r="D3528" s="1" t="s">
        <v>4876</v>
      </c>
      <c r="F3528" s="1" t="s">
        <v>4880</v>
      </c>
      <c r="H3528" s="1" t="s">
        <v>4881</v>
      </c>
      <c r="N3528" s="1" t="s">
        <v>4738</v>
      </c>
      <c r="P3528" s="1" t="s">
        <v>12269</v>
      </c>
      <c r="Q3528" s="30" t="s">
        <v>2565</v>
      </c>
      <c r="R3528" s="33" t="s">
        <v>3473</v>
      </c>
      <c r="S3528">
        <v>37</v>
      </c>
      <c r="T3528" s="1" t="s">
        <v>13878</v>
      </c>
      <c r="U3528" s="1" t="str">
        <f>HYPERLINK("http://ictvonline.org/taxonomy/p/taxonomy-history?taxnode_id=202111881","ICTVonline=202111881")</f>
        <v>ICTVonline=202111881</v>
      </c>
    </row>
    <row r="3529" spans="1:21" x14ac:dyDescent="0.2">
      <c r="A3529" s="3">
        <v>3528</v>
      </c>
      <c r="B3529" s="1" t="s">
        <v>4875</v>
      </c>
      <c r="D3529" s="1" t="s">
        <v>4876</v>
      </c>
      <c r="F3529" s="1" t="s">
        <v>4880</v>
      </c>
      <c r="H3529" s="1" t="s">
        <v>4881</v>
      </c>
      <c r="N3529" s="1" t="s">
        <v>4738</v>
      </c>
      <c r="P3529" s="1" t="s">
        <v>12270</v>
      </c>
      <c r="Q3529" s="30" t="s">
        <v>2565</v>
      </c>
      <c r="R3529" s="33" t="s">
        <v>3473</v>
      </c>
      <c r="S3529">
        <v>37</v>
      </c>
      <c r="T3529" s="1" t="s">
        <v>13878</v>
      </c>
      <c r="U3529" s="1" t="str">
        <f>HYPERLINK("http://ictvonline.org/taxonomy/p/taxonomy-history?taxnode_id=202111867","ICTVonline=202111867")</f>
        <v>ICTVonline=202111867</v>
      </c>
    </row>
    <row r="3530" spans="1:21" x14ac:dyDescent="0.2">
      <c r="A3530" s="3">
        <v>3529</v>
      </c>
      <c r="B3530" s="1" t="s">
        <v>4875</v>
      </c>
      <c r="D3530" s="1" t="s">
        <v>4876</v>
      </c>
      <c r="F3530" s="1" t="s">
        <v>4880</v>
      </c>
      <c r="H3530" s="1" t="s">
        <v>4881</v>
      </c>
      <c r="N3530" s="1" t="s">
        <v>4738</v>
      </c>
      <c r="P3530" s="1" t="s">
        <v>12271</v>
      </c>
      <c r="Q3530" s="30" t="s">
        <v>2565</v>
      </c>
      <c r="R3530" s="33" t="s">
        <v>3473</v>
      </c>
      <c r="S3530">
        <v>37</v>
      </c>
      <c r="T3530" s="1" t="s">
        <v>13878</v>
      </c>
      <c r="U3530" s="1" t="str">
        <f>HYPERLINK("http://ictvonline.org/taxonomy/p/taxonomy-history?taxnode_id=202111882","ICTVonline=202111882")</f>
        <v>ICTVonline=202111882</v>
      </c>
    </row>
    <row r="3531" spans="1:21" x14ac:dyDescent="0.2">
      <c r="A3531" s="3">
        <v>3530</v>
      </c>
      <c r="B3531" s="1" t="s">
        <v>4875</v>
      </c>
      <c r="D3531" s="1" t="s">
        <v>4876</v>
      </c>
      <c r="F3531" s="1" t="s">
        <v>4880</v>
      </c>
      <c r="H3531" s="1" t="s">
        <v>4881</v>
      </c>
      <c r="N3531" s="1" t="s">
        <v>4738</v>
      </c>
      <c r="P3531" s="1" t="s">
        <v>12272</v>
      </c>
      <c r="Q3531" s="30" t="s">
        <v>2565</v>
      </c>
      <c r="R3531" s="33" t="s">
        <v>3473</v>
      </c>
      <c r="S3531">
        <v>37</v>
      </c>
      <c r="T3531" s="1" t="s">
        <v>13878</v>
      </c>
      <c r="U3531" s="1" t="str">
        <f>HYPERLINK("http://ictvonline.org/taxonomy/p/taxonomy-history?taxnode_id=202101286","ICTVonline=202101286")</f>
        <v>ICTVonline=202101286</v>
      </c>
    </row>
    <row r="3532" spans="1:21" x14ac:dyDescent="0.2">
      <c r="A3532" s="3">
        <v>3531</v>
      </c>
      <c r="B3532" s="1" t="s">
        <v>4875</v>
      </c>
      <c r="D3532" s="1" t="s">
        <v>4876</v>
      </c>
      <c r="F3532" s="1" t="s">
        <v>4880</v>
      </c>
      <c r="H3532" s="1" t="s">
        <v>4881</v>
      </c>
      <c r="N3532" s="1" t="s">
        <v>4738</v>
      </c>
      <c r="P3532" s="1" t="s">
        <v>12273</v>
      </c>
      <c r="Q3532" s="30" t="s">
        <v>2565</v>
      </c>
      <c r="R3532" s="33" t="s">
        <v>3473</v>
      </c>
      <c r="S3532">
        <v>37</v>
      </c>
      <c r="T3532" s="1" t="s">
        <v>13878</v>
      </c>
      <c r="U3532" s="1" t="str">
        <f>HYPERLINK("http://ictvonline.org/taxonomy/p/taxonomy-history?taxnode_id=202111868","ICTVonline=202111868")</f>
        <v>ICTVonline=202111868</v>
      </c>
    </row>
    <row r="3533" spans="1:21" x14ac:dyDescent="0.2">
      <c r="A3533" s="3">
        <v>3532</v>
      </c>
      <c r="B3533" s="1" t="s">
        <v>4875</v>
      </c>
      <c r="D3533" s="1" t="s">
        <v>4876</v>
      </c>
      <c r="F3533" s="1" t="s">
        <v>4880</v>
      </c>
      <c r="H3533" s="1" t="s">
        <v>4881</v>
      </c>
      <c r="N3533" s="1" t="s">
        <v>4738</v>
      </c>
      <c r="P3533" s="1" t="s">
        <v>12274</v>
      </c>
      <c r="Q3533" s="30" t="s">
        <v>2565</v>
      </c>
      <c r="R3533" s="33" t="s">
        <v>3473</v>
      </c>
      <c r="S3533">
        <v>37</v>
      </c>
      <c r="T3533" s="1" t="s">
        <v>13878</v>
      </c>
      <c r="U3533" s="1" t="str">
        <f>HYPERLINK("http://ictvonline.org/taxonomy/p/taxonomy-history?taxnode_id=202111899","ICTVonline=202111899")</f>
        <v>ICTVonline=202111899</v>
      </c>
    </row>
    <row r="3534" spans="1:21" x14ac:dyDescent="0.2">
      <c r="A3534" s="3">
        <v>3533</v>
      </c>
      <c r="B3534" s="1" t="s">
        <v>4875</v>
      </c>
      <c r="D3534" s="1" t="s">
        <v>4876</v>
      </c>
      <c r="F3534" s="1" t="s">
        <v>4880</v>
      </c>
      <c r="H3534" s="1" t="s">
        <v>4881</v>
      </c>
      <c r="N3534" s="1" t="s">
        <v>4738</v>
      </c>
      <c r="P3534" s="1" t="s">
        <v>12275</v>
      </c>
      <c r="Q3534" s="30" t="s">
        <v>2565</v>
      </c>
      <c r="R3534" s="33" t="s">
        <v>3473</v>
      </c>
      <c r="S3534">
        <v>37</v>
      </c>
      <c r="T3534" s="1" t="s">
        <v>13878</v>
      </c>
      <c r="U3534" s="1" t="str">
        <f>HYPERLINK("http://ictvonline.org/taxonomy/p/taxonomy-history?taxnode_id=202111900","ICTVonline=202111900")</f>
        <v>ICTVonline=202111900</v>
      </c>
    </row>
    <row r="3535" spans="1:21" x14ac:dyDescent="0.2">
      <c r="A3535" s="3">
        <v>3534</v>
      </c>
      <c r="B3535" s="1" t="s">
        <v>4875</v>
      </c>
      <c r="D3535" s="1" t="s">
        <v>4876</v>
      </c>
      <c r="F3535" s="1" t="s">
        <v>4880</v>
      </c>
      <c r="H3535" s="1" t="s">
        <v>4881</v>
      </c>
      <c r="N3535" s="1" t="s">
        <v>4738</v>
      </c>
      <c r="P3535" s="1" t="s">
        <v>12276</v>
      </c>
      <c r="Q3535" s="30" t="s">
        <v>2565</v>
      </c>
      <c r="R3535" s="33" t="s">
        <v>3473</v>
      </c>
      <c r="S3535">
        <v>37</v>
      </c>
      <c r="T3535" s="1" t="s">
        <v>13878</v>
      </c>
      <c r="U3535" s="1" t="str">
        <f>HYPERLINK("http://ictvonline.org/taxonomy/p/taxonomy-history?taxnode_id=202111895","ICTVonline=202111895")</f>
        <v>ICTVonline=202111895</v>
      </c>
    </row>
    <row r="3536" spans="1:21" x14ac:dyDescent="0.2">
      <c r="A3536" s="3">
        <v>3535</v>
      </c>
      <c r="B3536" s="1" t="s">
        <v>4875</v>
      </c>
      <c r="D3536" s="1" t="s">
        <v>4876</v>
      </c>
      <c r="F3536" s="1" t="s">
        <v>4880</v>
      </c>
      <c r="H3536" s="1" t="s">
        <v>4881</v>
      </c>
      <c r="N3536" s="1" t="s">
        <v>4738</v>
      </c>
      <c r="P3536" s="1" t="s">
        <v>12277</v>
      </c>
      <c r="Q3536" s="30" t="s">
        <v>2565</v>
      </c>
      <c r="R3536" s="33" t="s">
        <v>3473</v>
      </c>
      <c r="S3536">
        <v>37</v>
      </c>
      <c r="T3536" s="1" t="s">
        <v>13878</v>
      </c>
      <c r="U3536" s="1" t="str">
        <f>HYPERLINK("http://ictvonline.org/taxonomy/p/taxonomy-history?taxnode_id=202111945","ICTVonline=202111945")</f>
        <v>ICTVonline=202111945</v>
      </c>
    </row>
    <row r="3537" spans="1:21" x14ac:dyDescent="0.2">
      <c r="A3537" s="3">
        <v>3536</v>
      </c>
      <c r="B3537" s="1" t="s">
        <v>4875</v>
      </c>
      <c r="D3537" s="1" t="s">
        <v>4876</v>
      </c>
      <c r="F3537" s="1" t="s">
        <v>4880</v>
      </c>
      <c r="H3537" s="1" t="s">
        <v>4881</v>
      </c>
      <c r="N3537" s="1" t="s">
        <v>4738</v>
      </c>
      <c r="P3537" s="1" t="s">
        <v>12278</v>
      </c>
      <c r="Q3537" s="30" t="s">
        <v>2565</v>
      </c>
      <c r="R3537" s="33" t="s">
        <v>3473</v>
      </c>
      <c r="S3537">
        <v>37</v>
      </c>
      <c r="T3537" s="1" t="s">
        <v>13878</v>
      </c>
      <c r="U3537" s="1" t="str">
        <f>HYPERLINK("http://ictvonline.org/taxonomy/p/taxonomy-history?taxnode_id=202111944","ICTVonline=202111944")</f>
        <v>ICTVonline=202111944</v>
      </c>
    </row>
    <row r="3538" spans="1:21" x14ac:dyDescent="0.2">
      <c r="A3538" s="3">
        <v>3537</v>
      </c>
      <c r="B3538" s="1" t="s">
        <v>4875</v>
      </c>
      <c r="D3538" s="1" t="s">
        <v>4876</v>
      </c>
      <c r="F3538" s="1" t="s">
        <v>4880</v>
      </c>
      <c r="H3538" s="1" t="s">
        <v>4881</v>
      </c>
      <c r="N3538" s="1" t="s">
        <v>4738</v>
      </c>
      <c r="P3538" s="1" t="s">
        <v>12279</v>
      </c>
      <c r="Q3538" s="30" t="s">
        <v>2565</v>
      </c>
      <c r="R3538" s="33" t="s">
        <v>3473</v>
      </c>
      <c r="S3538">
        <v>37</v>
      </c>
      <c r="T3538" s="1" t="s">
        <v>13878</v>
      </c>
      <c r="U3538" s="1" t="str">
        <f>HYPERLINK("http://ictvonline.org/taxonomy/p/taxonomy-history?taxnode_id=202111901","ICTVonline=202111901")</f>
        <v>ICTVonline=202111901</v>
      </c>
    </row>
    <row r="3539" spans="1:21" x14ac:dyDescent="0.2">
      <c r="A3539" s="3">
        <v>3538</v>
      </c>
      <c r="B3539" s="1" t="s">
        <v>4875</v>
      </c>
      <c r="D3539" s="1" t="s">
        <v>4876</v>
      </c>
      <c r="F3539" s="1" t="s">
        <v>4880</v>
      </c>
      <c r="H3539" s="1" t="s">
        <v>4881</v>
      </c>
      <c r="N3539" s="1" t="s">
        <v>4738</v>
      </c>
      <c r="P3539" s="1" t="s">
        <v>12280</v>
      </c>
      <c r="Q3539" s="30" t="s">
        <v>2565</v>
      </c>
      <c r="R3539" s="33" t="s">
        <v>3473</v>
      </c>
      <c r="S3539">
        <v>37</v>
      </c>
      <c r="T3539" s="1" t="s">
        <v>13878</v>
      </c>
      <c r="U3539" s="1" t="str">
        <f>HYPERLINK("http://ictvonline.org/taxonomy/p/taxonomy-history?taxnode_id=202111902","ICTVonline=202111902")</f>
        <v>ICTVonline=202111902</v>
      </c>
    </row>
    <row r="3540" spans="1:21" x14ac:dyDescent="0.2">
      <c r="A3540" s="3">
        <v>3539</v>
      </c>
      <c r="B3540" s="1" t="s">
        <v>4875</v>
      </c>
      <c r="D3540" s="1" t="s">
        <v>4876</v>
      </c>
      <c r="F3540" s="1" t="s">
        <v>4880</v>
      </c>
      <c r="H3540" s="1" t="s">
        <v>4881</v>
      </c>
      <c r="N3540" s="1" t="s">
        <v>4738</v>
      </c>
      <c r="P3540" s="1" t="s">
        <v>12281</v>
      </c>
      <c r="Q3540" s="30" t="s">
        <v>2565</v>
      </c>
      <c r="R3540" s="33" t="s">
        <v>3473</v>
      </c>
      <c r="S3540">
        <v>37</v>
      </c>
      <c r="T3540" s="1" t="s">
        <v>13878</v>
      </c>
      <c r="U3540" s="1" t="str">
        <f>HYPERLINK("http://ictvonline.org/taxonomy/p/taxonomy-history?taxnode_id=202111903","ICTVonline=202111903")</f>
        <v>ICTVonline=202111903</v>
      </c>
    </row>
    <row r="3541" spans="1:21" x14ac:dyDescent="0.2">
      <c r="A3541" s="3">
        <v>3540</v>
      </c>
      <c r="B3541" s="1" t="s">
        <v>4875</v>
      </c>
      <c r="D3541" s="1" t="s">
        <v>4876</v>
      </c>
      <c r="F3541" s="1" t="s">
        <v>4880</v>
      </c>
      <c r="H3541" s="1" t="s">
        <v>4881</v>
      </c>
      <c r="N3541" s="1" t="s">
        <v>4738</v>
      </c>
      <c r="P3541" s="1" t="s">
        <v>12282</v>
      </c>
      <c r="Q3541" s="30" t="s">
        <v>2565</v>
      </c>
      <c r="R3541" s="33" t="s">
        <v>3473</v>
      </c>
      <c r="S3541">
        <v>37</v>
      </c>
      <c r="T3541" s="1" t="s">
        <v>13878</v>
      </c>
      <c r="U3541" s="1" t="str">
        <f>HYPERLINK("http://ictvonline.org/taxonomy/p/taxonomy-history?taxnode_id=202111904","ICTVonline=202111904")</f>
        <v>ICTVonline=202111904</v>
      </c>
    </row>
    <row r="3542" spans="1:21" x14ac:dyDescent="0.2">
      <c r="A3542" s="3">
        <v>3541</v>
      </c>
      <c r="B3542" s="1" t="s">
        <v>4875</v>
      </c>
      <c r="D3542" s="1" t="s">
        <v>4876</v>
      </c>
      <c r="F3542" s="1" t="s">
        <v>4880</v>
      </c>
      <c r="H3542" s="1" t="s">
        <v>4881</v>
      </c>
      <c r="N3542" s="1" t="s">
        <v>4738</v>
      </c>
      <c r="P3542" s="1" t="s">
        <v>12283</v>
      </c>
      <c r="Q3542" s="30" t="s">
        <v>2565</v>
      </c>
      <c r="R3542" s="33" t="s">
        <v>3473</v>
      </c>
      <c r="S3542">
        <v>37</v>
      </c>
      <c r="T3542" s="1" t="s">
        <v>13878</v>
      </c>
      <c r="U3542" s="1" t="str">
        <f>HYPERLINK("http://ictvonline.org/taxonomy/p/taxonomy-history?taxnode_id=202111897","ICTVonline=202111897")</f>
        <v>ICTVonline=202111897</v>
      </c>
    </row>
    <row r="3543" spans="1:21" x14ac:dyDescent="0.2">
      <c r="A3543" s="3">
        <v>3542</v>
      </c>
      <c r="B3543" s="1" t="s">
        <v>4875</v>
      </c>
      <c r="D3543" s="1" t="s">
        <v>4876</v>
      </c>
      <c r="F3543" s="1" t="s">
        <v>4880</v>
      </c>
      <c r="H3543" s="1" t="s">
        <v>4881</v>
      </c>
      <c r="N3543" s="1" t="s">
        <v>4738</v>
      </c>
      <c r="P3543" s="1" t="s">
        <v>12284</v>
      </c>
      <c r="Q3543" s="30" t="s">
        <v>2565</v>
      </c>
      <c r="R3543" s="33" t="s">
        <v>3473</v>
      </c>
      <c r="S3543">
        <v>37</v>
      </c>
      <c r="T3543" s="1" t="s">
        <v>13878</v>
      </c>
      <c r="U3543" s="1" t="str">
        <f>HYPERLINK("http://ictvonline.org/taxonomy/p/taxonomy-history?taxnode_id=202111905","ICTVonline=202111905")</f>
        <v>ICTVonline=202111905</v>
      </c>
    </row>
    <row r="3544" spans="1:21" x14ac:dyDescent="0.2">
      <c r="A3544" s="3">
        <v>3543</v>
      </c>
      <c r="B3544" s="1" t="s">
        <v>4875</v>
      </c>
      <c r="D3544" s="1" t="s">
        <v>4876</v>
      </c>
      <c r="F3544" s="1" t="s">
        <v>4880</v>
      </c>
      <c r="H3544" s="1" t="s">
        <v>4881</v>
      </c>
      <c r="N3544" s="1" t="s">
        <v>4738</v>
      </c>
      <c r="P3544" s="1" t="s">
        <v>12285</v>
      </c>
      <c r="Q3544" s="30" t="s">
        <v>2565</v>
      </c>
      <c r="R3544" s="33" t="s">
        <v>3473</v>
      </c>
      <c r="S3544">
        <v>37</v>
      </c>
      <c r="T3544" s="1" t="s">
        <v>13878</v>
      </c>
      <c r="U3544" s="1" t="str">
        <f>HYPERLINK("http://ictvonline.org/taxonomy/p/taxonomy-history?taxnode_id=202111906","ICTVonline=202111906")</f>
        <v>ICTVonline=202111906</v>
      </c>
    </row>
    <row r="3545" spans="1:21" x14ac:dyDescent="0.2">
      <c r="A3545" s="3">
        <v>3544</v>
      </c>
      <c r="B3545" s="1" t="s">
        <v>4875</v>
      </c>
      <c r="D3545" s="1" t="s">
        <v>4876</v>
      </c>
      <c r="F3545" s="1" t="s">
        <v>4880</v>
      </c>
      <c r="H3545" s="1" t="s">
        <v>4881</v>
      </c>
      <c r="N3545" s="1" t="s">
        <v>4738</v>
      </c>
      <c r="P3545" s="1" t="s">
        <v>12286</v>
      </c>
      <c r="Q3545" s="30" t="s">
        <v>2565</v>
      </c>
      <c r="R3545" s="33" t="s">
        <v>3473</v>
      </c>
      <c r="S3545">
        <v>37</v>
      </c>
      <c r="T3545" s="1" t="s">
        <v>13878</v>
      </c>
      <c r="U3545" s="1" t="str">
        <f>HYPERLINK("http://ictvonline.org/taxonomy/p/taxonomy-history?taxnode_id=202111907","ICTVonline=202111907")</f>
        <v>ICTVonline=202111907</v>
      </c>
    </row>
    <row r="3546" spans="1:21" x14ac:dyDescent="0.2">
      <c r="A3546" s="3">
        <v>3545</v>
      </c>
      <c r="B3546" s="1" t="s">
        <v>4875</v>
      </c>
      <c r="D3546" s="1" t="s">
        <v>4876</v>
      </c>
      <c r="F3546" s="1" t="s">
        <v>4880</v>
      </c>
      <c r="H3546" s="1" t="s">
        <v>4881</v>
      </c>
      <c r="N3546" s="1" t="s">
        <v>4738</v>
      </c>
      <c r="P3546" s="1" t="s">
        <v>12287</v>
      </c>
      <c r="Q3546" s="30" t="s">
        <v>2565</v>
      </c>
      <c r="R3546" s="33" t="s">
        <v>3473</v>
      </c>
      <c r="S3546">
        <v>37</v>
      </c>
      <c r="T3546" s="1" t="s">
        <v>13878</v>
      </c>
      <c r="U3546" s="1" t="str">
        <f>HYPERLINK("http://ictvonline.org/taxonomy/p/taxonomy-history?taxnode_id=202111908","ICTVonline=202111908")</f>
        <v>ICTVonline=202111908</v>
      </c>
    </row>
    <row r="3547" spans="1:21" x14ac:dyDescent="0.2">
      <c r="A3547" s="3">
        <v>3546</v>
      </c>
      <c r="B3547" s="1" t="s">
        <v>4875</v>
      </c>
      <c r="D3547" s="1" t="s">
        <v>4876</v>
      </c>
      <c r="F3547" s="1" t="s">
        <v>4880</v>
      </c>
      <c r="H3547" s="1" t="s">
        <v>4881</v>
      </c>
      <c r="N3547" s="1" t="s">
        <v>4738</v>
      </c>
      <c r="P3547" s="1" t="s">
        <v>12288</v>
      </c>
      <c r="Q3547" s="30" t="s">
        <v>2565</v>
      </c>
      <c r="R3547" s="33" t="s">
        <v>3473</v>
      </c>
      <c r="S3547">
        <v>37</v>
      </c>
      <c r="T3547" s="1" t="s">
        <v>13878</v>
      </c>
      <c r="U3547" s="1" t="str">
        <f>HYPERLINK("http://ictvonline.org/taxonomy/p/taxonomy-history?taxnode_id=202111909","ICTVonline=202111909")</f>
        <v>ICTVonline=202111909</v>
      </c>
    </row>
    <row r="3548" spans="1:21" x14ac:dyDescent="0.2">
      <c r="A3548" s="3">
        <v>3547</v>
      </c>
      <c r="B3548" s="1" t="s">
        <v>4875</v>
      </c>
      <c r="D3548" s="1" t="s">
        <v>4876</v>
      </c>
      <c r="F3548" s="1" t="s">
        <v>4880</v>
      </c>
      <c r="H3548" s="1" t="s">
        <v>4881</v>
      </c>
      <c r="N3548" s="1" t="s">
        <v>4738</v>
      </c>
      <c r="P3548" s="1" t="s">
        <v>12289</v>
      </c>
      <c r="Q3548" s="30" t="s">
        <v>2565</v>
      </c>
      <c r="R3548" s="33" t="s">
        <v>3473</v>
      </c>
      <c r="S3548">
        <v>37</v>
      </c>
      <c r="T3548" s="1" t="s">
        <v>13878</v>
      </c>
      <c r="U3548" s="1" t="str">
        <f>HYPERLINK("http://ictvonline.org/taxonomy/p/taxonomy-history?taxnode_id=202111910","ICTVonline=202111910")</f>
        <v>ICTVonline=202111910</v>
      </c>
    </row>
    <row r="3549" spans="1:21" x14ac:dyDescent="0.2">
      <c r="A3549" s="3">
        <v>3548</v>
      </c>
      <c r="B3549" s="1" t="s">
        <v>4875</v>
      </c>
      <c r="D3549" s="1" t="s">
        <v>4876</v>
      </c>
      <c r="F3549" s="1" t="s">
        <v>4880</v>
      </c>
      <c r="H3549" s="1" t="s">
        <v>4881</v>
      </c>
      <c r="N3549" s="1" t="s">
        <v>4738</v>
      </c>
      <c r="P3549" s="1" t="s">
        <v>12290</v>
      </c>
      <c r="Q3549" s="30" t="s">
        <v>2565</v>
      </c>
      <c r="R3549" s="33" t="s">
        <v>3473</v>
      </c>
      <c r="S3549">
        <v>37</v>
      </c>
      <c r="T3549" s="1" t="s">
        <v>13878</v>
      </c>
      <c r="U3549" s="1" t="str">
        <f>HYPERLINK("http://ictvonline.org/taxonomy/p/taxonomy-history?taxnode_id=202111911","ICTVonline=202111911")</f>
        <v>ICTVonline=202111911</v>
      </c>
    </row>
    <row r="3550" spans="1:21" x14ac:dyDescent="0.2">
      <c r="A3550" s="3">
        <v>3549</v>
      </c>
      <c r="B3550" s="1" t="s">
        <v>4875</v>
      </c>
      <c r="D3550" s="1" t="s">
        <v>4876</v>
      </c>
      <c r="F3550" s="1" t="s">
        <v>4880</v>
      </c>
      <c r="H3550" s="1" t="s">
        <v>4881</v>
      </c>
      <c r="N3550" s="1" t="s">
        <v>4738</v>
      </c>
      <c r="P3550" s="1" t="s">
        <v>12291</v>
      </c>
      <c r="Q3550" s="30" t="s">
        <v>2565</v>
      </c>
      <c r="R3550" s="33" t="s">
        <v>3473</v>
      </c>
      <c r="S3550">
        <v>37</v>
      </c>
      <c r="T3550" s="1" t="s">
        <v>13878</v>
      </c>
      <c r="U3550" s="1" t="str">
        <f>HYPERLINK("http://ictvonline.org/taxonomy/p/taxonomy-history?taxnode_id=202111912","ICTVonline=202111912")</f>
        <v>ICTVonline=202111912</v>
      </c>
    </row>
    <row r="3551" spans="1:21" x14ac:dyDescent="0.2">
      <c r="A3551" s="3">
        <v>3550</v>
      </c>
      <c r="B3551" s="1" t="s">
        <v>4875</v>
      </c>
      <c r="D3551" s="1" t="s">
        <v>4876</v>
      </c>
      <c r="F3551" s="1" t="s">
        <v>4880</v>
      </c>
      <c r="H3551" s="1" t="s">
        <v>4881</v>
      </c>
      <c r="N3551" s="1" t="s">
        <v>4738</v>
      </c>
      <c r="P3551" s="1" t="s">
        <v>12292</v>
      </c>
      <c r="Q3551" s="30" t="s">
        <v>2565</v>
      </c>
      <c r="R3551" s="33" t="s">
        <v>3473</v>
      </c>
      <c r="S3551">
        <v>37</v>
      </c>
      <c r="T3551" s="1" t="s">
        <v>13878</v>
      </c>
      <c r="U3551" s="1" t="str">
        <f>HYPERLINK("http://ictvonline.org/taxonomy/p/taxonomy-history?taxnode_id=202111913","ICTVonline=202111913")</f>
        <v>ICTVonline=202111913</v>
      </c>
    </row>
    <row r="3552" spans="1:21" x14ac:dyDescent="0.2">
      <c r="A3552" s="3">
        <v>3551</v>
      </c>
      <c r="B3552" s="1" t="s">
        <v>4875</v>
      </c>
      <c r="D3552" s="1" t="s">
        <v>4876</v>
      </c>
      <c r="F3552" s="1" t="s">
        <v>4880</v>
      </c>
      <c r="H3552" s="1" t="s">
        <v>4881</v>
      </c>
      <c r="N3552" s="1" t="s">
        <v>4738</v>
      </c>
      <c r="P3552" s="1" t="s">
        <v>12293</v>
      </c>
      <c r="Q3552" s="30" t="s">
        <v>2565</v>
      </c>
      <c r="R3552" s="33" t="s">
        <v>3473</v>
      </c>
      <c r="S3552">
        <v>37</v>
      </c>
      <c r="T3552" s="1" t="s">
        <v>13878</v>
      </c>
      <c r="U3552" s="1" t="str">
        <f>HYPERLINK("http://ictvonline.org/taxonomy/p/taxonomy-history?taxnode_id=202111914","ICTVonline=202111914")</f>
        <v>ICTVonline=202111914</v>
      </c>
    </row>
    <row r="3553" spans="1:21" x14ac:dyDescent="0.2">
      <c r="A3553" s="3">
        <v>3552</v>
      </c>
      <c r="B3553" s="1" t="s">
        <v>4875</v>
      </c>
      <c r="D3553" s="1" t="s">
        <v>4876</v>
      </c>
      <c r="F3553" s="1" t="s">
        <v>4880</v>
      </c>
      <c r="H3553" s="1" t="s">
        <v>4881</v>
      </c>
      <c r="N3553" s="1" t="s">
        <v>4738</v>
      </c>
      <c r="P3553" s="1" t="s">
        <v>12294</v>
      </c>
      <c r="Q3553" s="30" t="s">
        <v>2565</v>
      </c>
      <c r="R3553" s="33" t="s">
        <v>3473</v>
      </c>
      <c r="S3553">
        <v>37</v>
      </c>
      <c r="T3553" s="1" t="s">
        <v>13878</v>
      </c>
      <c r="U3553" s="1" t="str">
        <f>HYPERLINK("http://ictvonline.org/taxonomy/p/taxonomy-history?taxnode_id=202111928","ICTVonline=202111928")</f>
        <v>ICTVonline=202111928</v>
      </c>
    </row>
    <row r="3554" spans="1:21" x14ac:dyDescent="0.2">
      <c r="A3554" s="3">
        <v>3553</v>
      </c>
      <c r="B3554" s="1" t="s">
        <v>4875</v>
      </c>
      <c r="D3554" s="1" t="s">
        <v>4876</v>
      </c>
      <c r="F3554" s="1" t="s">
        <v>4880</v>
      </c>
      <c r="H3554" s="1" t="s">
        <v>4881</v>
      </c>
      <c r="N3554" s="1" t="s">
        <v>4738</v>
      </c>
      <c r="P3554" s="1" t="s">
        <v>12295</v>
      </c>
      <c r="Q3554" s="30" t="s">
        <v>2565</v>
      </c>
      <c r="R3554" s="33" t="s">
        <v>3473</v>
      </c>
      <c r="S3554">
        <v>37</v>
      </c>
      <c r="T3554" s="1" t="s">
        <v>13878</v>
      </c>
      <c r="U3554" s="1" t="str">
        <f>HYPERLINK("http://ictvonline.org/taxonomy/p/taxonomy-history?taxnode_id=202111888","ICTVonline=202111888")</f>
        <v>ICTVonline=202111888</v>
      </c>
    </row>
    <row r="3555" spans="1:21" x14ac:dyDescent="0.2">
      <c r="A3555" s="3">
        <v>3554</v>
      </c>
      <c r="B3555" s="1" t="s">
        <v>4875</v>
      </c>
      <c r="D3555" s="1" t="s">
        <v>4876</v>
      </c>
      <c r="F3555" s="1" t="s">
        <v>4880</v>
      </c>
      <c r="H3555" s="1" t="s">
        <v>4881</v>
      </c>
      <c r="N3555" s="1" t="s">
        <v>4738</v>
      </c>
      <c r="P3555" s="1" t="s">
        <v>12296</v>
      </c>
      <c r="Q3555" s="30" t="s">
        <v>2565</v>
      </c>
      <c r="R3555" s="33" t="s">
        <v>3473</v>
      </c>
      <c r="S3555">
        <v>37</v>
      </c>
      <c r="T3555" s="1" t="s">
        <v>13878</v>
      </c>
      <c r="U3555" s="1" t="str">
        <f>HYPERLINK("http://ictvonline.org/taxonomy/p/taxonomy-history?taxnode_id=202111915","ICTVonline=202111915")</f>
        <v>ICTVonline=202111915</v>
      </c>
    </row>
    <row r="3556" spans="1:21" x14ac:dyDescent="0.2">
      <c r="A3556" s="3">
        <v>3555</v>
      </c>
      <c r="B3556" s="1" t="s">
        <v>4875</v>
      </c>
      <c r="D3556" s="1" t="s">
        <v>4876</v>
      </c>
      <c r="F3556" s="1" t="s">
        <v>4880</v>
      </c>
      <c r="H3556" s="1" t="s">
        <v>4881</v>
      </c>
      <c r="N3556" s="1" t="s">
        <v>4738</v>
      </c>
      <c r="P3556" s="1" t="s">
        <v>12297</v>
      </c>
      <c r="Q3556" s="30" t="s">
        <v>2565</v>
      </c>
      <c r="R3556" s="33" t="s">
        <v>3473</v>
      </c>
      <c r="S3556">
        <v>37</v>
      </c>
      <c r="T3556" s="1" t="s">
        <v>13878</v>
      </c>
      <c r="U3556" s="1" t="str">
        <f>HYPERLINK("http://ictvonline.org/taxonomy/p/taxonomy-history?taxnode_id=202111916","ICTVonline=202111916")</f>
        <v>ICTVonline=202111916</v>
      </c>
    </row>
    <row r="3557" spans="1:21" x14ac:dyDescent="0.2">
      <c r="A3557" s="3">
        <v>3556</v>
      </c>
      <c r="B3557" s="1" t="s">
        <v>4875</v>
      </c>
      <c r="D3557" s="1" t="s">
        <v>4876</v>
      </c>
      <c r="F3557" s="1" t="s">
        <v>4880</v>
      </c>
      <c r="H3557" s="1" t="s">
        <v>4881</v>
      </c>
      <c r="N3557" s="1" t="s">
        <v>4738</v>
      </c>
      <c r="P3557" s="1" t="s">
        <v>12298</v>
      </c>
      <c r="Q3557" s="30" t="s">
        <v>2565</v>
      </c>
      <c r="R3557" s="33" t="s">
        <v>3473</v>
      </c>
      <c r="S3557">
        <v>37</v>
      </c>
      <c r="T3557" s="1" t="s">
        <v>13878</v>
      </c>
      <c r="U3557" s="1" t="str">
        <f>HYPERLINK("http://ictvonline.org/taxonomy/p/taxonomy-history?taxnode_id=202111917","ICTVonline=202111917")</f>
        <v>ICTVonline=202111917</v>
      </c>
    </row>
    <row r="3558" spans="1:21" x14ac:dyDescent="0.2">
      <c r="A3558" s="3">
        <v>3557</v>
      </c>
      <c r="B3558" s="1" t="s">
        <v>4875</v>
      </c>
      <c r="D3558" s="1" t="s">
        <v>4876</v>
      </c>
      <c r="F3558" s="1" t="s">
        <v>4880</v>
      </c>
      <c r="H3558" s="1" t="s">
        <v>4881</v>
      </c>
      <c r="N3558" s="1" t="s">
        <v>2651</v>
      </c>
      <c r="P3558" s="1" t="s">
        <v>12299</v>
      </c>
      <c r="Q3558" s="30" t="s">
        <v>2565</v>
      </c>
      <c r="R3558" s="33" t="s">
        <v>3473</v>
      </c>
      <c r="S3558">
        <v>37</v>
      </c>
      <c r="T3558" s="1" t="s">
        <v>13878</v>
      </c>
      <c r="U3558" s="1" t="str">
        <f>HYPERLINK("http://ictvonline.org/taxonomy/p/taxonomy-history?taxnode_id=202101304","ICTVonline=202101304")</f>
        <v>ICTVonline=202101304</v>
      </c>
    </row>
    <row r="3559" spans="1:21" x14ac:dyDescent="0.2">
      <c r="A3559" s="3">
        <v>3558</v>
      </c>
      <c r="B3559" s="1" t="s">
        <v>4875</v>
      </c>
      <c r="D3559" s="1" t="s">
        <v>4876</v>
      </c>
      <c r="F3559" s="1" t="s">
        <v>4880</v>
      </c>
      <c r="H3559" s="1" t="s">
        <v>4881</v>
      </c>
      <c r="N3559" s="1" t="s">
        <v>2651</v>
      </c>
      <c r="P3559" s="1" t="s">
        <v>12300</v>
      </c>
      <c r="Q3559" s="30" t="s">
        <v>2565</v>
      </c>
      <c r="R3559" s="33" t="s">
        <v>3473</v>
      </c>
      <c r="S3559">
        <v>37</v>
      </c>
      <c r="T3559" s="1" t="s">
        <v>13878</v>
      </c>
      <c r="U3559" s="1" t="str">
        <f>HYPERLINK("http://ictvonline.org/taxonomy/p/taxonomy-history?taxnode_id=202101305","ICTVonline=202101305")</f>
        <v>ICTVonline=202101305</v>
      </c>
    </row>
    <row r="3560" spans="1:21" x14ac:dyDescent="0.2">
      <c r="A3560" s="3">
        <v>3559</v>
      </c>
      <c r="B3560" s="1" t="s">
        <v>4875</v>
      </c>
      <c r="D3560" s="1" t="s">
        <v>4876</v>
      </c>
      <c r="F3560" s="1" t="s">
        <v>4880</v>
      </c>
      <c r="H3560" s="1" t="s">
        <v>4881</v>
      </c>
      <c r="N3560" s="1" t="s">
        <v>2651</v>
      </c>
      <c r="P3560" s="1" t="s">
        <v>12301</v>
      </c>
      <c r="Q3560" s="30" t="s">
        <v>2565</v>
      </c>
      <c r="R3560" s="33" t="s">
        <v>3473</v>
      </c>
      <c r="S3560">
        <v>37</v>
      </c>
      <c r="T3560" s="1" t="s">
        <v>13878</v>
      </c>
      <c r="U3560" s="1" t="str">
        <f>HYPERLINK("http://ictvonline.org/taxonomy/p/taxonomy-history?taxnode_id=202101306","ICTVonline=202101306")</f>
        <v>ICTVonline=202101306</v>
      </c>
    </row>
    <row r="3561" spans="1:21" x14ac:dyDescent="0.2">
      <c r="A3561" s="3">
        <v>3560</v>
      </c>
      <c r="B3561" s="1" t="s">
        <v>4875</v>
      </c>
      <c r="D3561" s="1" t="s">
        <v>4876</v>
      </c>
      <c r="F3561" s="1" t="s">
        <v>4880</v>
      </c>
      <c r="H3561" s="1" t="s">
        <v>4881</v>
      </c>
      <c r="N3561" s="1" t="s">
        <v>2651</v>
      </c>
      <c r="P3561" s="1" t="s">
        <v>12302</v>
      </c>
      <c r="Q3561" s="30" t="s">
        <v>2565</v>
      </c>
      <c r="R3561" s="33" t="s">
        <v>3473</v>
      </c>
      <c r="S3561">
        <v>37</v>
      </c>
      <c r="T3561" s="1" t="s">
        <v>13878</v>
      </c>
      <c r="U3561" s="1" t="str">
        <f>HYPERLINK("http://ictvonline.org/taxonomy/p/taxonomy-history?taxnode_id=202101307","ICTVonline=202101307")</f>
        <v>ICTVonline=202101307</v>
      </c>
    </row>
    <row r="3562" spans="1:21" x14ac:dyDescent="0.2">
      <c r="A3562" s="3">
        <v>3561</v>
      </c>
      <c r="B3562" s="1" t="s">
        <v>4875</v>
      </c>
      <c r="D3562" s="1" t="s">
        <v>4876</v>
      </c>
      <c r="F3562" s="1" t="s">
        <v>4880</v>
      </c>
      <c r="H3562" s="1" t="s">
        <v>4881</v>
      </c>
      <c r="N3562" s="1" t="s">
        <v>6234</v>
      </c>
      <c r="P3562" s="1" t="s">
        <v>12303</v>
      </c>
      <c r="Q3562" s="30" t="s">
        <v>2565</v>
      </c>
      <c r="R3562" s="33" t="s">
        <v>3473</v>
      </c>
      <c r="S3562">
        <v>37</v>
      </c>
      <c r="T3562" s="1" t="s">
        <v>13878</v>
      </c>
      <c r="U3562" s="1" t="str">
        <f>HYPERLINK("http://ictvonline.org/taxonomy/p/taxonomy-history?taxnode_id=202111948","ICTVonline=202111948")</f>
        <v>ICTVonline=202111948</v>
      </c>
    </row>
    <row r="3563" spans="1:21" x14ac:dyDescent="0.2">
      <c r="A3563" s="3">
        <v>3562</v>
      </c>
      <c r="B3563" s="1" t="s">
        <v>4875</v>
      </c>
      <c r="D3563" s="1" t="s">
        <v>4876</v>
      </c>
      <c r="F3563" s="1" t="s">
        <v>4880</v>
      </c>
      <c r="H3563" s="1" t="s">
        <v>4881</v>
      </c>
      <c r="N3563" s="1" t="s">
        <v>3212</v>
      </c>
      <c r="P3563" s="1" t="s">
        <v>12304</v>
      </c>
      <c r="Q3563" s="30" t="s">
        <v>2565</v>
      </c>
      <c r="R3563" s="33" t="s">
        <v>3473</v>
      </c>
      <c r="S3563">
        <v>37</v>
      </c>
      <c r="T3563" s="1" t="s">
        <v>13878</v>
      </c>
      <c r="U3563" s="1" t="str">
        <f>HYPERLINK("http://ictvonline.org/taxonomy/p/taxonomy-history?taxnode_id=202101309","ICTVonline=202101309")</f>
        <v>ICTVonline=202101309</v>
      </c>
    </row>
    <row r="3564" spans="1:21" x14ac:dyDescent="0.2">
      <c r="A3564" s="3">
        <v>3563</v>
      </c>
      <c r="B3564" s="1" t="s">
        <v>4875</v>
      </c>
      <c r="D3564" s="1" t="s">
        <v>4876</v>
      </c>
      <c r="F3564" s="1" t="s">
        <v>4880</v>
      </c>
      <c r="H3564" s="1" t="s">
        <v>4881</v>
      </c>
      <c r="N3564" s="1" t="s">
        <v>3212</v>
      </c>
      <c r="P3564" s="1" t="s">
        <v>12305</v>
      </c>
      <c r="Q3564" s="30" t="s">
        <v>2565</v>
      </c>
      <c r="R3564" s="33" t="s">
        <v>3473</v>
      </c>
      <c r="S3564">
        <v>37</v>
      </c>
      <c r="T3564" s="1" t="s">
        <v>13878</v>
      </c>
      <c r="U3564" s="1" t="str">
        <f>HYPERLINK("http://ictvonline.org/taxonomy/p/taxonomy-history?taxnode_id=202101310","ICTVonline=202101310")</f>
        <v>ICTVonline=202101310</v>
      </c>
    </row>
    <row r="3565" spans="1:21" x14ac:dyDescent="0.2">
      <c r="A3565" s="3">
        <v>3564</v>
      </c>
      <c r="B3565" s="1" t="s">
        <v>4875</v>
      </c>
      <c r="D3565" s="1" t="s">
        <v>4876</v>
      </c>
      <c r="F3565" s="1" t="s">
        <v>4880</v>
      </c>
      <c r="H3565" s="1" t="s">
        <v>4881</v>
      </c>
      <c r="N3565" s="1" t="s">
        <v>3212</v>
      </c>
      <c r="P3565" s="1" t="s">
        <v>12306</v>
      </c>
      <c r="Q3565" s="30" t="s">
        <v>2565</v>
      </c>
      <c r="R3565" s="33" t="s">
        <v>3473</v>
      </c>
      <c r="S3565">
        <v>37</v>
      </c>
      <c r="T3565" s="1" t="s">
        <v>13878</v>
      </c>
      <c r="U3565" s="1" t="str">
        <f>HYPERLINK("http://ictvonline.org/taxonomy/p/taxonomy-history?taxnode_id=202101312","ICTVonline=202101312")</f>
        <v>ICTVonline=202101312</v>
      </c>
    </row>
    <row r="3566" spans="1:21" x14ac:dyDescent="0.2">
      <c r="A3566" s="3">
        <v>3565</v>
      </c>
      <c r="B3566" s="1" t="s">
        <v>4875</v>
      </c>
      <c r="D3566" s="1" t="s">
        <v>4876</v>
      </c>
      <c r="F3566" s="1" t="s">
        <v>4880</v>
      </c>
      <c r="H3566" s="1" t="s">
        <v>4881</v>
      </c>
      <c r="N3566" s="1" t="s">
        <v>5237</v>
      </c>
      <c r="P3566" s="1" t="s">
        <v>12307</v>
      </c>
      <c r="Q3566" s="30" t="s">
        <v>2565</v>
      </c>
      <c r="R3566" s="33" t="s">
        <v>3473</v>
      </c>
      <c r="S3566">
        <v>37</v>
      </c>
      <c r="T3566" s="1" t="s">
        <v>13878</v>
      </c>
      <c r="U3566" s="1" t="str">
        <f>HYPERLINK("http://ictvonline.org/taxonomy/p/taxonomy-history?taxnode_id=202107699","ICTVonline=202107699")</f>
        <v>ICTVonline=202107699</v>
      </c>
    </row>
    <row r="3567" spans="1:21" x14ac:dyDescent="0.2">
      <c r="A3567" s="3">
        <v>3566</v>
      </c>
      <c r="B3567" s="1" t="s">
        <v>4875</v>
      </c>
      <c r="D3567" s="1" t="s">
        <v>4876</v>
      </c>
      <c r="F3567" s="1" t="s">
        <v>4880</v>
      </c>
      <c r="H3567" s="1" t="s">
        <v>4881</v>
      </c>
      <c r="N3567" s="1" t="s">
        <v>5162</v>
      </c>
      <c r="P3567" s="1" t="s">
        <v>12308</v>
      </c>
      <c r="Q3567" s="30" t="s">
        <v>2565</v>
      </c>
      <c r="R3567" s="33" t="s">
        <v>3473</v>
      </c>
      <c r="S3567">
        <v>37</v>
      </c>
      <c r="T3567" s="1" t="s">
        <v>13878</v>
      </c>
      <c r="U3567" s="1" t="str">
        <f>HYPERLINK("http://ictvonline.org/taxonomy/p/taxonomy-history?taxnode_id=202107998","ICTVonline=202107998")</f>
        <v>ICTVonline=202107998</v>
      </c>
    </row>
    <row r="3568" spans="1:21" x14ac:dyDescent="0.2">
      <c r="A3568" s="3">
        <v>3567</v>
      </c>
      <c r="B3568" s="1" t="s">
        <v>4875</v>
      </c>
      <c r="D3568" s="1" t="s">
        <v>4876</v>
      </c>
      <c r="F3568" s="1" t="s">
        <v>4880</v>
      </c>
      <c r="H3568" s="1" t="s">
        <v>4881</v>
      </c>
      <c r="N3568" s="1" t="s">
        <v>5162</v>
      </c>
      <c r="P3568" s="1" t="s">
        <v>12309</v>
      </c>
      <c r="Q3568" s="30" t="s">
        <v>2565</v>
      </c>
      <c r="R3568" s="33" t="s">
        <v>3473</v>
      </c>
      <c r="S3568">
        <v>37</v>
      </c>
      <c r="T3568" s="1" t="s">
        <v>13878</v>
      </c>
      <c r="U3568" s="1" t="str">
        <f>HYPERLINK("http://ictvonline.org/taxonomy/p/taxonomy-history?taxnode_id=202107997","ICTVonline=202107997")</f>
        <v>ICTVonline=202107997</v>
      </c>
    </row>
    <row r="3569" spans="1:21" x14ac:dyDescent="0.2">
      <c r="A3569" s="3">
        <v>3568</v>
      </c>
      <c r="B3569" s="1" t="s">
        <v>4875</v>
      </c>
      <c r="D3569" s="1" t="s">
        <v>4876</v>
      </c>
      <c r="F3569" s="1" t="s">
        <v>4880</v>
      </c>
      <c r="H3569" s="1" t="s">
        <v>4881</v>
      </c>
      <c r="N3569" s="1" t="s">
        <v>3213</v>
      </c>
      <c r="P3569" s="1" t="s">
        <v>12310</v>
      </c>
      <c r="Q3569" s="30" t="s">
        <v>2565</v>
      </c>
      <c r="R3569" s="33" t="s">
        <v>3473</v>
      </c>
      <c r="S3569">
        <v>37</v>
      </c>
      <c r="T3569" s="1" t="s">
        <v>13878</v>
      </c>
      <c r="U3569" s="1" t="str">
        <f>HYPERLINK("http://ictvonline.org/taxonomy/p/taxonomy-history?taxnode_id=202101314","ICTVonline=202101314")</f>
        <v>ICTVonline=202101314</v>
      </c>
    </row>
    <row r="3570" spans="1:21" x14ac:dyDescent="0.2">
      <c r="A3570" s="3">
        <v>3569</v>
      </c>
      <c r="B3570" s="1" t="s">
        <v>4875</v>
      </c>
      <c r="D3570" s="1" t="s">
        <v>4876</v>
      </c>
      <c r="F3570" s="1" t="s">
        <v>4880</v>
      </c>
      <c r="H3570" s="1" t="s">
        <v>4881</v>
      </c>
      <c r="N3570" s="1" t="s">
        <v>3213</v>
      </c>
      <c r="P3570" s="1" t="s">
        <v>12311</v>
      </c>
      <c r="Q3570" s="30" t="s">
        <v>2565</v>
      </c>
      <c r="R3570" s="33" t="s">
        <v>3473</v>
      </c>
      <c r="S3570">
        <v>37</v>
      </c>
      <c r="T3570" s="1" t="s">
        <v>13878</v>
      </c>
      <c r="U3570" s="1" t="str">
        <f>HYPERLINK("http://ictvonline.org/taxonomy/p/taxonomy-history?taxnode_id=202106886","ICTVonline=202106886")</f>
        <v>ICTVonline=202106886</v>
      </c>
    </row>
    <row r="3571" spans="1:21" x14ac:dyDescent="0.2">
      <c r="A3571" s="3">
        <v>3570</v>
      </c>
      <c r="B3571" s="1" t="s">
        <v>4875</v>
      </c>
      <c r="D3571" s="1" t="s">
        <v>4876</v>
      </c>
      <c r="F3571" s="1" t="s">
        <v>4880</v>
      </c>
      <c r="H3571" s="1" t="s">
        <v>4881</v>
      </c>
      <c r="N3571" s="1" t="s">
        <v>3213</v>
      </c>
      <c r="P3571" s="1" t="s">
        <v>12312</v>
      </c>
      <c r="Q3571" s="30" t="s">
        <v>2565</v>
      </c>
      <c r="R3571" s="33" t="s">
        <v>3473</v>
      </c>
      <c r="S3571">
        <v>37</v>
      </c>
      <c r="T3571" s="1" t="s">
        <v>13878</v>
      </c>
      <c r="U3571" s="1" t="str">
        <f>HYPERLINK("http://ictvonline.org/taxonomy/p/taxonomy-history?taxnode_id=202106885","ICTVonline=202106885")</f>
        <v>ICTVonline=202106885</v>
      </c>
    </row>
    <row r="3572" spans="1:21" x14ac:dyDescent="0.2">
      <c r="A3572" s="3">
        <v>3571</v>
      </c>
      <c r="B3572" s="1" t="s">
        <v>4875</v>
      </c>
      <c r="D3572" s="1" t="s">
        <v>4876</v>
      </c>
      <c r="F3572" s="1" t="s">
        <v>4880</v>
      </c>
      <c r="H3572" s="1" t="s">
        <v>4881</v>
      </c>
      <c r="N3572" s="1" t="s">
        <v>4739</v>
      </c>
      <c r="P3572" s="1" t="s">
        <v>12313</v>
      </c>
      <c r="Q3572" s="30" t="s">
        <v>2565</v>
      </c>
      <c r="R3572" s="33" t="s">
        <v>3473</v>
      </c>
      <c r="S3572">
        <v>37</v>
      </c>
      <c r="T3572" s="1" t="s">
        <v>13878</v>
      </c>
      <c r="U3572" s="1" t="str">
        <f>HYPERLINK("http://ictvonline.org/taxonomy/p/taxonomy-history?taxnode_id=202106991","ICTVonline=202106991")</f>
        <v>ICTVonline=202106991</v>
      </c>
    </row>
    <row r="3573" spans="1:21" x14ac:dyDescent="0.2">
      <c r="A3573" s="3">
        <v>3572</v>
      </c>
      <c r="B3573" s="1" t="s">
        <v>4875</v>
      </c>
      <c r="D3573" s="1" t="s">
        <v>4876</v>
      </c>
      <c r="F3573" s="1" t="s">
        <v>4880</v>
      </c>
      <c r="H3573" s="1" t="s">
        <v>4881</v>
      </c>
      <c r="N3573" s="1" t="s">
        <v>6235</v>
      </c>
      <c r="P3573" s="1" t="s">
        <v>12314</v>
      </c>
      <c r="Q3573" s="30" t="s">
        <v>2565</v>
      </c>
      <c r="R3573" s="33" t="s">
        <v>3473</v>
      </c>
      <c r="S3573">
        <v>37</v>
      </c>
      <c r="T3573" s="1" t="s">
        <v>13878</v>
      </c>
      <c r="U3573" s="1" t="str">
        <f>HYPERLINK("http://ictvonline.org/taxonomy/p/taxonomy-history?taxnode_id=202111950","ICTVonline=202111950")</f>
        <v>ICTVonline=202111950</v>
      </c>
    </row>
    <row r="3574" spans="1:21" x14ac:dyDescent="0.2">
      <c r="A3574" s="3">
        <v>3573</v>
      </c>
      <c r="B3574" s="1" t="s">
        <v>4875</v>
      </c>
      <c r="D3574" s="1" t="s">
        <v>4876</v>
      </c>
      <c r="F3574" s="1" t="s">
        <v>4880</v>
      </c>
      <c r="H3574" s="1" t="s">
        <v>4881</v>
      </c>
      <c r="N3574" s="1" t="s">
        <v>6235</v>
      </c>
      <c r="P3574" s="1" t="s">
        <v>12315</v>
      </c>
      <c r="Q3574" s="30" t="s">
        <v>2565</v>
      </c>
      <c r="R3574" s="33" t="s">
        <v>3473</v>
      </c>
      <c r="S3574">
        <v>37</v>
      </c>
      <c r="T3574" s="1" t="s">
        <v>13878</v>
      </c>
      <c r="U3574" s="1" t="str">
        <f>HYPERLINK("http://ictvonline.org/taxonomy/p/taxonomy-history?taxnode_id=202111951","ICTVonline=202111951")</f>
        <v>ICTVonline=202111951</v>
      </c>
    </row>
    <row r="3575" spans="1:21" x14ac:dyDescent="0.2">
      <c r="A3575" s="3">
        <v>3574</v>
      </c>
      <c r="B3575" s="1" t="s">
        <v>4875</v>
      </c>
      <c r="D3575" s="1" t="s">
        <v>4876</v>
      </c>
      <c r="F3575" s="1" t="s">
        <v>4880</v>
      </c>
      <c r="H3575" s="1" t="s">
        <v>4881</v>
      </c>
      <c r="N3575" s="1" t="s">
        <v>6235</v>
      </c>
      <c r="P3575" s="1" t="s">
        <v>12316</v>
      </c>
      <c r="Q3575" s="30" t="s">
        <v>2565</v>
      </c>
      <c r="R3575" s="33" t="s">
        <v>3473</v>
      </c>
      <c r="S3575">
        <v>37</v>
      </c>
      <c r="T3575" s="1" t="s">
        <v>13878</v>
      </c>
      <c r="U3575" s="1" t="str">
        <f>HYPERLINK("http://ictvonline.org/taxonomy/p/taxonomy-history?taxnode_id=202111952","ICTVonline=202111952")</f>
        <v>ICTVonline=202111952</v>
      </c>
    </row>
    <row r="3576" spans="1:21" x14ac:dyDescent="0.2">
      <c r="A3576" s="3">
        <v>3575</v>
      </c>
      <c r="B3576" s="1" t="s">
        <v>4875</v>
      </c>
      <c r="D3576" s="1" t="s">
        <v>4876</v>
      </c>
      <c r="F3576" s="1" t="s">
        <v>4880</v>
      </c>
      <c r="H3576" s="1" t="s">
        <v>4881</v>
      </c>
      <c r="N3576" s="1" t="s">
        <v>6236</v>
      </c>
      <c r="P3576" s="1" t="s">
        <v>12317</v>
      </c>
      <c r="Q3576" s="30" t="s">
        <v>2565</v>
      </c>
      <c r="R3576" s="33" t="s">
        <v>3473</v>
      </c>
      <c r="S3576">
        <v>37</v>
      </c>
      <c r="T3576" s="1" t="s">
        <v>13878</v>
      </c>
      <c r="U3576" s="1" t="str">
        <f>HYPERLINK("http://ictvonline.org/taxonomy/p/taxonomy-history?taxnode_id=202111954","ICTVonline=202111954")</f>
        <v>ICTVonline=202111954</v>
      </c>
    </row>
    <row r="3577" spans="1:21" x14ac:dyDescent="0.2">
      <c r="A3577" s="3">
        <v>3576</v>
      </c>
      <c r="B3577" s="1" t="s">
        <v>4875</v>
      </c>
      <c r="D3577" s="1" t="s">
        <v>4876</v>
      </c>
      <c r="F3577" s="1" t="s">
        <v>4880</v>
      </c>
      <c r="H3577" s="1" t="s">
        <v>4881</v>
      </c>
      <c r="N3577" s="1" t="s">
        <v>2652</v>
      </c>
      <c r="P3577" s="1" t="s">
        <v>12318</v>
      </c>
      <c r="Q3577" s="30" t="s">
        <v>2565</v>
      </c>
      <c r="R3577" s="33" t="s">
        <v>3473</v>
      </c>
      <c r="S3577">
        <v>37</v>
      </c>
      <c r="T3577" s="1" t="s">
        <v>13878</v>
      </c>
      <c r="U3577" s="1" t="str">
        <f>HYPERLINK("http://ictvonline.org/taxonomy/p/taxonomy-history?taxnode_id=202101316","ICTVonline=202101316")</f>
        <v>ICTVonline=202101316</v>
      </c>
    </row>
    <row r="3578" spans="1:21" x14ac:dyDescent="0.2">
      <c r="A3578" s="3">
        <v>3577</v>
      </c>
      <c r="B3578" s="1" t="s">
        <v>4875</v>
      </c>
      <c r="D3578" s="1" t="s">
        <v>4876</v>
      </c>
      <c r="F3578" s="1" t="s">
        <v>4880</v>
      </c>
      <c r="H3578" s="1" t="s">
        <v>4881</v>
      </c>
      <c r="N3578" s="1" t="s">
        <v>6237</v>
      </c>
      <c r="P3578" s="1" t="s">
        <v>12319</v>
      </c>
      <c r="Q3578" s="30" t="s">
        <v>2565</v>
      </c>
      <c r="R3578" s="33" t="s">
        <v>3473</v>
      </c>
      <c r="S3578">
        <v>37</v>
      </c>
      <c r="T3578" s="1" t="s">
        <v>13878</v>
      </c>
      <c r="U3578" s="1" t="str">
        <f>HYPERLINK("http://ictvonline.org/taxonomy/p/taxonomy-history?taxnode_id=202111956","ICTVonline=202111956")</f>
        <v>ICTVonline=202111956</v>
      </c>
    </row>
    <row r="3579" spans="1:21" x14ac:dyDescent="0.2">
      <c r="A3579" s="3">
        <v>3578</v>
      </c>
      <c r="B3579" s="1" t="s">
        <v>4875</v>
      </c>
      <c r="D3579" s="1" t="s">
        <v>4876</v>
      </c>
      <c r="F3579" s="1" t="s">
        <v>4880</v>
      </c>
      <c r="H3579" s="1" t="s">
        <v>4881</v>
      </c>
      <c r="N3579" s="1" t="s">
        <v>5238</v>
      </c>
      <c r="P3579" s="1" t="s">
        <v>12320</v>
      </c>
      <c r="Q3579" s="30" t="s">
        <v>2565</v>
      </c>
      <c r="R3579" s="33" t="s">
        <v>3473</v>
      </c>
      <c r="S3579">
        <v>37</v>
      </c>
      <c r="T3579" s="1" t="s">
        <v>13878</v>
      </c>
      <c r="U3579" s="1" t="str">
        <f>HYPERLINK("http://ictvonline.org/taxonomy/p/taxonomy-history?taxnode_id=202107703","ICTVonline=202107703")</f>
        <v>ICTVonline=202107703</v>
      </c>
    </row>
    <row r="3580" spans="1:21" x14ac:dyDescent="0.2">
      <c r="A3580" s="3">
        <v>3579</v>
      </c>
      <c r="B3580" s="1" t="s">
        <v>4875</v>
      </c>
      <c r="D3580" s="1" t="s">
        <v>4876</v>
      </c>
      <c r="F3580" s="1" t="s">
        <v>4880</v>
      </c>
      <c r="H3580" s="1" t="s">
        <v>4881</v>
      </c>
      <c r="N3580" s="1" t="s">
        <v>5238</v>
      </c>
      <c r="P3580" s="1" t="s">
        <v>12321</v>
      </c>
      <c r="Q3580" s="30" t="s">
        <v>2565</v>
      </c>
      <c r="R3580" s="33" t="s">
        <v>3473</v>
      </c>
      <c r="S3580">
        <v>37</v>
      </c>
      <c r="T3580" s="1" t="s">
        <v>13878</v>
      </c>
      <c r="U3580" s="1" t="str">
        <f>HYPERLINK("http://ictvonline.org/taxonomy/p/taxonomy-history?taxnode_id=202107702","ICTVonline=202107702")</f>
        <v>ICTVonline=202107702</v>
      </c>
    </row>
    <row r="3581" spans="1:21" x14ac:dyDescent="0.2">
      <c r="A3581" s="3">
        <v>3580</v>
      </c>
      <c r="B3581" s="1" t="s">
        <v>4875</v>
      </c>
      <c r="D3581" s="1" t="s">
        <v>4876</v>
      </c>
      <c r="F3581" s="1" t="s">
        <v>4880</v>
      </c>
      <c r="H3581" s="1" t="s">
        <v>4881</v>
      </c>
      <c r="N3581" s="1" t="s">
        <v>4740</v>
      </c>
      <c r="P3581" s="1" t="s">
        <v>12322</v>
      </c>
      <c r="Q3581" s="30" t="s">
        <v>2565</v>
      </c>
      <c r="R3581" s="33" t="s">
        <v>3473</v>
      </c>
      <c r="S3581">
        <v>37</v>
      </c>
      <c r="T3581" s="1" t="s">
        <v>13878</v>
      </c>
      <c r="U3581" s="1" t="str">
        <f>HYPERLINK("http://ictvonline.org/taxonomy/p/taxonomy-history?taxnode_id=202100965","ICTVonline=202100965")</f>
        <v>ICTVonline=202100965</v>
      </c>
    </row>
    <row r="3582" spans="1:21" x14ac:dyDescent="0.2">
      <c r="A3582" s="3">
        <v>3581</v>
      </c>
      <c r="B3582" s="1" t="s">
        <v>4875</v>
      </c>
      <c r="D3582" s="1" t="s">
        <v>4876</v>
      </c>
      <c r="F3582" s="1" t="s">
        <v>4880</v>
      </c>
      <c r="H3582" s="1" t="s">
        <v>4881</v>
      </c>
      <c r="N3582" s="1" t="s">
        <v>4740</v>
      </c>
      <c r="P3582" s="1" t="s">
        <v>12323</v>
      </c>
      <c r="Q3582" s="30" t="s">
        <v>2565</v>
      </c>
      <c r="R3582" s="33" t="s">
        <v>3473</v>
      </c>
      <c r="S3582">
        <v>37</v>
      </c>
      <c r="T3582" s="1" t="s">
        <v>13878</v>
      </c>
      <c r="U3582" s="1" t="str">
        <f>HYPERLINK("http://ictvonline.org/taxonomy/p/taxonomy-history?taxnode_id=202100963","ICTVonline=202100963")</f>
        <v>ICTVonline=202100963</v>
      </c>
    </row>
    <row r="3583" spans="1:21" x14ac:dyDescent="0.2">
      <c r="A3583" s="3">
        <v>3582</v>
      </c>
      <c r="B3583" s="1" t="s">
        <v>4875</v>
      </c>
      <c r="D3583" s="1" t="s">
        <v>4876</v>
      </c>
      <c r="F3583" s="1" t="s">
        <v>4880</v>
      </c>
      <c r="H3583" s="1" t="s">
        <v>4881</v>
      </c>
      <c r="N3583" s="1" t="s">
        <v>4740</v>
      </c>
      <c r="P3583" s="1" t="s">
        <v>12324</v>
      </c>
      <c r="Q3583" s="30" t="s">
        <v>2565</v>
      </c>
      <c r="R3583" s="33" t="s">
        <v>3473</v>
      </c>
      <c r="S3583">
        <v>37</v>
      </c>
      <c r="T3583" s="1" t="s">
        <v>13878</v>
      </c>
      <c r="U3583" s="1" t="str">
        <f>HYPERLINK("http://ictvonline.org/taxonomy/p/taxonomy-history?taxnode_id=202100964","ICTVonline=202100964")</f>
        <v>ICTVonline=202100964</v>
      </c>
    </row>
    <row r="3584" spans="1:21" x14ac:dyDescent="0.2">
      <c r="A3584" s="3">
        <v>3583</v>
      </c>
      <c r="B3584" s="1" t="s">
        <v>4875</v>
      </c>
      <c r="D3584" s="1" t="s">
        <v>4876</v>
      </c>
      <c r="F3584" s="1" t="s">
        <v>4880</v>
      </c>
      <c r="H3584" s="1" t="s">
        <v>4881</v>
      </c>
      <c r="N3584" s="1" t="s">
        <v>4741</v>
      </c>
      <c r="P3584" s="1" t="s">
        <v>12325</v>
      </c>
      <c r="Q3584" s="30" t="s">
        <v>2565</v>
      </c>
      <c r="R3584" s="33" t="s">
        <v>3473</v>
      </c>
      <c r="S3584">
        <v>37</v>
      </c>
      <c r="T3584" s="1" t="s">
        <v>13878</v>
      </c>
      <c r="U3584" s="1" t="str">
        <f>HYPERLINK("http://ictvonline.org/taxonomy/p/taxonomy-history?taxnode_id=202100994","ICTVonline=202100994")</f>
        <v>ICTVonline=202100994</v>
      </c>
    </row>
    <row r="3585" spans="1:21" x14ac:dyDescent="0.2">
      <c r="A3585" s="3">
        <v>3584</v>
      </c>
      <c r="B3585" s="1" t="s">
        <v>4875</v>
      </c>
      <c r="D3585" s="1" t="s">
        <v>4876</v>
      </c>
      <c r="F3585" s="1" t="s">
        <v>4880</v>
      </c>
      <c r="H3585" s="1" t="s">
        <v>4881</v>
      </c>
      <c r="N3585" s="1" t="s">
        <v>4741</v>
      </c>
      <c r="P3585" s="1" t="s">
        <v>12326</v>
      </c>
      <c r="Q3585" s="30" t="s">
        <v>2565</v>
      </c>
      <c r="R3585" s="33" t="s">
        <v>3473</v>
      </c>
      <c r="S3585">
        <v>37</v>
      </c>
      <c r="T3585" s="1" t="s">
        <v>13878</v>
      </c>
      <c r="U3585" s="1" t="str">
        <f>HYPERLINK("http://ictvonline.org/taxonomy/p/taxonomy-history?taxnode_id=202100993","ICTVonline=202100993")</f>
        <v>ICTVonline=202100993</v>
      </c>
    </row>
    <row r="3586" spans="1:21" x14ac:dyDescent="0.2">
      <c r="A3586" s="3">
        <v>3585</v>
      </c>
      <c r="B3586" s="1" t="s">
        <v>4875</v>
      </c>
      <c r="D3586" s="1" t="s">
        <v>4876</v>
      </c>
      <c r="F3586" s="1" t="s">
        <v>4880</v>
      </c>
      <c r="H3586" s="1" t="s">
        <v>4881</v>
      </c>
      <c r="N3586" s="1" t="s">
        <v>12327</v>
      </c>
      <c r="P3586" s="1" t="s">
        <v>12328</v>
      </c>
      <c r="Q3586" s="30" t="s">
        <v>2565</v>
      </c>
      <c r="R3586" s="33" t="s">
        <v>3472</v>
      </c>
      <c r="S3586">
        <v>37</v>
      </c>
      <c r="T3586" s="1" t="s">
        <v>13977</v>
      </c>
      <c r="U3586" s="1" t="str">
        <f>HYPERLINK("http://ictvonline.org/taxonomy/p/taxonomy-history?taxnode_id=202113664","ICTVonline=202113664")</f>
        <v>ICTVonline=202113664</v>
      </c>
    </row>
    <row r="3587" spans="1:21" x14ac:dyDescent="0.2">
      <c r="A3587" s="3">
        <v>3586</v>
      </c>
      <c r="B3587" s="1" t="s">
        <v>4875</v>
      </c>
      <c r="D3587" s="1" t="s">
        <v>4876</v>
      </c>
      <c r="F3587" s="1" t="s">
        <v>4880</v>
      </c>
      <c r="H3587" s="1" t="s">
        <v>4881</v>
      </c>
      <c r="N3587" s="1" t="s">
        <v>6240</v>
      </c>
      <c r="P3587" s="1" t="s">
        <v>12329</v>
      </c>
      <c r="Q3587" s="30" t="s">
        <v>2565</v>
      </c>
      <c r="R3587" s="33" t="s">
        <v>3473</v>
      </c>
      <c r="S3587">
        <v>37</v>
      </c>
      <c r="T3587" s="1" t="s">
        <v>13878</v>
      </c>
      <c r="U3587" s="1" t="str">
        <f>HYPERLINK("http://ictvonline.org/taxonomy/p/taxonomy-history?taxnode_id=202110176","ICTVonline=202110176")</f>
        <v>ICTVonline=202110176</v>
      </c>
    </row>
    <row r="3588" spans="1:21" x14ac:dyDescent="0.2">
      <c r="A3588" s="3">
        <v>3587</v>
      </c>
      <c r="B3588" s="1" t="s">
        <v>4875</v>
      </c>
      <c r="D3588" s="1" t="s">
        <v>4876</v>
      </c>
      <c r="F3588" s="1" t="s">
        <v>4880</v>
      </c>
      <c r="H3588" s="1" t="s">
        <v>4881</v>
      </c>
      <c r="N3588" s="1" t="s">
        <v>3536</v>
      </c>
      <c r="P3588" s="1" t="s">
        <v>12330</v>
      </c>
      <c r="Q3588" s="30" t="s">
        <v>2565</v>
      </c>
      <c r="R3588" s="33" t="s">
        <v>3473</v>
      </c>
      <c r="S3588">
        <v>37</v>
      </c>
      <c r="T3588" s="1" t="s">
        <v>13878</v>
      </c>
      <c r="U3588" s="1" t="str">
        <f>HYPERLINK("http://ictvonline.org/taxonomy/p/taxonomy-history?taxnode_id=202105486","ICTVonline=202105486")</f>
        <v>ICTVonline=202105486</v>
      </c>
    </row>
    <row r="3589" spans="1:21" x14ac:dyDescent="0.2">
      <c r="A3589" s="3">
        <v>3588</v>
      </c>
      <c r="B3589" s="1" t="s">
        <v>4875</v>
      </c>
      <c r="D3589" s="1" t="s">
        <v>4876</v>
      </c>
      <c r="F3589" s="1" t="s">
        <v>4880</v>
      </c>
      <c r="H3589" s="1" t="s">
        <v>4881</v>
      </c>
      <c r="N3589" s="1" t="s">
        <v>3536</v>
      </c>
      <c r="P3589" s="1" t="s">
        <v>12331</v>
      </c>
      <c r="Q3589" s="30" t="s">
        <v>2565</v>
      </c>
      <c r="R3589" s="33" t="s">
        <v>3473</v>
      </c>
      <c r="S3589">
        <v>37</v>
      </c>
      <c r="T3589" s="1" t="s">
        <v>13878</v>
      </c>
      <c r="U3589" s="1" t="str">
        <f>HYPERLINK("http://ictvonline.org/taxonomy/p/taxonomy-history?taxnode_id=202105485","ICTVonline=202105485")</f>
        <v>ICTVonline=202105485</v>
      </c>
    </row>
    <row r="3590" spans="1:21" x14ac:dyDescent="0.2">
      <c r="A3590" s="3">
        <v>3589</v>
      </c>
      <c r="B3590" s="1" t="s">
        <v>4875</v>
      </c>
      <c r="D3590" s="1" t="s">
        <v>4876</v>
      </c>
      <c r="F3590" s="1" t="s">
        <v>4880</v>
      </c>
      <c r="H3590" s="1" t="s">
        <v>4881</v>
      </c>
      <c r="N3590" s="1" t="s">
        <v>12332</v>
      </c>
      <c r="P3590" s="1" t="s">
        <v>12333</v>
      </c>
      <c r="Q3590" s="30" t="s">
        <v>2565</v>
      </c>
      <c r="R3590" s="33" t="s">
        <v>3472</v>
      </c>
      <c r="S3590">
        <v>37</v>
      </c>
      <c r="T3590" s="1" t="s">
        <v>13927</v>
      </c>
      <c r="U3590" s="1" t="str">
        <f>HYPERLINK("http://ictvonline.org/taxonomy/p/taxonomy-history?taxnode_id=202113635","ICTVonline=202113635")</f>
        <v>ICTVonline=202113635</v>
      </c>
    </row>
    <row r="3591" spans="1:21" x14ac:dyDescent="0.2">
      <c r="A3591" s="3">
        <v>3590</v>
      </c>
      <c r="B3591" s="1" t="s">
        <v>4875</v>
      </c>
      <c r="D3591" s="1" t="s">
        <v>4876</v>
      </c>
      <c r="F3591" s="1" t="s">
        <v>4880</v>
      </c>
      <c r="H3591" s="1" t="s">
        <v>4881</v>
      </c>
      <c r="N3591" s="1" t="s">
        <v>4622</v>
      </c>
      <c r="P3591" s="1" t="s">
        <v>12334</v>
      </c>
      <c r="Q3591" s="30" t="s">
        <v>2565</v>
      </c>
      <c r="R3591" s="33" t="s">
        <v>3473</v>
      </c>
      <c r="S3591">
        <v>37</v>
      </c>
      <c r="T3591" s="1" t="s">
        <v>13878</v>
      </c>
      <c r="U3591" s="1" t="str">
        <f>HYPERLINK("http://ictvonline.org/taxonomy/p/taxonomy-history?taxnode_id=202106888","ICTVonline=202106888")</f>
        <v>ICTVonline=202106888</v>
      </c>
    </row>
    <row r="3592" spans="1:21" x14ac:dyDescent="0.2">
      <c r="A3592" s="3">
        <v>3591</v>
      </c>
      <c r="B3592" s="1" t="s">
        <v>4875</v>
      </c>
      <c r="D3592" s="1" t="s">
        <v>4876</v>
      </c>
      <c r="F3592" s="1" t="s">
        <v>4880</v>
      </c>
      <c r="H3592" s="1" t="s">
        <v>4881</v>
      </c>
      <c r="N3592" s="1" t="s">
        <v>6044</v>
      </c>
      <c r="P3592" s="1" t="s">
        <v>12335</v>
      </c>
      <c r="Q3592" s="30" t="s">
        <v>2565</v>
      </c>
      <c r="R3592" s="33" t="s">
        <v>3473</v>
      </c>
      <c r="S3592">
        <v>37</v>
      </c>
      <c r="T3592" s="1" t="s">
        <v>13878</v>
      </c>
      <c r="U3592" s="1" t="str">
        <f>HYPERLINK("http://ictvonline.org/taxonomy/p/taxonomy-history?taxnode_id=202100514","ICTVonline=202100514")</f>
        <v>ICTVonline=202100514</v>
      </c>
    </row>
    <row r="3593" spans="1:21" x14ac:dyDescent="0.2">
      <c r="A3593" s="3">
        <v>3592</v>
      </c>
      <c r="B3593" s="1" t="s">
        <v>4875</v>
      </c>
      <c r="D3593" s="1" t="s">
        <v>4876</v>
      </c>
      <c r="F3593" s="1" t="s">
        <v>4880</v>
      </c>
      <c r="H3593" s="1" t="s">
        <v>4881</v>
      </c>
      <c r="N3593" s="1" t="s">
        <v>5144</v>
      </c>
      <c r="P3593" s="1" t="s">
        <v>12336</v>
      </c>
      <c r="Q3593" s="30" t="s">
        <v>2565</v>
      </c>
      <c r="R3593" s="33" t="s">
        <v>3473</v>
      </c>
      <c r="S3593">
        <v>37</v>
      </c>
      <c r="T3593" s="1" t="s">
        <v>13878</v>
      </c>
      <c r="U3593" s="1" t="str">
        <f>HYPERLINK("http://ictvonline.org/taxonomy/p/taxonomy-history?taxnode_id=202107762","ICTVonline=202107762")</f>
        <v>ICTVonline=202107762</v>
      </c>
    </row>
    <row r="3594" spans="1:21" x14ac:dyDescent="0.2">
      <c r="A3594" s="3">
        <v>3593</v>
      </c>
      <c r="B3594" s="1" t="s">
        <v>4875</v>
      </c>
      <c r="D3594" s="1" t="s">
        <v>4876</v>
      </c>
      <c r="F3594" s="1" t="s">
        <v>4880</v>
      </c>
      <c r="H3594" s="1" t="s">
        <v>4881</v>
      </c>
      <c r="N3594" s="1" t="s">
        <v>6241</v>
      </c>
      <c r="P3594" s="1" t="s">
        <v>12337</v>
      </c>
      <c r="Q3594" s="30" t="s">
        <v>2565</v>
      </c>
      <c r="R3594" s="33" t="s">
        <v>3473</v>
      </c>
      <c r="S3594">
        <v>37</v>
      </c>
      <c r="T3594" s="1" t="s">
        <v>13878</v>
      </c>
      <c r="U3594" s="1" t="str">
        <f>HYPERLINK("http://ictvonline.org/taxonomy/p/taxonomy-history?taxnode_id=202111965","ICTVonline=202111965")</f>
        <v>ICTVonline=202111965</v>
      </c>
    </row>
    <row r="3595" spans="1:21" x14ac:dyDescent="0.2">
      <c r="A3595" s="3">
        <v>3594</v>
      </c>
      <c r="B3595" s="1" t="s">
        <v>4875</v>
      </c>
      <c r="D3595" s="1" t="s">
        <v>4876</v>
      </c>
      <c r="F3595" s="1" t="s">
        <v>4880</v>
      </c>
      <c r="H3595" s="1" t="s">
        <v>4881</v>
      </c>
      <c r="N3595" s="1" t="s">
        <v>3214</v>
      </c>
      <c r="P3595" s="1" t="s">
        <v>12338</v>
      </c>
      <c r="Q3595" s="30" t="s">
        <v>2565</v>
      </c>
      <c r="R3595" s="33" t="s">
        <v>3473</v>
      </c>
      <c r="S3595">
        <v>37</v>
      </c>
      <c r="T3595" s="1" t="s">
        <v>13878</v>
      </c>
      <c r="U3595" s="1" t="str">
        <f>HYPERLINK("http://ictvonline.org/taxonomy/p/taxonomy-history?taxnode_id=202101334","ICTVonline=202101334")</f>
        <v>ICTVonline=202101334</v>
      </c>
    </row>
    <row r="3596" spans="1:21" x14ac:dyDescent="0.2">
      <c r="A3596" s="3">
        <v>3595</v>
      </c>
      <c r="B3596" s="1" t="s">
        <v>4875</v>
      </c>
      <c r="D3596" s="1" t="s">
        <v>4876</v>
      </c>
      <c r="F3596" s="1" t="s">
        <v>4880</v>
      </c>
      <c r="H3596" s="1" t="s">
        <v>4881</v>
      </c>
      <c r="N3596" s="1" t="s">
        <v>6242</v>
      </c>
      <c r="P3596" s="1" t="s">
        <v>12339</v>
      </c>
      <c r="Q3596" s="30" t="s">
        <v>2565</v>
      </c>
      <c r="R3596" s="33" t="s">
        <v>3473</v>
      </c>
      <c r="S3596">
        <v>37</v>
      </c>
      <c r="T3596" s="1" t="s">
        <v>13878</v>
      </c>
      <c r="U3596" s="1" t="str">
        <f>HYPERLINK("http://ictvonline.org/taxonomy/p/taxonomy-history?taxnode_id=202110017","ICTVonline=202110017")</f>
        <v>ICTVonline=202110017</v>
      </c>
    </row>
    <row r="3597" spans="1:21" x14ac:dyDescent="0.2">
      <c r="A3597" s="3">
        <v>3596</v>
      </c>
      <c r="B3597" s="1" t="s">
        <v>4875</v>
      </c>
      <c r="D3597" s="1" t="s">
        <v>4876</v>
      </c>
      <c r="F3597" s="1" t="s">
        <v>4880</v>
      </c>
      <c r="H3597" s="1" t="s">
        <v>4881</v>
      </c>
      <c r="N3597" s="1" t="s">
        <v>5145</v>
      </c>
      <c r="P3597" s="1" t="s">
        <v>12340</v>
      </c>
      <c r="Q3597" s="30" t="s">
        <v>2565</v>
      </c>
      <c r="R3597" s="33" t="s">
        <v>3473</v>
      </c>
      <c r="S3597">
        <v>37</v>
      </c>
      <c r="T3597" s="1" t="s">
        <v>13878</v>
      </c>
      <c r="U3597" s="1" t="str">
        <f>HYPERLINK("http://ictvonline.org/taxonomy/p/taxonomy-history?taxnode_id=202108046","ICTVonline=202108046")</f>
        <v>ICTVonline=202108046</v>
      </c>
    </row>
    <row r="3598" spans="1:21" x14ac:dyDescent="0.2">
      <c r="A3598" s="3">
        <v>3597</v>
      </c>
      <c r="B3598" s="1" t="s">
        <v>4875</v>
      </c>
      <c r="D3598" s="1" t="s">
        <v>4876</v>
      </c>
      <c r="F3598" s="1" t="s">
        <v>4880</v>
      </c>
      <c r="H3598" s="1" t="s">
        <v>4881</v>
      </c>
      <c r="N3598" s="1" t="s">
        <v>5239</v>
      </c>
      <c r="P3598" s="1" t="s">
        <v>12341</v>
      </c>
      <c r="Q3598" s="30" t="s">
        <v>2565</v>
      </c>
      <c r="R3598" s="33" t="s">
        <v>3473</v>
      </c>
      <c r="S3598">
        <v>37</v>
      </c>
      <c r="T3598" s="1" t="s">
        <v>13878</v>
      </c>
      <c r="U3598" s="1" t="str">
        <f>HYPERLINK("http://ictvonline.org/taxonomy/p/taxonomy-history?taxnode_id=202107706","ICTVonline=202107706")</f>
        <v>ICTVonline=202107706</v>
      </c>
    </row>
    <row r="3599" spans="1:21" x14ac:dyDescent="0.2">
      <c r="A3599" s="3">
        <v>3598</v>
      </c>
      <c r="B3599" s="1" t="s">
        <v>4875</v>
      </c>
      <c r="D3599" s="1" t="s">
        <v>4876</v>
      </c>
      <c r="F3599" s="1" t="s">
        <v>4880</v>
      </c>
      <c r="H3599" s="1" t="s">
        <v>4881</v>
      </c>
      <c r="N3599" s="1" t="s">
        <v>5239</v>
      </c>
      <c r="P3599" s="1" t="s">
        <v>12342</v>
      </c>
      <c r="Q3599" s="30" t="s">
        <v>2565</v>
      </c>
      <c r="R3599" s="33" t="s">
        <v>3473</v>
      </c>
      <c r="S3599">
        <v>37</v>
      </c>
      <c r="T3599" s="1" t="s">
        <v>13878</v>
      </c>
      <c r="U3599" s="1" t="str">
        <f>HYPERLINK("http://ictvonline.org/taxonomy/p/taxonomy-history?taxnode_id=202107705","ICTVonline=202107705")</f>
        <v>ICTVonline=202107705</v>
      </c>
    </row>
    <row r="3600" spans="1:21" x14ac:dyDescent="0.2">
      <c r="A3600" s="3">
        <v>3599</v>
      </c>
      <c r="B3600" s="1" t="s">
        <v>4875</v>
      </c>
      <c r="D3600" s="1" t="s">
        <v>4876</v>
      </c>
      <c r="F3600" s="1" t="s">
        <v>4880</v>
      </c>
      <c r="H3600" s="1" t="s">
        <v>4881</v>
      </c>
      <c r="N3600" s="1" t="s">
        <v>6243</v>
      </c>
      <c r="P3600" s="1" t="s">
        <v>12343</v>
      </c>
      <c r="Q3600" s="30" t="s">
        <v>2565</v>
      </c>
      <c r="R3600" s="33" t="s">
        <v>3473</v>
      </c>
      <c r="S3600">
        <v>37</v>
      </c>
      <c r="T3600" s="1" t="s">
        <v>13878</v>
      </c>
      <c r="U3600" s="1" t="str">
        <f>HYPERLINK("http://ictvonline.org/taxonomy/p/taxonomy-history?taxnode_id=202112022","ICTVonline=202112022")</f>
        <v>ICTVonline=202112022</v>
      </c>
    </row>
    <row r="3601" spans="1:21" x14ac:dyDescent="0.2">
      <c r="A3601" s="3">
        <v>3600</v>
      </c>
      <c r="B3601" s="1" t="s">
        <v>4875</v>
      </c>
      <c r="D3601" s="1" t="s">
        <v>4876</v>
      </c>
      <c r="F3601" s="1" t="s">
        <v>4880</v>
      </c>
      <c r="H3601" s="1" t="s">
        <v>4881</v>
      </c>
      <c r="N3601" s="1" t="s">
        <v>6243</v>
      </c>
      <c r="P3601" s="1" t="s">
        <v>12344</v>
      </c>
      <c r="Q3601" s="30" t="s">
        <v>2565</v>
      </c>
      <c r="R3601" s="33" t="s">
        <v>3473</v>
      </c>
      <c r="S3601">
        <v>37</v>
      </c>
      <c r="T3601" s="1" t="s">
        <v>13878</v>
      </c>
      <c r="U3601" s="1" t="str">
        <f>HYPERLINK("http://ictvonline.org/taxonomy/p/taxonomy-history?taxnode_id=202112021","ICTVonline=202112021")</f>
        <v>ICTVonline=202112021</v>
      </c>
    </row>
    <row r="3602" spans="1:21" x14ac:dyDescent="0.2">
      <c r="A3602" s="3">
        <v>3601</v>
      </c>
      <c r="B3602" s="1" t="s">
        <v>4875</v>
      </c>
      <c r="D3602" s="1" t="s">
        <v>4876</v>
      </c>
      <c r="F3602" s="1" t="s">
        <v>4880</v>
      </c>
      <c r="H3602" s="1" t="s">
        <v>4881</v>
      </c>
      <c r="N3602" s="1" t="s">
        <v>6243</v>
      </c>
      <c r="P3602" s="1" t="s">
        <v>12345</v>
      </c>
      <c r="Q3602" s="30" t="s">
        <v>2565</v>
      </c>
      <c r="R3602" s="33" t="s">
        <v>3473</v>
      </c>
      <c r="S3602">
        <v>37</v>
      </c>
      <c r="T3602" s="1" t="s">
        <v>13878</v>
      </c>
      <c r="U3602" s="1" t="str">
        <f>HYPERLINK("http://ictvonline.org/taxonomy/p/taxonomy-history?taxnode_id=202112023","ICTVonline=202112023")</f>
        <v>ICTVonline=202112023</v>
      </c>
    </row>
    <row r="3603" spans="1:21" x14ac:dyDescent="0.2">
      <c r="A3603" s="3">
        <v>3602</v>
      </c>
      <c r="B3603" s="1" t="s">
        <v>4875</v>
      </c>
      <c r="D3603" s="1" t="s">
        <v>4876</v>
      </c>
      <c r="F3603" s="1" t="s">
        <v>4880</v>
      </c>
      <c r="H3603" s="1" t="s">
        <v>4881</v>
      </c>
      <c r="N3603" s="1" t="s">
        <v>6243</v>
      </c>
      <c r="P3603" s="1" t="s">
        <v>12346</v>
      </c>
      <c r="Q3603" s="30" t="s">
        <v>2565</v>
      </c>
      <c r="R3603" s="33" t="s">
        <v>3473</v>
      </c>
      <c r="S3603">
        <v>37</v>
      </c>
      <c r="T3603" s="1" t="s">
        <v>13878</v>
      </c>
      <c r="U3603" s="1" t="str">
        <f>HYPERLINK("http://ictvonline.org/taxonomy/p/taxonomy-history?taxnode_id=202112024","ICTVonline=202112024")</f>
        <v>ICTVonline=202112024</v>
      </c>
    </row>
    <row r="3604" spans="1:21" x14ac:dyDescent="0.2">
      <c r="A3604" s="3">
        <v>3603</v>
      </c>
      <c r="B3604" s="1" t="s">
        <v>4875</v>
      </c>
      <c r="D3604" s="1" t="s">
        <v>4876</v>
      </c>
      <c r="F3604" s="1" t="s">
        <v>4880</v>
      </c>
      <c r="H3604" s="1" t="s">
        <v>4881</v>
      </c>
      <c r="N3604" s="1" t="s">
        <v>6243</v>
      </c>
      <c r="P3604" s="1" t="s">
        <v>12347</v>
      </c>
      <c r="Q3604" s="30" t="s">
        <v>2565</v>
      </c>
      <c r="R3604" s="33" t="s">
        <v>3473</v>
      </c>
      <c r="S3604">
        <v>37</v>
      </c>
      <c r="T3604" s="1" t="s">
        <v>13878</v>
      </c>
      <c r="U3604" s="1" t="str">
        <f>HYPERLINK("http://ictvonline.org/taxonomy/p/taxonomy-history?taxnode_id=202112020","ICTVonline=202112020")</f>
        <v>ICTVonline=202112020</v>
      </c>
    </row>
    <row r="3605" spans="1:21" x14ac:dyDescent="0.2">
      <c r="A3605" s="3">
        <v>3604</v>
      </c>
      <c r="B3605" s="1" t="s">
        <v>4875</v>
      </c>
      <c r="D3605" s="1" t="s">
        <v>4876</v>
      </c>
      <c r="F3605" s="1" t="s">
        <v>4880</v>
      </c>
      <c r="H3605" s="1" t="s">
        <v>4881</v>
      </c>
      <c r="N3605" s="1" t="s">
        <v>4575</v>
      </c>
      <c r="P3605" s="1" t="s">
        <v>12348</v>
      </c>
      <c r="Q3605" s="30" t="s">
        <v>2565</v>
      </c>
      <c r="R3605" s="33" t="s">
        <v>3473</v>
      </c>
      <c r="S3605">
        <v>37</v>
      </c>
      <c r="T3605" s="1" t="s">
        <v>13878</v>
      </c>
      <c r="U3605" s="1" t="str">
        <f>HYPERLINK("http://ictvonline.org/taxonomy/p/taxonomy-history?taxnode_id=202106890","ICTVonline=202106890")</f>
        <v>ICTVonline=202106890</v>
      </c>
    </row>
    <row r="3606" spans="1:21" x14ac:dyDescent="0.2">
      <c r="A3606" s="3">
        <v>3605</v>
      </c>
      <c r="B3606" s="1" t="s">
        <v>4875</v>
      </c>
      <c r="D3606" s="1" t="s">
        <v>4876</v>
      </c>
      <c r="F3606" s="1" t="s">
        <v>4880</v>
      </c>
      <c r="H3606" s="1" t="s">
        <v>4881</v>
      </c>
      <c r="N3606" s="1" t="s">
        <v>5240</v>
      </c>
      <c r="P3606" s="1" t="s">
        <v>12349</v>
      </c>
      <c r="Q3606" s="30" t="s">
        <v>2565</v>
      </c>
      <c r="R3606" s="33" t="s">
        <v>3473</v>
      </c>
      <c r="S3606">
        <v>37</v>
      </c>
      <c r="T3606" s="1" t="s">
        <v>13878</v>
      </c>
      <c r="U3606" s="1" t="str">
        <f>HYPERLINK("http://ictvonline.org/taxonomy/p/taxonomy-history?taxnode_id=202101187","ICTVonline=202101187")</f>
        <v>ICTVonline=202101187</v>
      </c>
    </row>
    <row r="3607" spans="1:21" x14ac:dyDescent="0.2">
      <c r="A3607" s="3">
        <v>3606</v>
      </c>
      <c r="B3607" s="1" t="s">
        <v>4875</v>
      </c>
      <c r="D3607" s="1" t="s">
        <v>4876</v>
      </c>
      <c r="F3607" s="1" t="s">
        <v>4880</v>
      </c>
      <c r="H3607" s="1" t="s">
        <v>4881</v>
      </c>
      <c r="N3607" s="1" t="s">
        <v>4577</v>
      </c>
      <c r="P3607" s="1" t="s">
        <v>12350</v>
      </c>
      <c r="Q3607" s="30" t="s">
        <v>2565</v>
      </c>
      <c r="R3607" s="33" t="s">
        <v>3473</v>
      </c>
      <c r="S3607">
        <v>37</v>
      </c>
      <c r="T3607" s="1" t="s">
        <v>13878</v>
      </c>
      <c r="U3607" s="1" t="str">
        <f>HYPERLINK("http://ictvonline.org/taxonomy/p/taxonomy-history?taxnode_id=202106787","ICTVonline=202106787")</f>
        <v>ICTVonline=202106787</v>
      </c>
    </row>
    <row r="3608" spans="1:21" x14ac:dyDescent="0.2">
      <c r="A3608" s="3">
        <v>3607</v>
      </c>
      <c r="B3608" s="1" t="s">
        <v>4875</v>
      </c>
      <c r="D3608" s="1" t="s">
        <v>4876</v>
      </c>
      <c r="F3608" s="1" t="s">
        <v>4880</v>
      </c>
      <c r="H3608" s="1" t="s">
        <v>4881</v>
      </c>
      <c r="N3608" s="1" t="s">
        <v>12351</v>
      </c>
      <c r="P3608" s="1" t="s">
        <v>12352</v>
      </c>
      <c r="Q3608" s="30" t="s">
        <v>2565</v>
      </c>
      <c r="R3608" s="33" t="s">
        <v>3472</v>
      </c>
      <c r="S3608">
        <v>37</v>
      </c>
      <c r="T3608" s="1" t="s">
        <v>13978</v>
      </c>
      <c r="U3608" s="1" t="str">
        <f>HYPERLINK("http://ictvonline.org/taxonomy/p/taxonomy-history?taxnode_id=202112612","ICTVonline=202112612")</f>
        <v>ICTVonline=202112612</v>
      </c>
    </row>
    <row r="3609" spans="1:21" x14ac:dyDescent="0.2">
      <c r="A3609" s="3">
        <v>3608</v>
      </c>
      <c r="B3609" s="1" t="s">
        <v>4875</v>
      </c>
      <c r="D3609" s="1" t="s">
        <v>4876</v>
      </c>
      <c r="F3609" s="1" t="s">
        <v>4880</v>
      </c>
      <c r="H3609" s="1" t="s">
        <v>4881</v>
      </c>
      <c r="N3609" s="1" t="s">
        <v>12351</v>
      </c>
      <c r="P3609" s="1" t="s">
        <v>12353</v>
      </c>
      <c r="Q3609" s="30" t="s">
        <v>2565</v>
      </c>
      <c r="R3609" s="33" t="s">
        <v>3472</v>
      </c>
      <c r="S3609">
        <v>37</v>
      </c>
      <c r="T3609" s="1" t="s">
        <v>13978</v>
      </c>
      <c r="U3609" s="1" t="str">
        <f>HYPERLINK("http://ictvonline.org/taxonomy/p/taxonomy-history?taxnode_id=202112611","ICTVonline=202112611")</f>
        <v>ICTVonline=202112611</v>
      </c>
    </row>
    <row r="3610" spans="1:21" x14ac:dyDescent="0.2">
      <c r="A3610" s="3">
        <v>3609</v>
      </c>
      <c r="B3610" s="1" t="s">
        <v>4875</v>
      </c>
      <c r="D3610" s="1" t="s">
        <v>4876</v>
      </c>
      <c r="F3610" s="1" t="s">
        <v>4880</v>
      </c>
      <c r="H3610" s="1" t="s">
        <v>4881</v>
      </c>
      <c r="N3610" s="1" t="s">
        <v>12351</v>
      </c>
      <c r="P3610" s="1" t="s">
        <v>12354</v>
      </c>
      <c r="Q3610" s="30" t="s">
        <v>2565</v>
      </c>
      <c r="R3610" s="33" t="s">
        <v>3472</v>
      </c>
      <c r="S3610">
        <v>37</v>
      </c>
      <c r="T3610" s="1" t="s">
        <v>13978</v>
      </c>
      <c r="U3610" s="1" t="str">
        <f>HYPERLINK("http://ictvonline.org/taxonomy/p/taxonomy-history?taxnode_id=202112610","ICTVonline=202112610")</f>
        <v>ICTVonline=202112610</v>
      </c>
    </row>
    <row r="3611" spans="1:21" x14ac:dyDescent="0.2">
      <c r="A3611" s="3">
        <v>3610</v>
      </c>
      <c r="B3611" s="1" t="s">
        <v>4875</v>
      </c>
      <c r="D3611" s="1" t="s">
        <v>4876</v>
      </c>
      <c r="F3611" s="1" t="s">
        <v>4880</v>
      </c>
      <c r="H3611" s="1" t="s">
        <v>4881</v>
      </c>
      <c r="N3611" s="1" t="s">
        <v>12351</v>
      </c>
      <c r="P3611" s="1" t="s">
        <v>12355</v>
      </c>
      <c r="Q3611" s="30" t="s">
        <v>2565</v>
      </c>
      <c r="R3611" s="33" t="s">
        <v>3473</v>
      </c>
      <c r="S3611">
        <v>37</v>
      </c>
      <c r="T3611" s="1" t="s">
        <v>13978</v>
      </c>
      <c r="U3611" s="1" t="str">
        <f>HYPERLINK("http://ictvonline.org/taxonomy/p/taxonomy-history?taxnode_id=202101062","ICTVonline=202101062")</f>
        <v>ICTVonline=202101062</v>
      </c>
    </row>
    <row r="3612" spans="1:21" x14ac:dyDescent="0.2">
      <c r="A3612" s="3">
        <v>3611</v>
      </c>
      <c r="B3612" s="1" t="s">
        <v>4875</v>
      </c>
      <c r="D3612" s="1" t="s">
        <v>4876</v>
      </c>
      <c r="F3612" s="1" t="s">
        <v>4880</v>
      </c>
      <c r="H3612" s="1" t="s">
        <v>4881</v>
      </c>
      <c r="N3612" s="1" t="s">
        <v>4746</v>
      </c>
      <c r="P3612" s="1" t="s">
        <v>12356</v>
      </c>
      <c r="Q3612" s="30" t="s">
        <v>2565</v>
      </c>
      <c r="R3612" s="33" t="s">
        <v>3473</v>
      </c>
      <c r="S3612">
        <v>37</v>
      </c>
      <c r="T3612" s="1" t="s">
        <v>13878</v>
      </c>
      <c r="U3612" s="1" t="str">
        <f>HYPERLINK("http://ictvonline.org/taxonomy/p/taxonomy-history?taxnode_id=202101336","ICTVonline=202101336")</f>
        <v>ICTVonline=202101336</v>
      </c>
    </row>
    <row r="3613" spans="1:21" x14ac:dyDescent="0.2">
      <c r="A3613" s="3">
        <v>3612</v>
      </c>
      <c r="B3613" s="1" t="s">
        <v>4875</v>
      </c>
      <c r="D3613" s="1" t="s">
        <v>4876</v>
      </c>
      <c r="F3613" s="1" t="s">
        <v>4880</v>
      </c>
      <c r="H3613" s="1" t="s">
        <v>4881</v>
      </c>
      <c r="N3613" s="1" t="s">
        <v>4746</v>
      </c>
      <c r="P3613" s="1" t="s">
        <v>12357</v>
      </c>
      <c r="Q3613" s="30" t="s">
        <v>2565</v>
      </c>
      <c r="R3613" s="33" t="s">
        <v>3473</v>
      </c>
      <c r="S3613">
        <v>37</v>
      </c>
      <c r="T3613" s="1" t="s">
        <v>13878</v>
      </c>
      <c r="U3613" s="1" t="str">
        <f>HYPERLINK("http://ictvonline.org/taxonomy/p/taxonomy-history?taxnode_id=202101337","ICTVonline=202101337")</f>
        <v>ICTVonline=202101337</v>
      </c>
    </row>
    <row r="3614" spans="1:21" x14ac:dyDescent="0.2">
      <c r="A3614" s="3">
        <v>3613</v>
      </c>
      <c r="B3614" s="1" t="s">
        <v>4875</v>
      </c>
      <c r="D3614" s="1" t="s">
        <v>4876</v>
      </c>
      <c r="F3614" s="1" t="s">
        <v>4880</v>
      </c>
      <c r="H3614" s="1" t="s">
        <v>4881</v>
      </c>
      <c r="N3614" s="1" t="s">
        <v>3215</v>
      </c>
      <c r="P3614" s="1" t="s">
        <v>12358</v>
      </c>
      <c r="Q3614" s="30" t="s">
        <v>2565</v>
      </c>
      <c r="R3614" s="33" t="s">
        <v>3473</v>
      </c>
      <c r="S3614">
        <v>37</v>
      </c>
      <c r="T3614" s="1" t="s">
        <v>13878</v>
      </c>
      <c r="U3614" s="1" t="str">
        <f>HYPERLINK("http://ictvonline.org/taxonomy/p/taxonomy-history?taxnode_id=202101340","ICTVonline=202101340")</f>
        <v>ICTVonline=202101340</v>
      </c>
    </row>
    <row r="3615" spans="1:21" x14ac:dyDescent="0.2">
      <c r="A3615" s="3">
        <v>3614</v>
      </c>
      <c r="B3615" s="1" t="s">
        <v>4875</v>
      </c>
      <c r="D3615" s="1" t="s">
        <v>4876</v>
      </c>
      <c r="F3615" s="1" t="s">
        <v>4880</v>
      </c>
      <c r="H3615" s="1" t="s">
        <v>4881</v>
      </c>
      <c r="N3615" s="1" t="s">
        <v>3215</v>
      </c>
      <c r="P3615" s="1" t="s">
        <v>12359</v>
      </c>
      <c r="Q3615" s="30" t="s">
        <v>2565</v>
      </c>
      <c r="R3615" s="33" t="s">
        <v>3473</v>
      </c>
      <c r="S3615">
        <v>37</v>
      </c>
      <c r="T3615" s="1" t="s">
        <v>13878</v>
      </c>
      <c r="U3615" s="1" t="str">
        <f>HYPERLINK("http://ictvonline.org/taxonomy/p/taxonomy-history?taxnode_id=202101341","ICTVonline=202101341")</f>
        <v>ICTVonline=202101341</v>
      </c>
    </row>
    <row r="3616" spans="1:21" x14ac:dyDescent="0.2">
      <c r="A3616" s="3">
        <v>3615</v>
      </c>
      <c r="B3616" s="1" t="s">
        <v>4875</v>
      </c>
      <c r="D3616" s="1" t="s">
        <v>4876</v>
      </c>
      <c r="F3616" s="1" t="s">
        <v>4880</v>
      </c>
      <c r="H3616" s="1" t="s">
        <v>4881</v>
      </c>
      <c r="N3616" s="1" t="s">
        <v>5149</v>
      </c>
      <c r="P3616" s="1" t="s">
        <v>12360</v>
      </c>
      <c r="Q3616" s="30" t="s">
        <v>2565</v>
      </c>
      <c r="R3616" s="33" t="s">
        <v>3473</v>
      </c>
      <c r="S3616">
        <v>37</v>
      </c>
      <c r="T3616" s="1" t="s">
        <v>13878</v>
      </c>
      <c r="U3616" s="1" t="str">
        <f>HYPERLINK("http://ictvonline.org/taxonomy/p/taxonomy-history?taxnode_id=202108050","ICTVonline=202108050")</f>
        <v>ICTVonline=202108050</v>
      </c>
    </row>
    <row r="3617" spans="1:21" x14ac:dyDescent="0.2">
      <c r="A3617" s="3">
        <v>3616</v>
      </c>
      <c r="B3617" s="1" t="s">
        <v>4875</v>
      </c>
      <c r="D3617" s="1" t="s">
        <v>4876</v>
      </c>
      <c r="F3617" s="1" t="s">
        <v>4880</v>
      </c>
      <c r="H3617" s="1" t="s">
        <v>4881</v>
      </c>
      <c r="N3617" s="1" t="s">
        <v>2654</v>
      </c>
      <c r="P3617" s="1" t="s">
        <v>12361</v>
      </c>
      <c r="Q3617" s="30" t="s">
        <v>2565</v>
      </c>
      <c r="R3617" s="33" t="s">
        <v>3473</v>
      </c>
      <c r="S3617">
        <v>37</v>
      </c>
      <c r="T3617" s="1" t="s">
        <v>13878</v>
      </c>
      <c r="U3617" s="1" t="str">
        <f>HYPERLINK("http://ictvonline.org/taxonomy/p/taxonomy-history?taxnode_id=202112050","ICTVonline=202112050")</f>
        <v>ICTVonline=202112050</v>
      </c>
    </row>
    <row r="3618" spans="1:21" x14ac:dyDescent="0.2">
      <c r="A3618" s="3">
        <v>3617</v>
      </c>
      <c r="B3618" s="1" t="s">
        <v>4875</v>
      </c>
      <c r="D3618" s="1" t="s">
        <v>4876</v>
      </c>
      <c r="F3618" s="1" t="s">
        <v>4880</v>
      </c>
      <c r="H3618" s="1" t="s">
        <v>4881</v>
      </c>
      <c r="N3618" s="1" t="s">
        <v>2654</v>
      </c>
      <c r="P3618" s="1" t="s">
        <v>12362</v>
      </c>
      <c r="Q3618" s="30" t="s">
        <v>2565</v>
      </c>
      <c r="R3618" s="33" t="s">
        <v>3473</v>
      </c>
      <c r="S3618">
        <v>37</v>
      </c>
      <c r="T3618" s="1" t="s">
        <v>13878</v>
      </c>
      <c r="U3618" s="1" t="str">
        <f>HYPERLINK("http://ictvonline.org/taxonomy/p/taxonomy-history?taxnode_id=202101359","ICTVonline=202101359")</f>
        <v>ICTVonline=202101359</v>
      </c>
    </row>
    <row r="3619" spans="1:21" x14ac:dyDescent="0.2">
      <c r="A3619" s="3">
        <v>3618</v>
      </c>
      <c r="B3619" s="1" t="s">
        <v>4875</v>
      </c>
      <c r="D3619" s="1" t="s">
        <v>4876</v>
      </c>
      <c r="F3619" s="1" t="s">
        <v>4880</v>
      </c>
      <c r="H3619" s="1" t="s">
        <v>4881</v>
      </c>
      <c r="N3619" s="1" t="s">
        <v>2654</v>
      </c>
      <c r="P3619" s="1" t="s">
        <v>12363</v>
      </c>
      <c r="Q3619" s="30" t="s">
        <v>2565</v>
      </c>
      <c r="R3619" s="33" t="s">
        <v>3473</v>
      </c>
      <c r="S3619">
        <v>37</v>
      </c>
      <c r="T3619" s="1" t="s">
        <v>13878</v>
      </c>
      <c r="U3619" s="1" t="str">
        <f>HYPERLINK("http://ictvonline.org/taxonomy/p/taxonomy-history?taxnode_id=202112040","ICTVonline=202112040")</f>
        <v>ICTVonline=202112040</v>
      </c>
    </row>
    <row r="3620" spans="1:21" x14ac:dyDescent="0.2">
      <c r="A3620" s="3">
        <v>3619</v>
      </c>
      <c r="B3620" s="1" t="s">
        <v>4875</v>
      </c>
      <c r="D3620" s="1" t="s">
        <v>4876</v>
      </c>
      <c r="F3620" s="1" t="s">
        <v>4880</v>
      </c>
      <c r="H3620" s="1" t="s">
        <v>4881</v>
      </c>
      <c r="N3620" s="1" t="s">
        <v>2654</v>
      </c>
      <c r="P3620" s="1" t="s">
        <v>12364</v>
      </c>
      <c r="Q3620" s="30" t="s">
        <v>2565</v>
      </c>
      <c r="R3620" s="33" t="s">
        <v>3473</v>
      </c>
      <c r="S3620">
        <v>37</v>
      </c>
      <c r="T3620" s="1" t="s">
        <v>13878</v>
      </c>
      <c r="U3620" s="1" t="str">
        <f>HYPERLINK("http://ictvonline.org/taxonomy/p/taxonomy-history?taxnode_id=202112044","ICTVonline=202112044")</f>
        <v>ICTVonline=202112044</v>
      </c>
    </row>
    <row r="3621" spans="1:21" x14ac:dyDescent="0.2">
      <c r="A3621" s="3">
        <v>3620</v>
      </c>
      <c r="B3621" s="1" t="s">
        <v>4875</v>
      </c>
      <c r="D3621" s="1" t="s">
        <v>4876</v>
      </c>
      <c r="F3621" s="1" t="s">
        <v>4880</v>
      </c>
      <c r="H3621" s="1" t="s">
        <v>4881</v>
      </c>
      <c r="N3621" s="1" t="s">
        <v>2654</v>
      </c>
      <c r="P3621" s="1" t="s">
        <v>12365</v>
      </c>
      <c r="Q3621" s="30" t="s">
        <v>2565</v>
      </c>
      <c r="R3621" s="33" t="s">
        <v>3473</v>
      </c>
      <c r="S3621">
        <v>37</v>
      </c>
      <c r="T3621" s="1" t="s">
        <v>13878</v>
      </c>
      <c r="U3621" s="1" t="str">
        <f>HYPERLINK("http://ictvonline.org/taxonomy/p/taxonomy-history?taxnode_id=202112037","ICTVonline=202112037")</f>
        <v>ICTVonline=202112037</v>
      </c>
    </row>
    <row r="3622" spans="1:21" x14ac:dyDescent="0.2">
      <c r="A3622" s="3">
        <v>3621</v>
      </c>
      <c r="B3622" s="1" t="s">
        <v>4875</v>
      </c>
      <c r="D3622" s="1" t="s">
        <v>4876</v>
      </c>
      <c r="F3622" s="1" t="s">
        <v>4880</v>
      </c>
      <c r="H3622" s="1" t="s">
        <v>4881</v>
      </c>
      <c r="N3622" s="1" t="s">
        <v>2654</v>
      </c>
      <c r="P3622" s="1" t="s">
        <v>12366</v>
      </c>
      <c r="Q3622" s="30" t="s">
        <v>2565</v>
      </c>
      <c r="R3622" s="33" t="s">
        <v>3473</v>
      </c>
      <c r="S3622">
        <v>37</v>
      </c>
      <c r="T3622" s="1" t="s">
        <v>13878</v>
      </c>
      <c r="U3622" s="1" t="str">
        <f>HYPERLINK("http://ictvonline.org/taxonomy/p/taxonomy-history?taxnode_id=202112047","ICTVonline=202112047")</f>
        <v>ICTVonline=202112047</v>
      </c>
    </row>
    <row r="3623" spans="1:21" x14ac:dyDescent="0.2">
      <c r="A3623" s="3">
        <v>3622</v>
      </c>
      <c r="B3623" s="1" t="s">
        <v>4875</v>
      </c>
      <c r="D3623" s="1" t="s">
        <v>4876</v>
      </c>
      <c r="F3623" s="1" t="s">
        <v>4880</v>
      </c>
      <c r="H3623" s="1" t="s">
        <v>4881</v>
      </c>
      <c r="N3623" s="1" t="s">
        <v>2654</v>
      </c>
      <c r="P3623" s="1" t="s">
        <v>12367</v>
      </c>
      <c r="Q3623" s="30" t="s">
        <v>2565</v>
      </c>
      <c r="R3623" s="33" t="s">
        <v>3473</v>
      </c>
      <c r="S3623">
        <v>37</v>
      </c>
      <c r="T3623" s="1" t="s">
        <v>13878</v>
      </c>
      <c r="U3623" s="1" t="str">
        <f>HYPERLINK("http://ictvonline.org/taxonomy/p/taxonomy-history?taxnode_id=202112046","ICTVonline=202112046")</f>
        <v>ICTVonline=202112046</v>
      </c>
    </row>
    <row r="3624" spans="1:21" x14ac:dyDescent="0.2">
      <c r="A3624" s="3">
        <v>3623</v>
      </c>
      <c r="B3624" s="1" t="s">
        <v>4875</v>
      </c>
      <c r="D3624" s="1" t="s">
        <v>4876</v>
      </c>
      <c r="F3624" s="1" t="s">
        <v>4880</v>
      </c>
      <c r="H3624" s="1" t="s">
        <v>4881</v>
      </c>
      <c r="N3624" s="1" t="s">
        <v>2654</v>
      </c>
      <c r="P3624" s="1" t="s">
        <v>12368</v>
      </c>
      <c r="Q3624" s="30" t="s">
        <v>2565</v>
      </c>
      <c r="R3624" s="33" t="s">
        <v>3473</v>
      </c>
      <c r="S3624">
        <v>37</v>
      </c>
      <c r="T3624" s="1" t="s">
        <v>13878</v>
      </c>
      <c r="U3624" s="1" t="str">
        <f>HYPERLINK("http://ictvonline.org/taxonomy/p/taxonomy-history?taxnode_id=202112038","ICTVonline=202112038")</f>
        <v>ICTVonline=202112038</v>
      </c>
    </row>
    <row r="3625" spans="1:21" x14ac:dyDescent="0.2">
      <c r="A3625" s="3">
        <v>3624</v>
      </c>
      <c r="B3625" s="1" t="s">
        <v>4875</v>
      </c>
      <c r="D3625" s="1" t="s">
        <v>4876</v>
      </c>
      <c r="F3625" s="1" t="s">
        <v>4880</v>
      </c>
      <c r="H3625" s="1" t="s">
        <v>4881</v>
      </c>
      <c r="N3625" s="1" t="s">
        <v>2654</v>
      </c>
      <c r="P3625" s="1" t="s">
        <v>12369</v>
      </c>
      <c r="Q3625" s="30" t="s">
        <v>2565</v>
      </c>
      <c r="R3625" s="33" t="s">
        <v>3473</v>
      </c>
      <c r="S3625">
        <v>37</v>
      </c>
      <c r="T3625" s="1" t="s">
        <v>13878</v>
      </c>
      <c r="U3625" s="1" t="str">
        <f>HYPERLINK("http://ictvonline.org/taxonomy/p/taxonomy-history?taxnode_id=202101361","ICTVonline=202101361")</f>
        <v>ICTVonline=202101361</v>
      </c>
    </row>
    <row r="3626" spans="1:21" x14ac:dyDescent="0.2">
      <c r="A3626" s="3">
        <v>3625</v>
      </c>
      <c r="B3626" s="1" t="s">
        <v>4875</v>
      </c>
      <c r="D3626" s="1" t="s">
        <v>4876</v>
      </c>
      <c r="F3626" s="1" t="s">
        <v>4880</v>
      </c>
      <c r="H3626" s="1" t="s">
        <v>4881</v>
      </c>
      <c r="N3626" s="1" t="s">
        <v>2654</v>
      </c>
      <c r="P3626" s="1" t="s">
        <v>12370</v>
      </c>
      <c r="Q3626" s="30" t="s">
        <v>2565</v>
      </c>
      <c r="R3626" s="33" t="s">
        <v>3473</v>
      </c>
      <c r="S3626">
        <v>37</v>
      </c>
      <c r="T3626" s="1" t="s">
        <v>13878</v>
      </c>
      <c r="U3626" s="1" t="str">
        <f>HYPERLINK("http://ictvonline.org/taxonomy/p/taxonomy-history?taxnode_id=202112041","ICTVonline=202112041")</f>
        <v>ICTVonline=202112041</v>
      </c>
    </row>
    <row r="3627" spans="1:21" x14ac:dyDescent="0.2">
      <c r="A3627" s="3">
        <v>3626</v>
      </c>
      <c r="B3627" s="1" t="s">
        <v>4875</v>
      </c>
      <c r="D3627" s="1" t="s">
        <v>4876</v>
      </c>
      <c r="F3627" s="1" t="s">
        <v>4880</v>
      </c>
      <c r="H3627" s="1" t="s">
        <v>4881</v>
      </c>
      <c r="N3627" s="1" t="s">
        <v>2654</v>
      </c>
      <c r="P3627" s="1" t="s">
        <v>12371</v>
      </c>
      <c r="Q3627" s="30" t="s">
        <v>2565</v>
      </c>
      <c r="R3627" s="33" t="s">
        <v>3473</v>
      </c>
      <c r="S3627">
        <v>37</v>
      </c>
      <c r="T3627" s="1" t="s">
        <v>13878</v>
      </c>
      <c r="U3627" s="1" t="str">
        <f>HYPERLINK("http://ictvonline.org/taxonomy/p/taxonomy-history?taxnode_id=202112051","ICTVonline=202112051")</f>
        <v>ICTVonline=202112051</v>
      </c>
    </row>
    <row r="3628" spans="1:21" x14ac:dyDescent="0.2">
      <c r="A3628" s="3">
        <v>3627</v>
      </c>
      <c r="B3628" s="1" t="s">
        <v>4875</v>
      </c>
      <c r="D3628" s="1" t="s">
        <v>4876</v>
      </c>
      <c r="F3628" s="1" t="s">
        <v>4880</v>
      </c>
      <c r="H3628" s="1" t="s">
        <v>4881</v>
      </c>
      <c r="N3628" s="1" t="s">
        <v>2654</v>
      </c>
      <c r="P3628" s="1" t="s">
        <v>12372</v>
      </c>
      <c r="Q3628" s="30" t="s">
        <v>2565</v>
      </c>
      <c r="R3628" s="33" t="s">
        <v>3473</v>
      </c>
      <c r="S3628">
        <v>37</v>
      </c>
      <c r="T3628" s="1" t="s">
        <v>13878</v>
      </c>
      <c r="U3628" s="1" t="str">
        <f>HYPERLINK("http://ictvonline.org/taxonomy/p/taxonomy-history?taxnode_id=202112045","ICTVonline=202112045")</f>
        <v>ICTVonline=202112045</v>
      </c>
    </row>
    <row r="3629" spans="1:21" x14ac:dyDescent="0.2">
      <c r="A3629" s="3">
        <v>3628</v>
      </c>
      <c r="B3629" s="1" t="s">
        <v>4875</v>
      </c>
      <c r="D3629" s="1" t="s">
        <v>4876</v>
      </c>
      <c r="F3629" s="1" t="s">
        <v>4880</v>
      </c>
      <c r="H3629" s="1" t="s">
        <v>4881</v>
      </c>
      <c r="N3629" s="1" t="s">
        <v>2654</v>
      </c>
      <c r="P3629" s="1" t="s">
        <v>12373</v>
      </c>
      <c r="Q3629" s="30" t="s">
        <v>2565</v>
      </c>
      <c r="R3629" s="33" t="s">
        <v>3473</v>
      </c>
      <c r="S3629">
        <v>37</v>
      </c>
      <c r="T3629" s="1" t="s">
        <v>13878</v>
      </c>
      <c r="U3629" s="1" t="str">
        <f>HYPERLINK("http://ictvonline.org/taxonomy/p/taxonomy-history?taxnode_id=202112042","ICTVonline=202112042")</f>
        <v>ICTVonline=202112042</v>
      </c>
    </row>
    <row r="3630" spans="1:21" x14ac:dyDescent="0.2">
      <c r="A3630" s="3">
        <v>3629</v>
      </c>
      <c r="B3630" s="1" t="s">
        <v>4875</v>
      </c>
      <c r="D3630" s="1" t="s">
        <v>4876</v>
      </c>
      <c r="F3630" s="1" t="s">
        <v>4880</v>
      </c>
      <c r="H3630" s="1" t="s">
        <v>4881</v>
      </c>
      <c r="N3630" s="1" t="s">
        <v>2654</v>
      </c>
      <c r="P3630" s="1" t="s">
        <v>12374</v>
      </c>
      <c r="Q3630" s="30" t="s">
        <v>2565</v>
      </c>
      <c r="R3630" s="33" t="s">
        <v>3473</v>
      </c>
      <c r="S3630">
        <v>37</v>
      </c>
      <c r="T3630" s="1" t="s">
        <v>13878</v>
      </c>
      <c r="U3630" s="1" t="str">
        <f>HYPERLINK("http://ictvonline.org/taxonomy/p/taxonomy-history?taxnode_id=202112039","ICTVonline=202112039")</f>
        <v>ICTVonline=202112039</v>
      </c>
    </row>
    <row r="3631" spans="1:21" x14ac:dyDescent="0.2">
      <c r="A3631" s="3">
        <v>3630</v>
      </c>
      <c r="B3631" s="1" t="s">
        <v>4875</v>
      </c>
      <c r="D3631" s="1" t="s">
        <v>4876</v>
      </c>
      <c r="F3631" s="1" t="s">
        <v>4880</v>
      </c>
      <c r="H3631" s="1" t="s">
        <v>4881</v>
      </c>
      <c r="N3631" s="1" t="s">
        <v>2654</v>
      </c>
      <c r="P3631" s="1" t="s">
        <v>12375</v>
      </c>
      <c r="Q3631" s="30" t="s">
        <v>2565</v>
      </c>
      <c r="R3631" s="33" t="s">
        <v>3473</v>
      </c>
      <c r="S3631">
        <v>37</v>
      </c>
      <c r="T3631" s="1" t="s">
        <v>13878</v>
      </c>
      <c r="U3631" s="1" t="str">
        <f>HYPERLINK("http://ictvonline.org/taxonomy/p/taxonomy-history?taxnode_id=202112035","ICTVonline=202112035")</f>
        <v>ICTVonline=202112035</v>
      </c>
    </row>
    <row r="3632" spans="1:21" x14ac:dyDescent="0.2">
      <c r="A3632" s="3">
        <v>3631</v>
      </c>
      <c r="B3632" s="1" t="s">
        <v>4875</v>
      </c>
      <c r="D3632" s="1" t="s">
        <v>4876</v>
      </c>
      <c r="F3632" s="1" t="s">
        <v>4880</v>
      </c>
      <c r="H3632" s="1" t="s">
        <v>4881</v>
      </c>
      <c r="N3632" s="1" t="s">
        <v>2654</v>
      </c>
      <c r="P3632" s="1" t="s">
        <v>12376</v>
      </c>
      <c r="Q3632" s="30" t="s">
        <v>2565</v>
      </c>
      <c r="R3632" s="33" t="s">
        <v>3473</v>
      </c>
      <c r="S3632">
        <v>37</v>
      </c>
      <c r="T3632" s="1" t="s">
        <v>13878</v>
      </c>
      <c r="U3632" s="1" t="str">
        <f>HYPERLINK("http://ictvonline.org/taxonomy/p/taxonomy-history?taxnode_id=202112049","ICTVonline=202112049")</f>
        <v>ICTVonline=202112049</v>
      </c>
    </row>
    <row r="3633" spans="1:21" x14ac:dyDescent="0.2">
      <c r="A3633" s="3">
        <v>3632</v>
      </c>
      <c r="B3633" s="1" t="s">
        <v>4875</v>
      </c>
      <c r="D3633" s="1" t="s">
        <v>4876</v>
      </c>
      <c r="F3633" s="1" t="s">
        <v>4880</v>
      </c>
      <c r="H3633" s="1" t="s">
        <v>4881</v>
      </c>
      <c r="N3633" s="1" t="s">
        <v>2654</v>
      </c>
      <c r="P3633" s="1" t="s">
        <v>12377</v>
      </c>
      <c r="Q3633" s="30" t="s">
        <v>2565</v>
      </c>
      <c r="R3633" s="33" t="s">
        <v>3473</v>
      </c>
      <c r="S3633">
        <v>37</v>
      </c>
      <c r="T3633" s="1" t="s">
        <v>13878</v>
      </c>
      <c r="U3633" s="1" t="str">
        <f>HYPERLINK("http://ictvonline.org/taxonomy/p/taxonomy-history?taxnode_id=202112036","ICTVonline=202112036")</f>
        <v>ICTVonline=202112036</v>
      </c>
    </row>
    <row r="3634" spans="1:21" x14ac:dyDescent="0.2">
      <c r="A3634" s="3">
        <v>3633</v>
      </c>
      <c r="B3634" s="1" t="s">
        <v>4875</v>
      </c>
      <c r="D3634" s="1" t="s">
        <v>4876</v>
      </c>
      <c r="F3634" s="1" t="s">
        <v>4880</v>
      </c>
      <c r="H3634" s="1" t="s">
        <v>4881</v>
      </c>
      <c r="N3634" s="1" t="s">
        <v>2654</v>
      </c>
      <c r="P3634" s="1" t="s">
        <v>12378</v>
      </c>
      <c r="Q3634" s="30" t="s">
        <v>2565</v>
      </c>
      <c r="R3634" s="33" t="s">
        <v>3473</v>
      </c>
      <c r="S3634">
        <v>37</v>
      </c>
      <c r="T3634" s="1" t="s">
        <v>13878</v>
      </c>
      <c r="U3634" s="1" t="str">
        <f>HYPERLINK("http://ictvonline.org/taxonomy/p/taxonomy-history?taxnode_id=202101360","ICTVonline=202101360")</f>
        <v>ICTVonline=202101360</v>
      </c>
    </row>
    <row r="3635" spans="1:21" x14ac:dyDescent="0.2">
      <c r="A3635" s="3">
        <v>3634</v>
      </c>
      <c r="B3635" s="1" t="s">
        <v>4875</v>
      </c>
      <c r="D3635" s="1" t="s">
        <v>4876</v>
      </c>
      <c r="F3635" s="1" t="s">
        <v>4880</v>
      </c>
      <c r="H3635" s="1" t="s">
        <v>4881</v>
      </c>
      <c r="N3635" s="1" t="s">
        <v>2654</v>
      </c>
      <c r="P3635" s="1" t="s">
        <v>12379</v>
      </c>
      <c r="Q3635" s="30" t="s">
        <v>2565</v>
      </c>
      <c r="R3635" s="33" t="s">
        <v>3473</v>
      </c>
      <c r="S3635">
        <v>37</v>
      </c>
      <c r="T3635" s="1" t="s">
        <v>13878</v>
      </c>
      <c r="U3635" s="1" t="str">
        <f>HYPERLINK("http://ictvonline.org/taxonomy/p/taxonomy-history?taxnode_id=202101356","ICTVonline=202101356")</f>
        <v>ICTVonline=202101356</v>
      </c>
    </row>
    <row r="3636" spans="1:21" x14ac:dyDescent="0.2">
      <c r="A3636" s="3">
        <v>3635</v>
      </c>
      <c r="B3636" s="1" t="s">
        <v>4875</v>
      </c>
      <c r="D3636" s="1" t="s">
        <v>4876</v>
      </c>
      <c r="F3636" s="1" t="s">
        <v>4880</v>
      </c>
      <c r="H3636" s="1" t="s">
        <v>4881</v>
      </c>
      <c r="N3636" s="1" t="s">
        <v>2654</v>
      </c>
      <c r="P3636" s="1" t="s">
        <v>12380</v>
      </c>
      <c r="Q3636" s="30" t="s">
        <v>2565</v>
      </c>
      <c r="R3636" s="33" t="s">
        <v>3473</v>
      </c>
      <c r="S3636">
        <v>37</v>
      </c>
      <c r="T3636" s="1" t="s">
        <v>13878</v>
      </c>
      <c r="U3636" s="1" t="str">
        <f>HYPERLINK("http://ictvonline.org/taxonomy/p/taxonomy-history?taxnode_id=202112048","ICTVonline=202112048")</f>
        <v>ICTVonline=202112048</v>
      </c>
    </row>
    <row r="3637" spans="1:21" x14ac:dyDescent="0.2">
      <c r="A3637" s="3">
        <v>3636</v>
      </c>
      <c r="B3637" s="1" t="s">
        <v>4875</v>
      </c>
      <c r="D3637" s="1" t="s">
        <v>4876</v>
      </c>
      <c r="F3637" s="1" t="s">
        <v>4880</v>
      </c>
      <c r="H3637" s="1" t="s">
        <v>4881</v>
      </c>
      <c r="N3637" s="1" t="s">
        <v>2654</v>
      </c>
      <c r="P3637" s="1" t="s">
        <v>12381</v>
      </c>
      <c r="Q3637" s="30" t="s">
        <v>2565</v>
      </c>
      <c r="R3637" s="33" t="s">
        <v>3473</v>
      </c>
      <c r="S3637">
        <v>37</v>
      </c>
      <c r="T3637" s="1" t="s">
        <v>13878</v>
      </c>
      <c r="U3637" s="1" t="str">
        <f>HYPERLINK("http://ictvonline.org/taxonomy/p/taxonomy-history?taxnode_id=202112043","ICTVonline=202112043")</f>
        <v>ICTVonline=202112043</v>
      </c>
    </row>
    <row r="3638" spans="1:21" x14ac:dyDescent="0.2">
      <c r="A3638" s="3">
        <v>3637</v>
      </c>
      <c r="B3638" s="1" t="s">
        <v>4875</v>
      </c>
      <c r="D3638" s="1" t="s">
        <v>4876</v>
      </c>
      <c r="F3638" s="1" t="s">
        <v>4880</v>
      </c>
      <c r="H3638" s="1" t="s">
        <v>4881</v>
      </c>
      <c r="N3638" s="1" t="s">
        <v>2654</v>
      </c>
      <c r="P3638" s="1" t="s">
        <v>12382</v>
      </c>
      <c r="Q3638" s="30" t="s">
        <v>2565</v>
      </c>
      <c r="R3638" s="33" t="s">
        <v>3473</v>
      </c>
      <c r="S3638">
        <v>37</v>
      </c>
      <c r="T3638" s="1" t="s">
        <v>13878</v>
      </c>
      <c r="U3638" s="1" t="str">
        <f>HYPERLINK("http://ictvonline.org/taxonomy/p/taxonomy-history?taxnode_id=202101357","ICTVonline=202101357")</f>
        <v>ICTVonline=202101357</v>
      </c>
    </row>
    <row r="3639" spans="1:21" x14ac:dyDescent="0.2">
      <c r="A3639" s="3">
        <v>3638</v>
      </c>
      <c r="B3639" s="1" t="s">
        <v>4875</v>
      </c>
      <c r="D3639" s="1" t="s">
        <v>4876</v>
      </c>
      <c r="F3639" s="1" t="s">
        <v>4880</v>
      </c>
      <c r="H3639" s="1" t="s">
        <v>4881</v>
      </c>
      <c r="N3639" s="1" t="s">
        <v>2654</v>
      </c>
      <c r="P3639" s="1" t="s">
        <v>12383</v>
      </c>
      <c r="Q3639" s="30" t="s">
        <v>2565</v>
      </c>
      <c r="R3639" s="33" t="s">
        <v>3473</v>
      </c>
      <c r="S3639">
        <v>37</v>
      </c>
      <c r="T3639" s="1" t="s">
        <v>13878</v>
      </c>
      <c r="U3639" s="1" t="str">
        <f>HYPERLINK("http://ictvonline.org/taxonomy/p/taxonomy-history?taxnode_id=202101358","ICTVonline=202101358")</f>
        <v>ICTVonline=202101358</v>
      </c>
    </row>
    <row r="3640" spans="1:21" x14ac:dyDescent="0.2">
      <c r="A3640" s="3">
        <v>3639</v>
      </c>
      <c r="B3640" s="1" t="s">
        <v>4875</v>
      </c>
      <c r="D3640" s="1" t="s">
        <v>4876</v>
      </c>
      <c r="F3640" s="1" t="s">
        <v>4880</v>
      </c>
      <c r="H3640" s="1" t="s">
        <v>4881</v>
      </c>
      <c r="N3640" s="1" t="s">
        <v>3552</v>
      </c>
      <c r="P3640" s="1" t="s">
        <v>12384</v>
      </c>
      <c r="Q3640" s="30" t="s">
        <v>2565</v>
      </c>
      <c r="R3640" s="33" t="s">
        <v>3473</v>
      </c>
      <c r="S3640">
        <v>37</v>
      </c>
      <c r="T3640" s="1" t="s">
        <v>13979</v>
      </c>
      <c r="U3640" s="1" t="str">
        <f>HYPERLINK("http://ictvonline.org/taxonomy/p/taxonomy-history?taxnode_id=202105565","ICTVonline=202105565")</f>
        <v>ICTVonline=202105565</v>
      </c>
    </row>
    <row r="3641" spans="1:21" x14ac:dyDescent="0.2">
      <c r="A3641" s="3">
        <v>3640</v>
      </c>
      <c r="B3641" s="1" t="s">
        <v>4875</v>
      </c>
      <c r="D3641" s="1" t="s">
        <v>4876</v>
      </c>
      <c r="F3641" s="1" t="s">
        <v>4880</v>
      </c>
      <c r="H3641" s="1" t="s">
        <v>4881</v>
      </c>
      <c r="N3641" s="1" t="s">
        <v>3552</v>
      </c>
      <c r="P3641" s="1" t="s">
        <v>12385</v>
      </c>
      <c r="Q3641" s="30" t="s">
        <v>2565</v>
      </c>
      <c r="R3641" s="33" t="s">
        <v>3472</v>
      </c>
      <c r="S3641">
        <v>37</v>
      </c>
      <c r="T3641" s="1" t="s">
        <v>13980</v>
      </c>
      <c r="U3641" s="1" t="str">
        <f>HYPERLINK("http://ictvonline.org/taxonomy/p/taxonomy-history?taxnode_id=202112613","ICTVonline=202112613")</f>
        <v>ICTVonline=202112613</v>
      </c>
    </row>
    <row r="3642" spans="1:21" x14ac:dyDescent="0.2">
      <c r="A3642" s="3">
        <v>3641</v>
      </c>
      <c r="B3642" s="1" t="s">
        <v>4875</v>
      </c>
      <c r="D3642" s="1" t="s">
        <v>4876</v>
      </c>
      <c r="F3642" s="1" t="s">
        <v>4880</v>
      </c>
      <c r="H3642" s="1" t="s">
        <v>4881</v>
      </c>
      <c r="N3642" s="1" t="s">
        <v>4749</v>
      </c>
      <c r="P3642" s="1" t="s">
        <v>12386</v>
      </c>
      <c r="Q3642" s="30" t="s">
        <v>2565</v>
      </c>
      <c r="R3642" s="33" t="s">
        <v>3473</v>
      </c>
      <c r="S3642">
        <v>37</v>
      </c>
      <c r="T3642" s="1" t="s">
        <v>13878</v>
      </c>
      <c r="U3642" s="1" t="str">
        <f>HYPERLINK("http://ictvonline.org/taxonomy/p/taxonomy-history?taxnode_id=202106789","ICTVonline=202106789")</f>
        <v>ICTVonline=202106789</v>
      </c>
    </row>
    <row r="3643" spans="1:21" x14ac:dyDescent="0.2">
      <c r="A3643" s="3">
        <v>3642</v>
      </c>
      <c r="B3643" s="1" t="s">
        <v>4875</v>
      </c>
      <c r="D3643" s="1" t="s">
        <v>4876</v>
      </c>
      <c r="F3643" s="1" t="s">
        <v>4880</v>
      </c>
      <c r="H3643" s="1" t="s">
        <v>4881</v>
      </c>
      <c r="N3643" s="1" t="s">
        <v>5241</v>
      </c>
      <c r="P3643" s="1" t="s">
        <v>12387</v>
      </c>
      <c r="Q3643" s="30" t="s">
        <v>2565</v>
      </c>
      <c r="R3643" s="33" t="s">
        <v>3473</v>
      </c>
      <c r="S3643">
        <v>37</v>
      </c>
      <c r="T3643" s="1" t="s">
        <v>13878</v>
      </c>
      <c r="U3643" s="1" t="str">
        <f>HYPERLINK("http://ictvonline.org/taxonomy/p/taxonomy-history?taxnode_id=202107708","ICTVonline=202107708")</f>
        <v>ICTVonline=202107708</v>
      </c>
    </row>
    <row r="3644" spans="1:21" x14ac:dyDescent="0.2">
      <c r="A3644" s="3">
        <v>3643</v>
      </c>
      <c r="B3644" s="1" t="s">
        <v>4875</v>
      </c>
      <c r="D3644" s="1" t="s">
        <v>4876</v>
      </c>
      <c r="F3644" s="1" t="s">
        <v>4880</v>
      </c>
      <c r="H3644" s="1" t="s">
        <v>4881</v>
      </c>
      <c r="N3644" s="1" t="s">
        <v>6248</v>
      </c>
      <c r="P3644" s="1" t="s">
        <v>12388</v>
      </c>
      <c r="Q3644" s="30" t="s">
        <v>2565</v>
      </c>
      <c r="R3644" s="33" t="s">
        <v>3473</v>
      </c>
      <c r="S3644">
        <v>37</v>
      </c>
      <c r="T3644" s="1" t="s">
        <v>13878</v>
      </c>
      <c r="U3644" s="1" t="str">
        <f>HYPERLINK("http://ictvonline.org/taxonomy/p/taxonomy-history?taxnode_id=202112053","ICTVonline=202112053")</f>
        <v>ICTVonline=202112053</v>
      </c>
    </row>
    <row r="3645" spans="1:21" x14ac:dyDescent="0.2">
      <c r="A3645" s="3">
        <v>3644</v>
      </c>
      <c r="B3645" s="1" t="s">
        <v>4875</v>
      </c>
      <c r="D3645" s="1" t="s">
        <v>4876</v>
      </c>
      <c r="F3645" s="1" t="s">
        <v>4880</v>
      </c>
      <c r="H3645" s="1" t="s">
        <v>4881</v>
      </c>
      <c r="N3645" s="1" t="s">
        <v>12389</v>
      </c>
      <c r="P3645" s="1" t="s">
        <v>12390</v>
      </c>
      <c r="Q3645" s="30" t="s">
        <v>2565</v>
      </c>
      <c r="R3645" s="33" t="s">
        <v>3472</v>
      </c>
      <c r="S3645">
        <v>37</v>
      </c>
      <c r="T3645" s="1" t="s">
        <v>13981</v>
      </c>
      <c r="U3645" s="1" t="str">
        <f>HYPERLINK("http://ictvonline.org/taxonomy/p/taxonomy-history?taxnode_id=202112637","ICTVonline=202112637")</f>
        <v>ICTVonline=202112637</v>
      </c>
    </row>
    <row r="3646" spans="1:21" x14ac:dyDescent="0.2">
      <c r="A3646" s="3">
        <v>3645</v>
      </c>
      <c r="B3646" s="1" t="s">
        <v>4875</v>
      </c>
      <c r="D3646" s="1" t="s">
        <v>4876</v>
      </c>
      <c r="F3646" s="1" t="s">
        <v>4880</v>
      </c>
      <c r="H3646" s="1" t="s">
        <v>4881</v>
      </c>
      <c r="N3646" s="1" t="s">
        <v>12389</v>
      </c>
      <c r="P3646" s="1" t="s">
        <v>12391</v>
      </c>
      <c r="Q3646" s="30" t="s">
        <v>2565</v>
      </c>
      <c r="R3646" s="33" t="s">
        <v>3472</v>
      </c>
      <c r="S3646">
        <v>37</v>
      </c>
      <c r="T3646" s="1" t="s">
        <v>13981</v>
      </c>
      <c r="U3646" s="1" t="str">
        <f>HYPERLINK("http://ictvonline.org/taxonomy/p/taxonomy-history?taxnode_id=202112638","ICTVonline=202112638")</f>
        <v>ICTVonline=202112638</v>
      </c>
    </row>
    <row r="3647" spans="1:21" x14ac:dyDescent="0.2">
      <c r="A3647" s="3">
        <v>3646</v>
      </c>
      <c r="B3647" s="1" t="s">
        <v>4875</v>
      </c>
      <c r="D3647" s="1" t="s">
        <v>4876</v>
      </c>
      <c r="F3647" s="1" t="s">
        <v>4880</v>
      </c>
      <c r="H3647" s="1" t="s">
        <v>4881</v>
      </c>
      <c r="N3647" s="1" t="s">
        <v>12389</v>
      </c>
      <c r="P3647" s="1" t="s">
        <v>12392</v>
      </c>
      <c r="Q3647" s="30" t="s">
        <v>2565</v>
      </c>
      <c r="R3647" s="33" t="s">
        <v>3472</v>
      </c>
      <c r="S3647">
        <v>37</v>
      </c>
      <c r="T3647" s="1" t="s">
        <v>13981</v>
      </c>
      <c r="U3647" s="1" t="str">
        <f>HYPERLINK("http://ictvonline.org/taxonomy/p/taxonomy-history?taxnode_id=202112639","ICTVonline=202112639")</f>
        <v>ICTVonline=202112639</v>
      </c>
    </row>
    <row r="3648" spans="1:21" x14ac:dyDescent="0.2">
      <c r="A3648" s="3">
        <v>3647</v>
      </c>
      <c r="B3648" s="1" t="s">
        <v>4875</v>
      </c>
      <c r="D3648" s="1" t="s">
        <v>4876</v>
      </c>
      <c r="F3648" s="1" t="s">
        <v>4880</v>
      </c>
      <c r="H3648" s="1" t="s">
        <v>4881</v>
      </c>
      <c r="N3648" s="1" t="s">
        <v>12389</v>
      </c>
      <c r="P3648" s="1" t="s">
        <v>12393</v>
      </c>
      <c r="Q3648" s="30" t="s">
        <v>2565</v>
      </c>
      <c r="R3648" s="33" t="s">
        <v>3472</v>
      </c>
      <c r="S3648">
        <v>37</v>
      </c>
      <c r="T3648" s="1" t="s">
        <v>13981</v>
      </c>
      <c r="U3648" s="1" t="str">
        <f>HYPERLINK("http://ictvonline.org/taxonomy/p/taxonomy-history?taxnode_id=202112640","ICTVonline=202112640")</f>
        <v>ICTVonline=202112640</v>
      </c>
    </row>
    <row r="3649" spans="1:21" x14ac:dyDescent="0.2">
      <c r="A3649" s="3">
        <v>3648</v>
      </c>
      <c r="B3649" s="1" t="s">
        <v>4875</v>
      </c>
      <c r="D3649" s="1" t="s">
        <v>4876</v>
      </c>
      <c r="F3649" s="1" t="s">
        <v>4880</v>
      </c>
      <c r="H3649" s="1" t="s">
        <v>4881</v>
      </c>
      <c r="N3649" s="1" t="s">
        <v>12389</v>
      </c>
      <c r="P3649" s="1" t="s">
        <v>12394</v>
      </c>
      <c r="Q3649" s="30" t="s">
        <v>2565</v>
      </c>
      <c r="R3649" s="33" t="s">
        <v>3472</v>
      </c>
      <c r="S3649">
        <v>37</v>
      </c>
      <c r="T3649" s="1" t="s">
        <v>13981</v>
      </c>
      <c r="U3649" s="1" t="str">
        <f>HYPERLINK("http://ictvonline.org/taxonomy/p/taxonomy-history?taxnode_id=202112641","ICTVonline=202112641")</f>
        <v>ICTVonline=202112641</v>
      </c>
    </row>
    <row r="3650" spans="1:21" x14ac:dyDescent="0.2">
      <c r="A3650" s="3">
        <v>3649</v>
      </c>
      <c r="B3650" s="1" t="s">
        <v>4875</v>
      </c>
      <c r="D3650" s="1" t="s">
        <v>4876</v>
      </c>
      <c r="F3650" s="1" t="s">
        <v>4880</v>
      </c>
      <c r="H3650" s="1" t="s">
        <v>4881</v>
      </c>
      <c r="N3650" s="1" t="s">
        <v>12389</v>
      </c>
      <c r="P3650" s="1" t="s">
        <v>12395</v>
      </c>
      <c r="Q3650" s="30" t="s">
        <v>2565</v>
      </c>
      <c r="R3650" s="33" t="s">
        <v>3472</v>
      </c>
      <c r="S3650">
        <v>37</v>
      </c>
      <c r="T3650" s="1" t="s">
        <v>13981</v>
      </c>
      <c r="U3650" s="1" t="str">
        <f>HYPERLINK("http://ictvonline.org/taxonomy/p/taxonomy-history?taxnode_id=202112642","ICTVonline=202112642")</f>
        <v>ICTVonline=202112642</v>
      </c>
    </row>
    <row r="3651" spans="1:21" x14ac:dyDescent="0.2">
      <c r="A3651" s="3">
        <v>3650</v>
      </c>
      <c r="B3651" s="1" t="s">
        <v>4875</v>
      </c>
      <c r="D3651" s="1" t="s">
        <v>4876</v>
      </c>
      <c r="F3651" s="1" t="s">
        <v>4880</v>
      </c>
      <c r="H3651" s="1" t="s">
        <v>4881</v>
      </c>
      <c r="N3651" s="1" t="s">
        <v>12389</v>
      </c>
      <c r="P3651" s="1" t="s">
        <v>12396</v>
      </c>
      <c r="Q3651" s="30" t="s">
        <v>2565</v>
      </c>
      <c r="R3651" s="33" t="s">
        <v>3472</v>
      </c>
      <c r="S3651">
        <v>37</v>
      </c>
      <c r="T3651" s="1" t="s">
        <v>13981</v>
      </c>
      <c r="U3651" s="1" t="str">
        <f>HYPERLINK("http://ictvonline.org/taxonomy/p/taxonomy-history?taxnode_id=202112643","ICTVonline=202112643")</f>
        <v>ICTVonline=202112643</v>
      </c>
    </row>
    <row r="3652" spans="1:21" x14ac:dyDescent="0.2">
      <c r="A3652" s="3">
        <v>3651</v>
      </c>
      <c r="B3652" s="1" t="s">
        <v>4875</v>
      </c>
      <c r="D3652" s="1" t="s">
        <v>4876</v>
      </c>
      <c r="F3652" s="1" t="s">
        <v>4880</v>
      </c>
      <c r="H3652" s="1" t="s">
        <v>4881</v>
      </c>
      <c r="N3652" s="1" t="s">
        <v>12389</v>
      </c>
      <c r="P3652" s="1" t="s">
        <v>12397</v>
      </c>
      <c r="Q3652" s="30" t="s">
        <v>2565</v>
      </c>
      <c r="R3652" s="33" t="s">
        <v>3472</v>
      </c>
      <c r="S3652">
        <v>37</v>
      </c>
      <c r="T3652" s="1" t="s">
        <v>13981</v>
      </c>
      <c r="U3652" s="1" t="str">
        <f>HYPERLINK("http://ictvonline.org/taxonomy/p/taxonomy-history?taxnode_id=202112644","ICTVonline=202112644")</f>
        <v>ICTVonline=202112644</v>
      </c>
    </row>
    <row r="3653" spans="1:21" x14ac:dyDescent="0.2">
      <c r="A3653" s="3">
        <v>3652</v>
      </c>
      <c r="B3653" s="1" t="s">
        <v>4875</v>
      </c>
      <c r="D3653" s="1" t="s">
        <v>4876</v>
      </c>
      <c r="F3653" s="1" t="s">
        <v>4880</v>
      </c>
      <c r="H3653" s="1" t="s">
        <v>4881</v>
      </c>
      <c r="N3653" s="1" t="s">
        <v>12389</v>
      </c>
      <c r="P3653" s="1" t="s">
        <v>12398</v>
      </c>
      <c r="Q3653" s="30" t="s">
        <v>2565</v>
      </c>
      <c r="R3653" s="33" t="s">
        <v>3472</v>
      </c>
      <c r="S3653">
        <v>37</v>
      </c>
      <c r="T3653" s="1" t="s">
        <v>13981</v>
      </c>
      <c r="U3653" s="1" t="str">
        <f>HYPERLINK("http://ictvonline.org/taxonomy/p/taxonomy-history?taxnode_id=202112645","ICTVonline=202112645")</f>
        <v>ICTVonline=202112645</v>
      </c>
    </row>
    <row r="3654" spans="1:21" x14ac:dyDescent="0.2">
      <c r="A3654" s="3">
        <v>3653</v>
      </c>
      <c r="B3654" s="1" t="s">
        <v>4875</v>
      </c>
      <c r="D3654" s="1" t="s">
        <v>4876</v>
      </c>
      <c r="F3654" s="1" t="s">
        <v>4880</v>
      </c>
      <c r="H3654" s="1" t="s">
        <v>4881</v>
      </c>
      <c r="N3654" s="1" t="s">
        <v>12389</v>
      </c>
      <c r="P3654" s="1" t="s">
        <v>12399</v>
      </c>
      <c r="Q3654" s="30" t="s">
        <v>2565</v>
      </c>
      <c r="R3654" s="33" t="s">
        <v>3472</v>
      </c>
      <c r="S3654">
        <v>37</v>
      </c>
      <c r="T3654" s="1" t="s">
        <v>13981</v>
      </c>
      <c r="U3654" s="1" t="str">
        <f>HYPERLINK("http://ictvonline.org/taxonomy/p/taxonomy-history?taxnode_id=202112646","ICTVonline=202112646")</f>
        <v>ICTVonline=202112646</v>
      </c>
    </row>
    <row r="3655" spans="1:21" x14ac:dyDescent="0.2">
      <c r="A3655" s="3">
        <v>3654</v>
      </c>
      <c r="B3655" s="1" t="s">
        <v>4875</v>
      </c>
      <c r="D3655" s="1" t="s">
        <v>4876</v>
      </c>
      <c r="F3655" s="1" t="s">
        <v>4880</v>
      </c>
      <c r="H3655" s="1" t="s">
        <v>4881</v>
      </c>
      <c r="N3655" s="1" t="s">
        <v>12389</v>
      </c>
      <c r="P3655" s="1" t="s">
        <v>12400</v>
      </c>
      <c r="Q3655" s="30" t="s">
        <v>2565</v>
      </c>
      <c r="R3655" s="33" t="s">
        <v>3472</v>
      </c>
      <c r="S3655">
        <v>37</v>
      </c>
      <c r="T3655" s="1" t="s">
        <v>13981</v>
      </c>
      <c r="U3655" s="1" t="str">
        <f>HYPERLINK("http://ictvonline.org/taxonomy/p/taxonomy-history?taxnode_id=202112647","ICTVonline=202112647")</f>
        <v>ICTVonline=202112647</v>
      </c>
    </row>
    <row r="3656" spans="1:21" x14ac:dyDescent="0.2">
      <c r="A3656" s="3">
        <v>3655</v>
      </c>
      <c r="B3656" s="1" t="s">
        <v>4875</v>
      </c>
      <c r="D3656" s="1" t="s">
        <v>4876</v>
      </c>
      <c r="F3656" s="1" t="s">
        <v>4880</v>
      </c>
      <c r="H3656" s="1" t="s">
        <v>4881</v>
      </c>
      <c r="N3656" s="1" t="s">
        <v>12389</v>
      </c>
      <c r="P3656" s="1" t="s">
        <v>12401</v>
      </c>
      <c r="Q3656" s="30" t="s">
        <v>2565</v>
      </c>
      <c r="R3656" s="33" t="s">
        <v>3472</v>
      </c>
      <c r="S3656">
        <v>37</v>
      </c>
      <c r="T3656" s="1" t="s">
        <v>13981</v>
      </c>
      <c r="U3656" s="1" t="str">
        <f>HYPERLINK("http://ictvonline.org/taxonomy/p/taxonomy-history?taxnode_id=202112648","ICTVonline=202112648")</f>
        <v>ICTVonline=202112648</v>
      </c>
    </row>
    <row r="3657" spans="1:21" x14ac:dyDescent="0.2">
      <c r="A3657" s="3">
        <v>3656</v>
      </c>
      <c r="B3657" s="1" t="s">
        <v>4875</v>
      </c>
      <c r="D3657" s="1" t="s">
        <v>4876</v>
      </c>
      <c r="F3657" s="1" t="s">
        <v>4880</v>
      </c>
      <c r="H3657" s="1" t="s">
        <v>4881</v>
      </c>
      <c r="N3657" s="1" t="s">
        <v>12389</v>
      </c>
      <c r="P3657" s="1" t="s">
        <v>12402</v>
      </c>
      <c r="Q3657" s="30" t="s">
        <v>2565</v>
      </c>
      <c r="R3657" s="33" t="s">
        <v>3473</v>
      </c>
      <c r="S3657">
        <v>37</v>
      </c>
      <c r="T3657" s="1" t="s">
        <v>13981</v>
      </c>
      <c r="U3657" s="1" t="str">
        <f>HYPERLINK("http://ictvonline.org/taxonomy/p/taxonomy-history?taxnode_id=202101064","ICTVonline=202101064")</f>
        <v>ICTVonline=202101064</v>
      </c>
    </row>
    <row r="3658" spans="1:21" x14ac:dyDescent="0.2">
      <c r="A3658" s="3">
        <v>3657</v>
      </c>
      <c r="B3658" s="1" t="s">
        <v>4875</v>
      </c>
      <c r="D3658" s="1" t="s">
        <v>4876</v>
      </c>
      <c r="F3658" s="1" t="s">
        <v>4880</v>
      </c>
      <c r="H3658" s="1" t="s">
        <v>4881</v>
      </c>
      <c r="N3658" s="1" t="s">
        <v>12403</v>
      </c>
      <c r="P3658" s="1" t="s">
        <v>12404</v>
      </c>
      <c r="Q3658" s="30" t="s">
        <v>2565</v>
      </c>
      <c r="R3658" s="33" t="s">
        <v>3472</v>
      </c>
      <c r="S3658">
        <v>37</v>
      </c>
      <c r="T3658" s="1" t="s">
        <v>13982</v>
      </c>
      <c r="U3658" s="1" t="str">
        <f>HYPERLINK("http://ictvonline.org/taxonomy/p/taxonomy-history?taxnode_id=202112650","ICTVonline=202112650")</f>
        <v>ICTVonline=202112650</v>
      </c>
    </row>
    <row r="3659" spans="1:21" x14ac:dyDescent="0.2">
      <c r="A3659" s="3">
        <v>3658</v>
      </c>
      <c r="B3659" s="1" t="s">
        <v>4875</v>
      </c>
      <c r="D3659" s="1" t="s">
        <v>4876</v>
      </c>
      <c r="F3659" s="1" t="s">
        <v>4880</v>
      </c>
      <c r="H3659" s="1" t="s">
        <v>4881</v>
      </c>
      <c r="N3659" s="1" t="s">
        <v>4623</v>
      </c>
      <c r="P3659" s="1" t="s">
        <v>12405</v>
      </c>
      <c r="Q3659" s="30" t="s">
        <v>2565</v>
      </c>
      <c r="R3659" s="33" t="s">
        <v>3473</v>
      </c>
      <c r="S3659">
        <v>37</v>
      </c>
      <c r="T3659" s="1" t="s">
        <v>13878</v>
      </c>
      <c r="U3659" s="1" t="str">
        <f>HYPERLINK("http://ictvonline.org/taxonomy/p/taxonomy-history?taxnode_id=202100637","ICTVonline=202100637")</f>
        <v>ICTVonline=202100637</v>
      </c>
    </row>
    <row r="3660" spans="1:21" x14ac:dyDescent="0.2">
      <c r="A3660" s="3">
        <v>3659</v>
      </c>
      <c r="B3660" s="1" t="s">
        <v>4875</v>
      </c>
      <c r="D3660" s="1" t="s">
        <v>4876</v>
      </c>
      <c r="F3660" s="1" t="s">
        <v>4880</v>
      </c>
      <c r="H3660" s="1" t="s">
        <v>4881</v>
      </c>
      <c r="N3660" s="1" t="s">
        <v>4623</v>
      </c>
      <c r="P3660" s="1" t="s">
        <v>12406</v>
      </c>
      <c r="Q3660" s="30" t="s">
        <v>2565</v>
      </c>
      <c r="R3660" s="33" t="s">
        <v>3473</v>
      </c>
      <c r="S3660">
        <v>37</v>
      </c>
      <c r="T3660" s="1" t="s">
        <v>13878</v>
      </c>
      <c r="U3660" s="1" t="str">
        <f>HYPERLINK("http://ictvonline.org/taxonomy/p/taxonomy-history?taxnode_id=202100636","ICTVonline=202100636")</f>
        <v>ICTVonline=202100636</v>
      </c>
    </row>
    <row r="3661" spans="1:21" x14ac:dyDescent="0.2">
      <c r="A3661" s="3">
        <v>3660</v>
      </c>
      <c r="B3661" s="1" t="s">
        <v>4875</v>
      </c>
      <c r="D3661" s="1" t="s">
        <v>4876</v>
      </c>
      <c r="F3661" s="1" t="s">
        <v>4880</v>
      </c>
      <c r="H3661" s="1" t="s">
        <v>4881</v>
      </c>
      <c r="N3661" s="1" t="s">
        <v>4623</v>
      </c>
      <c r="P3661" s="1" t="s">
        <v>12407</v>
      </c>
      <c r="Q3661" s="30" t="s">
        <v>2565</v>
      </c>
      <c r="R3661" s="33" t="s">
        <v>3473</v>
      </c>
      <c r="S3661">
        <v>37</v>
      </c>
      <c r="T3661" s="1" t="s">
        <v>13878</v>
      </c>
      <c r="U3661" s="1" t="str">
        <f>HYPERLINK("http://ictvonline.org/taxonomy/p/taxonomy-history?taxnode_id=202100638","ICTVonline=202100638")</f>
        <v>ICTVonline=202100638</v>
      </c>
    </row>
    <row r="3662" spans="1:21" x14ac:dyDescent="0.2">
      <c r="A3662" s="3">
        <v>3661</v>
      </c>
      <c r="B3662" s="1" t="s">
        <v>4875</v>
      </c>
      <c r="D3662" s="1" t="s">
        <v>4876</v>
      </c>
      <c r="F3662" s="1" t="s">
        <v>4880</v>
      </c>
      <c r="H3662" s="1" t="s">
        <v>4881</v>
      </c>
      <c r="N3662" s="1" t="s">
        <v>6249</v>
      </c>
      <c r="P3662" s="1" t="s">
        <v>12408</v>
      </c>
      <c r="Q3662" s="30" t="s">
        <v>2565</v>
      </c>
      <c r="R3662" s="33" t="s">
        <v>3473</v>
      </c>
      <c r="S3662">
        <v>37</v>
      </c>
      <c r="T3662" s="1" t="s">
        <v>13878</v>
      </c>
      <c r="U3662" s="1" t="str">
        <f>HYPERLINK("http://ictvonline.org/taxonomy/p/taxonomy-history?taxnode_id=202112078","ICTVonline=202112078")</f>
        <v>ICTVonline=202112078</v>
      </c>
    </row>
    <row r="3663" spans="1:21" x14ac:dyDescent="0.2">
      <c r="A3663" s="3">
        <v>3662</v>
      </c>
      <c r="B3663" s="1" t="s">
        <v>4875</v>
      </c>
      <c r="D3663" s="1" t="s">
        <v>4876</v>
      </c>
      <c r="F3663" s="1" t="s">
        <v>4880</v>
      </c>
      <c r="H3663" s="1" t="s">
        <v>4881</v>
      </c>
      <c r="N3663" s="1" t="s">
        <v>5242</v>
      </c>
      <c r="P3663" s="1" t="s">
        <v>12409</v>
      </c>
      <c r="Q3663" s="30" t="s">
        <v>2565</v>
      </c>
      <c r="R3663" s="33" t="s">
        <v>3473</v>
      </c>
      <c r="S3663">
        <v>37</v>
      </c>
      <c r="T3663" s="1" t="s">
        <v>13878</v>
      </c>
      <c r="U3663" s="1" t="str">
        <f>HYPERLINK("http://ictvonline.org/taxonomy/p/taxonomy-history?taxnode_id=202108191","ICTVonline=202108191")</f>
        <v>ICTVonline=202108191</v>
      </c>
    </row>
    <row r="3664" spans="1:21" x14ac:dyDescent="0.2">
      <c r="A3664" s="3">
        <v>3663</v>
      </c>
      <c r="B3664" s="1" t="s">
        <v>4875</v>
      </c>
      <c r="D3664" s="1" t="s">
        <v>4876</v>
      </c>
      <c r="F3664" s="1" t="s">
        <v>4880</v>
      </c>
      <c r="H3664" s="1" t="s">
        <v>4881</v>
      </c>
      <c r="N3664" s="1" t="s">
        <v>5242</v>
      </c>
      <c r="P3664" s="1" t="s">
        <v>12410</v>
      </c>
      <c r="Q3664" s="30" t="s">
        <v>2565</v>
      </c>
      <c r="R3664" s="33" t="s">
        <v>3473</v>
      </c>
      <c r="S3664">
        <v>37</v>
      </c>
      <c r="T3664" s="1" t="s">
        <v>13878</v>
      </c>
      <c r="U3664" s="1" t="str">
        <f>HYPERLINK("http://ictvonline.org/taxonomy/p/taxonomy-history?taxnode_id=202108190","ICTVonline=202108190")</f>
        <v>ICTVonline=202108190</v>
      </c>
    </row>
    <row r="3665" spans="1:21" x14ac:dyDescent="0.2">
      <c r="A3665" s="3">
        <v>3664</v>
      </c>
      <c r="B3665" s="1" t="s">
        <v>4875</v>
      </c>
      <c r="D3665" s="1" t="s">
        <v>4876</v>
      </c>
      <c r="F3665" s="1" t="s">
        <v>4880</v>
      </c>
      <c r="H3665" s="1" t="s">
        <v>4881</v>
      </c>
      <c r="N3665" s="1" t="s">
        <v>6250</v>
      </c>
      <c r="P3665" s="1" t="s">
        <v>12411</v>
      </c>
      <c r="Q3665" s="30" t="s">
        <v>2565</v>
      </c>
      <c r="R3665" s="33" t="s">
        <v>3473</v>
      </c>
      <c r="S3665">
        <v>37</v>
      </c>
      <c r="T3665" s="1" t="s">
        <v>13878</v>
      </c>
      <c r="U3665" s="1" t="str">
        <f>HYPERLINK("http://ictvonline.org/taxonomy/p/taxonomy-history?taxnode_id=202112082","ICTVonline=202112082")</f>
        <v>ICTVonline=202112082</v>
      </c>
    </row>
    <row r="3666" spans="1:21" x14ac:dyDescent="0.2">
      <c r="A3666" s="3">
        <v>3665</v>
      </c>
      <c r="B3666" s="1" t="s">
        <v>4875</v>
      </c>
      <c r="D3666" s="1" t="s">
        <v>4876</v>
      </c>
      <c r="F3666" s="1" t="s">
        <v>4880</v>
      </c>
      <c r="H3666" s="1" t="s">
        <v>4881</v>
      </c>
      <c r="N3666" s="1" t="s">
        <v>6250</v>
      </c>
      <c r="P3666" s="1" t="s">
        <v>12412</v>
      </c>
      <c r="Q3666" s="30" t="s">
        <v>2565</v>
      </c>
      <c r="R3666" s="33" t="s">
        <v>3473</v>
      </c>
      <c r="S3666">
        <v>37</v>
      </c>
      <c r="T3666" s="1" t="s">
        <v>13878</v>
      </c>
      <c r="U3666" s="1" t="str">
        <f>HYPERLINK("http://ictvonline.org/taxonomy/p/taxonomy-history?taxnode_id=202112084","ICTVonline=202112084")</f>
        <v>ICTVonline=202112084</v>
      </c>
    </row>
    <row r="3667" spans="1:21" x14ac:dyDescent="0.2">
      <c r="A3667" s="3">
        <v>3666</v>
      </c>
      <c r="B3667" s="1" t="s">
        <v>4875</v>
      </c>
      <c r="D3667" s="1" t="s">
        <v>4876</v>
      </c>
      <c r="F3667" s="1" t="s">
        <v>4880</v>
      </c>
      <c r="H3667" s="1" t="s">
        <v>4881</v>
      </c>
      <c r="N3667" s="1" t="s">
        <v>6250</v>
      </c>
      <c r="P3667" s="1" t="s">
        <v>12413</v>
      </c>
      <c r="Q3667" s="30" t="s">
        <v>2565</v>
      </c>
      <c r="R3667" s="33" t="s">
        <v>3473</v>
      </c>
      <c r="S3667">
        <v>37</v>
      </c>
      <c r="T3667" s="1" t="s">
        <v>13878</v>
      </c>
      <c r="U3667" s="1" t="str">
        <f>HYPERLINK("http://ictvonline.org/taxonomy/p/taxonomy-history?taxnode_id=202112080","ICTVonline=202112080")</f>
        <v>ICTVonline=202112080</v>
      </c>
    </row>
    <row r="3668" spans="1:21" x14ac:dyDescent="0.2">
      <c r="A3668" s="3">
        <v>3667</v>
      </c>
      <c r="B3668" s="1" t="s">
        <v>4875</v>
      </c>
      <c r="D3668" s="1" t="s">
        <v>4876</v>
      </c>
      <c r="F3668" s="1" t="s">
        <v>4880</v>
      </c>
      <c r="H3668" s="1" t="s">
        <v>4881</v>
      </c>
      <c r="N3668" s="1" t="s">
        <v>6250</v>
      </c>
      <c r="P3668" s="1" t="s">
        <v>12414</v>
      </c>
      <c r="Q3668" s="30" t="s">
        <v>2565</v>
      </c>
      <c r="R3668" s="33" t="s">
        <v>3473</v>
      </c>
      <c r="S3668">
        <v>37</v>
      </c>
      <c r="T3668" s="1" t="s">
        <v>13878</v>
      </c>
      <c r="U3668" s="1" t="str">
        <f>HYPERLINK("http://ictvonline.org/taxonomy/p/taxonomy-history?taxnode_id=202112081","ICTVonline=202112081")</f>
        <v>ICTVonline=202112081</v>
      </c>
    </row>
    <row r="3669" spans="1:21" x14ac:dyDescent="0.2">
      <c r="A3669" s="3">
        <v>3668</v>
      </c>
      <c r="B3669" s="1" t="s">
        <v>4875</v>
      </c>
      <c r="D3669" s="1" t="s">
        <v>4876</v>
      </c>
      <c r="F3669" s="1" t="s">
        <v>4880</v>
      </c>
      <c r="H3669" s="1" t="s">
        <v>4881</v>
      </c>
      <c r="N3669" s="1" t="s">
        <v>6250</v>
      </c>
      <c r="P3669" s="1" t="s">
        <v>12415</v>
      </c>
      <c r="Q3669" s="30" t="s">
        <v>2565</v>
      </c>
      <c r="R3669" s="33" t="s">
        <v>3473</v>
      </c>
      <c r="S3669">
        <v>37</v>
      </c>
      <c r="T3669" s="1" t="s">
        <v>13878</v>
      </c>
      <c r="U3669" s="1" t="str">
        <f>HYPERLINK("http://ictvonline.org/taxonomy/p/taxonomy-history?taxnode_id=202112083","ICTVonline=202112083")</f>
        <v>ICTVonline=202112083</v>
      </c>
    </row>
    <row r="3670" spans="1:21" x14ac:dyDescent="0.2">
      <c r="A3670" s="3">
        <v>3669</v>
      </c>
      <c r="B3670" s="1" t="s">
        <v>4875</v>
      </c>
      <c r="D3670" s="1" t="s">
        <v>4876</v>
      </c>
      <c r="F3670" s="1" t="s">
        <v>4880</v>
      </c>
      <c r="H3670" s="1" t="s">
        <v>4881</v>
      </c>
      <c r="N3670" s="1" t="s">
        <v>12416</v>
      </c>
      <c r="P3670" s="1" t="s">
        <v>12417</v>
      </c>
      <c r="Q3670" s="30" t="s">
        <v>2565</v>
      </c>
      <c r="R3670" s="33" t="s">
        <v>3472</v>
      </c>
      <c r="S3670">
        <v>37</v>
      </c>
      <c r="T3670" s="1" t="s">
        <v>13983</v>
      </c>
      <c r="U3670" s="1" t="str">
        <f>HYPERLINK("http://ictvonline.org/taxonomy/p/taxonomy-history?taxnode_id=202112656","ICTVonline=202112656")</f>
        <v>ICTVonline=202112656</v>
      </c>
    </row>
    <row r="3671" spans="1:21" x14ac:dyDescent="0.2">
      <c r="A3671" s="3">
        <v>3670</v>
      </c>
      <c r="B3671" s="1" t="s">
        <v>4875</v>
      </c>
      <c r="D3671" s="1" t="s">
        <v>4876</v>
      </c>
      <c r="F3671" s="1" t="s">
        <v>4880</v>
      </c>
      <c r="H3671" s="1" t="s">
        <v>4881</v>
      </c>
      <c r="N3671" s="1" t="s">
        <v>12416</v>
      </c>
      <c r="P3671" s="1" t="s">
        <v>12418</v>
      </c>
      <c r="Q3671" s="30" t="s">
        <v>2565</v>
      </c>
      <c r="R3671" s="33" t="s">
        <v>3472</v>
      </c>
      <c r="S3671">
        <v>37</v>
      </c>
      <c r="T3671" s="1" t="s">
        <v>13983</v>
      </c>
      <c r="U3671" s="1" t="str">
        <f>HYPERLINK("http://ictvonline.org/taxonomy/p/taxonomy-history?taxnode_id=202112654","ICTVonline=202112654")</f>
        <v>ICTVonline=202112654</v>
      </c>
    </row>
    <row r="3672" spans="1:21" x14ac:dyDescent="0.2">
      <c r="A3672" s="3">
        <v>3671</v>
      </c>
      <c r="B3672" s="1" t="s">
        <v>4875</v>
      </c>
      <c r="D3672" s="1" t="s">
        <v>4876</v>
      </c>
      <c r="F3672" s="1" t="s">
        <v>4880</v>
      </c>
      <c r="H3672" s="1" t="s">
        <v>4881</v>
      </c>
      <c r="N3672" s="1" t="s">
        <v>12416</v>
      </c>
      <c r="P3672" s="1" t="s">
        <v>12419</v>
      </c>
      <c r="Q3672" s="30" t="s">
        <v>2565</v>
      </c>
      <c r="R3672" s="33" t="s">
        <v>3473</v>
      </c>
      <c r="S3672">
        <v>37</v>
      </c>
      <c r="T3672" s="1" t="s">
        <v>13983</v>
      </c>
      <c r="U3672" s="1" t="str">
        <f>HYPERLINK("http://ictvonline.org/taxonomy/p/taxonomy-history?taxnode_id=202101030","ICTVonline=202101030")</f>
        <v>ICTVonline=202101030</v>
      </c>
    </row>
    <row r="3673" spans="1:21" x14ac:dyDescent="0.2">
      <c r="A3673" s="3">
        <v>3672</v>
      </c>
      <c r="B3673" s="1" t="s">
        <v>4875</v>
      </c>
      <c r="D3673" s="1" t="s">
        <v>4876</v>
      </c>
      <c r="F3673" s="1" t="s">
        <v>4880</v>
      </c>
      <c r="H3673" s="1" t="s">
        <v>4881</v>
      </c>
      <c r="N3673" s="1" t="s">
        <v>12416</v>
      </c>
      <c r="P3673" s="1" t="s">
        <v>12420</v>
      </c>
      <c r="Q3673" s="30" t="s">
        <v>2565</v>
      </c>
      <c r="R3673" s="33" t="s">
        <v>3472</v>
      </c>
      <c r="S3673">
        <v>37</v>
      </c>
      <c r="T3673" s="1" t="s">
        <v>13983</v>
      </c>
      <c r="U3673" s="1" t="str">
        <f>HYPERLINK("http://ictvonline.org/taxonomy/p/taxonomy-history?taxnode_id=202112655","ICTVonline=202112655")</f>
        <v>ICTVonline=202112655</v>
      </c>
    </row>
    <row r="3674" spans="1:21" x14ac:dyDescent="0.2">
      <c r="A3674" s="3">
        <v>3673</v>
      </c>
      <c r="B3674" s="1" t="s">
        <v>4875</v>
      </c>
      <c r="D3674" s="1" t="s">
        <v>4876</v>
      </c>
      <c r="F3674" s="1" t="s">
        <v>4880</v>
      </c>
      <c r="H3674" s="1" t="s">
        <v>4881</v>
      </c>
      <c r="N3674" s="1" t="s">
        <v>12416</v>
      </c>
      <c r="P3674" s="1" t="s">
        <v>12421</v>
      </c>
      <c r="Q3674" s="30" t="s">
        <v>2565</v>
      </c>
      <c r="R3674" s="33" t="s">
        <v>3472</v>
      </c>
      <c r="S3674">
        <v>37</v>
      </c>
      <c r="T3674" s="1" t="s">
        <v>13983</v>
      </c>
      <c r="U3674" s="1" t="str">
        <f>HYPERLINK("http://ictvonline.org/taxonomy/p/taxonomy-history?taxnode_id=202112653","ICTVonline=202112653")</f>
        <v>ICTVonline=202112653</v>
      </c>
    </row>
    <row r="3675" spans="1:21" x14ac:dyDescent="0.2">
      <c r="A3675" s="3">
        <v>3674</v>
      </c>
      <c r="B3675" s="1" t="s">
        <v>4875</v>
      </c>
      <c r="D3675" s="1" t="s">
        <v>4876</v>
      </c>
      <c r="F3675" s="1" t="s">
        <v>4880</v>
      </c>
      <c r="H3675" s="1" t="s">
        <v>4881</v>
      </c>
      <c r="N3675" s="1" t="s">
        <v>12416</v>
      </c>
      <c r="P3675" s="1" t="s">
        <v>12422</v>
      </c>
      <c r="Q3675" s="30" t="s">
        <v>2565</v>
      </c>
      <c r="R3675" s="33" t="s">
        <v>3472</v>
      </c>
      <c r="S3675">
        <v>37</v>
      </c>
      <c r="T3675" s="1" t="s">
        <v>13983</v>
      </c>
      <c r="U3675" s="1" t="str">
        <f>HYPERLINK("http://ictvonline.org/taxonomy/p/taxonomy-history?taxnode_id=202112657","ICTVonline=202112657")</f>
        <v>ICTVonline=202112657</v>
      </c>
    </row>
    <row r="3676" spans="1:21" x14ac:dyDescent="0.2">
      <c r="A3676" s="3">
        <v>3675</v>
      </c>
      <c r="B3676" s="1" t="s">
        <v>4875</v>
      </c>
      <c r="D3676" s="1" t="s">
        <v>4876</v>
      </c>
      <c r="F3676" s="1" t="s">
        <v>4880</v>
      </c>
      <c r="H3676" s="1" t="s">
        <v>4881</v>
      </c>
      <c r="N3676" s="1" t="s">
        <v>12416</v>
      </c>
      <c r="P3676" s="1" t="s">
        <v>12423</v>
      </c>
      <c r="Q3676" s="30" t="s">
        <v>2565</v>
      </c>
      <c r="R3676" s="33" t="s">
        <v>3473</v>
      </c>
      <c r="S3676">
        <v>37</v>
      </c>
      <c r="T3676" s="1" t="s">
        <v>13983</v>
      </c>
      <c r="U3676" s="1" t="str">
        <f>HYPERLINK("http://ictvonline.org/taxonomy/p/taxonomy-history?taxnode_id=202101054","ICTVonline=202101054")</f>
        <v>ICTVonline=202101054</v>
      </c>
    </row>
    <row r="3677" spans="1:21" x14ac:dyDescent="0.2">
      <c r="A3677" s="3">
        <v>3676</v>
      </c>
      <c r="B3677" s="1" t="s">
        <v>4875</v>
      </c>
      <c r="D3677" s="1" t="s">
        <v>4876</v>
      </c>
      <c r="F3677" s="1" t="s">
        <v>4880</v>
      </c>
      <c r="H3677" s="1" t="s">
        <v>4881</v>
      </c>
      <c r="N3677" s="1" t="s">
        <v>12416</v>
      </c>
      <c r="P3677" s="1" t="s">
        <v>12424</v>
      </c>
      <c r="Q3677" s="30" t="s">
        <v>2565</v>
      </c>
      <c r="R3677" s="33" t="s">
        <v>3472</v>
      </c>
      <c r="S3677">
        <v>37</v>
      </c>
      <c r="T3677" s="1" t="s">
        <v>13983</v>
      </c>
      <c r="U3677" s="1" t="str">
        <f>HYPERLINK("http://ictvonline.org/taxonomy/p/taxonomy-history?taxnode_id=202112652","ICTVonline=202112652")</f>
        <v>ICTVonline=202112652</v>
      </c>
    </row>
    <row r="3678" spans="1:21" x14ac:dyDescent="0.2">
      <c r="A3678" s="3">
        <v>3677</v>
      </c>
      <c r="B3678" s="1" t="s">
        <v>4875</v>
      </c>
      <c r="D3678" s="1" t="s">
        <v>4876</v>
      </c>
      <c r="F3678" s="1" t="s">
        <v>4880</v>
      </c>
      <c r="H3678" s="1" t="s">
        <v>4881</v>
      </c>
      <c r="N3678" s="1" t="s">
        <v>2596</v>
      </c>
      <c r="P3678" s="1" t="s">
        <v>12425</v>
      </c>
      <c r="Q3678" s="30" t="s">
        <v>2565</v>
      </c>
      <c r="R3678" s="33" t="s">
        <v>3473</v>
      </c>
      <c r="S3678">
        <v>37</v>
      </c>
      <c r="T3678" s="1" t="s">
        <v>13878</v>
      </c>
      <c r="U3678" s="1" t="str">
        <f>HYPERLINK("http://ictvonline.org/taxonomy/p/taxonomy-history?taxnode_id=202100517","ICTVonline=202100517")</f>
        <v>ICTVonline=202100517</v>
      </c>
    </row>
    <row r="3679" spans="1:21" x14ac:dyDescent="0.2">
      <c r="A3679" s="3">
        <v>3678</v>
      </c>
      <c r="B3679" s="1" t="s">
        <v>4875</v>
      </c>
      <c r="D3679" s="1" t="s">
        <v>4876</v>
      </c>
      <c r="F3679" s="1" t="s">
        <v>4880</v>
      </c>
      <c r="H3679" s="1" t="s">
        <v>4881</v>
      </c>
      <c r="N3679" s="1" t="s">
        <v>2596</v>
      </c>
      <c r="P3679" s="1" t="s">
        <v>12426</v>
      </c>
      <c r="Q3679" s="30" t="s">
        <v>2565</v>
      </c>
      <c r="R3679" s="33" t="s">
        <v>3473</v>
      </c>
      <c r="S3679">
        <v>37</v>
      </c>
      <c r="T3679" s="1" t="s">
        <v>13878</v>
      </c>
      <c r="U3679" s="1" t="str">
        <f>HYPERLINK("http://ictvonline.org/taxonomy/p/taxonomy-history?taxnode_id=202100518","ICTVonline=202100518")</f>
        <v>ICTVonline=202100518</v>
      </c>
    </row>
    <row r="3680" spans="1:21" x14ac:dyDescent="0.2">
      <c r="A3680" s="3">
        <v>3679</v>
      </c>
      <c r="B3680" s="1" t="s">
        <v>4875</v>
      </c>
      <c r="D3680" s="1" t="s">
        <v>4876</v>
      </c>
      <c r="F3680" s="1" t="s">
        <v>4880</v>
      </c>
      <c r="H3680" s="1" t="s">
        <v>4881</v>
      </c>
      <c r="N3680" s="1" t="s">
        <v>2596</v>
      </c>
      <c r="P3680" s="1" t="s">
        <v>12427</v>
      </c>
      <c r="Q3680" s="30" t="s">
        <v>2565</v>
      </c>
      <c r="R3680" s="33" t="s">
        <v>3473</v>
      </c>
      <c r="S3680">
        <v>37</v>
      </c>
      <c r="T3680" s="1" t="s">
        <v>13878</v>
      </c>
      <c r="U3680" s="1" t="str">
        <f>HYPERLINK("http://ictvonline.org/taxonomy/p/taxonomy-history?taxnode_id=202100519","ICTVonline=202100519")</f>
        <v>ICTVonline=202100519</v>
      </c>
    </row>
    <row r="3681" spans="1:21" x14ac:dyDescent="0.2">
      <c r="A3681" s="3">
        <v>3680</v>
      </c>
      <c r="B3681" s="1" t="s">
        <v>4875</v>
      </c>
      <c r="D3681" s="1" t="s">
        <v>4876</v>
      </c>
      <c r="F3681" s="1" t="s">
        <v>4880</v>
      </c>
      <c r="H3681" s="1" t="s">
        <v>4881</v>
      </c>
      <c r="N3681" s="1" t="s">
        <v>4751</v>
      </c>
      <c r="P3681" s="1" t="s">
        <v>12428</v>
      </c>
      <c r="Q3681" s="30" t="s">
        <v>2565</v>
      </c>
      <c r="R3681" s="33" t="s">
        <v>3473</v>
      </c>
      <c r="S3681">
        <v>37</v>
      </c>
      <c r="T3681" s="1" t="s">
        <v>13878</v>
      </c>
      <c r="U3681" s="1" t="str">
        <f>HYPERLINK("http://ictvonline.org/taxonomy/p/taxonomy-history?taxnode_id=202106994","ICTVonline=202106994")</f>
        <v>ICTVonline=202106994</v>
      </c>
    </row>
    <row r="3682" spans="1:21" x14ac:dyDescent="0.2">
      <c r="A3682" s="3">
        <v>3681</v>
      </c>
      <c r="B3682" s="1" t="s">
        <v>4875</v>
      </c>
      <c r="D3682" s="1" t="s">
        <v>4876</v>
      </c>
      <c r="F3682" s="1" t="s">
        <v>4880</v>
      </c>
      <c r="H3682" s="1" t="s">
        <v>4881</v>
      </c>
      <c r="N3682" s="1" t="s">
        <v>6045</v>
      </c>
      <c r="P3682" s="1" t="s">
        <v>12429</v>
      </c>
      <c r="Q3682" s="30" t="s">
        <v>2565</v>
      </c>
      <c r="R3682" s="33" t="s">
        <v>3473</v>
      </c>
      <c r="S3682">
        <v>37</v>
      </c>
      <c r="T3682" s="1" t="s">
        <v>13878</v>
      </c>
      <c r="U3682" s="1" t="str">
        <f>HYPERLINK("http://ictvonline.org/taxonomy/p/taxonomy-history?taxnode_id=202112088","ICTVonline=202112088")</f>
        <v>ICTVonline=202112088</v>
      </c>
    </row>
    <row r="3683" spans="1:21" x14ac:dyDescent="0.2">
      <c r="A3683" s="3">
        <v>3682</v>
      </c>
      <c r="B3683" s="1" t="s">
        <v>4875</v>
      </c>
      <c r="D3683" s="1" t="s">
        <v>4876</v>
      </c>
      <c r="F3683" s="1" t="s">
        <v>4880</v>
      </c>
      <c r="H3683" s="1" t="s">
        <v>4881</v>
      </c>
      <c r="N3683" s="1" t="s">
        <v>4624</v>
      </c>
      <c r="P3683" s="1" t="s">
        <v>12430</v>
      </c>
      <c r="Q3683" s="30" t="s">
        <v>2565</v>
      </c>
      <c r="R3683" s="33" t="s">
        <v>3473</v>
      </c>
      <c r="S3683">
        <v>37</v>
      </c>
      <c r="T3683" s="1" t="s">
        <v>13878</v>
      </c>
      <c r="U3683" s="1" t="str">
        <f>HYPERLINK("http://ictvonline.org/taxonomy/p/taxonomy-history?taxnode_id=202106898","ICTVonline=202106898")</f>
        <v>ICTVonline=202106898</v>
      </c>
    </row>
    <row r="3684" spans="1:21" x14ac:dyDescent="0.2">
      <c r="A3684" s="3">
        <v>3683</v>
      </c>
      <c r="B3684" s="1" t="s">
        <v>4875</v>
      </c>
      <c r="D3684" s="1" t="s">
        <v>4876</v>
      </c>
      <c r="F3684" s="1" t="s">
        <v>4880</v>
      </c>
      <c r="H3684" s="1" t="s">
        <v>4881</v>
      </c>
      <c r="N3684" s="1" t="s">
        <v>4624</v>
      </c>
      <c r="P3684" s="1" t="s">
        <v>12431</v>
      </c>
      <c r="Q3684" s="30" t="s">
        <v>2565</v>
      </c>
      <c r="R3684" s="33" t="s">
        <v>3473</v>
      </c>
      <c r="S3684">
        <v>37</v>
      </c>
      <c r="T3684" s="1" t="s">
        <v>13878</v>
      </c>
      <c r="U3684" s="1" t="str">
        <f>HYPERLINK("http://ictvonline.org/taxonomy/p/taxonomy-history?taxnode_id=202106897","ICTVonline=202106897")</f>
        <v>ICTVonline=202106897</v>
      </c>
    </row>
    <row r="3685" spans="1:21" x14ac:dyDescent="0.2">
      <c r="A3685" s="3">
        <v>3684</v>
      </c>
      <c r="B3685" s="1" t="s">
        <v>4875</v>
      </c>
      <c r="D3685" s="1" t="s">
        <v>4876</v>
      </c>
      <c r="F3685" s="1" t="s">
        <v>4880</v>
      </c>
      <c r="H3685" s="1" t="s">
        <v>4881</v>
      </c>
      <c r="N3685" s="1" t="s">
        <v>4752</v>
      </c>
      <c r="P3685" s="1" t="s">
        <v>12432</v>
      </c>
      <c r="Q3685" s="30" t="s">
        <v>2565</v>
      </c>
      <c r="R3685" s="33" t="s">
        <v>3473</v>
      </c>
      <c r="S3685">
        <v>37</v>
      </c>
      <c r="T3685" s="1" t="s">
        <v>13878</v>
      </c>
      <c r="U3685" s="1" t="str">
        <f>HYPERLINK("http://ictvonline.org/taxonomy/p/taxonomy-history?taxnode_id=202106756","ICTVonline=202106756")</f>
        <v>ICTVonline=202106756</v>
      </c>
    </row>
    <row r="3686" spans="1:21" x14ac:dyDescent="0.2">
      <c r="A3686" s="3">
        <v>3685</v>
      </c>
      <c r="B3686" s="1" t="s">
        <v>4875</v>
      </c>
      <c r="D3686" s="1" t="s">
        <v>4876</v>
      </c>
      <c r="F3686" s="1" t="s">
        <v>4880</v>
      </c>
      <c r="H3686" s="1" t="s">
        <v>4881</v>
      </c>
      <c r="N3686" s="1" t="s">
        <v>4753</v>
      </c>
      <c r="P3686" s="1" t="s">
        <v>12433</v>
      </c>
      <c r="Q3686" s="30" t="s">
        <v>2565</v>
      </c>
      <c r="R3686" s="33" t="s">
        <v>3473</v>
      </c>
      <c r="S3686">
        <v>37</v>
      </c>
      <c r="T3686" s="1" t="s">
        <v>13878</v>
      </c>
      <c r="U3686" s="1" t="str">
        <f>HYPERLINK("http://ictvonline.org/taxonomy/p/taxonomy-history?taxnode_id=202106929","ICTVonline=202106929")</f>
        <v>ICTVonline=202106929</v>
      </c>
    </row>
    <row r="3687" spans="1:21" x14ac:dyDescent="0.2">
      <c r="A3687" s="3">
        <v>3686</v>
      </c>
      <c r="B3687" s="1" t="s">
        <v>4875</v>
      </c>
      <c r="D3687" s="1" t="s">
        <v>4876</v>
      </c>
      <c r="F3687" s="1" t="s">
        <v>4880</v>
      </c>
      <c r="H3687" s="1" t="s">
        <v>4881</v>
      </c>
      <c r="N3687" s="1" t="s">
        <v>4753</v>
      </c>
      <c r="P3687" s="1" t="s">
        <v>12434</v>
      </c>
      <c r="Q3687" s="30" t="s">
        <v>2565</v>
      </c>
      <c r="R3687" s="33" t="s">
        <v>3473</v>
      </c>
      <c r="S3687">
        <v>37</v>
      </c>
      <c r="T3687" s="1" t="s">
        <v>13878</v>
      </c>
      <c r="U3687" s="1" t="str">
        <f>HYPERLINK("http://ictvonline.org/taxonomy/p/taxonomy-history?taxnode_id=202106930","ICTVonline=202106930")</f>
        <v>ICTVonline=202106930</v>
      </c>
    </row>
    <row r="3688" spans="1:21" x14ac:dyDescent="0.2">
      <c r="A3688" s="3">
        <v>3687</v>
      </c>
      <c r="B3688" s="1" t="s">
        <v>4875</v>
      </c>
      <c r="D3688" s="1" t="s">
        <v>4876</v>
      </c>
      <c r="F3688" s="1" t="s">
        <v>4880</v>
      </c>
      <c r="H3688" s="1" t="s">
        <v>4881</v>
      </c>
      <c r="N3688" s="1" t="s">
        <v>4754</v>
      </c>
      <c r="P3688" s="1" t="s">
        <v>4755</v>
      </c>
      <c r="Q3688" s="30" t="s">
        <v>2565</v>
      </c>
      <c r="R3688" s="33" t="s">
        <v>3474</v>
      </c>
      <c r="S3688">
        <v>37</v>
      </c>
      <c r="T3688" s="1" t="s">
        <v>13880</v>
      </c>
      <c r="U3688" s="1" t="str">
        <f>HYPERLINK("http://ictvonline.org/taxonomy/p/taxonomy-history?taxnode_id=202106793","ICTVonline=202106793")</f>
        <v>ICTVonline=202106793</v>
      </c>
    </row>
    <row r="3689" spans="1:21" x14ac:dyDescent="0.2">
      <c r="A3689" s="3">
        <v>3688</v>
      </c>
      <c r="B3689" s="1" t="s">
        <v>4875</v>
      </c>
      <c r="D3689" s="1" t="s">
        <v>4876</v>
      </c>
      <c r="F3689" s="1" t="s">
        <v>4880</v>
      </c>
      <c r="H3689" s="1" t="s">
        <v>4881</v>
      </c>
      <c r="N3689" s="1" t="s">
        <v>4754</v>
      </c>
      <c r="P3689" s="1" t="s">
        <v>12435</v>
      </c>
      <c r="Q3689" s="30" t="s">
        <v>2565</v>
      </c>
      <c r="R3689" s="33" t="s">
        <v>3472</v>
      </c>
      <c r="S3689">
        <v>37</v>
      </c>
      <c r="T3689" s="1" t="s">
        <v>13984</v>
      </c>
      <c r="U3689" s="1" t="str">
        <f>HYPERLINK("http://ictvonline.org/taxonomy/p/taxonomy-history?taxnode_id=202112690","ICTVonline=202112690")</f>
        <v>ICTVonline=202112690</v>
      </c>
    </row>
    <row r="3690" spans="1:21" x14ac:dyDescent="0.2">
      <c r="A3690" s="3">
        <v>3689</v>
      </c>
      <c r="B3690" s="1" t="s">
        <v>4875</v>
      </c>
      <c r="D3690" s="1" t="s">
        <v>4876</v>
      </c>
      <c r="F3690" s="1" t="s">
        <v>4880</v>
      </c>
      <c r="H3690" s="1" t="s">
        <v>4881</v>
      </c>
      <c r="N3690" s="1" t="s">
        <v>4754</v>
      </c>
      <c r="P3690" s="1" t="s">
        <v>12436</v>
      </c>
      <c r="Q3690" s="30" t="s">
        <v>2565</v>
      </c>
      <c r="R3690" s="33" t="s">
        <v>3472</v>
      </c>
      <c r="S3690">
        <v>37</v>
      </c>
      <c r="T3690" s="1" t="s">
        <v>13984</v>
      </c>
      <c r="U3690" s="1" t="str">
        <f>HYPERLINK("http://ictvonline.org/taxonomy/p/taxonomy-history?taxnode_id=202112694","ICTVonline=202112694")</f>
        <v>ICTVonline=202112694</v>
      </c>
    </row>
    <row r="3691" spans="1:21" x14ac:dyDescent="0.2">
      <c r="A3691" s="3">
        <v>3690</v>
      </c>
      <c r="B3691" s="1" t="s">
        <v>4875</v>
      </c>
      <c r="D3691" s="1" t="s">
        <v>4876</v>
      </c>
      <c r="F3691" s="1" t="s">
        <v>4880</v>
      </c>
      <c r="H3691" s="1" t="s">
        <v>4881</v>
      </c>
      <c r="N3691" s="1" t="s">
        <v>4754</v>
      </c>
      <c r="P3691" s="1" t="s">
        <v>12437</v>
      </c>
      <c r="Q3691" s="30" t="s">
        <v>2565</v>
      </c>
      <c r="R3691" s="33" t="s">
        <v>3472</v>
      </c>
      <c r="S3691">
        <v>37</v>
      </c>
      <c r="T3691" s="1" t="s">
        <v>13984</v>
      </c>
      <c r="U3691" s="1" t="str">
        <f>HYPERLINK("http://ictvonline.org/taxonomy/p/taxonomy-history?taxnode_id=202112685","ICTVonline=202112685")</f>
        <v>ICTVonline=202112685</v>
      </c>
    </row>
    <row r="3692" spans="1:21" x14ac:dyDescent="0.2">
      <c r="A3692" s="3">
        <v>3691</v>
      </c>
      <c r="B3692" s="1" t="s">
        <v>4875</v>
      </c>
      <c r="D3692" s="1" t="s">
        <v>4876</v>
      </c>
      <c r="F3692" s="1" t="s">
        <v>4880</v>
      </c>
      <c r="H3692" s="1" t="s">
        <v>4881</v>
      </c>
      <c r="N3692" s="1" t="s">
        <v>4754</v>
      </c>
      <c r="P3692" s="1" t="s">
        <v>12438</v>
      </c>
      <c r="Q3692" s="30" t="s">
        <v>2565</v>
      </c>
      <c r="R3692" s="33" t="s">
        <v>3472</v>
      </c>
      <c r="S3692">
        <v>37</v>
      </c>
      <c r="T3692" s="1" t="s">
        <v>13984</v>
      </c>
      <c r="U3692" s="1" t="str">
        <f>HYPERLINK("http://ictvonline.org/taxonomy/p/taxonomy-history?taxnode_id=202112688","ICTVonline=202112688")</f>
        <v>ICTVonline=202112688</v>
      </c>
    </row>
    <row r="3693" spans="1:21" x14ac:dyDescent="0.2">
      <c r="A3693" s="3">
        <v>3692</v>
      </c>
      <c r="B3693" s="1" t="s">
        <v>4875</v>
      </c>
      <c r="D3693" s="1" t="s">
        <v>4876</v>
      </c>
      <c r="F3693" s="1" t="s">
        <v>4880</v>
      </c>
      <c r="H3693" s="1" t="s">
        <v>4881</v>
      </c>
      <c r="N3693" s="1" t="s">
        <v>4754</v>
      </c>
      <c r="P3693" s="1" t="s">
        <v>12439</v>
      </c>
      <c r="Q3693" s="30" t="s">
        <v>2565</v>
      </c>
      <c r="R3693" s="33" t="s">
        <v>3473</v>
      </c>
      <c r="S3693">
        <v>37</v>
      </c>
      <c r="T3693" s="1" t="s">
        <v>13878</v>
      </c>
      <c r="U3693" s="1" t="str">
        <f>HYPERLINK("http://ictvonline.org/taxonomy/p/taxonomy-history?taxnode_id=202106792","ICTVonline=202106792")</f>
        <v>ICTVonline=202106792</v>
      </c>
    </row>
    <row r="3694" spans="1:21" x14ac:dyDescent="0.2">
      <c r="A3694" s="3">
        <v>3693</v>
      </c>
      <c r="B3694" s="1" t="s">
        <v>4875</v>
      </c>
      <c r="D3694" s="1" t="s">
        <v>4876</v>
      </c>
      <c r="F3694" s="1" t="s">
        <v>4880</v>
      </c>
      <c r="H3694" s="1" t="s">
        <v>4881</v>
      </c>
      <c r="N3694" s="1" t="s">
        <v>4754</v>
      </c>
      <c r="P3694" s="1" t="s">
        <v>12440</v>
      </c>
      <c r="Q3694" s="30" t="s">
        <v>2565</v>
      </c>
      <c r="R3694" s="33" t="s">
        <v>3472</v>
      </c>
      <c r="S3694">
        <v>37</v>
      </c>
      <c r="T3694" s="1" t="s">
        <v>13984</v>
      </c>
      <c r="U3694" s="1" t="str">
        <f>HYPERLINK("http://ictvonline.org/taxonomy/p/taxonomy-history?taxnode_id=202112691","ICTVonline=202112691")</f>
        <v>ICTVonline=202112691</v>
      </c>
    </row>
    <row r="3695" spans="1:21" x14ac:dyDescent="0.2">
      <c r="A3695" s="3">
        <v>3694</v>
      </c>
      <c r="B3695" s="1" t="s">
        <v>4875</v>
      </c>
      <c r="D3695" s="1" t="s">
        <v>4876</v>
      </c>
      <c r="F3695" s="1" t="s">
        <v>4880</v>
      </c>
      <c r="H3695" s="1" t="s">
        <v>4881</v>
      </c>
      <c r="N3695" s="1" t="s">
        <v>4754</v>
      </c>
      <c r="P3695" s="1" t="s">
        <v>12441</v>
      </c>
      <c r="Q3695" s="30" t="s">
        <v>2565</v>
      </c>
      <c r="R3695" s="33" t="s">
        <v>3472</v>
      </c>
      <c r="S3695">
        <v>37</v>
      </c>
      <c r="T3695" s="1" t="s">
        <v>13984</v>
      </c>
      <c r="U3695" s="1" t="str">
        <f>HYPERLINK("http://ictvonline.org/taxonomy/p/taxonomy-history?taxnode_id=202112696","ICTVonline=202112696")</f>
        <v>ICTVonline=202112696</v>
      </c>
    </row>
    <row r="3696" spans="1:21" x14ac:dyDescent="0.2">
      <c r="A3696" s="3">
        <v>3695</v>
      </c>
      <c r="B3696" s="1" t="s">
        <v>4875</v>
      </c>
      <c r="D3696" s="1" t="s">
        <v>4876</v>
      </c>
      <c r="F3696" s="1" t="s">
        <v>4880</v>
      </c>
      <c r="H3696" s="1" t="s">
        <v>4881</v>
      </c>
      <c r="N3696" s="1" t="s">
        <v>4754</v>
      </c>
      <c r="P3696" s="1" t="s">
        <v>12442</v>
      </c>
      <c r="Q3696" s="30" t="s">
        <v>2565</v>
      </c>
      <c r="R3696" s="33" t="s">
        <v>3472</v>
      </c>
      <c r="S3696">
        <v>37</v>
      </c>
      <c r="T3696" s="1" t="s">
        <v>13984</v>
      </c>
      <c r="U3696" s="1" t="str">
        <f>HYPERLINK("http://ictvonline.org/taxonomy/p/taxonomy-history?taxnode_id=202112686","ICTVonline=202112686")</f>
        <v>ICTVonline=202112686</v>
      </c>
    </row>
    <row r="3697" spans="1:21" x14ac:dyDescent="0.2">
      <c r="A3697" s="3">
        <v>3696</v>
      </c>
      <c r="B3697" s="1" t="s">
        <v>4875</v>
      </c>
      <c r="D3697" s="1" t="s">
        <v>4876</v>
      </c>
      <c r="F3697" s="1" t="s">
        <v>4880</v>
      </c>
      <c r="H3697" s="1" t="s">
        <v>4881</v>
      </c>
      <c r="N3697" s="1" t="s">
        <v>4754</v>
      </c>
      <c r="P3697" s="1" t="s">
        <v>12443</v>
      </c>
      <c r="Q3697" s="30" t="s">
        <v>2565</v>
      </c>
      <c r="R3697" s="33" t="s">
        <v>3472</v>
      </c>
      <c r="S3697">
        <v>37</v>
      </c>
      <c r="T3697" s="1" t="s">
        <v>13984</v>
      </c>
      <c r="U3697" s="1" t="str">
        <f>HYPERLINK("http://ictvonline.org/taxonomy/p/taxonomy-history?taxnode_id=202112684","ICTVonline=202112684")</f>
        <v>ICTVonline=202112684</v>
      </c>
    </row>
    <row r="3698" spans="1:21" x14ac:dyDescent="0.2">
      <c r="A3698" s="3">
        <v>3697</v>
      </c>
      <c r="B3698" s="1" t="s">
        <v>4875</v>
      </c>
      <c r="D3698" s="1" t="s">
        <v>4876</v>
      </c>
      <c r="F3698" s="1" t="s">
        <v>4880</v>
      </c>
      <c r="H3698" s="1" t="s">
        <v>4881</v>
      </c>
      <c r="N3698" s="1" t="s">
        <v>4754</v>
      </c>
      <c r="P3698" s="1" t="s">
        <v>12444</v>
      </c>
      <c r="Q3698" s="30" t="s">
        <v>2565</v>
      </c>
      <c r="R3698" s="33" t="s">
        <v>3472</v>
      </c>
      <c r="S3698">
        <v>37</v>
      </c>
      <c r="T3698" s="1" t="s">
        <v>13984</v>
      </c>
      <c r="U3698" s="1" t="str">
        <f>HYPERLINK("http://ictvonline.org/taxonomy/p/taxonomy-history?taxnode_id=202112689","ICTVonline=202112689")</f>
        <v>ICTVonline=202112689</v>
      </c>
    </row>
    <row r="3699" spans="1:21" x14ac:dyDescent="0.2">
      <c r="A3699" s="3">
        <v>3698</v>
      </c>
      <c r="B3699" s="1" t="s">
        <v>4875</v>
      </c>
      <c r="D3699" s="1" t="s">
        <v>4876</v>
      </c>
      <c r="F3699" s="1" t="s">
        <v>4880</v>
      </c>
      <c r="H3699" s="1" t="s">
        <v>4881</v>
      </c>
      <c r="N3699" s="1" t="s">
        <v>4754</v>
      </c>
      <c r="P3699" s="1" t="s">
        <v>12445</v>
      </c>
      <c r="Q3699" s="30" t="s">
        <v>2565</v>
      </c>
      <c r="R3699" s="33" t="s">
        <v>3472</v>
      </c>
      <c r="S3699">
        <v>37</v>
      </c>
      <c r="T3699" s="1" t="s">
        <v>13984</v>
      </c>
      <c r="U3699" s="1" t="str">
        <f>HYPERLINK("http://ictvonline.org/taxonomy/p/taxonomy-history?taxnode_id=202112699","ICTVonline=202112699")</f>
        <v>ICTVonline=202112699</v>
      </c>
    </row>
    <row r="3700" spans="1:21" x14ac:dyDescent="0.2">
      <c r="A3700" s="3">
        <v>3699</v>
      </c>
      <c r="B3700" s="1" t="s">
        <v>4875</v>
      </c>
      <c r="D3700" s="1" t="s">
        <v>4876</v>
      </c>
      <c r="F3700" s="1" t="s">
        <v>4880</v>
      </c>
      <c r="H3700" s="1" t="s">
        <v>4881</v>
      </c>
      <c r="N3700" s="1" t="s">
        <v>4754</v>
      </c>
      <c r="P3700" s="1" t="s">
        <v>12446</v>
      </c>
      <c r="Q3700" s="30" t="s">
        <v>2565</v>
      </c>
      <c r="R3700" s="33" t="s">
        <v>3472</v>
      </c>
      <c r="S3700">
        <v>37</v>
      </c>
      <c r="T3700" s="1" t="s">
        <v>13984</v>
      </c>
      <c r="U3700" s="1" t="str">
        <f>HYPERLINK("http://ictvonline.org/taxonomy/p/taxonomy-history?taxnode_id=202112697","ICTVonline=202112697")</f>
        <v>ICTVonline=202112697</v>
      </c>
    </row>
    <row r="3701" spans="1:21" x14ac:dyDescent="0.2">
      <c r="A3701" s="3">
        <v>3700</v>
      </c>
      <c r="B3701" s="1" t="s">
        <v>4875</v>
      </c>
      <c r="D3701" s="1" t="s">
        <v>4876</v>
      </c>
      <c r="F3701" s="1" t="s">
        <v>4880</v>
      </c>
      <c r="H3701" s="1" t="s">
        <v>4881</v>
      </c>
      <c r="N3701" s="1" t="s">
        <v>4754</v>
      </c>
      <c r="P3701" s="1" t="s">
        <v>12447</v>
      </c>
      <c r="Q3701" s="30" t="s">
        <v>2565</v>
      </c>
      <c r="R3701" s="33" t="s">
        <v>3472</v>
      </c>
      <c r="S3701">
        <v>37</v>
      </c>
      <c r="T3701" s="1" t="s">
        <v>13984</v>
      </c>
      <c r="U3701" s="1" t="str">
        <f>HYPERLINK("http://ictvonline.org/taxonomy/p/taxonomy-history?taxnode_id=202112695","ICTVonline=202112695")</f>
        <v>ICTVonline=202112695</v>
      </c>
    </row>
    <row r="3702" spans="1:21" x14ac:dyDescent="0.2">
      <c r="A3702" s="3">
        <v>3701</v>
      </c>
      <c r="B3702" s="1" t="s">
        <v>4875</v>
      </c>
      <c r="D3702" s="1" t="s">
        <v>4876</v>
      </c>
      <c r="F3702" s="1" t="s">
        <v>4880</v>
      </c>
      <c r="H3702" s="1" t="s">
        <v>4881</v>
      </c>
      <c r="N3702" s="1" t="s">
        <v>4754</v>
      </c>
      <c r="P3702" s="1" t="s">
        <v>12448</v>
      </c>
      <c r="Q3702" s="30" t="s">
        <v>2565</v>
      </c>
      <c r="R3702" s="33" t="s">
        <v>3472</v>
      </c>
      <c r="S3702">
        <v>37</v>
      </c>
      <c r="T3702" s="1" t="s">
        <v>13984</v>
      </c>
      <c r="U3702" s="1" t="str">
        <f>HYPERLINK("http://ictvonline.org/taxonomy/p/taxonomy-history?taxnode_id=202112698","ICTVonline=202112698")</f>
        <v>ICTVonline=202112698</v>
      </c>
    </row>
    <row r="3703" spans="1:21" x14ac:dyDescent="0.2">
      <c r="A3703" s="3">
        <v>3702</v>
      </c>
      <c r="B3703" s="1" t="s">
        <v>4875</v>
      </c>
      <c r="D3703" s="1" t="s">
        <v>4876</v>
      </c>
      <c r="F3703" s="1" t="s">
        <v>4880</v>
      </c>
      <c r="H3703" s="1" t="s">
        <v>4881</v>
      </c>
      <c r="N3703" s="1" t="s">
        <v>4754</v>
      </c>
      <c r="P3703" s="1" t="s">
        <v>12449</v>
      </c>
      <c r="Q3703" s="30" t="s">
        <v>2565</v>
      </c>
      <c r="R3703" s="33" t="s">
        <v>3472</v>
      </c>
      <c r="S3703">
        <v>37</v>
      </c>
      <c r="T3703" s="1" t="s">
        <v>13984</v>
      </c>
      <c r="U3703" s="1" t="str">
        <f>HYPERLINK("http://ictvonline.org/taxonomy/p/taxonomy-history?taxnode_id=202112692","ICTVonline=202112692")</f>
        <v>ICTVonline=202112692</v>
      </c>
    </row>
    <row r="3704" spans="1:21" x14ac:dyDescent="0.2">
      <c r="A3704" s="3">
        <v>3703</v>
      </c>
      <c r="B3704" s="1" t="s">
        <v>4875</v>
      </c>
      <c r="D3704" s="1" t="s">
        <v>4876</v>
      </c>
      <c r="F3704" s="1" t="s">
        <v>4880</v>
      </c>
      <c r="H3704" s="1" t="s">
        <v>4881</v>
      </c>
      <c r="N3704" s="1" t="s">
        <v>4754</v>
      </c>
      <c r="P3704" s="1" t="s">
        <v>12450</v>
      </c>
      <c r="Q3704" s="30" t="s">
        <v>2565</v>
      </c>
      <c r="R3704" s="33" t="s">
        <v>3472</v>
      </c>
      <c r="S3704">
        <v>37</v>
      </c>
      <c r="T3704" s="1" t="s">
        <v>13984</v>
      </c>
      <c r="U3704" s="1" t="str">
        <f>HYPERLINK("http://ictvonline.org/taxonomy/p/taxonomy-history?taxnode_id=202112687","ICTVonline=202112687")</f>
        <v>ICTVonline=202112687</v>
      </c>
    </row>
    <row r="3705" spans="1:21" x14ac:dyDescent="0.2">
      <c r="A3705" s="3">
        <v>3704</v>
      </c>
      <c r="B3705" s="1" t="s">
        <v>4875</v>
      </c>
      <c r="D3705" s="1" t="s">
        <v>4876</v>
      </c>
      <c r="F3705" s="1" t="s">
        <v>4880</v>
      </c>
      <c r="H3705" s="1" t="s">
        <v>4881</v>
      </c>
      <c r="N3705" s="1" t="s">
        <v>4754</v>
      </c>
      <c r="P3705" s="1" t="s">
        <v>12451</v>
      </c>
      <c r="Q3705" s="30" t="s">
        <v>2565</v>
      </c>
      <c r="R3705" s="33" t="s">
        <v>3472</v>
      </c>
      <c r="S3705">
        <v>37</v>
      </c>
      <c r="T3705" s="1" t="s">
        <v>13984</v>
      </c>
      <c r="U3705" s="1" t="str">
        <f>HYPERLINK("http://ictvonline.org/taxonomy/p/taxonomy-history?taxnode_id=202112693","ICTVonline=202112693")</f>
        <v>ICTVonline=202112693</v>
      </c>
    </row>
    <row r="3706" spans="1:21" x14ac:dyDescent="0.2">
      <c r="A3706" s="3">
        <v>3705</v>
      </c>
      <c r="B3706" s="1" t="s">
        <v>4875</v>
      </c>
      <c r="D3706" s="1" t="s">
        <v>4876</v>
      </c>
      <c r="F3706" s="1" t="s">
        <v>4880</v>
      </c>
      <c r="H3706" s="1" t="s">
        <v>4881</v>
      </c>
      <c r="N3706" s="1" t="s">
        <v>4754</v>
      </c>
      <c r="P3706" s="1" t="s">
        <v>12452</v>
      </c>
      <c r="Q3706" s="30" t="s">
        <v>2565</v>
      </c>
      <c r="R3706" s="33" t="s">
        <v>3473</v>
      </c>
      <c r="S3706">
        <v>37</v>
      </c>
      <c r="T3706" s="1" t="s">
        <v>13878</v>
      </c>
      <c r="U3706" s="1" t="str">
        <f>HYPERLINK("http://ictvonline.org/taxonomy/p/taxonomy-history?taxnode_id=202106791","ICTVonline=202106791")</f>
        <v>ICTVonline=202106791</v>
      </c>
    </row>
    <row r="3707" spans="1:21" x14ac:dyDescent="0.2">
      <c r="A3707" s="3">
        <v>3706</v>
      </c>
      <c r="B3707" s="1" t="s">
        <v>4875</v>
      </c>
      <c r="D3707" s="1" t="s">
        <v>4876</v>
      </c>
      <c r="F3707" s="1" t="s">
        <v>4880</v>
      </c>
      <c r="H3707" s="1" t="s">
        <v>4881</v>
      </c>
      <c r="N3707" s="1" t="s">
        <v>6251</v>
      </c>
      <c r="P3707" s="1" t="s">
        <v>12453</v>
      </c>
      <c r="Q3707" s="30" t="s">
        <v>2565</v>
      </c>
      <c r="R3707" s="33" t="s">
        <v>3473</v>
      </c>
      <c r="S3707">
        <v>37</v>
      </c>
      <c r="T3707" s="1" t="s">
        <v>13878</v>
      </c>
      <c r="U3707" s="1" t="str">
        <f>HYPERLINK("http://ictvonline.org/taxonomy/p/taxonomy-history?taxnode_id=202112101","ICTVonline=202112101")</f>
        <v>ICTVonline=202112101</v>
      </c>
    </row>
    <row r="3708" spans="1:21" x14ac:dyDescent="0.2">
      <c r="A3708" s="3">
        <v>3707</v>
      </c>
      <c r="B3708" s="1" t="s">
        <v>4875</v>
      </c>
      <c r="D3708" s="1" t="s">
        <v>4876</v>
      </c>
      <c r="F3708" s="1" t="s">
        <v>4880</v>
      </c>
      <c r="H3708" s="1" t="s">
        <v>4881</v>
      </c>
      <c r="N3708" s="1" t="s">
        <v>6251</v>
      </c>
      <c r="P3708" s="1" t="s">
        <v>12454</v>
      </c>
      <c r="Q3708" s="30" t="s">
        <v>2565</v>
      </c>
      <c r="R3708" s="33" t="s">
        <v>3473</v>
      </c>
      <c r="S3708">
        <v>37</v>
      </c>
      <c r="T3708" s="1" t="s">
        <v>13878</v>
      </c>
      <c r="U3708" s="1" t="str">
        <f>HYPERLINK("http://ictvonline.org/taxonomy/p/taxonomy-history?taxnode_id=202112100","ICTVonline=202112100")</f>
        <v>ICTVonline=202112100</v>
      </c>
    </row>
    <row r="3709" spans="1:21" x14ac:dyDescent="0.2">
      <c r="A3709" s="3">
        <v>3708</v>
      </c>
      <c r="B3709" s="1" t="s">
        <v>4875</v>
      </c>
      <c r="D3709" s="1" t="s">
        <v>4876</v>
      </c>
      <c r="F3709" s="1" t="s">
        <v>4880</v>
      </c>
      <c r="H3709" s="1" t="s">
        <v>4881</v>
      </c>
      <c r="N3709" s="1" t="s">
        <v>2655</v>
      </c>
      <c r="P3709" s="1" t="s">
        <v>12455</v>
      </c>
      <c r="Q3709" s="30" t="s">
        <v>2565</v>
      </c>
      <c r="R3709" s="33" t="s">
        <v>3473</v>
      </c>
      <c r="S3709">
        <v>37</v>
      </c>
      <c r="T3709" s="1" t="s">
        <v>13878</v>
      </c>
      <c r="U3709" s="1" t="str">
        <f>HYPERLINK("http://ictvonline.org/taxonomy/p/taxonomy-history?taxnode_id=202101369","ICTVonline=202101369")</f>
        <v>ICTVonline=202101369</v>
      </c>
    </row>
    <row r="3710" spans="1:21" x14ac:dyDescent="0.2">
      <c r="A3710" s="3">
        <v>3709</v>
      </c>
      <c r="B3710" s="1" t="s">
        <v>4875</v>
      </c>
      <c r="D3710" s="1" t="s">
        <v>4876</v>
      </c>
      <c r="F3710" s="1" t="s">
        <v>4880</v>
      </c>
      <c r="H3710" s="1" t="s">
        <v>4881</v>
      </c>
      <c r="N3710" s="1" t="s">
        <v>4756</v>
      </c>
      <c r="P3710" s="1" t="s">
        <v>12456</v>
      </c>
      <c r="Q3710" s="30" t="s">
        <v>2565</v>
      </c>
      <c r="R3710" s="33" t="s">
        <v>3473</v>
      </c>
      <c r="S3710">
        <v>37</v>
      </c>
      <c r="T3710" s="1" t="s">
        <v>13878</v>
      </c>
      <c r="U3710" s="1" t="str">
        <f>HYPERLINK("http://ictvonline.org/taxonomy/p/taxonomy-history?taxnode_id=202106795","ICTVonline=202106795")</f>
        <v>ICTVonline=202106795</v>
      </c>
    </row>
    <row r="3711" spans="1:21" x14ac:dyDescent="0.2">
      <c r="A3711" s="3">
        <v>3710</v>
      </c>
      <c r="B3711" s="1" t="s">
        <v>4875</v>
      </c>
      <c r="D3711" s="1" t="s">
        <v>4876</v>
      </c>
      <c r="F3711" s="1" t="s">
        <v>4880</v>
      </c>
      <c r="H3711" s="1" t="s">
        <v>4881</v>
      </c>
      <c r="N3711" s="1" t="s">
        <v>5151</v>
      </c>
      <c r="P3711" s="1" t="s">
        <v>12457</v>
      </c>
      <c r="Q3711" s="30" t="s">
        <v>2565</v>
      </c>
      <c r="R3711" s="33" t="s">
        <v>3473</v>
      </c>
      <c r="S3711">
        <v>37</v>
      </c>
      <c r="T3711" s="1" t="s">
        <v>13878</v>
      </c>
      <c r="U3711" s="1" t="str">
        <f>HYPERLINK("http://ictvonline.org/taxonomy/p/taxonomy-history?taxnode_id=202108072","ICTVonline=202108072")</f>
        <v>ICTVonline=202108072</v>
      </c>
    </row>
    <row r="3712" spans="1:21" x14ac:dyDescent="0.2">
      <c r="A3712" s="3">
        <v>3711</v>
      </c>
      <c r="B3712" s="1" t="s">
        <v>4875</v>
      </c>
      <c r="D3712" s="1" t="s">
        <v>4876</v>
      </c>
      <c r="F3712" s="1" t="s">
        <v>4880</v>
      </c>
      <c r="H3712" s="1" t="s">
        <v>4881</v>
      </c>
      <c r="N3712" s="1" t="s">
        <v>6252</v>
      </c>
      <c r="P3712" s="1" t="s">
        <v>12458</v>
      </c>
      <c r="Q3712" s="30" t="s">
        <v>2565</v>
      </c>
      <c r="R3712" s="33" t="s">
        <v>3473</v>
      </c>
      <c r="S3712">
        <v>37</v>
      </c>
      <c r="T3712" s="1" t="s">
        <v>13878</v>
      </c>
      <c r="U3712" s="1" t="str">
        <f>HYPERLINK("http://ictvonline.org/taxonomy/p/taxonomy-history?taxnode_id=202112119","ICTVonline=202112119")</f>
        <v>ICTVonline=202112119</v>
      </c>
    </row>
    <row r="3713" spans="1:21" x14ac:dyDescent="0.2">
      <c r="A3713" s="3">
        <v>3712</v>
      </c>
      <c r="B3713" s="1" t="s">
        <v>4875</v>
      </c>
      <c r="D3713" s="1" t="s">
        <v>4876</v>
      </c>
      <c r="F3713" s="1" t="s">
        <v>4880</v>
      </c>
      <c r="H3713" s="1" t="s">
        <v>4881</v>
      </c>
      <c r="N3713" s="1" t="s">
        <v>6253</v>
      </c>
      <c r="P3713" s="1" t="s">
        <v>12459</v>
      </c>
      <c r="Q3713" s="30" t="s">
        <v>2565</v>
      </c>
      <c r="R3713" s="33" t="s">
        <v>3473</v>
      </c>
      <c r="S3713">
        <v>37</v>
      </c>
      <c r="T3713" s="1" t="s">
        <v>13878</v>
      </c>
      <c r="U3713" s="1" t="str">
        <f>HYPERLINK("http://ictvonline.org/taxonomy/p/taxonomy-history?taxnode_id=202112121","ICTVonline=202112121")</f>
        <v>ICTVonline=202112121</v>
      </c>
    </row>
    <row r="3714" spans="1:21" x14ac:dyDescent="0.2">
      <c r="A3714" s="3">
        <v>3713</v>
      </c>
      <c r="B3714" s="1" t="s">
        <v>4875</v>
      </c>
      <c r="D3714" s="1" t="s">
        <v>4876</v>
      </c>
      <c r="F3714" s="1" t="s">
        <v>4880</v>
      </c>
      <c r="H3714" s="1" t="s">
        <v>4881</v>
      </c>
      <c r="N3714" s="1" t="s">
        <v>5152</v>
      </c>
      <c r="P3714" s="1" t="s">
        <v>12460</v>
      </c>
      <c r="Q3714" s="30" t="s">
        <v>2565</v>
      </c>
      <c r="R3714" s="33" t="s">
        <v>3473</v>
      </c>
      <c r="S3714">
        <v>37</v>
      </c>
      <c r="T3714" s="1" t="s">
        <v>13878</v>
      </c>
      <c r="U3714" s="1" t="str">
        <f>HYPERLINK("http://ictvonline.org/taxonomy/p/taxonomy-history?taxnode_id=202108076","ICTVonline=202108076")</f>
        <v>ICTVonline=202108076</v>
      </c>
    </row>
    <row r="3715" spans="1:21" x14ac:dyDescent="0.2">
      <c r="A3715" s="3">
        <v>3714</v>
      </c>
      <c r="B3715" s="1" t="s">
        <v>4875</v>
      </c>
      <c r="D3715" s="1" t="s">
        <v>4876</v>
      </c>
      <c r="F3715" s="1" t="s">
        <v>4880</v>
      </c>
      <c r="H3715" s="1" t="s">
        <v>4881</v>
      </c>
      <c r="N3715" s="1" t="s">
        <v>5152</v>
      </c>
      <c r="P3715" s="1" t="s">
        <v>12461</v>
      </c>
      <c r="Q3715" s="30" t="s">
        <v>2565</v>
      </c>
      <c r="R3715" s="33" t="s">
        <v>3473</v>
      </c>
      <c r="S3715">
        <v>37</v>
      </c>
      <c r="T3715" s="1" t="s">
        <v>13878</v>
      </c>
      <c r="U3715" s="1" t="str">
        <f>HYPERLINK("http://ictvonline.org/taxonomy/p/taxonomy-history?taxnode_id=202108075","ICTVonline=202108075")</f>
        <v>ICTVonline=202108075</v>
      </c>
    </row>
    <row r="3716" spans="1:21" x14ac:dyDescent="0.2">
      <c r="A3716" s="3">
        <v>3715</v>
      </c>
      <c r="B3716" s="1" t="s">
        <v>4875</v>
      </c>
      <c r="D3716" s="1" t="s">
        <v>4876</v>
      </c>
      <c r="F3716" s="1" t="s">
        <v>4880</v>
      </c>
      <c r="H3716" s="1" t="s">
        <v>4881</v>
      </c>
      <c r="N3716" s="1" t="s">
        <v>5152</v>
      </c>
      <c r="P3716" s="1" t="s">
        <v>12462</v>
      </c>
      <c r="Q3716" s="30" t="s">
        <v>2565</v>
      </c>
      <c r="R3716" s="33" t="s">
        <v>3473</v>
      </c>
      <c r="S3716">
        <v>37</v>
      </c>
      <c r="T3716" s="1" t="s">
        <v>13878</v>
      </c>
      <c r="U3716" s="1" t="str">
        <f>HYPERLINK("http://ictvonline.org/taxonomy/p/taxonomy-history?taxnode_id=202108074","ICTVonline=202108074")</f>
        <v>ICTVonline=202108074</v>
      </c>
    </row>
    <row r="3717" spans="1:21" x14ac:dyDescent="0.2">
      <c r="A3717" s="3">
        <v>3716</v>
      </c>
      <c r="B3717" s="1" t="s">
        <v>4875</v>
      </c>
      <c r="D3717" s="1" t="s">
        <v>4876</v>
      </c>
      <c r="F3717" s="1" t="s">
        <v>4880</v>
      </c>
      <c r="H3717" s="1" t="s">
        <v>4881</v>
      </c>
      <c r="N3717" s="1" t="s">
        <v>5152</v>
      </c>
      <c r="P3717" s="1" t="s">
        <v>12463</v>
      </c>
      <c r="Q3717" s="30" t="s">
        <v>2565</v>
      </c>
      <c r="R3717" s="33" t="s">
        <v>3473</v>
      </c>
      <c r="S3717">
        <v>37</v>
      </c>
      <c r="T3717" s="1" t="s">
        <v>13878</v>
      </c>
      <c r="U3717" s="1" t="str">
        <f>HYPERLINK("http://ictvonline.org/taxonomy/p/taxonomy-history?taxnode_id=202108077","ICTVonline=202108077")</f>
        <v>ICTVonline=202108077</v>
      </c>
    </row>
    <row r="3718" spans="1:21" x14ac:dyDescent="0.2">
      <c r="A3718" s="3">
        <v>3717</v>
      </c>
      <c r="B3718" s="1" t="s">
        <v>4875</v>
      </c>
      <c r="D3718" s="1" t="s">
        <v>4876</v>
      </c>
      <c r="F3718" s="1" t="s">
        <v>4880</v>
      </c>
      <c r="H3718" s="1" t="s">
        <v>4881</v>
      </c>
      <c r="N3718" s="1" t="s">
        <v>4757</v>
      </c>
      <c r="P3718" s="1" t="s">
        <v>12464</v>
      </c>
      <c r="Q3718" s="30" t="s">
        <v>2565</v>
      </c>
      <c r="R3718" s="33" t="s">
        <v>3473</v>
      </c>
      <c r="S3718">
        <v>37</v>
      </c>
      <c r="T3718" s="1" t="s">
        <v>13878</v>
      </c>
      <c r="U3718" s="1" t="str">
        <f>HYPERLINK("http://ictvonline.org/taxonomy/p/taxonomy-history?taxnode_id=202106797","ICTVonline=202106797")</f>
        <v>ICTVonline=202106797</v>
      </c>
    </row>
    <row r="3719" spans="1:21" x14ac:dyDescent="0.2">
      <c r="A3719" s="3">
        <v>3718</v>
      </c>
      <c r="B3719" s="1" t="s">
        <v>4875</v>
      </c>
      <c r="D3719" s="1" t="s">
        <v>4876</v>
      </c>
      <c r="F3719" s="1" t="s">
        <v>4880</v>
      </c>
      <c r="H3719" s="1" t="s">
        <v>4881</v>
      </c>
      <c r="N3719" s="1" t="s">
        <v>3553</v>
      </c>
      <c r="P3719" s="1" t="s">
        <v>12465</v>
      </c>
      <c r="Q3719" s="30" t="s">
        <v>2565</v>
      </c>
      <c r="R3719" s="33" t="s">
        <v>3472</v>
      </c>
      <c r="S3719">
        <v>37</v>
      </c>
      <c r="T3719" s="1" t="s">
        <v>13985</v>
      </c>
      <c r="U3719" s="1" t="str">
        <f>HYPERLINK("http://ictvonline.org/taxonomy/p/taxonomy-history?taxnode_id=202113384","ICTVonline=202113384")</f>
        <v>ICTVonline=202113384</v>
      </c>
    </row>
    <row r="3720" spans="1:21" x14ac:dyDescent="0.2">
      <c r="A3720" s="3">
        <v>3719</v>
      </c>
      <c r="B3720" s="1" t="s">
        <v>4875</v>
      </c>
      <c r="D3720" s="1" t="s">
        <v>4876</v>
      </c>
      <c r="F3720" s="1" t="s">
        <v>4880</v>
      </c>
      <c r="H3720" s="1" t="s">
        <v>4881</v>
      </c>
      <c r="N3720" s="1" t="s">
        <v>3553</v>
      </c>
      <c r="P3720" s="1" t="s">
        <v>12466</v>
      </c>
      <c r="Q3720" s="30" t="s">
        <v>2565</v>
      </c>
      <c r="R3720" s="33" t="s">
        <v>3472</v>
      </c>
      <c r="S3720">
        <v>37</v>
      </c>
      <c r="T3720" s="1" t="s">
        <v>13985</v>
      </c>
      <c r="U3720" s="1" t="str">
        <f>HYPERLINK("http://ictvonline.org/taxonomy/p/taxonomy-history?taxnode_id=202112763","ICTVonline=202112763")</f>
        <v>ICTVonline=202112763</v>
      </c>
    </row>
    <row r="3721" spans="1:21" x14ac:dyDescent="0.2">
      <c r="A3721" s="3">
        <v>3720</v>
      </c>
      <c r="B3721" s="1" t="s">
        <v>4875</v>
      </c>
      <c r="D3721" s="1" t="s">
        <v>4876</v>
      </c>
      <c r="F3721" s="1" t="s">
        <v>4880</v>
      </c>
      <c r="H3721" s="1" t="s">
        <v>4881</v>
      </c>
      <c r="N3721" s="1" t="s">
        <v>3553</v>
      </c>
      <c r="P3721" s="1" t="s">
        <v>12467</v>
      </c>
      <c r="Q3721" s="30" t="s">
        <v>2565</v>
      </c>
      <c r="R3721" s="33" t="s">
        <v>3472</v>
      </c>
      <c r="S3721">
        <v>37</v>
      </c>
      <c r="T3721" s="1" t="s">
        <v>13985</v>
      </c>
      <c r="U3721" s="1" t="str">
        <f>HYPERLINK("http://ictvonline.org/taxonomy/p/taxonomy-history?taxnode_id=202113381","ICTVonline=202113381")</f>
        <v>ICTVonline=202113381</v>
      </c>
    </row>
    <row r="3722" spans="1:21" x14ac:dyDescent="0.2">
      <c r="A3722" s="3">
        <v>3721</v>
      </c>
      <c r="B3722" s="1" t="s">
        <v>4875</v>
      </c>
      <c r="D3722" s="1" t="s">
        <v>4876</v>
      </c>
      <c r="F3722" s="1" t="s">
        <v>4880</v>
      </c>
      <c r="H3722" s="1" t="s">
        <v>4881</v>
      </c>
      <c r="N3722" s="1" t="s">
        <v>3553</v>
      </c>
      <c r="P3722" s="1" t="s">
        <v>12468</v>
      </c>
      <c r="Q3722" s="30" t="s">
        <v>2565</v>
      </c>
      <c r="R3722" s="33" t="s">
        <v>3472</v>
      </c>
      <c r="S3722">
        <v>37</v>
      </c>
      <c r="T3722" s="1" t="s">
        <v>13985</v>
      </c>
      <c r="U3722" s="1" t="str">
        <f>HYPERLINK("http://ictvonline.org/taxonomy/p/taxonomy-history?taxnode_id=202112767","ICTVonline=202112767")</f>
        <v>ICTVonline=202112767</v>
      </c>
    </row>
    <row r="3723" spans="1:21" x14ac:dyDescent="0.2">
      <c r="A3723" s="3">
        <v>3722</v>
      </c>
      <c r="B3723" s="1" t="s">
        <v>4875</v>
      </c>
      <c r="D3723" s="1" t="s">
        <v>4876</v>
      </c>
      <c r="F3723" s="1" t="s">
        <v>4880</v>
      </c>
      <c r="H3723" s="1" t="s">
        <v>4881</v>
      </c>
      <c r="N3723" s="1" t="s">
        <v>3553</v>
      </c>
      <c r="P3723" s="1" t="s">
        <v>12469</v>
      </c>
      <c r="Q3723" s="30" t="s">
        <v>2565</v>
      </c>
      <c r="R3723" s="33" t="s">
        <v>3472</v>
      </c>
      <c r="S3723">
        <v>37</v>
      </c>
      <c r="T3723" s="1" t="s">
        <v>13985</v>
      </c>
      <c r="U3723" s="1" t="str">
        <f>HYPERLINK("http://ictvonline.org/taxonomy/p/taxonomy-history?taxnode_id=202113377","ICTVonline=202113377")</f>
        <v>ICTVonline=202113377</v>
      </c>
    </row>
    <row r="3724" spans="1:21" x14ac:dyDescent="0.2">
      <c r="A3724" s="3">
        <v>3723</v>
      </c>
      <c r="B3724" s="1" t="s">
        <v>4875</v>
      </c>
      <c r="D3724" s="1" t="s">
        <v>4876</v>
      </c>
      <c r="F3724" s="1" t="s">
        <v>4880</v>
      </c>
      <c r="H3724" s="1" t="s">
        <v>4881</v>
      </c>
      <c r="N3724" s="1" t="s">
        <v>3553</v>
      </c>
      <c r="P3724" s="1" t="s">
        <v>12470</v>
      </c>
      <c r="Q3724" s="30" t="s">
        <v>2565</v>
      </c>
      <c r="R3724" s="33" t="s">
        <v>3472</v>
      </c>
      <c r="S3724">
        <v>37</v>
      </c>
      <c r="T3724" s="1" t="s">
        <v>13985</v>
      </c>
      <c r="U3724" s="1" t="str">
        <f>HYPERLINK("http://ictvonline.org/taxonomy/p/taxonomy-history?taxnode_id=202112766","ICTVonline=202112766")</f>
        <v>ICTVonline=202112766</v>
      </c>
    </row>
    <row r="3725" spans="1:21" x14ac:dyDescent="0.2">
      <c r="A3725" s="3">
        <v>3724</v>
      </c>
      <c r="B3725" s="1" t="s">
        <v>4875</v>
      </c>
      <c r="D3725" s="1" t="s">
        <v>4876</v>
      </c>
      <c r="F3725" s="1" t="s">
        <v>4880</v>
      </c>
      <c r="H3725" s="1" t="s">
        <v>4881</v>
      </c>
      <c r="N3725" s="1" t="s">
        <v>3553</v>
      </c>
      <c r="P3725" s="1" t="s">
        <v>12471</v>
      </c>
      <c r="Q3725" s="30" t="s">
        <v>2565</v>
      </c>
      <c r="R3725" s="33" t="s">
        <v>3472</v>
      </c>
      <c r="S3725">
        <v>37</v>
      </c>
      <c r="T3725" s="1" t="s">
        <v>13985</v>
      </c>
      <c r="U3725" s="1" t="str">
        <f>HYPERLINK("http://ictvonline.org/taxonomy/p/taxonomy-history?taxnode_id=202112768","ICTVonline=202112768")</f>
        <v>ICTVonline=202112768</v>
      </c>
    </row>
    <row r="3726" spans="1:21" x14ac:dyDescent="0.2">
      <c r="A3726" s="3">
        <v>3725</v>
      </c>
      <c r="B3726" s="1" t="s">
        <v>4875</v>
      </c>
      <c r="D3726" s="1" t="s">
        <v>4876</v>
      </c>
      <c r="F3726" s="1" t="s">
        <v>4880</v>
      </c>
      <c r="H3726" s="1" t="s">
        <v>4881</v>
      </c>
      <c r="N3726" s="1" t="s">
        <v>3553</v>
      </c>
      <c r="P3726" s="1" t="s">
        <v>12472</v>
      </c>
      <c r="Q3726" s="30" t="s">
        <v>2565</v>
      </c>
      <c r="R3726" s="33" t="s">
        <v>3472</v>
      </c>
      <c r="S3726">
        <v>37</v>
      </c>
      <c r="T3726" s="1" t="s">
        <v>13985</v>
      </c>
      <c r="U3726" s="1" t="str">
        <f>HYPERLINK("http://ictvonline.org/taxonomy/p/taxonomy-history?taxnode_id=202113379","ICTVonline=202113379")</f>
        <v>ICTVonline=202113379</v>
      </c>
    </row>
    <row r="3727" spans="1:21" x14ac:dyDescent="0.2">
      <c r="A3727" s="3">
        <v>3726</v>
      </c>
      <c r="B3727" s="1" t="s">
        <v>4875</v>
      </c>
      <c r="D3727" s="1" t="s">
        <v>4876</v>
      </c>
      <c r="F3727" s="1" t="s">
        <v>4880</v>
      </c>
      <c r="H3727" s="1" t="s">
        <v>4881</v>
      </c>
      <c r="N3727" s="1" t="s">
        <v>3553</v>
      </c>
      <c r="P3727" s="1" t="s">
        <v>12473</v>
      </c>
      <c r="Q3727" s="30" t="s">
        <v>2565</v>
      </c>
      <c r="R3727" s="33" t="s">
        <v>3472</v>
      </c>
      <c r="S3727">
        <v>37</v>
      </c>
      <c r="T3727" s="1" t="s">
        <v>13985</v>
      </c>
      <c r="U3727" s="1" t="str">
        <f>HYPERLINK("http://ictvonline.org/taxonomy/p/taxonomy-history?taxnode_id=202112764","ICTVonline=202112764")</f>
        <v>ICTVonline=202112764</v>
      </c>
    </row>
    <row r="3728" spans="1:21" x14ac:dyDescent="0.2">
      <c r="A3728" s="3">
        <v>3727</v>
      </c>
      <c r="B3728" s="1" t="s">
        <v>4875</v>
      </c>
      <c r="D3728" s="1" t="s">
        <v>4876</v>
      </c>
      <c r="F3728" s="1" t="s">
        <v>4880</v>
      </c>
      <c r="H3728" s="1" t="s">
        <v>4881</v>
      </c>
      <c r="N3728" s="1" t="s">
        <v>3553</v>
      </c>
      <c r="P3728" s="1" t="s">
        <v>12474</v>
      </c>
      <c r="Q3728" s="30" t="s">
        <v>2565</v>
      </c>
      <c r="R3728" s="33" t="s">
        <v>3472</v>
      </c>
      <c r="S3728">
        <v>37</v>
      </c>
      <c r="T3728" s="1" t="s">
        <v>13985</v>
      </c>
      <c r="U3728" s="1" t="str">
        <f>HYPERLINK("http://ictvonline.org/taxonomy/p/taxonomy-history?taxnode_id=202113375","ICTVonline=202113375")</f>
        <v>ICTVonline=202113375</v>
      </c>
    </row>
    <row r="3729" spans="1:21" x14ac:dyDescent="0.2">
      <c r="A3729" s="3">
        <v>3728</v>
      </c>
      <c r="B3729" s="1" t="s">
        <v>4875</v>
      </c>
      <c r="D3729" s="1" t="s">
        <v>4876</v>
      </c>
      <c r="F3729" s="1" t="s">
        <v>4880</v>
      </c>
      <c r="H3729" s="1" t="s">
        <v>4881</v>
      </c>
      <c r="N3729" s="1" t="s">
        <v>3553</v>
      </c>
      <c r="P3729" s="1" t="s">
        <v>12475</v>
      </c>
      <c r="Q3729" s="30" t="s">
        <v>2565</v>
      </c>
      <c r="R3729" s="33" t="s">
        <v>3472</v>
      </c>
      <c r="S3729">
        <v>37</v>
      </c>
      <c r="T3729" s="1" t="s">
        <v>13985</v>
      </c>
      <c r="U3729" s="1" t="str">
        <f>HYPERLINK("http://ictvonline.org/taxonomy/p/taxonomy-history?taxnode_id=202113378","ICTVonline=202113378")</f>
        <v>ICTVonline=202113378</v>
      </c>
    </row>
    <row r="3730" spans="1:21" x14ac:dyDescent="0.2">
      <c r="A3730" s="3">
        <v>3729</v>
      </c>
      <c r="B3730" s="1" t="s">
        <v>4875</v>
      </c>
      <c r="D3730" s="1" t="s">
        <v>4876</v>
      </c>
      <c r="F3730" s="1" t="s">
        <v>4880</v>
      </c>
      <c r="H3730" s="1" t="s">
        <v>4881</v>
      </c>
      <c r="N3730" s="1" t="s">
        <v>3553</v>
      </c>
      <c r="P3730" s="1" t="s">
        <v>12476</v>
      </c>
      <c r="Q3730" s="30" t="s">
        <v>2565</v>
      </c>
      <c r="R3730" s="33" t="s">
        <v>3472</v>
      </c>
      <c r="S3730">
        <v>37</v>
      </c>
      <c r="T3730" s="1" t="s">
        <v>13985</v>
      </c>
      <c r="U3730" s="1" t="str">
        <f>HYPERLINK("http://ictvonline.org/taxonomy/p/taxonomy-history?taxnode_id=202113374","ICTVonline=202113374")</f>
        <v>ICTVonline=202113374</v>
      </c>
    </row>
    <row r="3731" spans="1:21" x14ac:dyDescent="0.2">
      <c r="A3731" s="3">
        <v>3730</v>
      </c>
      <c r="B3731" s="1" t="s">
        <v>4875</v>
      </c>
      <c r="D3731" s="1" t="s">
        <v>4876</v>
      </c>
      <c r="F3731" s="1" t="s">
        <v>4880</v>
      </c>
      <c r="H3731" s="1" t="s">
        <v>4881</v>
      </c>
      <c r="N3731" s="1" t="s">
        <v>3553</v>
      </c>
      <c r="P3731" s="1" t="s">
        <v>12477</v>
      </c>
      <c r="Q3731" s="30" t="s">
        <v>2565</v>
      </c>
      <c r="R3731" s="33" t="s">
        <v>3472</v>
      </c>
      <c r="S3731">
        <v>37</v>
      </c>
      <c r="T3731" s="1" t="s">
        <v>13985</v>
      </c>
      <c r="U3731" s="1" t="str">
        <f>HYPERLINK("http://ictvonline.org/taxonomy/p/taxonomy-history?taxnode_id=202113382","ICTVonline=202113382")</f>
        <v>ICTVonline=202113382</v>
      </c>
    </row>
    <row r="3732" spans="1:21" x14ac:dyDescent="0.2">
      <c r="A3732" s="3">
        <v>3731</v>
      </c>
      <c r="B3732" s="1" t="s">
        <v>4875</v>
      </c>
      <c r="D3732" s="1" t="s">
        <v>4876</v>
      </c>
      <c r="F3732" s="1" t="s">
        <v>4880</v>
      </c>
      <c r="H3732" s="1" t="s">
        <v>4881</v>
      </c>
      <c r="N3732" s="1" t="s">
        <v>3553</v>
      </c>
      <c r="P3732" s="1" t="s">
        <v>12478</v>
      </c>
      <c r="Q3732" s="30" t="s">
        <v>2565</v>
      </c>
      <c r="R3732" s="33" t="s">
        <v>3472</v>
      </c>
      <c r="S3732">
        <v>37</v>
      </c>
      <c r="T3732" s="1" t="s">
        <v>13985</v>
      </c>
      <c r="U3732" s="1" t="str">
        <f>HYPERLINK("http://ictvonline.org/taxonomy/p/taxonomy-history?taxnode_id=202113376","ICTVonline=202113376")</f>
        <v>ICTVonline=202113376</v>
      </c>
    </row>
    <row r="3733" spans="1:21" x14ac:dyDescent="0.2">
      <c r="A3733" s="3">
        <v>3732</v>
      </c>
      <c r="B3733" s="1" t="s">
        <v>4875</v>
      </c>
      <c r="D3733" s="1" t="s">
        <v>4876</v>
      </c>
      <c r="F3733" s="1" t="s">
        <v>4880</v>
      </c>
      <c r="H3733" s="1" t="s">
        <v>4881</v>
      </c>
      <c r="N3733" s="1" t="s">
        <v>3553</v>
      </c>
      <c r="P3733" s="1" t="s">
        <v>12479</v>
      </c>
      <c r="Q3733" s="30" t="s">
        <v>2565</v>
      </c>
      <c r="R3733" s="33" t="s">
        <v>3472</v>
      </c>
      <c r="S3733">
        <v>37</v>
      </c>
      <c r="T3733" s="1" t="s">
        <v>13985</v>
      </c>
      <c r="U3733" s="1" t="str">
        <f>HYPERLINK("http://ictvonline.org/taxonomy/p/taxonomy-history?taxnode_id=202112765","ICTVonline=202112765")</f>
        <v>ICTVonline=202112765</v>
      </c>
    </row>
    <row r="3734" spans="1:21" x14ac:dyDescent="0.2">
      <c r="A3734" s="3">
        <v>3733</v>
      </c>
      <c r="B3734" s="1" t="s">
        <v>4875</v>
      </c>
      <c r="D3734" s="1" t="s">
        <v>4876</v>
      </c>
      <c r="F3734" s="1" t="s">
        <v>4880</v>
      </c>
      <c r="H3734" s="1" t="s">
        <v>4881</v>
      </c>
      <c r="N3734" s="1" t="s">
        <v>3553</v>
      </c>
      <c r="P3734" s="1" t="s">
        <v>12480</v>
      </c>
      <c r="Q3734" s="30" t="s">
        <v>2565</v>
      </c>
      <c r="R3734" s="33" t="s">
        <v>3473</v>
      </c>
      <c r="S3734">
        <v>37</v>
      </c>
      <c r="T3734" s="1" t="s">
        <v>13878</v>
      </c>
      <c r="U3734" s="1" t="str">
        <f>HYPERLINK("http://ictvonline.org/taxonomy/p/taxonomy-history?taxnode_id=202105567","ICTVonline=202105567")</f>
        <v>ICTVonline=202105567</v>
      </c>
    </row>
    <row r="3735" spans="1:21" x14ac:dyDescent="0.2">
      <c r="A3735" s="3">
        <v>3734</v>
      </c>
      <c r="B3735" s="1" t="s">
        <v>4875</v>
      </c>
      <c r="D3735" s="1" t="s">
        <v>4876</v>
      </c>
      <c r="F3735" s="1" t="s">
        <v>4880</v>
      </c>
      <c r="H3735" s="1" t="s">
        <v>4881</v>
      </c>
      <c r="N3735" s="1" t="s">
        <v>3553</v>
      </c>
      <c r="P3735" s="1" t="s">
        <v>12481</v>
      </c>
      <c r="Q3735" s="30" t="s">
        <v>2565</v>
      </c>
      <c r="R3735" s="33" t="s">
        <v>3472</v>
      </c>
      <c r="S3735">
        <v>37</v>
      </c>
      <c r="T3735" s="1" t="s">
        <v>13985</v>
      </c>
      <c r="U3735" s="1" t="str">
        <f>HYPERLINK("http://ictvonline.org/taxonomy/p/taxonomy-history?taxnode_id=202113380","ICTVonline=202113380")</f>
        <v>ICTVonline=202113380</v>
      </c>
    </row>
    <row r="3736" spans="1:21" x14ac:dyDescent="0.2">
      <c r="A3736" s="3">
        <v>3735</v>
      </c>
      <c r="B3736" s="1" t="s">
        <v>4875</v>
      </c>
      <c r="D3736" s="1" t="s">
        <v>4876</v>
      </c>
      <c r="F3736" s="1" t="s">
        <v>4880</v>
      </c>
      <c r="H3736" s="1" t="s">
        <v>4881</v>
      </c>
      <c r="N3736" s="1" t="s">
        <v>3553</v>
      </c>
      <c r="P3736" s="1" t="s">
        <v>12482</v>
      </c>
      <c r="Q3736" s="30" t="s">
        <v>2565</v>
      </c>
      <c r="R3736" s="33" t="s">
        <v>3472</v>
      </c>
      <c r="S3736">
        <v>37</v>
      </c>
      <c r="T3736" s="1" t="s">
        <v>13985</v>
      </c>
      <c r="U3736" s="1" t="str">
        <f>HYPERLINK("http://ictvonline.org/taxonomy/p/taxonomy-history?taxnode_id=202113383","ICTVonline=202113383")</f>
        <v>ICTVonline=202113383</v>
      </c>
    </row>
    <row r="3737" spans="1:21" x14ac:dyDescent="0.2">
      <c r="A3737" s="3">
        <v>3736</v>
      </c>
      <c r="B3737" s="1" t="s">
        <v>4875</v>
      </c>
      <c r="D3737" s="1" t="s">
        <v>4876</v>
      </c>
      <c r="F3737" s="1" t="s">
        <v>4880</v>
      </c>
      <c r="H3737" s="1" t="s">
        <v>4881</v>
      </c>
      <c r="N3737" s="1" t="s">
        <v>3553</v>
      </c>
      <c r="P3737" s="1" t="s">
        <v>12483</v>
      </c>
      <c r="Q3737" s="30" t="s">
        <v>2565</v>
      </c>
      <c r="R3737" s="33" t="s">
        <v>3473</v>
      </c>
      <c r="S3737">
        <v>37</v>
      </c>
      <c r="T3737" s="1" t="s">
        <v>13878</v>
      </c>
      <c r="U3737" s="1" t="str">
        <f>HYPERLINK("http://ictvonline.org/taxonomy/p/taxonomy-history?taxnode_id=202105568","ICTVonline=202105568")</f>
        <v>ICTVonline=202105568</v>
      </c>
    </row>
    <row r="3738" spans="1:21" x14ac:dyDescent="0.2">
      <c r="A3738" s="3">
        <v>3737</v>
      </c>
      <c r="B3738" s="1" t="s">
        <v>4875</v>
      </c>
      <c r="D3738" s="1" t="s">
        <v>4876</v>
      </c>
      <c r="F3738" s="1" t="s">
        <v>4880</v>
      </c>
      <c r="H3738" s="1" t="s">
        <v>4881</v>
      </c>
      <c r="N3738" s="1" t="s">
        <v>3220</v>
      </c>
      <c r="P3738" s="1" t="s">
        <v>12484</v>
      </c>
      <c r="Q3738" s="30" t="s">
        <v>2565</v>
      </c>
      <c r="R3738" s="33" t="s">
        <v>3473</v>
      </c>
      <c r="S3738">
        <v>37</v>
      </c>
      <c r="T3738" s="1" t="s">
        <v>13878</v>
      </c>
      <c r="U3738" s="1" t="str">
        <f>HYPERLINK("http://ictvonline.org/taxonomy/p/taxonomy-history?taxnode_id=202101375","ICTVonline=202101375")</f>
        <v>ICTVonline=202101375</v>
      </c>
    </row>
    <row r="3739" spans="1:21" x14ac:dyDescent="0.2">
      <c r="A3739" s="3">
        <v>3738</v>
      </c>
      <c r="B3739" s="1" t="s">
        <v>4875</v>
      </c>
      <c r="D3739" s="1" t="s">
        <v>4876</v>
      </c>
      <c r="F3739" s="1" t="s">
        <v>4880</v>
      </c>
      <c r="H3739" s="1" t="s">
        <v>4881</v>
      </c>
      <c r="N3739" s="1" t="s">
        <v>4758</v>
      </c>
      <c r="P3739" s="1" t="s">
        <v>12485</v>
      </c>
      <c r="Q3739" s="30" t="s">
        <v>2565</v>
      </c>
      <c r="R3739" s="33" t="s">
        <v>3473</v>
      </c>
      <c r="S3739">
        <v>37</v>
      </c>
      <c r="T3739" s="1" t="s">
        <v>13878</v>
      </c>
      <c r="U3739" s="1" t="str">
        <f>HYPERLINK("http://ictvonline.org/taxonomy/p/taxonomy-history?taxnode_id=202101383","ICTVonline=202101383")</f>
        <v>ICTVonline=202101383</v>
      </c>
    </row>
    <row r="3740" spans="1:21" x14ac:dyDescent="0.2">
      <c r="A3740" s="3">
        <v>3739</v>
      </c>
      <c r="B3740" s="1" t="s">
        <v>4875</v>
      </c>
      <c r="D3740" s="1" t="s">
        <v>4876</v>
      </c>
      <c r="F3740" s="1" t="s">
        <v>4880</v>
      </c>
      <c r="H3740" s="1" t="s">
        <v>4881</v>
      </c>
      <c r="N3740" s="1" t="s">
        <v>4758</v>
      </c>
      <c r="P3740" s="1" t="s">
        <v>12486</v>
      </c>
      <c r="Q3740" s="30" t="s">
        <v>2565</v>
      </c>
      <c r="R3740" s="33" t="s">
        <v>3473</v>
      </c>
      <c r="S3740">
        <v>37</v>
      </c>
      <c r="T3740" s="1" t="s">
        <v>13878</v>
      </c>
      <c r="U3740" s="1" t="str">
        <f>HYPERLINK("http://ictvonline.org/taxonomy/p/taxonomy-history?taxnode_id=202101384","ICTVonline=202101384")</f>
        <v>ICTVonline=202101384</v>
      </c>
    </row>
    <row r="3741" spans="1:21" x14ac:dyDescent="0.2">
      <c r="A3741" s="3">
        <v>3740</v>
      </c>
      <c r="B3741" s="1" t="s">
        <v>4875</v>
      </c>
      <c r="D3741" s="1" t="s">
        <v>4876</v>
      </c>
      <c r="F3741" s="1" t="s">
        <v>4880</v>
      </c>
      <c r="H3741" s="1" t="s">
        <v>4881</v>
      </c>
      <c r="N3741" s="1" t="s">
        <v>6070</v>
      </c>
      <c r="P3741" s="1" t="s">
        <v>12487</v>
      </c>
      <c r="Q3741" s="30" t="s">
        <v>2565</v>
      </c>
      <c r="R3741" s="33" t="s">
        <v>3473</v>
      </c>
      <c r="S3741">
        <v>37</v>
      </c>
      <c r="T3741" s="1" t="s">
        <v>13878</v>
      </c>
      <c r="U3741" s="1" t="str">
        <f>HYPERLINK("http://ictvonline.org/taxonomy/p/taxonomy-history?taxnode_id=202100705","ICTVonline=202100705")</f>
        <v>ICTVonline=202100705</v>
      </c>
    </row>
    <row r="3742" spans="1:21" x14ac:dyDescent="0.2">
      <c r="A3742" s="3">
        <v>3741</v>
      </c>
      <c r="B3742" s="1" t="s">
        <v>4875</v>
      </c>
      <c r="D3742" s="1" t="s">
        <v>4876</v>
      </c>
      <c r="F3742" s="1" t="s">
        <v>4880</v>
      </c>
      <c r="H3742" s="1" t="s">
        <v>4881</v>
      </c>
      <c r="N3742" s="1" t="s">
        <v>6071</v>
      </c>
      <c r="P3742" s="1" t="s">
        <v>12488</v>
      </c>
      <c r="Q3742" s="30" t="s">
        <v>2565</v>
      </c>
      <c r="R3742" s="33" t="s">
        <v>3473</v>
      </c>
      <c r="S3742">
        <v>37</v>
      </c>
      <c r="T3742" s="1" t="s">
        <v>13878</v>
      </c>
      <c r="U3742" s="1" t="str">
        <f>HYPERLINK("http://ictvonline.org/taxonomy/p/taxonomy-history?taxnode_id=202112124","ICTVonline=202112124")</f>
        <v>ICTVonline=202112124</v>
      </c>
    </row>
    <row r="3743" spans="1:21" x14ac:dyDescent="0.2">
      <c r="A3743" s="3">
        <v>3742</v>
      </c>
      <c r="B3743" s="1" t="s">
        <v>4875</v>
      </c>
      <c r="D3743" s="1" t="s">
        <v>4876</v>
      </c>
      <c r="F3743" s="1" t="s">
        <v>4880</v>
      </c>
      <c r="H3743" s="1" t="s">
        <v>4881</v>
      </c>
      <c r="N3743" s="1" t="s">
        <v>6071</v>
      </c>
      <c r="P3743" s="1" t="s">
        <v>12489</v>
      </c>
      <c r="Q3743" s="30" t="s">
        <v>2565</v>
      </c>
      <c r="R3743" s="33" t="s">
        <v>3473</v>
      </c>
      <c r="S3743">
        <v>37</v>
      </c>
      <c r="T3743" s="1" t="s">
        <v>13878</v>
      </c>
      <c r="U3743" s="1" t="str">
        <f>HYPERLINK("http://ictvonline.org/taxonomy/p/taxonomy-history?taxnode_id=202100704","ICTVonline=202100704")</f>
        <v>ICTVonline=202100704</v>
      </c>
    </row>
    <row r="3744" spans="1:21" x14ac:dyDescent="0.2">
      <c r="A3744" s="3">
        <v>3743</v>
      </c>
      <c r="B3744" s="1" t="s">
        <v>4875</v>
      </c>
      <c r="D3744" s="1" t="s">
        <v>4876</v>
      </c>
      <c r="F3744" s="1" t="s">
        <v>4880</v>
      </c>
      <c r="H3744" s="1" t="s">
        <v>4881</v>
      </c>
      <c r="N3744" s="1" t="s">
        <v>4759</v>
      </c>
      <c r="P3744" s="1" t="s">
        <v>12490</v>
      </c>
      <c r="Q3744" s="30" t="s">
        <v>2565</v>
      </c>
      <c r="R3744" s="33" t="s">
        <v>3473</v>
      </c>
      <c r="S3744">
        <v>37</v>
      </c>
      <c r="T3744" s="1" t="s">
        <v>13878</v>
      </c>
      <c r="U3744" s="1" t="str">
        <f>HYPERLINK("http://ictvonline.org/taxonomy/p/taxonomy-history?taxnode_id=202101242","ICTVonline=202101242")</f>
        <v>ICTVonline=202101242</v>
      </c>
    </row>
    <row r="3745" spans="1:21" x14ac:dyDescent="0.2">
      <c r="A3745" s="3">
        <v>3744</v>
      </c>
      <c r="B3745" s="1" t="s">
        <v>4875</v>
      </c>
      <c r="D3745" s="1" t="s">
        <v>4876</v>
      </c>
      <c r="F3745" s="1" t="s">
        <v>4880</v>
      </c>
      <c r="H3745" s="1" t="s">
        <v>4881</v>
      </c>
      <c r="N3745" s="1" t="s">
        <v>4759</v>
      </c>
      <c r="P3745" s="1" t="s">
        <v>12491</v>
      </c>
      <c r="Q3745" s="30" t="s">
        <v>2565</v>
      </c>
      <c r="R3745" s="33" t="s">
        <v>3473</v>
      </c>
      <c r="S3745">
        <v>37</v>
      </c>
      <c r="T3745" s="1" t="s">
        <v>13878</v>
      </c>
      <c r="U3745" s="1" t="str">
        <f>HYPERLINK("http://ictvonline.org/taxonomy/p/taxonomy-history?taxnode_id=202101243","ICTVonline=202101243")</f>
        <v>ICTVonline=202101243</v>
      </c>
    </row>
    <row r="3746" spans="1:21" x14ac:dyDescent="0.2">
      <c r="A3746" s="3">
        <v>3745</v>
      </c>
      <c r="B3746" s="1" t="s">
        <v>4875</v>
      </c>
      <c r="D3746" s="1" t="s">
        <v>4876</v>
      </c>
      <c r="F3746" s="1" t="s">
        <v>4880</v>
      </c>
      <c r="H3746" s="1" t="s">
        <v>4881</v>
      </c>
      <c r="N3746" s="1" t="s">
        <v>4760</v>
      </c>
      <c r="P3746" s="1" t="s">
        <v>12492</v>
      </c>
      <c r="Q3746" s="30" t="s">
        <v>2565</v>
      </c>
      <c r="R3746" s="33" t="s">
        <v>3473</v>
      </c>
      <c r="S3746">
        <v>37</v>
      </c>
      <c r="T3746" s="1" t="s">
        <v>13878</v>
      </c>
      <c r="U3746" s="1" t="str">
        <f>HYPERLINK("http://ictvonline.org/taxonomy/p/taxonomy-history?taxnode_id=202101378","ICTVonline=202101378")</f>
        <v>ICTVonline=202101378</v>
      </c>
    </row>
    <row r="3747" spans="1:21" x14ac:dyDescent="0.2">
      <c r="A3747" s="3">
        <v>3746</v>
      </c>
      <c r="B3747" s="1" t="s">
        <v>4875</v>
      </c>
      <c r="D3747" s="1" t="s">
        <v>4876</v>
      </c>
      <c r="F3747" s="1" t="s">
        <v>4880</v>
      </c>
      <c r="H3747" s="1" t="s">
        <v>4881</v>
      </c>
      <c r="N3747" s="1" t="s">
        <v>4760</v>
      </c>
      <c r="P3747" s="1" t="s">
        <v>12493</v>
      </c>
      <c r="Q3747" s="30" t="s">
        <v>2565</v>
      </c>
      <c r="R3747" s="33" t="s">
        <v>3473</v>
      </c>
      <c r="S3747">
        <v>37</v>
      </c>
      <c r="T3747" s="1" t="s">
        <v>13878</v>
      </c>
      <c r="U3747" s="1" t="str">
        <f>HYPERLINK("http://ictvonline.org/taxonomy/p/taxonomy-history?taxnode_id=202101380","ICTVonline=202101380")</f>
        <v>ICTVonline=202101380</v>
      </c>
    </row>
    <row r="3748" spans="1:21" x14ac:dyDescent="0.2">
      <c r="A3748" s="3">
        <v>3747</v>
      </c>
      <c r="B3748" s="1" t="s">
        <v>4875</v>
      </c>
      <c r="D3748" s="1" t="s">
        <v>4876</v>
      </c>
      <c r="F3748" s="1" t="s">
        <v>4880</v>
      </c>
      <c r="H3748" s="1" t="s">
        <v>4881</v>
      </c>
      <c r="N3748" s="1" t="s">
        <v>4760</v>
      </c>
      <c r="P3748" s="1" t="s">
        <v>12494</v>
      </c>
      <c r="Q3748" s="30" t="s">
        <v>2565</v>
      </c>
      <c r="R3748" s="33" t="s">
        <v>3473</v>
      </c>
      <c r="S3748">
        <v>37</v>
      </c>
      <c r="T3748" s="1" t="s">
        <v>13878</v>
      </c>
      <c r="U3748" s="1" t="str">
        <f>HYPERLINK("http://ictvonline.org/taxonomy/p/taxonomy-history?taxnode_id=202101381","ICTVonline=202101381")</f>
        <v>ICTVonline=202101381</v>
      </c>
    </row>
    <row r="3749" spans="1:21" x14ac:dyDescent="0.2">
      <c r="A3749" s="3">
        <v>3748</v>
      </c>
      <c r="B3749" s="1" t="s">
        <v>4875</v>
      </c>
      <c r="D3749" s="1" t="s">
        <v>4876</v>
      </c>
      <c r="F3749" s="1" t="s">
        <v>4880</v>
      </c>
      <c r="H3749" s="1" t="s">
        <v>4881</v>
      </c>
      <c r="N3749" s="1" t="s">
        <v>5163</v>
      </c>
      <c r="P3749" s="1" t="s">
        <v>12495</v>
      </c>
      <c r="Q3749" s="30" t="s">
        <v>2565</v>
      </c>
      <c r="R3749" s="33" t="s">
        <v>3473</v>
      </c>
      <c r="S3749">
        <v>37</v>
      </c>
      <c r="T3749" s="1" t="s">
        <v>13878</v>
      </c>
      <c r="U3749" s="1" t="str">
        <f>HYPERLINK("http://ictvonline.org/taxonomy/p/taxonomy-history?taxnode_id=202107710","ICTVonline=202107710")</f>
        <v>ICTVonline=202107710</v>
      </c>
    </row>
    <row r="3750" spans="1:21" x14ac:dyDescent="0.2">
      <c r="A3750" s="3">
        <v>3749</v>
      </c>
      <c r="B3750" s="1" t="s">
        <v>4875</v>
      </c>
      <c r="D3750" s="1" t="s">
        <v>4876</v>
      </c>
      <c r="F3750" s="1" t="s">
        <v>4880</v>
      </c>
      <c r="H3750" s="1" t="s">
        <v>4881</v>
      </c>
      <c r="N3750" s="1" t="s">
        <v>5248</v>
      </c>
      <c r="P3750" s="1" t="s">
        <v>12496</v>
      </c>
      <c r="Q3750" s="30" t="s">
        <v>2565</v>
      </c>
      <c r="R3750" s="33" t="s">
        <v>3473</v>
      </c>
      <c r="S3750">
        <v>37</v>
      </c>
      <c r="T3750" s="1" t="s">
        <v>13878</v>
      </c>
      <c r="U3750" s="1" t="str">
        <f>HYPERLINK("http://ictvonline.org/taxonomy/p/taxonomy-history?taxnode_id=202108061","ICTVonline=202108061")</f>
        <v>ICTVonline=202108061</v>
      </c>
    </row>
    <row r="3751" spans="1:21" x14ac:dyDescent="0.2">
      <c r="A3751" s="3">
        <v>3750</v>
      </c>
      <c r="B3751" s="1" t="s">
        <v>4875</v>
      </c>
      <c r="D3751" s="1" t="s">
        <v>4876</v>
      </c>
      <c r="F3751" s="1" t="s">
        <v>4880</v>
      </c>
      <c r="H3751" s="1" t="s">
        <v>4881</v>
      </c>
      <c r="N3751" s="1" t="s">
        <v>12497</v>
      </c>
      <c r="P3751" s="1" t="s">
        <v>12498</v>
      </c>
      <c r="Q3751" s="30" t="s">
        <v>2565</v>
      </c>
      <c r="R3751" s="33" t="s">
        <v>3472</v>
      </c>
      <c r="S3751">
        <v>37</v>
      </c>
      <c r="T3751" s="1" t="s">
        <v>13986</v>
      </c>
      <c r="U3751" s="1" t="str">
        <f>HYPERLINK("http://ictvonline.org/taxonomy/p/taxonomy-history?taxnode_id=202113387","ICTVonline=202113387")</f>
        <v>ICTVonline=202113387</v>
      </c>
    </row>
    <row r="3752" spans="1:21" x14ac:dyDescent="0.2">
      <c r="A3752" s="3">
        <v>3751</v>
      </c>
      <c r="B3752" s="1" t="s">
        <v>4875</v>
      </c>
      <c r="D3752" s="1" t="s">
        <v>4876</v>
      </c>
      <c r="F3752" s="1" t="s">
        <v>4880</v>
      </c>
      <c r="H3752" s="1" t="s">
        <v>4881</v>
      </c>
      <c r="N3752" s="1" t="s">
        <v>4580</v>
      </c>
      <c r="P3752" s="1" t="s">
        <v>12499</v>
      </c>
      <c r="Q3752" s="30" t="s">
        <v>2565</v>
      </c>
      <c r="R3752" s="33" t="s">
        <v>3473</v>
      </c>
      <c r="S3752">
        <v>37</v>
      </c>
      <c r="T3752" s="1" t="s">
        <v>13878</v>
      </c>
      <c r="U3752" s="1" t="str">
        <f>HYPERLINK("http://ictvonline.org/taxonomy/p/taxonomy-history?taxnode_id=202100453","ICTVonline=202100453")</f>
        <v>ICTVonline=202100453</v>
      </c>
    </row>
    <row r="3753" spans="1:21" x14ac:dyDescent="0.2">
      <c r="A3753" s="3">
        <v>3752</v>
      </c>
      <c r="B3753" s="1" t="s">
        <v>4875</v>
      </c>
      <c r="D3753" s="1" t="s">
        <v>4876</v>
      </c>
      <c r="F3753" s="1" t="s">
        <v>4880</v>
      </c>
      <c r="H3753" s="1" t="s">
        <v>4881</v>
      </c>
      <c r="N3753" s="1" t="s">
        <v>4580</v>
      </c>
      <c r="P3753" s="1" t="s">
        <v>12500</v>
      </c>
      <c r="Q3753" s="30" t="s">
        <v>2565</v>
      </c>
      <c r="R3753" s="33" t="s">
        <v>3473</v>
      </c>
      <c r="S3753">
        <v>37</v>
      </c>
      <c r="T3753" s="1" t="s">
        <v>13878</v>
      </c>
      <c r="U3753" s="1" t="str">
        <f>HYPERLINK("http://ictvonline.org/taxonomy/p/taxonomy-history?taxnode_id=202100454","ICTVonline=202100454")</f>
        <v>ICTVonline=202100454</v>
      </c>
    </row>
    <row r="3754" spans="1:21" x14ac:dyDescent="0.2">
      <c r="A3754" s="3">
        <v>3753</v>
      </c>
      <c r="B3754" s="1" t="s">
        <v>4875</v>
      </c>
      <c r="D3754" s="1" t="s">
        <v>4876</v>
      </c>
      <c r="F3754" s="1" t="s">
        <v>4880</v>
      </c>
      <c r="H3754" s="1" t="s">
        <v>4881</v>
      </c>
      <c r="N3754" s="1" t="s">
        <v>5153</v>
      </c>
      <c r="P3754" s="1" t="s">
        <v>12501</v>
      </c>
      <c r="Q3754" s="30" t="s">
        <v>2565</v>
      </c>
      <c r="R3754" s="33" t="s">
        <v>3473</v>
      </c>
      <c r="S3754">
        <v>37</v>
      </c>
      <c r="T3754" s="1" t="s">
        <v>13878</v>
      </c>
      <c r="U3754" s="1" t="str">
        <f>HYPERLINK("http://ictvonline.org/taxonomy/p/taxonomy-history?taxnode_id=202107918","ICTVonline=202107918")</f>
        <v>ICTVonline=202107918</v>
      </c>
    </row>
    <row r="3755" spans="1:21" x14ac:dyDescent="0.2">
      <c r="A3755" s="3">
        <v>3754</v>
      </c>
      <c r="B3755" s="1" t="s">
        <v>4875</v>
      </c>
      <c r="D3755" s="1" t="s">
        <v>4876</v>
      </c>
      <c r="F3755" s="1" t="s">
        <v>4880</v>
      </c>
      <c r="H3755" s="1" t="s">
        <v>4881</v>
      </c>
      <c r="N3755" s="1" t="s">
        <v>6046</v>
      </c>
      <c r="P3755" s="1" t="s">
        <v>12502</v>
      </c>
      <c r="Q3755" s="30" t="s">
        <v>2565</v>
      </c>
      <c r="R3755" s="33" t="s">
        <v>3473</v>
      </c>
      <c r="S3755">
        <v>37</v>
      </c>
      <c r="T3755" s="1" t="s">
        <v>13878</v>
      </c>
      <c r="U3755" s="1" t="str">
        <f>HYPERLINK("http://ictvonline.org/taxonomy/p/taxonomy-history?taxnode_id=202100421","ICTVonline=202100421")</f>
        <v>ICTVonline=202100421</v>
      </c>
    </row>
    <row r="3756" spans="1:21" x14ac:dyDescent="0.2">
      <c r="A3756" s="3">
        <v>3755</v>
      </c>
      <c r="B3756" s="1" t="s">
        <v>4875</v>
      </c>
      <c r="D3756" s="1" t="s">
        <v>4876</v>
      </c>
      <c r="F3756" s="1" t="s">
        <v>4880</v>
      </c>
      <c r="H3756" s="1" t="s">
        <v>4881</v>
      </c>
      <c r="N3756" s="1" t="s">
        <v>6046</v>
      </c>
      <c r="P3756" s="1" t="s">
        <v>12503</v>
      </c>
      <c r="Q3756" s="30" t="s">
        <v>2565</v>
      </c>
      <c r="R3756" s="33" t="s">
        <v>3473</v>
      </c>
      <c r="S3756">
        <v>37</v>
      </c>
      <c r="T3756" s="1" t="s">
        <v>13878</v>
      </c>
      <c r="U3756" s="1" t="str">
        <f>HYPERLINK("http://ictvonline.org/taxonomy/p/taxonomy-history?taxnode_id=202109883","ICTVonline=202109883")</f>
        <v>ICTVonline=202109883</v>
      </c>
    </row>
    <row r="3757" spans="1:21" x14ac:dyDescent="0.2">
      <c r="A3757" s="3">
        <v>3756</v>
      </c>
      <c r="B3757" s="1" t="s">
        <v>4875</v>
      </c>
      <c r="D3757" s="1" t="s">
        <v>4876</v>
      </c>
      <c r="F3757" s="1" t="s">
        <v>4880</v>
      </c>
      <c r="H3757" s="1" t="s">
        <v>4881</v>
      </c>
      <c r="N3757" s="1" t="s">
        <v>6046</v>
      </c>
      <c r="P3757" s="1" t="s">
        <v>12504</v>
      </c>
      <c r="Q3757" s="30" t="s">
        <v>2565</v>
      </c>
      <c r="R3757" s="33" t="s">
        <v>3473</v>
      </c>
      <c r="S3757">
        <v>37</v>
      </c>
      <c r="T3757" s="1" t="s">
        <v>13878</v>
      </c>
      <c r="U3757" s="1" t="str">
        <f>HYPERLINK("http://ictvonline.org/taxonomy/p/taxonomy-history?taxnode_id=202109882","ICTVonline=202109882")</f>
        <v>ICTVonline=202109882</v>
      </c>
    </row>
    <row r="3758" spans="1:21" x14ac:dyDescent="0.2">
      <c r="A3758" s="3">
        <v>3757</v>
      </c>
      <c r="B3758" s="1" t="s">
        <v>4875</v>
      </c>
      <c r="D3758" s="1" t="s">
        <v>4876</v>
      </c>
      <c r="F3758" s="1" t="s">
        <v>4880</v>
      </c>
      <c r="H3758" s="1" t="s">
        <v>4881</v>
      </c>
      <c r="N3758" s="1" t="s">
        <v>6046</v>
      </c>
      <c r="P3758" s="1" t="s">
        <v>12505</v>
      </c>
      <c r="Q3758" s="30" t="s">
        <v>2565</v>
      </c>
      <c r="R3758" s="33" t="s">
        <v>3473</v>
      </c>
      <c r="S3758">
        <v>37</v>
      </c>
      <c r="T3758" s="1" t="s">
        <v>13878</v>
      </c>
      <c r="U3758" s="1" t="str">
        <f>HYPERLINK("http://ictvonline.org/taxonomy/p/taxonomy-history?taxnode_id=202109881","ICTVonline=202109881")</f>
        <v>ICTVonline=202109881</v>
      </c>
    </row>
    <row r="3759" spans="1:21" x14ac:dyDescent="0.2">
      <c r="A3759" s="3">
        <v>3758</v>
      </c>
      <c r="B3759" s="1" t="s">
        <v>4875</v>
      </c>
      <c r="D3759" s="1" t="s">
        <v>4876</v>
      </c>
      <c r="F3759" s="1" t="s">
        <v>4880</v>
      </c>
      <c r="H3759" s="1" t="s">
        <v>4881</v>
      </c>
      <c r="N3759" s="1" t="s">
        <v>4761</v>
      </c>
      <c r="P3759" s="1" t="s">
        <v>4762</v>
      </c>
      <c r="Q3759" s="30" t="s">
        <v>2565</v>
      </c>
      <c r="R3759" s="33" t="s">
        <v>3474</v>
      </c>
      <c r="S3759">
        <v>37</v>
      </c>
      <c r="T3759" s="1" t="s">
        <v>13880</v>
      </c>
      <c r="U3759" s="1" t="str">
        <f>HYPERLINK("http://ictvonline.org/taxonomy/p/taxonomy-history?taxnode_id=202106617","ICTVonline=202106617")</f>
        <v>ICTVonline=202106617</v>
      </c>
    </row>
    <row r="3760" spans="1:21" x14ac:dyDescent="0.2">
      <c r="A3760" s="3">
        <v>3759</v>
      </c>
      <c r="B3760" s="1" t="s">
        <v>4875</v>
      </c>
      <c r="D3760" s="1" t="s">
        <v>4876</v>
      </c>
      <c r="F3760" s="1" t="s">
        <v>4880</v>
      </c>
      <c r="H3760" s="1" t="s">
        <v>4881</v>
      </c>
      <c r="N3760" s="1" t="s">
        <v>5249</v>
      </c>
      <c r="P3760" s="1" t="s">
        <v>12506</v>
      </c>
      <c r="Q3760" s="30" t="s">
        <v>2565</v>
      </c>
      <c r="R3760" s="33" t="s">
        <v>3473</v>
      </c>
      <c r="S3760">
        <v>37</v>
      </c>
      <c r="T3760" s="1" t="s">
        <v>13878</v>
      </c>
      <c r="U3760" s="1" t="str">
        <f>HYPERLINK("http://ictvonline.org/taxonomy/p/taxonomy-history?taxnode_id=202108079","ICTVonline=202108079")</f>
        <v>ICTVonline=202108079</v>
      </c>
    </row>
    <row r="3761" spans="1:21" x14ac:dyDescent="0.2">
      <c r="A3761" s="3">
        <v>3760</v>
      </c>
      <c r="B3761" s="1" t="s">
        <v>4875</v>
      </c>
      <c r="D3761" s="1" t="s">
        <v>4876</v>
      </c>
      <c r="F3761" s="1" t="s">
        <v>4880</v>
      </c>
      <c r="H3761" s="1" t="s">
        <v>4881</v>
      </c>
      <c r="N3761" s="1" t="s">
        <v>12507</v>
      </c>
      <c r="P3761" s="1" t="s">
        <v>12508</v>
      </c>
      <c r="Q3761" s="30" t="s">
        <v>2565</v>
      </c>
      <c r="R3761" s="33" t="s">
        <v>3472</v>
      </c>
      <c r="S3761">
        <v>37</v>
      </c>
      <c r="T3761" s="1" t="s">
        <v>13987</v>
      </c>
      <c r="U3761" s="1" t="str">
        <f>HYPERLINK("http://ictvonline.org/taxonomy/p/taxonomy-history?taxnode_id=202113422","ICTVonline=202113422")</f>
        <v>ICTVonline=202113422</v>
      </c>
    </row>
    <row r="3762" spans="1:21" x14ac:dyDescent="0.2">
      <c r="A3762" s="3">
        <v>3761</v>
      </c>
      <c r="B3762" s="1" t="s">
        <v>4875</v>
      </c>
      <c r="D3762" s="1" t="s">
        <v>4876</v>
      </c>
      <c r="F3762" s="1" t="s">
        <v>4880</v>
      </c>
      <c r="H3762" s="1" t="s">
        <v>4881</v>
      </c>
      <c r="N3762" s="1" t="s">
        <v>12507</v>
      </c>
      <c r="P3762" s="1" t="s">
        <v>12509</v>
      </c>
      <c r="Q3762" s="30" t="s">
        <v>2565</v>
      </c>
      <c r="R3762" s="33" t="s">
        <v>3472</v>
      </c>
      <c r="S3762">
        <v>37</v>
      </c>
      <c r="T3762" s="1" t="s">
        <v>13987</v>
      </c>
      <c r="U3762" s="1" t="str">
        <f>HYPERLINK("http://ictvonline.org/taxonomy/p/taxonomy-history?taxnode_id=202113421","ICTVonline=202113421")</f>
        <v>ICTVonline=202113421</v>
      </c>
    </row>
    <row r="3763" spans="1:21" x14ac:dyDescent="0.2">
      <c r="A3763" s="3">
        <v>3762</v>
      </c>
      <c r="B3763" s="1" t="s">
        <v>4875</v>
      </c>
      <c r="D3763" s="1" t="s">
        <v>4876</v>
      </c>
      <c r="F3763" s="1" t="s">
        <v>4880</v>
      </c>
      <c r="H3763" s="1" t="s">
        <v>4881</v>
      </c>
      <c r="N3763" s="1" t="s">
        <v>12507</v>
      </c>
      <c r="P3763" s="1" t="s">
        <v>12510</v>
      </c>
      <c r="Q3763" s="30" t="s">
        <v>2565</v>
      </c>
      <c r="R3763" s="33" t="s">
        <v>3472</v>
      </c>
      <c r="S3763">
        <v>37</v>
      </c>
      <c r="T3763" s="1" t="s">
        <v>13987</v>
      </c>
      <c r="U3763" s="1" t="str">
        <f>HYPERLINK("http://ictvonline.org/taxonomy/p/taxonomy-history?taxnode_id=202113420","ICTVonline=202113420")</f>
        <v>ICTVonline=202113420</v>
      </c>
    </row>
    <row r="3764" spans="1:21" x14ac:dyDescent="0.2">
      <c r="A3764" s="3">
        <v>3763</v>
      </c>
      <c r="B3764" s="1" t="s">
        <v>5250</v>
      </c>
      <c r="D3764" s="1" t="s">
        <v>5251</v>
      </c>
      <c r="F3764" s="1" t="s">
        <v>5252</v>
      </c>
      <c r="H3764" s="1" t="s">
        <v>5253</v>
      </c>
      <c r="J3764" s="1" t="s">
        <v>5254</v>
      </c>
      <c r="L3764" s="1" t="s">
        <v>1564</v>
      </c>
      <c r="N3764" s="1" t="s">
        <v>5255</v>
      </c>
      <c r="P3764" s="1" t="s">
        <v>12511</v>
      </c>
      <c r="Q3764" s="30" t="s">
        <v>2969</v>
      </c>
      <c r="R3764" s="33" t="s">
        <v>3475</v>
      </c>
      <c r="S3764">
        <v>37</v>
      </c>
      <c r="T3764" s="1" t="s">
        <v>13878</v>
      </c>
      <c r="U3764" s="1" t="str">
        <f>HYPERLINK("http://ictvonline.org/taxonomy/p/taxonomy-history?taxnode_id=202103715","ICTVonline=202103715")</f>
        <v>ICTVonline=202103715</v>
      </c>
    </row>
    <row r="3765" spans="1:21" x14ac:dyDescent="0.2">
      <c r="A3765" s="3">
        <v>3764</v>
      </c>
      <c r="B3765" s="1" t="s">
        <v>5250</v>
      </c>
      <c r="D3765" s="1" t="s">
        <v>5251</v>
      </c>
      <c r="F3765" s="1" t="s">
        <v>5252</v>
      </c>
      <c r="H3765" s="1" t="s">
        <v>5253</v>
      </c>
      <c r="J3765" s="1" t="s">
        <v>5254</v>
      </c>
      <c r="L3765" s="1" t="s">
        <v>1564</v>
      </c>
      <c r="N3765" s="1" t="s">
        <v>5255</v>
      </c>
      <c r="P3765" s="1" t="s">
        <v>12512</v>
      </c>
      <c r="Q3765" s="30" t="s">
        <v>2969</v>
      </c>
      <c r="R3765" s="33" t="s">
        <v>3472</v>
      </c>
      <c r="S3765">
        <v>37</v>
      </c>
      <c r="T3765" s="1" t="s">
        <v>13988</v>
      </c>
      <c r="U3765" s="1" t="str">
        <f>HYPERLINK("http://ictvonline.org/taxonomy/p/taxonomy-history?taxnode_id=202112621","ICTVonline=202112621")</f>
        <v>ICTVonline=202112621</v>
      </c>
    </row>
    <row r="3766" spans="1:21" x14ac:dyDescent="0.2">
      <c r="A3766" s="3">
        <v>3765</v>
      </c>
      <c r="B3766" s="1" t="s">
        <v>5250</v>
      </c>
      <c r="D3766" s="1" t="s">
        <v>5251</v>
      </c>
      <c r="F3766" s="1" t="s">
        <v>5252</v>
      </c>
      <c r="H3766" s="1" t="s">
        <v>5253</v>
      </c>
      <c r="J3766" s="1" t="s">
        <v>5254</v>
      </c>
      <c r="L3766" s="1" t="s">
        <v>1564</v>
      </c>
      <c r="N3766" s="1" t="s">
        <v>5255</v>
      </c>
      <c r="P3766" s="1" t="s">
        <v>12513</v>
      </c>
      <c r="Q3766" s="30" t="s">
        <v>2969</v>
      </c>
      <c r="R3766" s="33" t="s">
        <v>3472</v>
      </c>
      <c r="S3766">
        <v>37</v>
      </c>
      <c r="T3766" s="1" t="s">
        <v>13988</v>
      </c>
      <c r="U3766" s="1" t="str">
        <f>HYPERLINK("http://ictvonline.org/taxonomy/p/taxonomy-history?taxnode_id=202112622","ICTVonline=202112622")</f>
        <v>ICTVonline=202112622</v>
      </c>
    </row>
    <row r="3767" spans="1:21" x14ac:dyDescent="0.2">
      <c r="A3767" s="3">
        <v>3766</v>
      </c>
      <c r="B3767" s="1" t="s">
        <v>5250</v>
      </c>
      <c r="D3767" s="1" t="s">
        <v>5251</v>
      </c>
      <c r="F3767" s="1" t="s">
        <v>5252</v>
      </c>
      <c r="H3767" s="1" t="s">
        <v>5253</v>
      </c>
      <c r="J3767" s="1" t="s">
        <v>5254</v>
      </c>
      <c r="L3767" s="1" t="s">
        <v>1564</v>
      </c>
      <c r="N3767" s="1" t="s">
        <v>5257</v>
      </c>
      <c r="P3767" s="1" t="s">
        <v>12514</v>
      </c>
      <c r="Q3767" s="30" t="s">
        <v>2969</v>
      </c>
      <c r="R3767" s="33" t="s">
        <v>3475</v>
      </c>
      <c r="S3767">
        <v>37</v>
      </c>
      <c r="T3767" s="1" t="s">
        <v>13878</v>
      </c>
      <c r="U3767" s="1" t="str">
        <f>HYPERLINK("http://ictvonline.org/taxonomy/p/taxonomy-history?taxnode_id=202103716","ICTVonline=202103716")</f>
        <v>ICTVonline=202103716</v>
      </c>
    </row>
    <row r="3768" spans="1:21" x14ac:dyDescent="0.2">
      <c r="A3768" s="3">
        <v>3767</v>
      </c>
      <c r="B3768" s="1" t="s">
        <v>5250</v>
      </c>
      <c r="D3768" s="1" t="s">
        <v>5251</v>
      </c>
      <c r="F3768" s="1" t="s">
        <v>5252</v>
      </c>
      <c r="H3768" s="1" t="s">
        <v>5253</v>
      </c>
      <c r="J3768" s="1" t="s">
        <v>5254</v>
      </c>
      <c r="L3768" s="1" t="s">
        <v>1564</v>
      </c>
      <c r="N3768" s="1" t="s">
        <v>5258</v>
      </c>
      <c r="P3768" s="1" t="s">
        <v>12515</v>
      </c>
      <c r="Q3768" s="30" t="s">
        <v>2969</v>
      </c>
      <c r="R3768" s="33" t="s">
        <v>3475</v>
      </c>
      <c r="S3768">
        <v>37</v>
      </c>
      <c r="T3768" s="1" t="s">
        <v>13878</v>
      </c>
      <c r="U3768" s="1" t="str">
        <f>HYPERLINK("http://ictvonline.org/taxonomy/p/taxonomy-history?taxnode_id=202103720","ICTVonline=202103720")</f>
        <v>ICTVonline=202103720</v>
      </c>
    </row>
    <row r="3769" spans="1:21" x14ac:dyDescent="0.2">
      <c r="A3769" s="3">
        <v>3768</v>
      </c>
      <c r="B3769" s="1" t="s">
        <v>5250</v>
      </c>
      <c r="D3769" s="1" t="s">
        <v>5251</v>
      </c>
      <c r="F3769" s="1" t="s">
        <v>5252</v>
      </c>
      <c r="H3769" s="1" t="s">
        <v>5253</v>
      </c>
      <c r="J3769" s="1" t="s">
        <v>5254</v>
      </c>
      <c r="L3769" s="1" t="s">
        <v>1564</v>
      </c>
      <c r="N3769" s="1" t="s">
        <v>3132</v>
      </c>
      <c r="P3769" s="1" t="s">
        <v>12516</v>
      </c>
      <c r="Q3769" s="30" t="s">
        <v>2568</v>
      </c>
      <c r="R3769" s="33" t="s">
        <v>3475</v>
      </c>
      <c r="S3769">
        <v>37</v>
      </c>
      <c r="T3769" s="1" t="s">
        <v>13878</v>
      </c>
      <c r="U3769" s="1" t="str">
        <f>HYPERLINK("http://ictvonline.org/taxonomy/p/taxonomy-history?taxnode_id=202103687","ICTVonline=202103687")</f>
        <v>ICTVonline=202103687</v>
      </c>
    </row>
    <row r="3770" spans="1:21" x14ac:dyDescent="0.2">
      <c r="A3770" s="3">
        <v>3769</v>
      </c>
      <c r="B3770" s="1" t="s">
        <v>5250</v>
      </c>
      <c r="D3770" s="1" t="s">
        <v>5251</v>
      </c>
      <c r="F3770" s="1" t="s">
        <v>5252</v>
      </c>
      <c r="H3770" s="1" t="s">
        <v>5253</v>
      </c>
      <c r="J3770" s="1" t="s">
        <v>5254</v>
      </c>
      <c r="L3770" s="1" t="s">
        <v>1564</v>
      </c>
      <c r="N3770" s="1" t="s">
        <v>3132</v>
      </c>
      <c r="P3770" s="1" t="s">
        <v>12517</v>
      </c>
      <c r="Q3770" s="30" t="s">
        <v>2568</v>
      </c>
      <c r="R3770" s="33" t="s">
        <v>3475</v>
      </c>
      <c r="S3770">
        <v>37</v>
      </c>
      <c r="T3770" s="1" t="s">
        <v>13878</v>
      </c>
      <c r="U3770" s="1" t="str">
        <f>HYPERLINK("http://ictvonline.org/taxonomy/p/taxonomy-history?taxnode_id=202103688","ICTVonline=202103688")</f>
        <v>ICTVonline=202103688</v>
      </c>
    </row>
    <row r="3771" spans="1:21" x14ac:dyDescent="0.2">
      <c r="A3771" s="3">
        <v>3770</v>
      </c>
      <c r="B3771" s="1" t="s">
        <v>5250</v>
      </c>
      <c r="D3771" s="1" t="s">
        <v>5251</v>
      </c>
      <c r="F3771" s="1" t="s">
        <v>5252</v>
      </c>
      <c r="H3771" s="1" t="s">
        <v>5253</v>
      </c>
      <c r="J3771" s="1" t="s">
        <v>5254</v>
      </c>
      <c r="L3771" s="1" t="s">
        <v>1564</v>
      </c>
      <c r="N3771" s="1" t="s">
        <v>3132</v>
      </c>
      <c r="P3771" s="1" t="s">
        <v>12518</v>
      </c>
      <c r="Q3771" s="30" t="s">
        <v>2969</v>
      </c>
      <c r="R3771" s="33" t="s">
        <v>3472</v>
      </c>
      <c r="S3771">
        <v>37</v>
      </c>
      <c r="T3771" s="1" t="s">
        <v>13988</v>
      </c>
      <c r="U3771" s="1" t="str">
        <f>HYPERLINK("http://ictvonline.org/taxonomy/p/taxonomy-history?taxnode_id=202112614","ICTVonline=202112614")</f>
        <v>ICTVonline=202112614</v>
      </c>
    </row>
    <row r="3772" spans="1:21" x14ac:dyDescent="0.2">
      <c r="A3772" s="3">
        <v>3771</v>
      </c>
      <c r="B3772" s="1" t="s">
        <v>5250</v>
      </c>
      <c r="D3772" s="1" t="s">
        <v>5251</v>
      </c>
      <c r="F3772" s="1" t="s">
        <v>5252</v>
      </c>
      <c r="H3772" s="1" t="s">
        <v>5253</v>
      </c>
      <c r="J3772" s="1" t="s">
        <v>5254</v>
      </c>
      <c r="L3772" s="1" t="s">
        <v>1564</v>
      </c>
      <c r="N3772" s="1" t="s">
        <v>3373</v>
      </c>
      <c r="P3772" s="1" t="s">
        <v>12519</v>
      </c>
      <c r="Q3772" s="30" t="s">
        <v>2969</v>
      </c>
      <c r="R3772" s="33" t="s">
        <v>3475</v>
      </c>
      <c r="S3772">
        <v>37</v>
      </c>
      <c r="T3772" s="1" t="s">
        <v>13878</v>
      </c>
      <c r="U3772" s="1" t="str">
        <f>HYPERLINK("http://ictvonline.org/taxonomy/p/taxonomy-history?taxnode_id=202107856","ICTVonline=202107856")</f>
        <v>ICTVonline=202107856</v>
      </c>
    </row>
    <row r="3773" spans="1:21" x14ac:dyDescent="0.2">
      <c r="A3773" s="3">
        <v>3772</v>
      </c>
      <c r="B3773" s="1" t="s">
        <v>5250</v>
      </c>
      <c r="D3773" s="1" t="s">
        <v>5251</v>
      </c>
      <c r="F3773" s="1" t="s">
        <v>5252</v>
      </c>
      <c r="H3773" s="1" t="s">
        <v>5253</v>
      </c>
      <c r="J3773" s="1" t="s">
        <v>5254</v>
      </c>
      <c r="L3773" s="1" t="s">
        <v>1564</v>
      </c>
      <c r="N3773" s="1" t="s">
        <v>3373</v>
      </c>
      <c r="P3773" s="1" t="s">
        <v>12520</v>
      </c>
      <c r="Q3773" s="30" t="s">
        <v>2568</v>
      </c>
      <c r="R3773" s="33" t="s">
        <v>3475</v>
      </c>
      <c r="S3773">
        <v>37</v>
      </c>
      <c r="T3773" s="1" t="s">
        <v>13878</v>
      </c>
      <c r="U3773" s="1" t="str">
        <f>HYPERLINK("http://ictvonline.org/taxonomy/p/taxonomy-history?taxnode_id=202103690","ICTVonline=202103690")</f>
        <v>ICTVonline=202103690</v>
      </c>
    </row>
    <row r="3774" spans="1:21" x14ac:dyDescent="0.2">
      <c r="A3774" s="3">
        <v>3773</v>
      </c>
      <c r="B3774" s="1" t="s">
        <v>5250</v>
      </c>
      <c r="D3774" s="1" t="s">
        <v>5251</v>
      </c>
      <c r="F3774" s="1" t="s">
        <v>5252</v>
      </c>
      <c r="H3774" s="1" t="s">
        <v>5253</v>
      </c>
      <c r="J3774" s="1" t="s">
        <v>5254</v>
      </c>
      <c r="L3774" s="1" t="s">
        <v>1564</v>
      </c>
      <c r="N3774" s="1" t="s">
        <v>3373</v>
      </c>
      <c r="P3774" s="1" t="s">
        <v>12521</v>
      </c>
      <c r="Q3774" s="30" t="s">
        <v>2568</v>
      </c>
      <c r="R3774" s="33" t="s">
        <v>3475</v>
      </c>
      <c r="S3774">
        <v>37</v>
      </c>
      <c r="T3774" s="1" t="s">
        <v>13878</v>
      </c>
      <c r="U3774" s="1" t="str">
        <f>HYPERLINK("http://ictvonline.org/taxonomy/p/taxonomy-history?taxnode_id=202103691","ICTVonline=202103691")</f>
        <v>ICTVonline=202103691</v>
      </c>
    </row>
    <row r="3775" spans="1:21" x14ac:dyDescent="0.2">
      <c r="A3775" s="3">
        <v>3774</v>
      </c>
      <c r="B3775" s="1" t="s">
        <v>5250</v>
      </c>
      <c r="D3775" s="1" t="s">
        <v>5251</v>
      </c>
      <c r="F3775" s="1" t="s">
        <v>5252</v>
      </c>
      <c r="H3775" s="1" t="s">
        <v>5253</v>
      </c>
      <c r="J3775" s="1" t="s">
        <v>5254</v>
      </c>
      <c r="L3775" s="1" t="s">
        <v>1564</v>
      </c>
      <c r="N3775" s="1" t="s">
        <v>3373</v>
      </c>
      <c r="P3775" s="1" t="s">
        <v>12522</v>
      </c>
      <c r="Q3775" s="30" t="s">
        <v>2568</v>
      </c>
      <c r="R3775" s="33" t="s">
        <v>3475</v>
      </c>
      <c r="S3775">
        <v>37</v>
      </c>
      <c r="T3775" s="1" t="s">
        <v>13878</v>
      </c>
      <c r="U3775" s="1" t="str">
        <f>HYPERLINK("http://ictvonline.org/taxonomy/p/taxonomy-history?taxnode_id=202103692","ICTVonline=202103692")</f>
        <v>ICTVonline=202103692</v>
      </c>
    </row>
    <row r="3776" spans="1:21" x14ac:dyDescent="0.2">
      <c r="A3776" s="3">
        <v>3775</v>
      </c>
      <c r="B3776" s="1" t="s">
        <v>5250</v>
      </c>
      <c r="D3776" s="1" t="s">
        <v>5251</v>
      </c>
      <c r="F3776" s="1" t="s">
        <v>5252</v>
      </c>
      <c r="H3776" s="1" t="s">
        <v>5253</v>
      </c>
      <c r="J3776" s="1" t="s">
        <v>5254</v>
      </c>
      <c r="L3776" s="1" t="s">
        <v>1564</v>
      </c>
      <c r="N3776" s="1" t="s">
        <v>5260</v>
      </c>
      <c r="P3776" s="1" t="s">
        <v>12523</v>
      </c>
      <c r="Q3776" s="30" t="s">
        <v>2969</v>
      </c>
      <c r="R3776" s="33" t="s">
        <v>3475</v>
      </c>
      <c r="S3776">
        <v>37</v>
      </c>
      <c r="T3776" s="1" t="s">
        <v>13878</v>
      </c>
      <c r="U3776" s="1" t="str">
        <f>HYPERLINK("http://ictvonline.org/taxonomy/p/taxonomy-history?taxnode_id=202103704","ICTVonline=202103704")</f>
        <v>ICTVonline=202103704</v>
      </c>
    </row>
    <row r="3777" spans="1:21" x14ac:dyDescent="0.2">
      <c r="A3777" s="3">
        <v>3776</v>
      </c>
      <c r="B3777" s="1" t="s">
        <v>5250</v>
      </c>
      <c r="D3777" s="1" t="s">
        <v>5251</v>
      </c>
      <c r="F3777" s="1" t="s">
        <v>5252</v>
      </c>
      <c r="H3777" s="1" t="s">
        <v>5253</v>
      </c>
      <c r="J3777" s="1" t="s">
        <v>5254</v>
      </c>
      <c r="L3777" s="1" t="s">
        <v>1564</v>
      </c>
      <c r="N3777" s="1" t="s">
        <v>1565</v>
      </c>
      <c r="P3777" s="1" t="s">
        <v>12524</v>
      </c>
      <c r="Q3777" s="30" t="s">
        <v>2568</v>
      </c>
      <c r="R3777" s="33" t="s">
        <v>3475</v>
      </c>
      <c r="S3777">
        <v>37</v>
      </c>
      <c r="T3777" s="1" t="s">
        <v>13878</v>
      </c>
      <c r="U3777" s="1" t="str">
        <f>HYPERLINK("http://ictvonline.org/taxonomy/p/taxonomy-history?taxnode_id=202103694","ICTVonline=202103694")</f>
        <v>ICTVonline=202103694</v>
      </c>
    </row>
    <row r="3778" spans="1:21" x14ac:dyDescent="0.2">
      <c r="A3778" s="3">
        <v>3777</v>
      </c>
      <c r="B3778" s="1" t="s">
        <v>5250</v>
      </c>
      <c r="D3778" s="1" t="s">
        <v>5251</v>
      </c>
      <c r="F3778" s="1" t="s">
        <v>5252</v>
      </c>
      <c r="H3778" s="1" t="s">
        <v>5253</v>
      </c>
      <c r="J3778" s="1" t="s">
        <v>5254</v>
      </c>
      <c r="L3778" s="1" t="s">
        <v>1564</v>
      </c>
      <c r="N3778" s="1" t="s">
        <v>3133</v>
      </c>
      <c r="P3778" s="1" t="s">
        <v>12525</v>
      </c>
      <c r="Q3778" s="30" t="s">
        <v>2568</v>
      </c>
      <c r="R3778" s="33" t="s">
        <v>3475</v>
      </c>
      <c r="S3778">
        <v>37</v>
      </c>
      <c r="T3778" s="1" t="s">
        <v>13878</v>
      </c>
      <c r="U3778" s="1" t="str">
        <f>HYPERLINK("http://ictvonline.org/taxonomy/p/taxonomy-history?taxnode_id=202103696","ICTVonline=202103696")</f>
        <v>ICTVonline=202103696</v>
      </c>
    </row>
    <row r="3779" spans="1:21" x14ac:dyDescent="0.2">
      <c r="A3779" s="3">
        <v>3778</v>
      </c>
      <c r="B3779" s="1" t="s">
        <v>5250</v>
      </c>
      <c r="D3779" s="1" t="s">
        <v>5251</v>
      </c>
      <c r="F3779" s="1" t="s">
        <v>5252</v>
      </c>
      <c r="H3779" s="1" t="s">
        <v>5253</v>
      </c>
      <c r="J3779" s="1" t="s">
        <v>5254</v>
      </c>
      <c r="L3779" s="1" t="s">
        <v>1564</v>
      </c>
      <c r="N3779" s="1" t="s">
        <v>3133</v>
      </c>
      <c r="P3779" s="1" t="s">
        <v>12526</v>
      </c>
      <c r="Q3779" s="30" t="s">
        <v>2568</v>
      </c>
      <c r="R3779" s="33" t="s">
        <v>3475</v>
      </c>
      <c r="S3779">
        <v>37</v>
      </c>
      <c r="T3779" s="1" t="s">
        <v>13878</v>
      </c>
      <c r="U3779" s="1" t="str">
        <f>HYPERLINK("http://ictvonline.org/taxonomy/p/taxonomy-history?taxnode_id=202103697","ICTVonline=202103697")</f>
        <v>ICTVonline=202103697</v>
      </c>
    </row>
    <row r="3780" spans="1:21" x14ac:dyDescent="0.2">
      <c r="A3780" s="3">
        <v>3779</v>
      </c>
      <c r="B3780" s="1" t="s">
        <v>5250</v>
      </c>
      <c r="D3780" s="1" t="s">
        <v>5251</v>
      </c>
      <c r="F3780" s="1" t="s">
        <v>5252</v>
      </c>
      <c r="H3780" s="1" t="s">
        <v>5253</v>
      </c>
      <c r="J3780" s="1" t="s">
        <v>5254</v>
      </c>
      <c r="L3780" s="1" t="s">
        <v>1564</v>
      </c>
      <c r="N3780" s="1" t="s">
        <v>3133</v>
      </c>
      <c r="P3780" s="1" t="s">
        <v>12527</v>
      </c>
      <c r="Q3780" s="30" t="s">
        <v>2969</v>
      </c>
      <c r="R3780" s="33" t="s">
        <v>3472</v>
      </c>
      <c r="S3780">
        <v>37</v>
      </c>
      <c r="T3780" s="1" t="s">
        <v>13988</v>
      </c>
      <c r="U3780" s="1" t="str">
        <f>HYPERLINK("http://ictvonline.org/taxonomy/p/taxonomy-history?taxnode_id=202112619","ICTVonline=202112619")</f>
        <v>ICTVonline=202112619</v>
      </c>
    </row>
    <row r="3781" spans="1:21" x14ac:dyDescent="0.2">
      <c r="A3781" s="3">
        <v>3780</v>
      </c>
      <c r="B3781" s="1" t="s">
        <v>5250</v>
      </c>
      <c r="D3781" s="1" t="s">
        <v>5251</v>
      </c>
      <c r="F3781" s="1" t="s">
        <v>5252</v>
      </c>
      <c r="H3781" s="1" t="s">
        <v>5253</v>
      </c>
      <c r="J3781" s="1" t="s">
        <v>5254</v>
      </c>
      <c r="L3781" s="1" t="s">
        <v>1564</v>
      </c>
      <c r="N3781" s="1" t="s">
        <v>12528</v>
      </c>
      <c r="P3781" s="1" t="s">
        <v>12529</v>
      </c>
      <c r="Q3781" s="30" t="s">
        <v>2969</v>
      </c>
      <c r="R3781" s="33" t="s">
        <v>3472</v>
      </c>
      <c r="S3781">
        <v>37</v>
      </c>
      <c r="T3781" s="1" t="s">
        <v>13988</v>
      </c>
      <c r="U3781" s="1" t="str">
        <f>HYPERLINK("http://ictvonline.org/taxonomy/p/taxonomy-history?taxnode_id=202112629","ICTVonline=202112629")</f>
        <v>ICTVonline=202112629</v>
      </c>
    </row>
    <row r="3782" spans="1:21" x14ac:dyDescent="0.2">
      <c r="A3782" s="3">
        <v>3781</v>
      </c>
      <c r="B3782" s="1" t="s">
        <v>5250</v>
      </c>
      <c r="D3782" s="1" t="s">
        <v>5251</v>
      </c>
      <c r="F3782" s="1" t="s">
        <v>5252</v>
      </c>
      <c r="H3782" s="1" t="s">
        <v>5253</v>
      </c>
      <c r="J3782" s="1" t="s">
        <v>5254</v>
      </c>
      <c r="L3782" s="1" t="s">
        <v>1564</v>
      </c>
      <c r="N3782" s="1" t="s">
        <v>12528</v>
      </c>
      <c r="P3782" s="1" t="s">
        <v>12530</v>
      </c>
      <c r="Q3782" s="30" t="s">
        <v>2969</v>
      </c>
      <c r="R3782" s="33" t="s">
        <v>3472</v>
      </c>
      <c r="S3782">
        <v>37</v>
      </c>
      <c r="T3782" s="1" t="s">
        <v>13988</v>
      </c>
      <c r="U3782" s="1" t="str">
        <f>HYPERLINK("http://ictvonline.org/taxonomy/p/taxonomy-history?taxnode_id=202112628","ICTVonline=202112628")</f>
        <v>ICTVonline=202112628</v>
      </c>
    </row>
    <row r="3783" spans="1:21" x14ac:dyDescent="0.2">
      <c r="A3783" s="3">
        <v>3782</v>
      </c>
      <c r="B3783" s="1" t="s">
        <v>5250</v>
      </c>
      <c r="D3783" s="1" t="s">
        <v>5251</v>
      </c>
      <c r="F3783" s="1" t="s">
        <v>5252</v>
      </c>
      <c r="H3783" s="1" t="s">
        <v>5253</v>
      </c>
      <c r="J3783" s="1" t="s">
        <v>5254</v>
      </c>
      <c r="L3783" s="1" t="s">
        <v>1564</v>
      </c>
      <c r="N3783" s="1" t="s">
        <v>12528</v>
      </c>
      <c r="P3783" s="1" t="s">
        <v>12531</v>
      </c>
      <c r="Q3783" s="30" t="s">
        <v>2969</v>
      </c>
      <c r="R3783" s="33" t="s">
        <v>3472</v>
      </c>
      <c r="S3783">
        <v>37</v>
      </c>
      <c r="T3783" s="1" t="s">
        <v>13988</v>
      </c>
      <c r="U3783" s="1" t="str">
        <f>HYPERLINK("http://ictvonline.org/taxonomy/p/taxonomy-history?taxnode_id=202112626","ICTVonline=202112626")</f>
        <v>ICTVonline=202112626</v>
      </c>
    </row>
    <row r="3784" spans="1:21" x14ac:dyDescent="0.2">
      <c r="A3784" s="3">
        <v>3783</v>
      </c>
      <c r="B3784" s="1" t="s">
        <v>5250</v>
      </c>
      <c r="D3784" s="1" t="s">
        <v>5251</v>
      </c>
      <c r="F3784" s="1" t="s">
        <v>5252</v>
      </c>
      <c r="H3784" s="1" t="s">
        <v>5253</v>
      </c>
      <c r="J3784" s="1" t="s">
        <v>5254</v>
      </c>
      <c r="L3784" s="1" t="s">
        <v>1564</v>
      </c>
      <c r="N3784" s="1" t="s">
        <v>12528</v>
      </c>
      <c r="P3784" s="1" t="s">
        <v>12532</v>
      </c>
      <c r="Q3784" s="30" t="s">
        <v>2969</v>
      </c>
      <c r="R3784" s="33" t="s">
        <v>3472</v>
      </c>
      <c r="S3784">
        <v>37</v>
      </c>
      <c r="T3784" s="1" t="s">
        <v>13988</v>
      </c>
      <c r="U3784" s="1" t="str">
        <f>HYPERLINK("http://ictvonline.org/taxonomy/p/taxonomy-history?taxnode_id=202112627","ICTVonline=202112627")</f>
        <v>ICTVonline=202112627</v>
      </c>
    </row>
    <row r="3785" spans="1:21" x14ac:dyDescent="0.2">
      <c r="A3785" s="3">
        <v>3784</v>
      </c>
      <c r="B3785" s="1" t="s">
        <v>5250</v>
      </c>
      <c r="D3785" s="1" t="s">
        <v>5251</v>
      </c>
      <c r="F3785" s="1" t="s">
        <v>5252</v>
      </c>
      <c r="H3785" s="1" t="s">
        <v>5253</v>
      </c>
      <c r="J3785" s="1" t="s">
        <v>5254</v>
      </c>
      <c r="L3785" s="1" t="s">
        <v>1564</v>
      </c>
      <c r="N3785" s="1" t="s">
        <v>5261</v>
      </c>
      <c r="P3785" s="1" t="s">
        <v>12533</v>
      </c>
      <c r="Q3785" s="30" t="s">
        <v>2969</v>
      </c>
      <c r="R3785" s="33" t="s">
        <v>3475</v>
      </c>
      <c r="S3785">
        <v>37</v>
      </c>
      <c r="T3785" s="1" t="s">
        <v>13878</v>
      </c>
      <c r="U3785" s="1" t="str">
        <f>HYPERLINK("http://ictvonline.org/taxonomy/p/taxonomy-history?taxnode_id=202103708","ICTVonline=202103708")</f>
        <v>ICTVonline=202103708</v>
      </c>
    </row>
    <row r="3786" spans="1:21" x14ac:dyDescent="0.2">
      <c r="A3786" s="3">
        <v>3785</v>
      </c>
      <c r="B3786" s="1" t="s">
        <v>5250</v>
      </c>
      <c r="D3786" s="1" t="s">
        <v>5251</v>
      </c>
      <c r="F3786" s="1" t="s">
        <v>5252</v>
      </c>
      <c r="H3786" s="1" t="s">
        <v>5253</v>
      </c>
      <c r="J3786" s="1" t="s">
        <v>5254</v>
      </c>
      <c r="L3786" s="1" t="s">
        <v>1564</v>
      </c>
      <c r="N3786" s="1" t="s">
        <v>12534</v>
      </c>
      <c r="P3786" s="1" t="s">
        <v>12535</v>
      </c>
      <c r="Q3786" s="30" t="s">
        <v>2969</v>
      </c>
      <c r="R3786" s="33" t="s">
        <v>3472</v>
      </c>
      <c r="S3786">
        <v>37</v>
      </c>
      <c r="T3786" s="1" t="s">
        <v>13988</v>
      </c>
      <c r="U3786" s="1" t="str">
        <f>HYPERLINK("http://ictvonline.org/taxonomy/p/taxonomy-history?taxnode_id=202112631","ICTVonline=202112631")</f>
        <v>ICTVonline=202112631</v>
      </c>
    </row>
    <row r="3787" spans="1:21" x14ac:dyDescent="0.2">
      <c r="A3787" s="3">
        <v>3786</v>
      </c>
      <c r="B3787" s="1" t="s">
        <v>5250</v>
      </c>
      <c r="D3787" s="1" t="s">
        <v>5251</v>
      </c>
      <c r="F3787" s="1" t="s">
        <v>5252</v>
      </c>
      <c r="H3787" s="1" t="s">
        <v>5253</v>
      </c>
      <c r="J3787" s="1" t="s">
        <v>5254</v>
      </c>
      <c r="L3787" s="1" t="s">
        <v>1564</v>
      </c>
      <c r="N3787" s="1" t="s">
        <v>5262</v>
      </c>
      <c r="P3787" s="1" t="s">
        <v>12536</v>
      </c>
      <c r="Q3787" s="30" t="s">
        <v>2969</v>
      </c>
      <c r="R3787" s="33" t="s">
        <v>3475</v>
      </c>
      <c r="S3787">
        <v>37</v>
      </c>
      <c r="T3787" s="1" t="s">
        <v>13878</v>
      </c>
      <c r="U3787" s="1" t="str">
        <f>HYPERLINK("http://ictvonline.org/taxonomy/p/taxonomy-history?taxnode_id=202103706","ICTVonline=202103706")</f>
        <v>ICTVonline=202103706</v>
      </c>
    </row>
    <row r="3788" spans="1:21" x14ac:dyDescent="0.2">
      <c r="A3788" s="3">
        <v>3787</v>
      </c>
      <c r="B3788" s="1" t="s">
        <v>5250</v>
      </c>
      <c r="D3788" s="1" t="s">
        <v>5251</v>
      </c>
      <c r="F3788" s="1" t="s">
        <v>5252</v>
      </c>
      <c r="H3788" s="1" t="s">
        <v>5253</v>
      </c>
      <c r="J3788" s="1" t="s">
        <v>5254</v>
      </c>
      <c r="L3788" s="1" t="s">
        <v>1564</v>
      </c>
      <c r="N3788" s="1" t="s">
        <v>5262</v>
      </c>
      <c r="P3788" s="1" t="s">
        <v>12537</v>
      </c>
      <c r="Q3788" s="30" t="s">
        <v>2969</v>
      </c>
      <c r="R3788" s="33" t="s">
        <v>3472</v>
      </c>
      <c r="S3788">
        <v>37</v>
      </c>
      <c r="T3788" s="1" t="s">
        <v>13988</v>
      </c>
      <c r="U3788" s="1" t="str">
        <f>HYPERLINK("http://ictvonline.org/taxonomy/p/taxonomy-history?taxnode_id=202112620","ICTVonline=202112620")</f>
        <v>ICTVonline=202112620</v>
      </c>
    </row>
    <row r="3789" spans="1:21" x14ac:dyDescent="0.2">
      <c r="A3789" s="3">
        <v>3788</v>
      </c>
      <c r="B3789" s="1" t="s">
        <v>5250</v>
      </c>
      <c r="D3789" s="1" t="s">
        <v>5251</v>
      </c>
      <c r="F3789" s="1" t="s">
        <v>5252</v>
      </c>
      <c r="H3789" s="1" t="s">
        <v>5253</v>
      </c>
      <c r="J3789" s="1" t="s">
        <v>5254</v>
      </c>
      <c r="L3789" s="1" t="s">
        <v>1564</v>
      </c>
      <c r="N3789" s="1" t="s">
        <v>5263</v>
      </c>
      <c r="P3789" s="1" t="s">
        <v>12538</v>
      </c>
      <c r="Q3789" s="30" t="s">
        <v>2969</v>
      </c>
      <c r="R3789" s="33" t="s">
        <v>3475</v>
      </c>
      <c r="S3789">
        <v>37</v>
      </c>
      <c r="T3789" s="1" t="s">
        <v>13878</v>
      </c>
      <c r="U3789" s="1" t="str">
        <f>HYPERLINK("http://ictvonline.org/taxonomy/p/taxonomy-history?taxnode_id=202103711","ICTVonline=202103711")</f>
        <v>ICTVonline=202103711</v>
      </c>
    </row>
    <row r="3790" spans="1:21" x14ac:dyDescent="0.2">
      <c r="A3790" s="3">
        <v>3789</v>
      </c>
      <c r="B3790" s="1" t="s">
        <v>5250</v>
      </c>
      <c r="D3790" s="1" t="s">
        <v>5251</v>
      </c>
      <c r="F3790" s="1" t="s">
        <v>5252</v>
      </c>
      <c r="H3790" s="1" t="s">
        <v>5253</v>
      </c>
      <c r="J3790" s="1" t="s">
        <v>5254</v>
      </c>
      <c r="L3790" s="1" t="s">
        <v>1564</v>
      </c>
      <c r="N3790" s="1" t="s">
        <v>5264</v>
      </c>
      <c r="P3790" s="1" t="s">
        <v>12539</v>
      </c>
      <c r="Q3790" s="30" t="s">
        <v>2969</v>
      </c>
      <c r="R3790" s="33" t="s">
        <v>3472</v>
      </c>
      <c r="S3790">
        <v>37</v>
      </c>
      <c r="T3790" s="1" t="s">
        <v>13988</v>
      </c>
      <c r="U3790" s="1" t="str">
        <f>HYPERLINK("http://ictvonline.org/taxonomy/p/taxonomy-history?taxnode_id=202112618","ICTVonline=202112618")</f>
        <v>ICTVonline=202112618</v>
      </c>
    </row>
    <row r="3791" spans="1:21" x14ac:dyDescent="0.2">
      <c r="A3791" s="3">
        <v>3790</v>
      </c>
      <c r="B3791" s="1" t="s">
        <v>5250</v>
      </c>
      <c r="D3791" s="1" t="s">
        <v>5251</v>
      </c>
      <c r="F3791" s="1" t="s">
        <v>5252</v>
      </c>
      <c r="H3791" s="1" t="s">
        <v>5253</v>
      </c>
      <c r="J3791" s="1" t="s">
        <v>5254</v>
      </c>
      <c r="L3791" s="1" t="s">
        <v>1564</v>
      </c>
      <c r="N3791" s="1" t="s">
        <v>5264</v>
      </c>
      <c r="P3791" s="1" t="s">
        <v>12540</v>
      </c>
      <c r="Q3791" s="30" t="s">
        <v>2969</v>
      </c>
      <c r="R3791" s="33" t="s">
        <v>3475</v>
      </c>
      <c r="S3791">
        <v>37</v>
      </c>
      <c r="T3791" s="1" t="s">
        <v>13878</v>
      </c>
      <c r="U3791" s="1" t="str">
        <f>HYPERLINK("http://ictvonline.org/taxonomy/p/taxonomy-history?taxnode_id=202103709","ICTVonline=202103709")</f>
        <v>ICTVonline=202103709</v>
      </c>
    </row>
    <row r="3792" spans="1:21" x14ac:dyDescent="0.2">
      <c r="A3792" s="3">
        <v>3791</v>
      </c>
      <c r="B3792" s="1" t="s">
        <v>5250</v>
      </c>
      <c r="D3792" s="1" t="s">
        <v>5251</v>
      </c>
      <c r="F3792" s="1" t="s">
        <v>5252</v>
      </c>
      <c r="H3792" s="1" t="s">
        <v>5253</v>
      </c>
      <c r="J3792" s="1" t="s">
        <v>5254</v>
      </c>
      <c r="L3792" s="1" t="s">
        <v>1564</v>
      </c>
      <c r="N3792" s="1" t="s">
        <v>3134</v>
      </c>
      <c r="P3792" s="1" t="s">
        <v>12541</v>
      </c>
      <c r="Q3792" s="30" t="s">
        <v>2568</v>
      </c>
      <c r="R3792" s="33" t="s">
        <v>3475</v>
      </c>
      <c r="S3792">
        <v>37</v>
      </c>
      <c r="T3792" s="1" t="s">
        <v>13878</v>
      </c>
      <c r="U3792" s="1" t="str">
        <f>HYPERLINK("http://ictvonline.org/taxonomy/p/taxonomy-history?taxnode_id=202103701","ICTVonline=202103701")</f>
        <v>ICTVonline=202103701</v>
      </c>
    </row>
    <row r="3793" spans="1:21" x14ac:dyDescent="0.2">
      <c r="A3793" s="3">
        <v>3792</v>
      </c>
      <c r="B3793" s="1" t="s">
        <v>5250</v>
      </c>
      <c r="D3793" s="1" t="s">
        <v>5251</v>
      </c>
      <c r="F3793" s="1" t="s">
        <v>5252</v>
      </c>
      <c r="H3793" s="1" t="s">
        <v>5253</v>
      </c>
      <c r="J3793" s="1" t="s">
        <v>5254</v>
      </c>
      <c r="L3793" s="1" t="s">
        <v>1564</v>
      </c>
      <c r="N3793" s="1" t="s">
        <v>3134</v>
      </c>
      <c r="P3793" s="1" t="s">
        <v>12542</v>
      </c>
      <c r="Q3793" s="30" t="s">
        <v>2568</v>
      </c>
      <c r="R3793" s="33" t="s">
        <v>3475</v>
      </c>
      <c r="S3793">
        <v>37</v>
      </c>
      <c r="T3793" s="1" t="s">
        <v>13878</v>
      </c>
      <c r="U3793" s="1" t="str">
        <f>HYPERLINK("http://ictvonline.org/taxonomy/p/taxonomy-history?taxnode_id=202103702","ICTVonline=202103702")</f>
        <v>ICTVonline=202103702</v>
      </c>
    </row>
    <row r="3794" spans="1:21" x14ac:dyDescent="0.2">
      <c r="A3794" s="3">
        <v>3793</v>
      </c>
      <c r="B3794" s="1" t="s">
        <v>5250</v>
      </c>
      <c r="D3794" s="1" t="s">
        <v>5251</v>
      </c>
      <c r="F3794" s="1" t="s">
        <v>5252</v>
      </c>
      <c r="H3794" s="1" t="s">
        <v>5253</v>
      </c>
      <c r="J3794" s="1" t="s">
        <v>5254</v>
      </c>
      <c r="L3794" s="1" t="s">
        <v>1564</v>
      </c>
      <c r="N3794" s="1" t="s">
        <v>5265</v>
      </c>
      <c r="P3794" s="1" t="s">
        <v>12543</v>
      </c>
      <c r="Q3794" s="30" t="s">
        <v>2969</v>
      </c>
      <c r="R3794" s="33" t="s">
        <v>3475</v>
      </c>
      <c r="S3794">
        <v>37</v>
      </c>
      <c r="T3794" s="1" t="s">
        <v>13878</v>
      </c>
      <c r="U3794" s="1" t="str">
        <f>HYPERLINK("http://ictvonline.org/taxonomy/p/taxonomy-history?taxnode_id=202103712","ICTVonline=202103712")</f>
        <v>ICTVonline=202103712</v>
      </c>
    </row>
    <row r="3795" spans="1:21" x14ac:dyDescent="0.2">
      <c r="A3795" s="3">
        <v>3794</v>
      </c>
      <c r="B3795" s="1" t="s">
        <v>5250</v>
      </c>
      <c r="D3795" s="1" t="s">
        <v>5251</v>
      </c>
      <c r="F3795" s="1" t="s">
        <v>5252</v>
      </c>
      <c r="H3795" s="1" t="s">
        <v>5253</v>
      </c>
      <c r="J3795" s="1" t="s">
        <v>5254</v>
      </c>
      <c r="L3795" s="1" t="s">
        <v>1564</v>
      </c>
      <c r="N3795" s="1" t="s">
        <v>12544</v>
      </c>
      <c r="P3795" s="1" t="s">
        <v>12545</v>
      </c>
      <c r="Q3795" s="30" t="s">
        <v>2969</v>
      </c>
      <c r="R3795" s="33" t="s">
        <v>3472</v>
      </c>
      <c r="S3795">
        <v>37</v>
      </c>
      <c r="T3795" s="1" t="s">
        <v>13988</v>
      </c>
      <c r="U3795" s="1" t="str">
        <f>HYPERLINK("http://ictvonline.org/taxonomy/p/taxonomy-history?taxnode_id=202112633","ICTVonline=202112633")</f>
        <v>ICTVonline=202112633</v>
      </c>
    </row>
    <row r="3796" spans="1:21" x14ac:dyDescent="0.2">
      <c r="A3796" s="3">
        <v>3795</v>
      </c>
      <c r="B3796" s="1" t="s">
        <v>5250</v>
      </c>
      <c r="D3796" s="1" t="s">
        <v>5251</v>
      </c>
      <c r="F3796" s="1" t="s">
        <v>5252</v>
      </c>
      <c r="H3796" s="1" t="s">
        <v>5253</v>
      </c>
      <c r="J3796" s="1" t="s">
        <v>5254</v>
      </c>
      <c r="L3796" s="1" t="s">
        <v>1564</v>
      </c>
      <c r="N3796" s="1" t="s">
        <v>5266</v>
      </c>
      <c r="P3796" s="1" t="s">
        <v>12546</v>
      </c>
      <c r="Q3796" s="30" t="s">
        <v>2969</v>
      </c>
      <c r="R3796" s="33" t="s">
        <v>3475</v>
      </c>
      <c r="S3796">
        <v>37</v>
      </c>
      <c r="T3796" s="1" t="s">
        <v>13878</v>
      </c>
      <c r="U3796" s="1" t="str">
        <f>HYPERLINK("http://ictvonline.org/taxonomy/p/taxonomy-history?taxnode_id=202103714","ICTVonline=202103714")</f>
        <v>ICTVonline=202103714</v>
      </c>
    </row>
    <row r="3797" spans="1:21" x14ac:dyDescent="0.2">
      <c r="A3797" s="3">
        <v>3796</v>
      </c>
      <c r="B3797" s="1" t="s">
        <v>5250</v>
      </c>
      <c r="D3797" s="1" t="s">
        <v>5251</v>
      </c>
      <c r="F3797" s="1" t="s">
        <v>5252</v>
      </c>
      <c r="H3797" s="1" t="s">
        <v>5253</v>
      </c>
      <c r="J3797" s="1" t="s">
        <v>5254</v>
      </c>
      <c r="L3797" s="1" t="s">
        <v>1564</v>
      </c>
      <c r="N3797" s="1" t="s">
        <v>5267</v>
      </c>
      <c r="P3797" s="1" t="s">
        <v>12547</v>
      </c>
      <c r="Q3797" s="30" t="s">
        <v>2969</v>
      </c>
      <c r="R3797" s="33" t="s">
        <v>3475</v>
      </c>
      <c r="S3797">
        <v>37</v>
      </c>
      <c r="T3797" s="1" t="s">
        <v>13878</v>
      </c>
      <c r="U3797" s="1" t="str">
        <f>HYPERLINK("http://ictvonline.org/taxonomy/p/taxonomy-history?taxnode_id=202103713","ICTVonline=202103713")</f>
        <v>ICTVonline=202103713</v>
      </c>
    </row>
    <row r="3798" spans="1:21" x14ac:dyDescent="0.2">
      <c r="A3798" s="3">
        <v>3797</v>
      </c>
      <c r="B3798" s="1" t="s">
        <v>5250</v>
      </c>
      <c r="D3798" s="1" t="s">
        <v>5251</v>
      </c>
      <c r="F3798" s="1" t="s">
        <v>5252</v>
      </c>
      <c r="H3798" s="1" t="s">
        <v>5253</v>
      </c>
      <c r="J3798" s="1" t="s">
        <v>5254</v>
      </c>
      <c r="L3798" s="1" t="s">
        <v>1564</v>
      </c>
      <c r="N3798" s="1" t="s">
        <v>5268</v>
      </c>
      <c r="P3798" s="1" t="s">
        <v>12548</v>
      </c>
      <c r="Q3798" s="30" t="s">
        <v>2969</v>
      </c>
      <c r="R3798" s="33" t="s">
        <v>3475</v>
      </c>
      <c r="S3798">
        <v>37</v>
      </c>
      <c r="T3798" s="1" t="s">
        <v>13878</v>
      </c>
      <c r="U3798" s="1" t="str">
        <f>HYPERLINK("http://ictvonline.org/taxonomy/p/taxonomy-history?taxnode_id=202103707","ICTVonline=202103707")</f>
        <v>ICTVonline=202103707</v>
      </c>
    </row>
    <row r="3799" spans="1:21" x14ac:dyDescent="0.2">
      <c r="A3799" s="3">
        <v>3798</v>
      </c>
      <c r="B3799" s="1" t="s">
        <v>5250</v>
      </c>
      <c r="D3799" s="1" t="s">
        <v>5251</v>
      </c>
      <c r="F3799" s="1" t="s">
        <v>5252</v>
      </c>
      <c r="H3799" s="1" t="s">
        <v>5253</v>
      </c>
      <c r="J3799" s="1" t="s">
        <v>5254</v>
      </c>
      <c r="L3799" s="1" t="s">
        <v>1564</v>
      </c>
      <c r="N3799" s="1" t="s">
        <v>12549</v>
      </c>
      <c r="P3799" s="1" t="s">
        <v>12550</v>
      </c>
      <c r="Q3799" s="30" t="s">
        <v>2969</v>
      </c>
      <c r="R3799" s="33" t="s">
        <v>3472</v>
      </c>
      <c r="S3799">
        <v>37</v>
      </c>
      <c r="T3799" s="1" t="s">
        <v>13988</v>
      </c>
      <c r="U3799" s="1" t="str">
        <f>HYPERLINK("http://ictvonline.org/taxonomy/p/taxonomy-history?taxnode_id=202112624","ICTVonline=202112624")</f>
        <v>ICTVonline=202112624</v>
      </c>
    </row>
    <row r="3800" spans="1:21" x14ac:dyDescent="0.2">
      <c r="A3800" s="3">
        <v>3799</v>
      </c>
      <c r="B3800" s="1" t="s">
        <v>5250</v>
      </c>
      <c r="D3800" s="1" t="s">
        <v>5251</v>
      </c>
      <c r="F3800" s="1" t="s">
        <v>5252</v>
      </c>
      <c r="H3800" s="1" t="s">
        <v>5253</v>
      </c>
      <c r="J3800" s="1" t="s">
        <v>5254</v>
      </c>
      <c r="L3800" s="1" t="s">
        <v>1564</v>
      </c>
      <c r="N3800" s="1" t="s">
        <v>5270</v>
      </c>
      <c r="P3800" s="1" t="s">
        <v>12551</v>
      </c>
      <c r="Q3800" s="30" t="s">
        <v>2969</v>
      </c>
      <c r="R3800" s="33" t="s">
        <v>3472</v>
      </c>
      <c r="S3800">
        <v>37</v>
      </c>
      <c r="T3800" s="1" t="s">
        <v>13988</v>
      </c>
      <c r="U3800" s="1" t="str">
        <f>HYPERLINK("http://ictvonline.org/taxonomy/p/taxonomy-history?taxnode_id=202112616","ICTVonline=202112616")</f>
        <v>ICTVonline=202112616</v>
      </c>
    </row>
    <row r="3801" spans="1:21" x14ac:dyDescent="0.2">
      <c r="A3801" s="3">
        <v>3800</v>
      </c>
      <c r="B3801" s="1" t="s">
        <v>5250</v>
      </c>
      <c r="D3801" s="1" t="s">
        <v>5251</v>
      </c>
      <c r="F3801" s="1" t="s">
        <v>5252</v>
      </c>
      <c r="H3801" s="1" t="s">
        <v>5253</v>
      </c>
      <c r="J3801" s="1" t="s">
        <v>5254</v>
      </c>
      <c r="L3801" s="1" t="s">
        <v>1564</v>
      </c>
      <c r="N3801" s="1" t="s">
        <v>5270</v>
      </c>
      <c r="P3801" s="1" t="s">
        <v>12552</v>
      </c>
      <c r="Q3801" s="30" t="s">
        <v>2969</v>
      </c>
      <c r="R3801" s="33" t="s">
        <v>3475</v>
      </c>
      <c r="S3801">
        <v>37</v>
      </c>
      <c r="T3801" s="1" t="s">
        <v>13878</v>
      </c>
      <c r="U3801" s="1" t="str">
        <f>HYPERLINK("http://ictvonline.org/taxonomy/p/taxonomy-history?taxnode_id=202103719","ICTVonline=202103719")</f>
        <v>ICTVonline=202103719</v>
      </c>
    </row>
    <row r="3802" spans="1:21" x14ac:dyDescent="0.2">
      <c r="A3802" s="3">
        <v>3801</v>
      </c>
      <c r="B3802" s="1" t="s">
        <v>5250</v>
      </c>
      <c r="D3802" s="1" t="s">
        <v>5251</v>
      </c>
      <c r="F3802" s="1" t="s">
        <v>5252</v>
      </c>
      <c r="H3802" s="1" t="s">
        <v>5253</v>
      </c>
      <c r="J3802" s="1" t="s">
        <v>5254</v>
      </c>
      <c r="L3802" s="1" t="s">
        <v>1564</v>
      </c>
      <c r="N3802" s="1" t="s">
        <v>5271</v>
      </c>
      <c r="P3802" s="1" t="s">
        <v>12553</v>
      </c>
      <c r="Q3802" s="30" t="s">
        <v>2969</v>
      </c>
      <c r="R3802" s="33" t="s">
        <v>3475</v>
      </c>
      <c r="S3802">
        <v>37</v>
      </c>
      <c r="T3802" s="1" t="s">
        <v>13878</v>
      </c>
      <c r="U3802" s="1" t="str">
        <f>HYPERLINK("http://ictvonline.org/taxonomy/p/taxonomy-history?taxnode_id=202103717","ICTVonline=202103717")</f>
        <v>ICTVonline=202103717</v>
      </c>
    </row>
    <row r="3803" spans="1:21" x14ac:dyDescent="0.2">
      <c r="A3803" s="3">
        <v>3802</v>
      </c>
      <c r="B3803" s="1" t="s">
        <v>5250</v>
      </c>
      <c r="D3803" s="1" t="s">
        <v>5251</v>
      </c>
      <c r="F3803" s="1" t="s">
        <v>5252</v>
      </c>
      <c r="H3803" s="1" t="s">
        <v>5253</v>
      </c>
      <c r="J3803" s="1" t="s">
        <v>5254</v>
      </c>
      <c r="L3803" s="1" t="s">
        <v>1564</v>
      </c>
      <c r="N3803" s="1" t="s">
        <v>5272</v>
      </c>
      <c r="P3803" s="1" t="s">
        <v>12554</v>
      </c>
      <c r="Q3803" s="30" t="s">
        <v>2969</v>
      </c>
      <c r="R3803" s="33" t="s">
        <v>3472</v>
      </c>
      <c r="S3803">
        <v>37</v>
      </c>
      <c r="T3803" s="1" t="s">
        <v>13988</v>
      </c>
      <c r="U3803" s="1" t="str">
        <f>HYPERLINK("http://ictvonline.org/taxonomy/p/taxonomy-history?taxnode_id=202112615","ICTVonline=202112615")</f>
        <v>ICTVonline=202112615</v>
      </c>
    </row>
    <row r="3804" spans="1:21" x14ac:dyDescent="0.2">
      <c r="A3804" s="3">
        <v>3803</v>
      </c>
      <c r="B3804" s="1" t="s">
        <v>5250</v>
      </c>
      <c r="D3804" s="1" t="s">
        <v>5251</v>
      </c>
      <c r="F3804" s="1" t="s">
        <v>5252</v>
      </c>
      <c r="H3804" s="1" t="s">
        <v>5253</v>
      </c>
      <c r="J3804" s="1" t="s">
        <v>5254</v>
      </c>
      <c r="L3804" s="1" t="s">
        <v>1564</v>
      </c>
      <c r="N3804" s="1" t="s">
        <v>5272</v>
      </c>
      <c r="P3804" s="1" t="s">
        <v>12555</v>
      </c>
      <c r="Q3804" s="30" t="s">
        <v>2969</v>
      </c>
      <c r="R3804" s="33" t="s">
        <v>3475</v>
      </c>
      <c r="S3804">
        <v>37</v>
      </c>
      <c r="T3804" s="1" t="s">
        <v>13878</v>
      </c>
      <c r="U3804" s="1" t="str">
        <f>HYPERLINK("http://ictvonline.org/taxonomy/p/taxonomy-history?taxnode_id=202103718","ICTVonline=202103718")</f>
        <v>ICTVonline=202103718</v>
      </c>
    </row>
    <row r="3805" spans="1:21" x14ac:dyDescent="0.2">
      <c r="A3805" s="3">
        <v>3804</v>
      </c>
      <c r="B3805" s="1" t="s">
        <v>5250</v>
      </c>
      <c r="D3805" s="1" t="s">
        <v>5251</v>
      </c>
      <c r="F3805" s="1" t="s">
        <v>5252</v>
      </c>
      <c r="H3805" s="1" t="s">
        <v>5253</v>
      </c>
      <c r="J3805" s="1" t="s">
        <v>5254</v>
      </c>
      <c r="L3805" s="1" t="s">
        <v>1564</v>
      </c>
      <c r="N3805" s="1" t="s">
        <v>5273</v>
      </c>
      <c r="P3805" s="1" t="s">
        <v>12556</v>
      </c>
      <c r="Q3805" s="30" t="s">
        <v>2969</v>
      </c>
      <c r="R3805" s="33" t="s">
        <v>3472</v>
      </c>
      <c r="S3805">
        <v>37</v>
      </c>
      <c r="T3805" s="1" t="s">
        <v>13988</v>
      </c>
      <c r="U3805" s="1" t="str">
        <f>HYPERLINK("http://ictvonline.org/taxonomy/p/taxonomy-history?taxnode_id=202112617","ICTVonline=202112617")</f>
        <v>ICTVonline=202112617</v>
      </c>
    </row>
    <row r="3806" spans="1:21" x14ac:dyDescent="0.2">
      <c r="A3806" s="3">
        <v>3805</v>
      </c>
      <c r="B3806" s="1" t="s">
        <v>5250</v>
      </c>
      <c r="D3806" s="1" t="s">
        <v>5251</v>
      </c>
      <c r="F3806" s="1" t="s">
        <v>5252</v>
      </c>
      <c r="H3806" s="1" t="s">
        <v>5253</v>
      </c>
      <c r="J3806" s="1" t="s">
        <v>5254</v>
      </c>
      <c r="L3806" s="1" t="s">
        <v>1564</v>
      </c>
      <c r="N3806" s="1" t="s">
        <v>5273</v>
      </c>
      <c r="P3806" s="1" t="s">
        <v>12557</v>
      </c>
      <c r="Q3806" s="30" t="s">
        <v>2969</v>
      </c>
      <c r="R3806" s="33" t="s">
        <v>3475</v>
      </c>
      <c r="S3806">
        <v>37</v>
      </c>
      <c r="T3806" s="1" t="s">
        <v>13878</v>
      </c>
      <c r="U3806" s="1" t="str">
        <f>HYPERLINK("http://ictvonline.org/taxonomy/p/taxonomy-history?taxnode_id=202106876","ICTVonline=202106876")</f>
        <v>ICTVonline=202106876</v>
      </c>
    </row>
    <row r="3807" spans="1:21" x14ac:dyDescent="0.2">
      <c r="A3807" s="3">
        <v>3806</v>
      </c>
      <c r="B3807" s="1" t="s">
        <v>5250</v>
      </c>
      <c r="D3807" s="1" t="s">
        <v>5251</v>
      </c>
      <c r="F3807" s="1" t="s">
        <v>5252</v>
      </c>
      <c r="H3807" s="1" t="s">
        <v>5253</v>
      </c>
      <c r="J3807" s="1" t="s">
        <v>5254</v>
      </c>
      <c r="L3807" s="1" t="s">
        <v>6265</v>
      </c>
      <c r="N3807" s="1" t="s">
        <v>5256</v>
      </c>
      <c r="P3807" s="1" t="s">
        <v>12558</v>
      </c>
      <c r="Q3807" s="30" t="s">
        <v>2969</v>
      </c>
      <c r="R3807" s="33" t="s">
        <v>3475</v>
      </c>
      <c r="S3807">
        <v>37</v>
      </c>
      <c r="T3807" s="1" t="s">
        <v>13878</v>
      </c>
      <c r="U3807" s="1" t="str">
        <f>HYPERLINK("http://ictvonline.org/taxonomy/p/taxonomy-history?taxnode_id=202103705","ICTVonline=202103705")</f>
        <v>ICTVonline=202103705</v>
      </c>
    </row>
    <row r="3808" spans="1:21" x14ac:dyDescent="0.2">
      <c r="A3808" s="3">
        <v>3807</v>
      </c>
      <c r="B3808" s="1" t="s">
        <v>5250</v>
      </c>
      <c r="D3808" s="1" t="s">
        <v>5251</v>
      </c>
      <c r="F3808" s="1" t="s">
        <v>5252</v>
      </c>
      <c r="H3808" s="1" t="s">
        <v>5253</v>
      </c>
      <c r="J3808" s="1" t="s">
        <v>5254</v>
      </c>
      <c r="L3808" s="1" t="s">
        <v>6265</v>
      </c>
      <c r="N3808" s="1" t="s">
        <v>5269</v>
      </c>
      <c r="P3808" s="1" t="s">
        <v>12559</v>
      </c>
      <c r="Q3808" s="30" t="s">
        <v>2969</v>
      </c>
      <c r="R3808" s="33" t="s">
        <v>3475</v>
      </c>
      <c r="S3808">
        <v>37</v>
      </c>
      <c r="T3808" s="1" t="s">
        <v>13878</v>
      </c>
      <c r="U3808" s="1" t="str">
        <f>HYPERLINK("http://ictvonline.org/taxonomy/p/taxonomy-history?taxnode_id=202106877","ICTVonline=202106877")</f>
        <v>ICTVonline=202106877</v>
      </c>
    </row>
    <row r="3809" spans="1:21" x14ac:dyDescent="0.2">
      <c r="A3809" s="3">
        <v>3808</v>
      </c>
      <c r="B3809" s="1" t="s">
        <v>5250</v>
      </c>
      <c r="D3809" s="1" t="s">
        <v>5251</v>
      </c>
      <c r="F3809" s="1" t="s">
        <v>5252</v>
      </c>
      <c r="H3809" s="1" t="s">
        <v>5253</v>
      </c>
      <c r="J3809" s="1" t="s">
        <v>5254</v>
      </c>
      <c r="L3809" s="1" t="s">
        <v>5274</v>
      </c>
      <c r="N3809" s="1" t="s">
        <v>930</v>
      </c>
      <c r="P3809" s="1" t="s">
        <v>12560</v>
      </c>
      <c r="Q3809" s="30" t="s">
        <v>2969</v>
      </c>
      <c r="R3809" s="33" t="s">
        <v>3475</v>
      </c>
      <c r="S3809">
        <v>37</v>
      </c>
      <c r="T3809" s="1" t="s">
        <v>13878</v>
      </c>
      <c r="U3809" s="1" t="str">
        <f>HYPERLINK("http://ictvonline.org/taxonomy/p/taxonomy-history?taxnode_id=202103699","ICTVonline=202103699")</f>
        <v>ICTVonline=202103699</v>
      </c>
    </row>
    <row r="3810" spans="1:21" x14ac:dyDescent="0.2">
      <c r="A3810" s="3">
        <v>3809</v>
      </c>
      <c r="B3810" s="1" t="s">
        <v>5250</v>
      </c>
      <c r="D3810" s="1" t="s">
        <v>5251</v>
      </c>
      <c r="F3810" s="1" t="s">
        <v>5252</v>
      </c>
      <c r="H3810" s="1" t="s">
        <v>5253</v>
      </c>
      <c r="J3810" s="1" t="s">
        <v>5254</v>
      </c>
      <c r="L3810" s="1" t="s">
        <v>5274</v>
      </c>
      <c r="N3810" s="1" t="s">
        <v>5275</v>
      </c>
      <c r="P3810" s="1" t="s">
        <v>12561</v>
      </c>
      <c r="Q3810" s="30" t="s">
        <v>2969</v>
      </c>
      <c r="R3810" s="33" t="s">
        <v>3475</v>
      </c>
      <c r="S3810">
        <v>37</v>
      </c>
      <c r="T3810" s="1" t="s">
        <v>13878</v>
      </c>
      <c r="U3810" s="1" t="str">
        <f>HYPERLINK("http://ictvonline.org/taxonomy/p/taxonomy-history?taxnode_id=202103710","ICTVonline=202103710")</f>
        <v>ICTVonline=202103710</v>
      </c>
    </row>
    <row r="3811" spans="1:21" x14ac:dyDescent="0.2">
      <c r="A3811" s="3">
        <v>3810</v>
      </c>
      <c r="B3811" s="1" t="s">
        <v>5250</v>
      </c>
      <c r="D3811" s="1" t="s">
        <v>5251</v>
      </c>
      <c r="F3811" s="1" t="s">
        <v>5252</v>
      </c>
      <c r="H3811" s="1" t="s">
        <v>5253</v>
      </c>
      <c r="J3811" s="1" t="s">
        <v>5254</v>
      </c>
      <c r="L3811" s="1" t="s">
        <v>5274</v>
      </c>
      <c r="N3811" s="1" t="s">
        <v>3135</v>
      </c>
      <c r="P3811" s="1" t="s">
        <v>12562</v>
      </c>
      <c r="Q3811" s="30" t="s">
        <v>2969</v>
      </c>
      <c r="R3811" s="33" t="s">
        <v>3475</v>
      </c>
      <c r="S3811">
        <v>37</v>
      </c>
      <c r="T3811" s="1" t="s">
        <v>13878</v>
      </c>
      <c r="U3811" s="1" t="str">
        <f>HYPERLINK("http://ictvonline.org/taxonomy/p/taxonomy-history?taxnode_id=202103722","ICTVonline=202103722")</f>
        <v>ICTVonline=202103722</v>
      </c>
    </row>
    <row r="3812" spans="1:21" x14ac:dyDescent="0.2">
      <c r="A3812" s="3">
        <v>3811</v>
      </c>
      <c r="B3812" s="1" t="s">
        <v>5250</v>
      </c>
      <c r="D3812" s="1" t="s">
        <v>5251</v>
      </c>
      <c r="F3812" s="1" t="s">
        <v>5252</v>
      </c>
      <c r="H3812" s="1" t="s">
        <v>5253</v>
      </c>
      <c r="J3812" s="1" t="s">
        <v>5254</v>
      </c>
      <c r="L3812" s="1" t="s">
        <v>5274</v>
      </c>
      <c r="N3812" s="1" t="s">
        <v>3135</v>
      </c>
      <c r="P3812" s="1" t="s">
        <v>12563</v>
      </c>
      <c r="Q3812" s="30" t="s">
        <v>2969</v>
      </c>
      <c r="R3812" s="33" t="s">
        <v>3475</v>
      </c>
      <c r="S3812">
        <v>37</v>
      </c>
      <c r="T3812" s="1" t="s">
        <v>13878</v>
      </c>
      <c r="U3812" s="1" t="str">
        <f>HYPERLINK("http://ictvonline.org/taxonomy/p/taxonomy-history?taxnode_id=202103723","ICTVonline=202103723")</f>
        <v>ICTVonline=202103723</v>
      </c>
    </row>
    <row r="3813" spans="1:21" x14ac:dyDescent="0.2">
      <c r="A3813" s="3">
        <v>3812</v>
      </c>
      <c r="B3813" s="1" t="s">
        <v>5250</v>
      </c>
      <c r="D3813" s="1" t="s">
        <v>5251</v>
      </c>
      <c r="F3813" s="1" t="s">
        <v>5252</v>
      </c>
      <c r="H3813" s="1" t="s">
        <v>5253</v>
      </c>
      <c r="J3813" s="1" t="s">
        <v>5254</v>
      </c>
      <c r="L3813" s="1" t="s">
        <v>5274</v>
      </c>
      <c r="N3813" s="1" t="s">
        <v>3135</v>
      </c>
      <c r="P3813" s="1" t="s">
        <v>12564</v>
      </c>
      <c r="Q3813" s="30" t="s">
        <v>2969</v>
      </c>
      <c r="R3813" s="33" t="s">
        <v>3475</v>
      </c>
      <c r="S3813">
        <v>37</v>
      </c>
      <c r="T3813" s="1" t="s">
        <v>13878</v>
      </c>
      <c r="U3813" s="1" t="str">
        <f>HYPERLINK("http://ictvonline.org/taxonomy/p/taxonomy-history?taxnode_id=202103724","ICTVonline=202103724")</f>
        <v>ICTVonline=202103724</v>
      </c>
    </row>
    <row r="3814" spans="1:21" x14ac:dyDescent="0.2">
      <c r="A3814" s="3">
        <v>3813</v>
      </c>
      <c r="B3814" s="1" t="s">
        <v>5250</v>
      </c>
      <c r="D3814" s="1" t="s">
        <v>5251</v>
      </c>
      <c r="F3814" s="1" t="s">
        <v>5252</v>
      </c>
      <c r="H3814" s="1" t="s">
        <v>5253</v>
      </c>
      <c r="J3814" s="1" t="s">
        <v>5254</v>
      </c>
      <c r="L3814" s="1" t="s">
        <v>5274</v>
      </c>
      <c r="N3814" s="1" t="s">
        <v>12565</v>
      </c>
      <c r="P3814" s="1" t="s">
        <v>12566</v>
      </c>
      <c r="Q3814" s="30" t="s">
        <v>2969</v>
      </c>
      <c r="R3814" s="33" t="s">
        <v>3472</v>
      </c>
      <c r="S3814">
        <v>37</v>
      </c>
      <c r="T3814" s="1" t="s">
        <v>13988</v>
      </c>
      <c r="U3814" s="1" t="str">
        <f>HYPERLINK("http://ictvonline.org/taxonomy/p/taxonomy-history?taxnode_id=202112635","ICTVonline=202112635")</f>
        <v>ICTVonline=202112635</v>
      </c>
    </row>
    <row r="3815" spans="1:21" x14ac:dyDescent="0.2">
      <c r="A3815" s="3">
        <v>3814</v>
      </c>
      <c r="B3815" s="1" t="s">
        <v>5250</v>
      </c>
      <c r="D3815" s="1" t="s">
        <v>5276</v>
      </c>
      <c r="F3815" s="1" t="s">
        <v>5277</v>
      </c>
      <c r="H3815" s="1" t="s">
        <v>5278</v>
      </c>
      <c r="J3815" s="1" t="s">
        <v>5279</v>
      </c>
      <c r="L3815" s="1" t="s">
        <v>1567</v>
      </c>
      <c r="M3815" s="1" t="s">
        <v>2976</v>
      </c>
      <c r="N3815" s="1" t="s">
        <v>4866</v>
      </c>
      <c r="P3815" s="1" t="s">
        <v>12567</v>
      </c>
      <c r="Q3815" s="30" t="s">
        <v>2568</v>
      </c>
      <c r="R3815" s="33" t="s">
        <v>3475</v>
      </c>
      <c r="S3815">
        <v>37</v>
      </c>
      <c r="T3815" s="1" t="s">
        <v>13878</v>
      </c>
      <c r="U3815" s="1" t="str">
        <f>HYPERLINK("http://ictvonline.org/taxonomy/p/taxonomy-history?taxnode_id=202103858","ICTVonline=202103858")</f>
        <v>ICTVonline=202103858</v>
      </c>
    </row>
    <row r="3816" spans="1:21" x14ac:dyDescent="0.2">
      <c r="A3816" s="3">
        <v>3815</v>
      </c>
      <c r="B3816" s="1" t="s">
        <v>5250</v>
      </c>
      <c r="D3816" s="1" t="s">
        <v>5276</v>
      </c>
      <c r="F3816" s="1" t="s">
        <v>5277</v>
      </c>
      <c r="H3816" s="1" t="s">
        <v>5278</v>
      </c>
      <c r="J3816" s="1" t="s">
        <v>5279</v>
      </c>
      <c r="L3816" s="1" t="s">
        <v>1567</v>
      </c>
      <c r="M3816" s="1" t="s">
        <v>2976</v>
      </c>
      <c r="N3816" s="1" t="s">
        <v>4866</v>
      </c>
      <c r="P3816" s="1" t="s">
        <v>12568</v>
      </c>
      <c r="Q3816" s="30" t="s">
        <v>2568</v>
      </c>
      <c r="R3816" s="33" t="s">
        <v>3475</v>
      </c>
      <c r="S3816">
        <v>37</v>
      </c>
      <c r="T3816" s="1" t="s">
        <v>13878</v>
      </c>
      <c r="U3816" s="1" t="str">
        <f>HYPERLINK("http://ictvonline.org/taxonomy/p/taxonomy-history?taxnode_id=202103859","ICTVonline=202103859")</f>
        <v>ICTVonline=202103859</v>
      </c>
    </row>
    <row r="3817" spans="1:21" x14ac:dyDescent="0.2">
      <c r="A3817" s="3">
        <v>3816</v>
      </c>
      <c r="B3817" s="1" t="s">
        <v>5250</v>
      </c>
      <c r="D3817" s="1" t="s">
        <v>5276</v>
      </c>
      <c r="F3817" s="1" t="s">
        <v>5277</v>
      </c>
      <c r="H3817" s="1" t="s">
        <v>5278</v>
      </c>
      <c r="J3817" s="1" t="s">
        <v>5279</v>
      </c>
      <c r="L3817" s="1" t="s">
        <v>1567</v>
      </c>
      <c r="M3817" s="1" t="s">
        <v>2976</v>
      </c>
      <c r="N3817" s="1" t="s">
        <v>4866</v>
      </c>
      <c r="P3817" s="1" t="s">
        <v>12569</v>
      </c>
      <c r="Q3817" s="30" t="s">
        <v>2568</v>
      </c>
      <c r="R3817" s="33" t="s">
        <v>3475</v>
      </c>
      <c r="S3817">
        <v>37</v>
      </c>
      <c r="T3817" s="1" t="s">
        <v>13878</v>
      </c>
      <c r="U3817" s="1" t="str">
        <f>HYPERLINK("http://ictvonline.org/taxonomy/p/taxonomy-history?taxnode_id=202103860","ICTVonline=202103860")</f>
        <v>ICTVonline=202103860</v>
      </c>
    </row>
    <row r="3818" spans="1:21" x14ac:dyDescent="0.2">
      <c r="A3818" s="3">
        <v>3817</v>
      </c>
      <c r="B3818" s="1" t="s">
        <v>5250</v>
      </c>
      <c r="D3818" s="1" t="s">
        <v>5276</v>
      </c>
      <c r="F3818" s="1" t="s">
        <v>5277</v>
      </c>
      <c r="H3818" s="1" t="s">
        <v>5278</v>
      </c>
      <c r="J3818" s="1" t="s">
        <v>5279</v>
      </c>
      <c r="L3818" s="1" t="s">
        <v>1567</v>
      </c>
      <c r="M3818" s="1" t="s">
        <v>2976</v>
      </c>
      <c r="N3818" s="1" t="s">
        <v>4866</v>
      </c>
      <c r="P3818" s="1" t="s">
        <v>12570</v>
      </c>
      <c r="Q3818" s="30" t="s">
        <v>2568</v>
      </c>
      <c r="R3818" s="33" t="s">
        <v>3475</v>
      </c>
      <c r="S3818">
        <v>37</v>
      </c>
      <c r="T3818" s="1" t="s">
        <v>13878</v>
      </c>
      <c r="U3818" s="1" t="str">
        <f>HYPERLINK("http://ictvonline.org/taxonomy/p/taxonomy-history?taxnode_id=202103861","ICTVonline=202103861")</f>
        <v>ICTVonline=202103861</v>
      </c>
    </row>
    <row r="3819" spans="1:21" x14ac:dyDescent="0.2">
      <c r="A3819" s="3">
        <v>3818</v>
      </c>
      <c r="B3819" s="1" t="s">
        <v>5250</v>
      </c>
      <c r="D3819" s="1" t="s">
        <v>5276</v>
      </c>
      <c r="F3819" s="1" t="s">
        <v>5277</v>
      </c>
      <c r="H3819" s="1" t="s">
        <v>5278</v>
      </c>
      <c r="J3819" s="1" t="s">
        <v>5279</v>
      </c>
      <c r="L3819" s="1" t="s">
        <v>1567</v>
      </c>
      <c r="M3819" s="1" t="s">
        <v>2976</v>
      </c>
      <c r="N3819" s="1" t="s">
        <v>4866</v>
      </c>
      <c r="P3819" s="1" t="s">
        <v>12571</v>
      </c>
      <c r="Q3819" s="30" t="s">
        <v>2568</v>
      </c>
      <c r="R3819" s="33" t="s">
        <v>3475</v>
      </c>
      <c r="S3819">
        <v>37</v>
      </c>
      <c r="T3819" s="1" t="s">
        <v>13878</v>
      </c>
      <c r="U3819" s="1" t="str">
        <f>HYPERLINK("http://ictvonline.org/taxonomy/p/taxonomy-history?taxnode_id=202103862","ICTVonline=202103862")</f>
        <v>ICTVonline=202103862</v>
      </c>
    </row>
    <row r="3820" spans="1:21" x14ac:dyDescent="0.2">
      <c r="A3820" s="3">
        <v>3819</v>
      </c>
      <c r="B3820" s="1" t="s">
        <v>5250</v>
      </c>
      <c r="D3820" s="1" t="s">
        <v>5276</v>
      </c>
      <c r="F3820" s="1" t="s">
        <v>5277</v>
      </c>
      <c r="H3820" s="1" t="s">
        <v>5278</v>
      </c>
      <c r="J3820" s="1" t="s">
        <v>5279</v>
      </c>
      <c r="L3820" s="1" t="s">
        <v>1567</v>
      </c>
      <c r="M3820" s="1" t="s">
        <v>2976</v>
      </c>
      <c r="N3820" s="1" t="s">
        <v>4866</v>
      </c>
      <c r="P3820" s="1" t="s">
        <v>12572</v>
      </c>
      <c r="Q3820" s="30" t="s">
        <v>2568</v>
      </c>
      <c r="R3820" s="33" t="s">
        <v>3475</v>
      </c>
      <c r="S3820">
        <v>37</v>
      </c>
      <c r="T3820" s="1" t="s">
        <v>13878</v>
      </c>
      <c r="U3820" s="1" t="str">
        <f>HYPERLINK("http://ictvonline.org/taxonomy/p/taxonomy-history?taxnode_id=202103863","ICTVonline=202103863")</f>
        <v>ICTVonline=202103863</v>
      </c>
    </row>
    <row r="3821" spans="1:21" x14ac:dyDescent="0.2">
      <c r="A3821" s="3">
        <v>3820</v>
      </c>
      <c r="B3821" s="1" t="s">
        <v>5250</v>
      </c>
      <c r="D3821" s="1" t="s">
        <v>5276</v>
      </c>
      <c r="F3821" s="1" t="s">
        <v>5277</v>
      </c>
      <c r="H3821" s="1" t="s">
        <v>5278</v>
      </c>
      <c r="J3821" s="1" t="s">
        <v>5279</v>
      </c>
      <c r="L3821" s="1" t="s">
        <v>1567</v>
      </c>
      <c r="M3821" s="1" t="s">
        <v>2976</v>
      </c>
      <c r="N3821" s="1" t="s">
        <v>4866</v>
      </c>
      <c r="P3821" s="1" t="s">
        <v>12573</v>
      </c>
      <c r="Q3821" s="30" t="s">
        <v>2568</v>
      </c>
      <c r="R3821" s="33" t="s">
        <v>3475</v>
      </c>
      <c r="S3821">
        <v>37</v>
      </c>
      <c r="T3821" s="1" t="s">
        <v>13878</v>
      </c>
      <c r="U3821" s="1" t="str">
        <f>HYPERLINK("http://ictvonline.org/taxonomy/p/taxonomy-history?taxnode_id=202103864","ICTVonline=202103864")</f>
        <v>ICTVonline=202103864</v>
      </c>
    </row>
    <row r="3822" spans="1:21" x14ac:dyDescent="0.2">
      <c r="A3822" s="3">
        <v>3821</v>
      </c>
      <c r="B3822" s="1" t="s">
        <v>5250</v>
      </c>
      <c r="D3822" s="1" t="s">
        <v>5276</v>
      </c>
      <c r="F3822" s="1" t="s">
        <v>5277</v>
      </c>
      <c r="H3822" s="1" t="s">
        <v>5278</v>
      </c>
      <c r="J3822" s="1" t="s">
        <v>5279</v>
      </c>
      <c r="L3822" s="1" t="s">
        <v>1567</v>
      </c>
      <c r="M3822" s="1" t="s">
        <v>2976</v>
      </c>
      <c r="N3822" s="1" t="s">
        <v>4866</v>
      </c>
      <c r="P3822" s="1" t="s">
        <v>12574</v>
      </c>
      <c r="Q3822" s="30" t="s">
        <v>2568</v>
      </c>
      <c r="R3822" s="33" t="s">
        <v>3475</v>
      </c>
      <c r="S3822">
        <v>37</v>
      </c>
      <c r="T3822" s="1" t="s">
        <v>13878</v>
      </c>
      <c r="U3822" s="1" t="str">
        <f>HYPERLINK("http://ictvonline.org/taxonomy/p/taxonomy-history?taxnode_id=202103865","ICTVonline=202103865")</f>
        <v>ICTVonline=202103865</v>
      </c>
    </row>
    <row r="3823" spans="1:21" x14ac:dyDescent="0.2">
      <c r="A3823" s="3">
        <v>3822</v>
      </c>
      <c r="B3823" s="1" t="s">
        <v>5250</v>
      </c>
      <c r="D3823" s="1" t="s">
        <v>5276</v>
      </c>
      <c r="F3823" s="1" t="s">
        <v>5277</v>
      </c>
      <c r="H3823" s="1" t="s">
        <v>5278</v>
      </c>
      <c r="J3823" s="1" t="s">
        <v>5279</v>
      </c>
      <c r="L3823" s="1" t="s">
        <v>1567</v>
      </c>
      <c r="M3823" s="1" t="s">
        <v>2976</v>
      </c>
      <c r="N3823" s="1" t="s">
        <v>4866</v>
      </c>
      <c r="P3823" s="1" t="s">
        <v>12575</v>
      </c>
      <c r="Q3823" s="30" t="s">
        <v>2568</v>
      </c>
      <c r="R3823" s="33" t="s">
        <v>3475</v>
      </c>
      <c r="S3823">
        <v>37</v>
      </c>
      <c r="T3823" s="1" t="s">
        <v>13878</v>
      </c>
      <c r="U3823" s="1" t="str">
        <f>HYPERLINK("http://ictvonline.org/taxonomy/p/taxonomy-history?taxnode_id=202103866","ICTVonline=202103866")</f>
        <v>ICTVonline=202103866</v>
      </c>
    </row>
    <row r="3824" spans="1:21" x14ac:dyDescent="0.2">
      <c r="A3824" s="3">
        <v>3823</v>
      </c>
      <c r="B3824" s="1" t="s">
        <v>5250</v>
      </c>
      <c r="D3824" s="1" t="s">
        <v>5276</v>
      </c>
      <c r="F3824" s="1" t="s">
        <v>5277</v>
      </c>
      <c r="H3824" s="1" t="s">
        <v>5278</v>
      </c>
      <c r="J3824" s="1" t="s">
        <v>5279</v>
      </c>
      <c r="L3824" s="1" t="s">
        <v>1567</v>
      </c>
      <c r="M3824" s="1" t="s">
        <v>2976</v>
      </c>
      <c r="N3824" s="1" t="s">
        <v>4866</v>
      </c>
      <c r="P3824" s="1" t="s">
        <v>12576</v>
      </c>
      <c r="Q3824" s="30" t="s">
        <v>2568</v>
      </c>
      <c r="R3824" s="33" t="s">
        <v>3475</v>
      </c>
      <c r="S3824">
        <v>37</v>
      </c>
      <c r="T3824" s="1" t="s">
        <v>13878</v>
      </c>
      <c r="U3824" s="1" t="str">
        <f>HYPERLINK("http://ictvonline.org/taxonomy/p/taxonomy-history?taxnode_id=202103867","ICTVonline=202103867")</f>
        <v>ICTVonline=202103867</v>
      </c>
    </row>
    <row r="3825" spans="1:21" x14ac:dyDescent="0.2">
      <c r="A3825" s="3">
        <v>3824</v>
      </c>
      <c r="B3825" s="1" t="s">
        <v>5250</v>
      </c>
      <c r="D3825" s="1" t="s">
        <v>5276</v>
      </c>
      <c r="F3825" s="1" t="s">
        <v>5277</v>
      </c>
      <c r="H3825" s="1" t="s">
        <v>5278</v>
      </c>
      <c r="J3825" s="1" t="s">
        <v>5279</v>
      </c>
      <c r="L3825" s="1" t="s">
        <v>1567</v>
      </c>
      <c r="M3825" s="1" t="s">
        <v>2976</v>
      </c>
      <c r="N3825" s="1" t="s">
        <v>4867</v>
      </c>
      <c r="P3825" s="1" t="s">
        <v>12577</v>
      </c>
      <c r="Q3825" s="30" t="s">
        <v>2568</v>
      </c>
      <c r="R3825" s="33" t="s">
        <v>3475</v>
      </c>
      <c r="S3825">
        <v>37</v>
      </c>
      <c r="T3825" s="1" t="s">
        <v>13878</v>
      </c>
      <c r="U3825" s="1" t="str">
        <f>HYPERLINK("http://ictvonline.org/taxonomy/p/taxonomy-history?taxnode_id=202103869","ICTVonline=202103869")</f>
        <v>ICTVonline=202103869</v>
      </c>
    </row>
    <row r="3826" spans="1:21" x14ac:dyDescent="0.2">
      <c r="A3826" s="3">
        <v>3825</v>
      </c>
      <c r="B3826" s="1" t="s">
        <v>5250</v>
      </c>
      <c r="D3826" s="1" t="s">
        <v>5276</v>
      </c>
      <c r="F3826" s="1" t="s">
        <v>5277</v>
      </c>
      <c r="H3826" s="1" t="s">
        <v>5278</v>
      </c>
      <c r="J3826" s="1" t="s">
        <v>5279</v>
      </c>
      <c r="L3826" s="1" t="s">
        <v>1567</v>
      </c>
      <c r="M3826" s="1" t="s">
        <v>2976</v>
      </c>
      <c r="N3826" s="1" t="s">
        <v>4867</v>
      </c>
      <c r="P3826" s="1" t="s">
        <v>12578</v>
      </c>
      <c r="Q3826" s="30" t="s">
        <v>2568</v>
      </c>
      <c r="R3826" s="33" t="s">
        <v>3475</v>
      </c>
      <c r="S3826">
        <v>37</v>
      </c>
      <c r="T3826" s="1" t="s">
        <v>13878</v>
      </c>
      <c r="U3826" s="1" t="str">
        <f>HYPERLINK("http://ictvonline.org/taxonomy/p/taxonomy-history?taxnode_id=202103870","ICTVonline=202103870")</f>
        <v>ICTVonline=202103870</v>
      </c>
    </row>
    <row r="3827" spans="1:21" x14ac:dyDescent="0.2">
      <c r="A3827" s="3">
        <v>3826</v>
      </c>
      <c r="B3827" s="1" t="s">
        <v>5250</v>
      </c>
      <c r="D3827" s="1" t="s">
        <v>5276</v>
      </c>
      <c r="F3827" s="1" t="s">
        <v>5277</v>
      </c>
      <c r="H3827" s="1" t="s">
        <v>5278</v>
      </c>
      <c r="J3827" s="1" t="s">
        <v>5279</v>
      </c>
      <c r="L3827" s="1" t="s">
        <v>1567</v>
      </c>
      <c r="M3827" s="1" t="s">
        <v>2976</v>
      </c>
      <c r="N3827" s="1" t="s">
        <v>4867</v>
      </c>
      <c r="P3827" s="1" t="s">
        <v>12579</v>
      </c>
      <c r="Q3827" s="30" t="s">
        <v>2568</v>
      </c>
      <c r="R3827" s="33" t="s">
        <v>3475</v>
      </c>
      <c r="S3827">
        <v>37</v>
      </c>
      <c r="T3827" s="1" t="s">
        <v>13878</v>
      </c>
      <c r="U3827" s="1" t="str">
        <f>HYPERLINK("http://ictvonline.org/taxonomy/p/taxonomy-history?taxnode_id=202103871","ICTVonline=202103871")</f>
        <v>ICTVonline=202103871</v>
      </c>
    </row>
    <row r="3828" spans="1:21" x14ac:dyDescent="0.2">
      <c r="A3828" s="3">
        <v>3827</v>
      </c>
      <c r="B3828" s="1" t="s">
        <v>5250</v>
      </c>
      <c r="D3828" s="1" t="s">
        <v>5276</v>
      </c>
      <c r="F3828" s="1" t="s">
        <v>5277</v>
      </c>
      <c r="H3828" s="1" t="s">
        <v>5278</v>
      </c>
      <c r="J3828" s="1" t="s">
        <v>5279</v>
      </c>
      <c r="L3828" s="1" t="s">
        <v>1567</v>
      </c>
      <c r="M3828" s="1" t="s">
        <v>2976</v>
      </c>
      <c r="N3828" s="1" t="s">
        <v>4868</v>
      </c>
      <c r="P3828" s="1" t="s">
        <v>12580</v>
      </c>
      <c r="Q3828" s="30" t="s">
        <v>2568</v>
      </c>
      <c r="R3828" s="33" t="s">
        <v>3475</v>
      </c>
      <c r="S3828">
        <v>37</v>
      </c>
      <c r="T3828" s="1" t="s">
        <v>13878</v>
      </c>
      <c r="U3828" s="1" t="str">
        <f>HYPERLINK("http://ictvonline.org/taxonomy/p/taxonomy-history?taxnode_id=202103873","ICTVonline=202103873")</f>
        <v>ICTVonline=202103873</v>
      </c>
    </row>
    <row r="3829" spans="1:21" x14ac:dyDescent="0.2">
      <c r="A3829" s="3">
        <v>3828</v>
      </c>
      <c r="B3829" s="1" t="s">
        <v>5250</v>
      </c>
      <c r="D3829" s="1" t="s">
        <v>5276</v>
      </c>
      <c r="F3829" s="1" t="s">
        <v>5277</v>
      </c>
      <c r="H3829" s="1" t="s">
        <v>5278</v>
      </c>
      <c r="J3829" s="1" t="s">
        <v>5279</v>
      </c>
      <c r="L3829" s="1" t="s">
        <v>1567</v>
      </c>
      <c r="M3829" s="1" t="s">
        <v>1060</v>
      </c>
      <c r="N3829" s="1" t="s">
        <v>1811</v>
      </c>
      <c r="P3829" s="1" t="s">
        <v>12581</v>
      </c>
      <c r="Q3829" s="30" t="s">
        <v>2568</v>
      </c>
      <c r="R3829" s="33" t="s">
        <v>3475</v>
      </c>
      <c r="S3829">
        <v>37</v>
      </c>
      <c r="T3829" s="1" t="s">
        <v>13878</v>
      </c>
      <c r="U3829" s="1" t="str">
        <f>HYPERLINK("http://ictvonline.org/taxonomy/p/taxonomy-history?taxnode_id=202103877","ICTVonline=202103877")</f>
        <v>ICTVonline=202103877</v>
      </c>
    </row>
    <row r="3830" spans="1:21" x14ac:dyDescent="0.2">
      <c r="A3830" s="3">
        <v>3829</v>
      </c>
      <c r="B3830" s="1" t="s">
        <v>5250</v>
      </c>
      <c r="D3830" s="1" t="s">
        <v>5276</v>
      </c>
      <c r="F3830" s="1" t="s">
        <v>5277</v>
      </c>
      <c r="H3830" s="1" t="s">
        <v>5278</v>
      </c>
      <c r="J3830" s="1" t="s">
        <v>5279</v>
      </c>
      <c r="L3830" s="1" t="s">
        <v>1567</v>
      </c>
      <c r="M3830" s="1" t="s">
        <v>1060</v>
      </c>
      <c r="N3830" s="1" t="s">
        <v>1811</v>
      </c>
      <c r="P3830" s="1" t="s">
        <v>2977</v>
      </c>
      <c r="Q3830" s="30" t="s">
        <v>2568</v>
      </c>
      <c r="R3830" s="33" t="s">
        <v>8665</v>
      </c>
      <c r="S3830">
        <v>36</v>
      </c>
      <c r="T3830" s="1" t="s">
        <v>8661</v>
      </c>
      <c r="U3830" s="1" t="str">
        <f>HYPERLINK("http://ictvonline.org/taxonomy/p/taxonomy-history?taxnode_id=202103876","ICTVonline=202103876")</f>
        <v>ICTVonline=202103876</v>
      </c>
    </row>
    <row r="3831" spans="1:21" x14ac:dyDescent="0.2">
      <c r="A3831" s="3">
        <v>3830</v>
      </c>
      <c r="B3831" s="1" t="s">
        <v>5250</v>
      </c>
      <c r="D3831" s="1" t="s">
        <v>5276</v>
      </c>
      <c r="F3831" s="1" t="s">
        <v>5277</v>
      </c>
      <c r="H3831" s="1" t="s">
        <v>5278</v>
      </c>
      <c r="J3831" s="1" t="s">
        <v>5279</v>
      </c>
      <c r="L3831" s="1" t="s">
        <v>1567</v>
      </c>
      <c r="M3831" s="1" t="s">
        <v>1060</v>
      </c>
      <c r="N3831" s="1" t="s">
        <v>1812</v>
      </c>
      <c r="P3831" s="1" t="s">
        <v>12582</v>
      </c>
      <c r="Q3831" s="30" t="s">
        <v>2568</v>
      </c>
      <c r="R3831" s="33" t="s">
        <v>3475</v>
      </c>
      <c r="S3831">
        <v>37</v>
      </c>
      <c r="T3831" s="1" t="s">
        <v>13878</v>
      </c>
      <c r="U3831" s="1" t="str">
        <f>HYPERLINK("http://ictvonline.org/taxonomy/p/taxonomy-history?taxnode_id=202103879","ICTVonline=202103879")</f>
        <v>ICTVonline=202103879</v>
      </c>
    </row>
    <row r="3832" spans="1:21" x14ac:dyDescent="0.2">
      <c r="A3832" s="3">
        <v>3831</v>
      </c>
      <c r="B3832" s="1" t="s">
        <v>5250</v>
      </c>
      <c r="D3832" s="1" t="s">
        <v>5276</v>
      </c>
      <c r="F3832" s="1" t="s">
        <v>5277</v>
      </c>
      <c r="H3832" s="1" t="s">
        <v>5278</v>
      </c>
      <c r="J3832" s="1" t="s">
        <v>5279</v>
      </c>
      <c r="L3832" s="1" t="s">
        <v>1567</v>
      </c>
      <c r="M3832" s="1" t="s">
        <v>1060</v>
      </c>
      <c r="N3832" s="1" t="s">
        <v>1812</v>
      </c>
      <c r="P3832" s="1" t="s">
        <v>12583</v>
      </c>
      <c r="Q3832" s="30" t="s">
        <v>2568</v>
      </c>
      <c r="R3832" s="33" t="s">
        <v>3475</v>
      </c>
      <c r="S3832">
        <v>37</v>
      </c>
      <c r="T3832" s="1" t="s">
        <v>13878</v>
      </c>
      <c r="U3832" s="1" t="str">
        <f>HYPERLINK("http://ictvonline.org/taxonomy/p/taxonomy-history?taxnode_id=202103880","ICTVonline=202103880")</f>
        <v>ICTVonline=202103880</v>
      </c>
    </row>
    <row r="3833" spans="1:21" x14ac:dyDescent="0.2">
      <c r="A3833" s="3">
        <v>3832</v>
      </c>
      <c r="B3833" s="1" t="s">
        <v>5250</v>
      </c>
      <c r="D3833" s="1" t="s">
        <v>5276</v>
      </c>
      <c r="F3833" s="1" t="s">
        <v>5277</v>
      </c>
      <c r="H3833" s="1" t="s">
        <v>5278</v>
      </c>
      <c r="J3833" s="1" t="s">
        <v>5279</v>
      </c>
      <c r="L3833" s="1" t="s">
        <v>1567</v>
      </c>
      <c r="M3833" s="1" t="s">
        <v>1060</v>
      </c>
      <c r="N3833" s="1" t="s">
        <v>1812</v>
      </c>
      <c r="P3833" s="1" t="s">
        <v>12584</v>
      </c>
      <c r="Q3833" s="30" t="s">
        <v>2568</v>
      </c>
      <c r="R3833" s="33" t="s">
        <v>3475</v>
      </c>
      <c r="S3833">
        <v>37</v>
      </c>
      <c r="T3833" s="1" t="s">
        <v>13878</v>
      </c>
      <c r="U3833" s="1" t="str">
        <f>HYPERLINK("http://ictvonline.org/taxonomy/p/taxonomy-history?taxnode_id=202103881","ICTVonline=202103881")</f>
        <v>ICTVonline=202103881</v>
      </c>
    </row>
    <row r="3834" spans="1:21" x14ac:dyDescent="0.2">
      <c r="A3834" s="3">
        <v>3833</v>
      </c>
      <c r="B3834" s="1" t="s">
        <v>5250</v>
      </c>
      <c r="D3834" s="1" t="s">
        <v>5276</v>
      </c>
      <c r="F3834" s="1" t="s">
        <v>5277</v>
      </c>
      <c r="H3834" s="1" t="s">
        <v>5278</v>
      </c>
      <c r="J3834" s="1" t="s">
        <v>5279</v>
      </c>
      <c r="L3834" s="1" t="s">
        <v>1567</v>
      </c>
      <c r="M3834" s="1" t="s">
        <v>1060</v>
      </c>
      <c r="N3834" s="1" t="s">
        <v>1812</v>
      </c>
      <c r="P3834" s="1" t="s">
        <v>12585</v>
      </c>
      <c r="Q3834" s="30" t="s">
        <v>2568</v>
      </c>
      <c r="R3834" s="33" t="s">
        <v>3475</v>
      </c>
      <c r="S3834">
        <v>37</v>
      </c>
      <c r="T3834" s="1" t="s">
        <v>13878</v>
      </c>
      <c r="U3834" s="1" t="str">
        <f>HYPERLINK("http://ictvonline.org/taxonomy/p/taxonomy-history?taxnode_id=202103882","ICTVonline=202103882")</f>
        <v>ICTVonline=202103882</v>
      </c>
    </row>
    <row r="3835" spans="1:21" x14ac:dyDescent="0.2">
      <c r="A3835" s="3">
        <v>3834</v>
      </c>
      <c r="B3835" s="1" t="s">
        <v>5250</v>
      </c>
      <c r="D3835" s="1" t="s">
        <v>5276</v>
      </c>
      <c r="F3835" s="1" t="s">
        <v>5277</v>
      </c>
      <c r="H3835" s="1" t="s">
        <v>5278</v>
      </c>
      <c r="J3835" s="1" t="s">
        <v>5279</v>
      </c>
      <c r="L3835" s="1" t="s">
        <v>1567</v>
      </c>
      <c r="M3835" s="1" t="s">
        <v>1060</v>
      </c>
      <c r="N3835" s="1" t="s">
        <v>6266</v>
      </c>
      <c r="P3835" s="1" t="s">
        <v>6267</v>
      </c>
      <c r="Q3835" s="30" t="s">
        <v>2969</v>
      </c>
      <c r="R3835" s="33" t="s">
        <v>3472</v>
      </c>
      <c r="S3835">
        <v>36</v>
      </c>
      <c r="T3835" s="1" t="s">
        <v>6268</v>
      </c>
      <c r="U3835" s="1" t="str">
        <f>HYPERLINK("http://ictvonline.org/taxonomy/p/taxonomy-history?taxnode_id=202109999","ICTVonline=202109999")</f>
        <v>ICTVonline=202109999</v>
      </c>
    </row>
    <row r="3836" spans="1:21" x14ac:dyDescent="0.2">
      <c r="A3836" s="3">
        <v>3835</v>
      </c>
      <c r="B3836" s="1" t="s">
        <v>5250</v>
      </c>
      <c r="D3836" s="1" t="s">
        <v>5276</v>
      </c>
      <c r="F3836" s="1" t="s">
        <v>5277</v>
      </c>
      <c r="H3836" s="1" t="s">
        <v>5278</v>
      </c>
      <c r="J3836" s="1" t="s">
        <v>5279</v>
      </c>
      <c r="L3836" s="1" t="s">
        <v>1567</v>
      </c>
      <c r="M3836" s="1" t="s">
        <v>1060</v>
      </c>
      <c r="N3836" s="1" t="s">
        <v>1893</v>
      </c>
      <c r="P3836" s="1" t="s">
        <v>12586</v>
      </c>
      <c r="Q3836" s="30" t="s">
        <v>2568</v>
      </c>
      <c r="R3836" s="33" t="s">
        <v>3475</v>
      </c>
      <c r="S3836">
        <v>37</v>
      </c>
      <c r="T3836" s="1" t="s">
        <v>13878</v>
      </c>
      <c r="U3836" s="1" t="str">
        <f>HYPERLINK("http://ictvonline.org/taxonomy/p/taxonomy-history?taxnode_id=202103884","ICTVonline=202103884")</f>
        <v>ICTVonline=202103884</v>
      </c>
    </row>
    <row r="3837" spans="1:21" x14ac:dyDescent="0.2">
      <c r="A3837" s="3">
        <v>3836</v>
      </c>
      <c r="B3837" s="1" t="s">
        <v>5250</v>
      </c>
      <c r="D3837" s="1" t="s">
        <v>5280</v>
      </c>
      <c r="F3837" s="1" t="s">
        <v>5281</v>
      </c>
      <c r="H3837" s="1" t="s">
        <v>5282</v>
      </c>
      <c r="J3837" s="1" t="s">
        <v>5283</v>
      </c>
      <c r="L3837" s="1" t="s">
        <v>63</v>
      </c>
      <c r="N3837" s="1" t="s">
        <v>64</v>
      </c>
      <c r="P3837" s="1" t="s">
        <v>65</v>
      </c>
      <c r="Q3837" s="30" t="s">
        <v>2568</v>
      </c>
      <c r="R3837" s="33" t="s">
        <v>8665</v>
      </c>
      <c r="S3837">
        <v>36</v>
      </c>
      <c r="T3837" s="1" t="s">
        <v>8661</v>
      </c>
      <c r="U3837" s="1" t="str">
        <f>HYPERLINK("http://ictvonline.org/taxonomy/p/taxonomy-history?taxnode_id=202102744","ICTVonline=202102744")</f>
        <v>ICTVonline=202102744</v>
      </c>
    </row>
    <row r="3838" spans="1:21" x14ac:dyDescent="0.2">
      <c r="A3838" s="3">
        <v>3837</v>
      </c>
      <c r="B3838" s="1" t="s">
        <v>5250</v>
      </c>
      <c r="D3838" s="1" t="s">
        <v>5280</v>
      </c>
      <c r="F3838" s="1" t="s">
        <v>5281</v>
      </c>
      <c r="H3838" s="1" t="s">
        <v>5284</v>
      </c>
      <c r="J3838" s="1" t="s">
        <v>5285</v>
      </c>
      <c r="L3838" s="1" t="s">
        <v>913</v>
      </c>
      <c r="N3838" s="1" t="s">
        <v>3018</v>
      </c>
      <c r="P3838" s="1" t="s">
        <v>12587</v>
      </c>
      <c r="Q3838" s="30" t="s">
        <v>2565</v>
      </c>
      <c r="R3838" s="33" t="s">
        <v>3475</v>
      </c>
      <c r="S3838">
        <v>37</v>
      </c>
      <c r="T3838" s="1" t="s">
        <v>13989</v>
      </c>
      <c r="U3838" s="1" t="str">
        <f>HYPERLINK("http://ictvonline.org/taxonomy/p/taxonomy-history?taxnode_id=202104412","ICTVonline=202104412")</f>
        <v>ICTVonline=202104412</v>
      </c>
    </row>
    <row r="3839" spans="1:21" x14ac:dyDescent="0.2">
      <c r="A3839" s="3">
        <v>3838</v>
      </c>
      <c r="B3839" s="1" t="s">
        <v>5250</v>
      </c>
      <c r="D3839" s="1" t="s">
        <v>5280</v>
      </c>
      <c r="F3839" s="1" t="s">
        <v>5281</v>
      </c>
      <c r="H3839" s="1" t="s">
        <v>5284</v>
      </c>
      <c r="J3839" s="1" t="s">
        <v>5285</v>
      </c>
      <c r="L3839" s="1" t="s">
        <v>913</v>
      </c>
      <c r="N3839" s="1" t="s">
        <v>3018</v>
      </c>
      <c r="P3839" s="1" t="s">
        <v>12588</v>
      </c>
      <c r="Q3839" s="30" t="s">
        <v>2565</v>
      </c>
      <c r="R3839" s="33" t="s">
        <v>3475</v>
      </c>
      <c r="S3839">
        <v>37</v>
      </c>
      <c r="T3839" s="1" t="s">
        <v>13989</v>
      </c>
      <c r="U3839" s="1" t="str">
        <f>HYPERLINK("http://ictvonline.org/taxonomy/p/taxonomy-history?taxnode_id=202109582","ICTVonline=202109582")</f>
        <v>ICTVonline=202109582</v>
      </c>
    </row>
    <row r="3840" spans="1:21" x14ac:dyDescent="0.2">
      <c r="A3840" s="3">
        <v>3839</v>
      </c>
      <c r="B3840" s="1" t="s">
        <v>5250</v>
      </c>
      <c r="D3840" s="1" t="s">
        <v>5280</v>
      </c>
      <c r="F3840" s="1" t="s">
        <v>5281</v>
      </c>
      <c r="H3840" s="1" t="s">
        <v>5284</v>
      </c>
      <c r="J3840" s="1" t="s">
        <v>5285</v>
      </c>
      <c r="L3840" s="1" t="s">
        <v>913</v>
      </c>
      <c r="N3840" s="1" t="s">
        <v>3018</v>
      </c>
      <c r="P3840" s="1" t="s">
        <v>12589</v>
      </c>
      <c r="Q3840" s="30" t="s">
        <v>2565</v>
      </c>
      <c r="R3840" s="33" t="s">
        <v>3475</v>
      </c>
      <c r="S3840">
        <v>37</v>
      </c>
      <c r="T3840" s="1" t="s">
        <v>13989</v>
      </c>
      <c r="U3840" s="1" t="str">
        <f>HYPERLINK("http://ictvonline.org/taxonomy/p/taxonomy-history?taxnode_id=202104415","ICTVonline=202104415")</f>
        <v>ICTVonline=202104415</v>
      </c>
    </row>
    <row r="3841" spans="1:21" x14ac:dyDescent="0.2">
      <c r="A3841" s="3">
        <v>3840</v>
      </c>
      <c r="B3841" s="1" t="s">
        <v>5250</v>
      </c>
      <c r="D3841" s="1" t="s">
        <v>5280</v>
      </c>
      <c r="F3841" s="1" t="s">
        <v>5281</v>
      </c>
      <c r="H3841" s="1" t="s">
        <v>5284</v>
      </c>
      <c r="J3841" s="1" t="s">
        <v>5285</v>
      </c>
      <c r="L3841" s="1" t="s">
        <v>913</v>
      </c>
      <c r="N3841" s="1" t="s">
        <v>3018</v>
      </c>
      <c r="P3841" s="1" t="s">
        <v>12590</v>
      </c>
      <c r="Q3841" s="30" t="s">
        <v>2565</v>
      </c>
      <c r="R3841" s="33" t="s">
        <v>3475</v>
      </c>
      <c r="S3841">
        <v>37</v>
      </c>
      <c r="T3841" s="1" t="s">
        <v>13989</v>
      </c>
      <c r="U3841" s="1" t="str">
        <f>HYPERLINK("http://ictvonline.org/taxonomy/p/taxonomy-history?taxnode_id=202109587","ICTVonline=202109587")</f>
        <v>ICTVonline=202109587</v>
      </c>
    </row>
    <row r="3842" spans="1:21" x14ac:dyDescent="0.2">
      <c r="A3842" s="3">
        <v>3841</v>
      </c>
      <c r="B3842" s="1" t="s">
        <v>5250</v>
      </c>
      <c r="D3842" s="1" t="s">
        <v>5280</v>
      </c>
      <c r="F3842" s="1" t="s">
        <v>5281</v>
      </c>
      <c r="H3842" s="1" t="s">
        <v>5284</v>
      </c>
      <c r="J3842" s="1" t="s">
        <v>5285</v>
      </c>
      <c r="L3842" s="1" t="s">
        <v>913</v>
      </c>
      <c r="N3842" s="1" t="s">
        <v>3018</v>
      </c>
      <c r="P3842" s="1" t="s">
        <v>12591</v>
      </c>
      <c r="Q3842" s="30" t="s">
        <v>2565</v>
      </c>
      <c r="R3842" s="33" t="s">
        <v>3475</v>
      </c>
      <c r="S3842">
        <v>37</v>
      </c>
      <c r="T3842" s="1" t="s">
        <v>13989</v>
      </c>
      <c r="U3842" s="1" t="str">
        <f>HYPERLINK("http://ictvonline.org/taxonomy/p/taxonomy-history?taxnode_id=202104416","ICTVonline=202104416")</f>
        <v>ICTVonline=202104416</v>
      </c>
    </row>
    <row r="3843" spans="1:21" x14ac:dyDescent="0.2">
      <c r="A3843" s="3">
        <v>3842</v>
      </c>
      <c r="B3843" s="1" t="s">
        <v>5250</v>
      </c>
      <c r="D3843" s="1" t="s">
        <v>5280</v>
      </c>
      <c r="F3843" s="1" t="s">
        <v>5281</v>
      </c>
      <c r="H3843" s="1" t="s">
        <v>5284</v>
      </c>
      <c r="J3843" s="1" t="s">
        <v>5285</v>
      </c>
      <c r="L3843" s="1" t="s">
        <v>913</v>
      </c>
      <c r="N3843" s="1" t="s">
        <v>3018</v>
      </c>
      <c r="P3843" s="1" t="s">
        <v>12592</v>
      </c>
      <c r="Q3843" s="30" t="s">
        <v>2565</v>
      </c>
      <c r="R3843" s="33" t="s">
        <v>3475</v>
      </c>
      <c r="S3843">
        <v>37</v>
      </c>
      <c r="T3843" s="1" t="s">
        <v>13989</v>
      </c>
      <c r="U3843" s="1" t="str">
        <f>HYPERLINK("http://ictvonline.org/taxonomy/p/taxonomy-history?taxnode_id=202104417","ICTVonline=202104417")</f>
        <v>ICTVonline=202104417</v>
      </c>
    </row>
    <row r="3844" spans="1:21" x14ac:dyDescent="0.2">
      <c r="A3844" s="3">
        <v>3843</v>
      </c>
      <c r="B3844" s="1" t="s">
        <v>5250</v>
      </c>
      <c r="D3844" s="1" t="s">
        <v>5280</v>
      </c>
      <c r="F3844" s="1" t="s">
        <v>5281</v>
      </c>
      <c r="H3844" s="1" t="s">
        <v>5284</v>
      </c>
      <c r="J3844" s="1" t="s">
        <v>5285</v>
      </c>
      <c r="L3844" s="1" t="s">
        <v>913</v>
      </c>
      <c r="N3844" s="1" t="s">
        <v>3018</v>
      </c>
      <c r="P3844" s="1" t="s">
        <v>12593</v>
      </c>
      <c r="Q3844" s="30" t="s">
        <v>2565</v>
      </c>
      <c r="R3844" s="33" t="s">
        <v>3475</v>
      </c>
      <c r="S3844">
        <v>37</v>
      </c>
      <c r="T3844" s="1" t="s">
        <v>13989</v>
      </c>
      <c r="U3844" s="1" t="str">
        <f>HYPERLINK("http://ictvonline.org/taxonomy/p/taxonomy-history?taxnode_id=202104418","ICTVonline=202104418")</f>
        <v>ICTVonline=202104418</v>
      </c>
    </row>
    <row r="3845" spans="1:21" x14ac:dyDescent="0.2">
      <c r="A3845" s="3">
        <v>3844</v>
      </c>
      <c r="B3845" s="1" t="s">
        <v>5250</v>
      </c>
      <c r="D3845" s="1" t="s">
        <v>5280</v>
      </c>
      <c r="F3845" s="1" t="s">
        <v>5281</v>
      </c>
      <c r="H3845" s="1" t="s">
        <v>5284</v>
      </c>
      <c r="J3845" s="1" t="s">
        <v>5285</v>
      </c>
      <c r="L3845" s="1" t="s">
        <v>913</v>
      </c>
      <c r="N3845" s="1" t="s">
        <v>3018</v>
      </c>
      <c r="P3845" s="1" t="s">
        <v>12594</v>
      </c>
      <c r="Q3845" s="30" t="s">
        <v>2565</v>
      </c>
      <c r="R3845" s="33" t="s">
        <v>3475</v>
      </c>
      <c r="S3845">
        <v>37</v>
      </c>
      <c r="T3845" s="1" t="s">
        <v>13989</v>
      </c>
      <c r="U3845" s="1" t="str">
        <f>HYPERLINK("http://ictvonline.org/taxonomy/p/taxonomy-history?taxnode_id=202104420","ICTVonline=202104420")</f>
        <v>ICTVonline=202104420</v>
      </c>
    </row>
    <row r="3846" spans="1:21" x14ac:dyDescent="0.2">
      <c r="A3846" s="3">
        <v>3845</v>
      </c>
      <c r="B3846" s="1" t="s">
        <v>5250</v>
      </c>
      <c r="D3846" s="1" t="s">
        <v>5280</v>
      </c>
      <c r="F3846" s="1" t="s">
        <v>5281</v>
      </c>
      <c r="H3846" s="1" t="s">
        <v>5284</v>
      </c>
      <c r="J3846" s="1" t="s">
        <v>5285</v>
      </c>
      <c r="L3846" s="1" t="s">
        <v>913</v>
      </c>
      <c r="N3846" s="1" t="s">
        <v>3018</v>
      </c>
      <c r="P3846" s="1" t="s">
        <v>12595</v>
      </c>
      <c r="Q3846" s="30" t="s">
        <v>2565</v>
      </c>
      <c r="R3846" s="33" t="s">
        <v>3475</v>
      </c>
      <c r="S3846">
        <v>37</v>
      </c>
      <c r="T3846" s="1" t="s">
        <v>13989</v>
      </c>
      <c r="U3846" s="1" t="str">
        <f>HYPERLINK("http://ictvonline.org/taxonomy/p/taxonomy-history?taxnode_id=202104421","ICTVonline=202104421")</f>
        <v>ICTVonline=202104421</v>
      </c>
    </row>
    <row r="3847" spans="1:21" x14ac:dyDescent="0.2">
      <c r="A3847" s="3">
        <v>3846</v>
      </c>
      <c r="B3847" s="1" t="s">
        <v>5250</v>
      </c>
      <c r="D3847" s="1" t="s">
        <v>5280</v>
      </c>
      <c r="F3847" s="1" t="s">
        <v>5281</v>
      </c>
      <c r="H3847" s="1" t="s">
        <v>5284</v>
      </c>
      <c r="J3847" s="1" t="s">
        <v>5285</v>
      </c>
      <c r="L3847" s="1" t="s">
        <v>913</v>
      </c>
      <c r="N3847" s="1" t="s">
        <v>3018</v>
      </c>
      <c r="P3847" s="1" t="s">
        <v>12596</v>
      </c>
      <c r="Q3847" s="30" t="s">
        <v>2565</v>
      </c>
      <c r="R3847" s="33" t="s">
        <v>3475</v>
      </c>
      <c r="S3847">
        <v>37</v>
      </c>
      <c r="T3847" s="1" t="s">
        <v>13989</v>
      </c>
      <c r="U3847" s="1" t="str">
        <f>HYPERLINK("http://ictvonline.org/taxonomy/p/taxonomy-history?taxnode_id=202104422","ICTVonline=202104422")</f>
        <v>ICTVonline=202104422</v>
      </c>
    </row>
    <row r="3848" spans="1:21" x14ac:dyDescent="0.2">
      <c r="A3848" s="3">
        <v>3847</v>
      </c>
      <c r="B3848" s="1" t="s">
        <v>5250</v>
      </c>
      <c r="D3848" s="1" t="s">
        <v>5280</v>
      </c>
      <c r="F3848" s="1" t="s">
        <v>5281</v>
      </c>
      <c r="H3848" s="1" t="s">
        <v>5284</v>
      </c>
      <c r="J3848" s="1" t="s">
        <v>5285</v>
      </c>
      <c r="L3848" s="1" t="s">
        <v>913</v>
      </c>
      <c r="N3848" s="1" t="s">
        <v>3018</v>
      </c>
      <c r="P3848" s="1" t="s">
        <v>12597</v>
      </c>
      <c r="Q3848" s="30" t="s">
        <v>2565</v>
      </c>
      <c r="R3848" s="33" t="s">
        <v>3475</v>
      </c>
      <c r="S3848">
        <v>37</v>
      </c>
      <c r="T3848" s="1" t="s">
        <v>13989</v>
      </c>
      <c r="U3848" s="1" t="str">
        <f>HYPERLINK("http://ictvonline.org/taxonomy/p/taxonomy-history?taxnode_id=202104428","ICTVonline=202104428")</f>
        <v>ICTVonline=202104428</v>
      </c>
    </row>
    <row r="3849" spans="1:21" x14ac:dyDescent="0.2">
      <c r="A3849" s="3">
        <v>3848</v>
      </c>
      <c r="B3849" s="1" t="s">
        <v>5250</v>
      </c>
      <c r="D3849" s="1" t="s">
        <v>5280</v>
      </c>
      <c r="F3849" s="1" t="s">
        <v>5281</v>
      </c>
      <c r="H3849" s="1" t="s">
        <v>5284</v>
      </c>
      <c r="J3849" s="1" t="s">
        <v>5285</v>
      </c>
      <c r="L3849" s="1" t="s">
        <v>913</v>
      </c>
      <c r="N3849" s="1" t="s">
        <v>3018</v>
      </c>
      <c r="P3849" s="1" t="s">
        <v>12598</v>
      </c>
      <c r="Q3849" s="30" t="s">
        <v>2565</v>
      </c>
      <c r="R3849" s="33" t="s">
        <v>3475</v>
      </c>
      <c r="S3849">
        <v>37</v>
      </c>
      <c r="T3849" s="1" t="s">
        <v>13989</v>
      </c>
      <c r="U3849" s="1" t="str">
        <f>HYPERLINK("http://ictvonline.org/taxonomy/p/taxonomy-history?taxnode_id=202104429","ICTVonline=202104429")</f>
        <v>ICTVonline=202104429</v>
      </c>
    </row>
    <row r="3850" spans="1:21" x14ac:dyDescent="0.2">
      <c r="A3850" s="3">
        <v>3849</v>
      </c>
      <c r="B3850" s="1" t="s">
        <v>5250</v>
      </c>
      <c r="D3850" s="1" t="s">
        <v>5280</v>
      </c>
      <c r="F3850" s="1" t="s">
        <v>5281</v>
      </c>
      <c r="H3850" s="1" t="s">
        <v>5284</v>
      </c>
      <c r="J3850" s="1" t="s">
        <v>5285</v>
      </c>
      <c r="L3850" s="1" t="s">
        <v>913</v>
      </c>
      <c r="N3850" s="1" t="s">
        <v>3018</v>
      </c>
      <c r="P3850" s="1" t="s">
        <v>12599</v>
      </c>
      <c r="Q3850" s="30" t="s">
        <v>2565</v>
      </c>
      <c r="R3850" s="33" t="s">
        <v>3475</v>
      </c>
      <c r="S3850">
        <v>37</v>
      </c>
      <c r="T3850" s="1" t="s">
        <v>13989</v>
      </c>
      <c r="U3850" s="1" t="str">
        <f>HYPERLINK("http://ictvonline.org/taxonomy/p/taxonomy-history?taxnode_id=202106343","ICTVonline=202106343")</f>
        <v>ICTVonline=202106343</v>
      </c>
    </row>
    <row r="3851" spans="1:21" x14ac:dyDescent="0.2">
      <c r="A3851" s="3">
        <v>3850</v>
      </c>
      <c r="B3851" s="1" t="s">
        <v>5250</v>
      </c>
      <c r="D3851" s="1" t="s">
        <v>5280</v>
      </c>
      <c r="F3851" s="1" t="s">
        <v>5281</v>
      </c>
      <c r="H3851" s="1" t="s">
        <v>5284</v>
      </c>
      <c r="J3851" s="1" t="s">
        <v>5285</v>
      </c>
      <c r="L3851" s="1" t="s">
        <v>913</v>
      </c>
      <c r="N3851" s="1" t="s">
        <v>3018</v>
      </c>
      <c r="P3851" s="1" t="s">
        <v>12600</v>
      </c>
      <c r="Q3851" s="30" t="s">
        <v>2565</v>
      </c>
      <c r="R3851" s="33" t="s">
        <v>3475</v>
      </c>
      <c r="S3851">
        <v>37</v>
      </c>
      <c r="T3851" s="1" t="s">
        <v>13989</v>
      </c>
      <c r="U3851" s="1" t="str">
        <f>HYPERLINK("http://ictvonline.org/taxonomy/p/taxonomy-history?taxnode_id=202104430","ICTVonline=202104430")</f>
        <v>ICTVonline=202104430</v>
      </c>
    </row>
    <row r="3852" spans="1:21" x14ac:dyDescent="0.2">
      <c r="A3852" s="3">
        <v>3851</v>
      </c>
      <c r="B3852" s="1" t="s">
        <v>5250</v>
      </c>
      <c r="D3852" s="1" t="s">
        <v>5280</v>
      </c>
      <c r="F3852" s="1" t="s">
        <v>5281</v>
      </c>
      <c r="H3852" s="1" t="s">
        <v>5284</v>
      </c>
      <c r="J3852" s="1" t="s">
        <v>5285</v>
      </c>
      <c r="L3852" s="1" t="s">
        <v>913</v>
      </c>
      <c r="N3852" s="1" t="s">
        <v>3018</v>
      </c>
      <c r="P3852" s="1" t="s">
        <v>12601</v>
      </c>
      <c r="Q3852" s="30" t="s">
        <v>2565</v>
      </c>
      <c r="R3852" s="33" t="s">
        <v>3475</v>
      </c>
      <c r="S3852">
        <v>37</v>
      </c>
      <c r="T3852" s="1" t="s">
        <v>13989</v>
      </c>
      <c r="U3852" s="1" t="str">
        <f>HYPERLINK("http://ictvonline.org/taxonomy/p/taxonomy-history?taxnode_id=202104431","ICTVonline=202104431")</f>
        <v>ICTVonline=202104431</v>
      </c>
    </row>
    <row r="3853" spans="1:21" x14ac:dyDescent="0.2">
      <c r="A3853" s="3">
        <v>3852</v>
      </c>
      <c r="B3853" s="1" t="s">
        <v>5250</v>
      </c>
      <c r="D3853" s="1" t="s">
        <v>5280</v>
      </c>
      <c r="F3853" s="1" t="s">
        <v>5281</v>
      </c>
      <c r="H3853" s="1" t="s">
        <v>5284</v>
      </c>
      <c r="J3853" s="1" t="s">
        <v>5285</v>
      </c>
      <c r="L3853" s="1" t="s">
        <v>913</v>
      </c>
      <c r="N3853" s="1" t="s">
        <v>3018</v>
      </c>
      <c r="P3853" s="1" t="s">
        <v>12602</v>
      </c>
      <c r="Q3853" s="30" t="s">
        <v>2565</v>
      </c>
      <c r="R3853" s="33" t="s">
        <v>3475</v>
      </c>
      <c r="S3853">
        <v>37</v>
      </c>
      <c r="T3853" s="1" t="s">
        <v>13989</v>
      </c>
      <c r="U3853" s="1" t="str">
        <f>HYPERLINK("http://ictvonline.org/taxonomy/p/taxonomy-history?taxnode_id=202104425","ICTVonline=202104425")</f>
        <v>ICTVonline=202104425</v>
      </c>
    </row>
    <row r="3854" spans="1:21" x14ac:dyDescent="0.2">
      <c r="A3854" s="3">
        <v>3853</v>
      </c>
      <c r="B3854" s="1" t="s">
        <v>5250</v>
      </c>
      <c r="D3854" s="1" t="s">
        <v>5280</v>
      </c>
      <c r="F3854" s="1" t="s">
        <v>5281</v>
      </c>
      <c r="H3854" s="1" t="s">
        <v>5284</v>
      </c>
      <c r="J3854" s="1" t="s">
        <v>5285</v>
      </c>
      <c r="L3854" s="1" t="s">
        <v>913</v>
      </c>
      <c r="N3854" s="1" t="s">
        <v>3018</v>
      </c>
      <c r="P3854" s="1" t="s">
        <v>12603</v>
      </c>
      <c r="Q3854" s="30" t="s">
        <v>2565</v>
      </c>
      <c r="R3854" s="33" t="s">
        <v>3475</v>
      </c>
      <c r="S3854">
        <v>37</v>
      </c>
      <c r="T3854" s="1" t="s">
        <v>13989</v>
      </c>
      <c r="U3854" s="1" t="str">
        <f>HYPERLINK("http://ictvonline.org/taxonomy/p/taxonomy-history?taxnode_id=202104424","ICTVonline=202104424")</f>
        <v>ICTVonline=202104424</v>
      </c>
    </row>
    <row r="3855" spans="1:21" x14ac:dyDescent="0.2">
      <c r="A3855" s="3">
        <v>3854</v>
      </c>
      <c r="B3855" s="1" t="s">
        <v>5250</v>
      </c>
      <c r="D3855" s="1" t="s">
        <v>5280</v>
      </c>
      <c r="F3855" s="1" t="s">
        <v>5281</v>
      </c>
      <c r="H3855" s="1" t="s">
        <v>5284</v>
      </c>
      <c r="J3855" s="1" t="s">
        <v>5285</v>
      </c>
      <c r="L3855" s="1" t="s">
        <v>913</v>
      </c>
      <c r="N3855" s="1" t="s">
        <v>3018</v>
      </c>
      <c r="P3855" s="1" t="s">
        <v>12604</v>
      </c>
      <c r="Q3855" s="30" t="s">
        <v>2565</v>
      </c>
      <c r="R3855" s="33" t="s">
        <v>3475</v>
      </c>
      <c r="S3855">
        <v>37</v>
      </c>
      <c r="T3855" s="1" t="s">
        <v>13989</v>
      </c>
      <c r="U3855" s="1" t="str">
        <f>HYPERLINK("http://ictvonline.org/taxonomy/p/taxonomy-history?taxnode_id=202104432","ICTVonline=202104432")</f>
        <v>ICTVonline=202104432</v>
      </c>
    </row>
    <row r="3856" spans="1:21" x14ac:dyDescent="0.2">
      <c r="A3856" s="3">
        <v>3855</v>
      </c>
      <c r="B3856" s="1" t="s">
        <v>5250</v>
      </c>
      <c r="D3856" s="1" t="s">
        <v>5280</v>
      </c>
      <c r="F3856" s="1" t="s">
        <v>5281</v>
      </c>
      <c r="H3856" s="1" t="s">
        <v>5284</v>
      </c>
      <c r="J3856" s="1" t="s">
        <v>5285</v>
      </c>
      <c r="L3856" s="1" t="s">
        <v>913</v>
      </c>
      <c r="N3856" s="1" t="s">
        <v>3018</v>
      </c>
      <c r="P3856" s="1" t="s">
        <v>12605</v>
      </c>
      <c r="Q3856" s="30" t="s">
        <v>2565</v>
      </c>
      <c r="R3856" s="33" t="s">
        <v>3475</v>
      </c>
      <c r="S3856">
        <v>37</v>
      </c>
      <c r="T3856" s="1" t="s">
        <v>13989</v>
      </c>
      <c r="U3856" s="1" t="str">
        <f>HYPERLINK("http://ictvonline.org/taxonomy/p/taxonomy-history?taxnode_id=202104441","ICTVonline=202104441")</f>
        <v>ICTVonline=202104441</v>
      </c>
    </row>
    <row r="3857" spans="1:21" x14ac:dyDescent="0.2">
      <c r="A3857" s="3">
        <v>3856</v>
      </c>
      <c r="B3857" s="1" t="s">
        <v>5250</v>
      </c>
      <c r="D3857" s="1" t="s">
        <v>5280</v>
      </c>
      <c r="F3857" s="1" t="s">
        <v>5281</v>
      </c>
      <c r="H3857" s="1" t="s">
        <v>5284</v>
      </c>
      <c r="J3857" s="1" t="s">
        <v>5285</v>
      </c>
      <c r="L3857" s="1" t="s">
        <v>913</v>
      </c>
      <c r="N3857" s="1" t="s">
        <v>3018</v>
      </c>
      <c r="P3857" s="1" t="s">
        <v>12606</v>
      </c>
      <c r="Q3857" s="30" t="s">
        <v>2565</v>
      </c>
      <c r="R3857" s="33" t="s">
        <v>3475</v>
      </c>
      <c r="S3857">
        <v>37</v>
      </c>
      <c r="T3857" s="1" t="s">
        <v>13989</v>
      </c>
      <c r="U3857" s="1" t="str">
        <f>HYPERLINK("http://ictvonline.org/taxonomy/p/taxonomy-history?taxnode_id=202104434","ICTVonline=202104434")</f>
        <v>ICTVonline=202104434</v>
      </c>
    </row>
    <row r="3858" spans="1:21" x14ac:dyDescent="0.2">
      <c r="A3858" s="3">
        <v>3857</v>
      </c>
      <c r="B3858" s="1" t="s">
        <v>5250</v>
      </c>
      <c r="D3858" s="1" t="s">
        <v>5280</v>
      </c>
      <c r="F3858" s="1" t="s">
        <v>5281</v>
      </c>
      <c r="H3858" s="1" t="s">
        <v>5284</v>
      </c>
      <c r="J3858" s="1" t="s">
        <v>5285</v>
      </c>
      <c r="L3858" s="1" t="s">
        <v>913</v>
      </c>
      <c r="N3858" s="1" t="s">
        <v>3018</v>
      </c>
      <c r="P3858" s="1" t="s">
        <v>12607</v>
      </c>
      <c r="Q3858" s="30" t="s">
        <v>2565</v>
      </c>
      <c r="R3858" s="33" t="s">
        <v>3475</v>
      </c>
      <c r="S3858">
        <v>37</v>
      </c>
      <c r="T3858" s="1" t="s">
        <v>13989</v>
      </c>
      <c r="U3858" s="1" t="str">
        <f>HYPERLINK("http://ictvonline.org/taxonomy/p/taxonomy-history?taxnode_id=202109586","ICTVonline=202109586")</f>
        <v>ICTVonline=202109586</v>
      </c>
    </row>
    <row r="3859" spans="1:21" x14ac:dyDescent="0.2">
      <c r="A3859" s="3">
        <v>3858</v>
      </c>
      <c r="B3859" s="1" t="s">
        <v>5250</v>
      </c>
      <c r="D3859" s="1" t="s">
        <v>5280</v>
      </c>
      <c r="F3859" s="1" t="s">
        <v>5281</v>
      </c>
      <c r="H3859" s="1" t="s">
        <v>5284</v>
      </c>
      <c r="J3859" s="1" t="s">
        <v>5285</v>
      </c>
      <c r="L3859" s="1" t="s">
        <v>913</v>
      </c>
      <c r="N3859" s="1" t="s">
        <v>3018</v>
      </c>
      <c r="P3859" s="1" t="s">
        <v>12608</v>
      </c>
      <c r="Q3859" s="30" t="s">
        <v>2565</v>
      </c>
      <c r="R3859" s="33" t="s">
        <v>3475</v>
      </c>
      <c r="S3859">
        <v>37</v>
      </c>
      <c r="T3859" s="1" t="s">
        <v>13989</v>
      </c>
      <c r="U3859" s="1" t="str">
        <f>HYPERLINK("http://ictvonline.org/taxonomy/p/taxonomy-history?taxnode_id=202105904","ICTVonline=202105904")</f>
        <v>ICTVonline=202105904</v>
      </c>
    </row>
    <row r="3860" spans="1:21" x14ac:dyDescent="0.2">
      <c r="A3860" s="3">
        <v>3859</v>
      </c>
      <c r="B3860" s="1" t="s">
        <v>5250</v>
      </c>
      <c r="D3860" s="1" t="s">
        <v>5280</v>
      </c>
      <c r="F3860" s="1" t="s">
        <v>5281</v>
      </c>
      <c r="H3860" s="1" t="s">
        <v>5284</v>
      </c>
      <c r="J3860" s="1" t="s">
        <v>5285</v>
      </c>
      <c r="L3860" s="1" t="s">
        <v>913</v>
      </c>
      <c r="N3860" s="1" t="s">
        <v>3018</v>
      </c>
      <c r="P3860" s="1" t="s">
        <v>12609</v>
      </c>
      <c r="Q3860" s="30" t="s">
        <v>2565</v>
      </c>
      <c r="R3860" s="33" t="s">
        <v>3475</v>
      </c>
      <c r="S3860">
        <v>37</v>
      </c>
      <c r="T3860" s="1" t="s">
        <v>13989</v>
      </c>
      <c r="U3860" s="1" t="str">
        <f>HYPERLINK("http://ictvonline.org/taxonomy/p/taxonomy-history?taxnode_id=202104442","ICTVonline=202104442")</f>
        <v>ICTVonline=202104442</v>
      </c>
    </row>
    <row r="3861" spans="1:21" x14ac:dyDescent="0.2">
      <c r="A3861" s="3">
        <v>3860</v>
      </c>
      <c r="B3861" s="1" t="s">
        <v>5250</v>
      </c>
      <c r="D3861" s="1" t="s">
        <v>5280</v>
      </c>
      <c r="F3861" s="1" t="s">
        <v>5281</v>
      </c>
      <c r="H3861" s="1" t="s">
        <v>5284</v>
      </c>
      <c r="J3861" s="1" t="s">
        <v>5285</v>
      </c>
      <c r="L3861" s="1" t="s">
        <v>913</v>
      </c>
      <c r="N3861" s="1" t="s">
        <v>3018</v>
      </c>
      <c r="P3861" s="1" t="s">
        <v>12610</v>
      </c>
      <c r="Q3861" s="30" t="s">
        <v>2565</v>
      </c>
      <c r="R3861" s="33" t="s">
        <v>3475</v>
      </c>
      <c r="S3861">
        <v>37</v>
      </c>
      <c r="T3861" s="1" t="s">
        <v>13989</v>
      </c>
      <c r="U3861" s="1" t="str">
        <f>HYPERLINK("http://ictvonline.org/taxonomy/p/taxonomy-history?taxnode_id=202104443","ICTVonline=202104443")</f>
        <v>ICTVonline=202104443</v>
      </c>
    </row>
    <row r="3862" spans="1:21" x14ac:dyDescent="0.2">
      <c r="A3862" s="3">
        <v>3861</v>
      </c>
      <c r="B3862" s="1" t="s">
        <v>5250</v>
      </c>
      <c r="D3862" s="1" t="s">
        <v>5280</v>
      </c>
      <c r="F3862" s="1" t="s">
        <v>5281</v>
      </c>
      <c r="H3862" s="1" t="s">
        <v>5284</v>
      </c>
      <c r="J3862" s="1" t="s">
        <v>5285</v>
      </c>
      <c r="L3862" s="1" t="s">
        <v>913</v>
      </c>
      <c r="N3862" s="1" t="s">
        <v>3018</v>
      </c>
      <c r="P3862" s="1" t="s">
        <v>12611</v>
      </c>
      <c r="Q3862" s="30" t="s">
        <v>2565</v>
      </c>
      <c r="R3862" s="33" t="s">
        <v>3475</v>
      </c>
      <c r="S3862">
        <v>37</v>
      </c>
      <c r="T3862" s="1" t="s">
        <v>13989</v>
      </c>
      <c r="U3862" s="1" t="str">
        <f>HYPERLINK("http://ictvonline.org/taxonomy/p/taxonomy-history?taxnode_id=202104444","ICTVonline=202104444")</f>
        <v>ICTVonline=202104444</v>
      </c>
    </row>
    <row r="3863" spans="1:21" x14ac:dyDescent="0.2">
      <c r="A3863" s="3">
        <v>3862</v>
      </c>
      <c r="B3863" s="1" t="s">
        <v>5250</v>
      </c>
      <c r="D3863" s="1" t="s">
        <v>5280</v>
      </c>
      <c r="F3863" s="1" t="s">
        <v>5281</v>
      </c>
      <c r="H3863" s="1" t="s">
        <v>5284</v>
      </c>
      <c r="J3863" s="1" t="s">
        <v>5285</v>
      </c>
      <c r="L3863" s="1" t="s">
        <v>913</v>
      </c>
      <c r="N3863" s="1" t="s">
        <v>3018</v>
      </c>
      <c r="P3863" s="1" t="s">
        <v>12612</v>
      </c>
      <c r="Q3863" s="30" t="s">
        <v>2565</v>
      </c>
      <c r="R3863" s="33" t="s">
        <v>3475</v>
      </c>
      <c r="S3863">
        <v>37</v>
      </c>
      <c r="T3863" s="1" t="s">
        <v>13989</v>
      </c>
      <c r="U3863" s="1" t="str">
        <f>HYPERLINK("http://ictvonline.org/taxonomy/p/taxonomy-history?taxnode_id=202104445","ICTVonline=202104445")</f>
        <v>ICTVonline=202104445</v>
      </c>
    </row>
    <row r="3864" spans="1:21" x14ac:dyDescent="0.2">
      <c r="A3864" s="3">
        <v>3863</v>
      </c>
      <c r="B3864" s="1" t="s">
        <v>5250</v>
      </c>
      <c r="D3864" s="1" t="s">
        <v>5280</v>
      </c>
      <c r="F3864" s="1" t="s">
        <v>5281</v>
      </c>
      <c r="H3864" s="1" t="s">
        <v>5284</v>
      </c>
      <c r="J3864" s="1" t="s">
        <v>5285</v>
      </c>
      <c r="L3864" s="1" t="s">
        <v>913</v>
      </c>
      <c r="N3864" s="1" t="s">
        <v>3018</v>
      </c>
      <c r="P3864" s="1" t="s">
        <v>12613</v>
      </c>
      <c r="Q3864" s="30" t="s">
        <v>2565</v>
      </c>
      <c r="R3864" s="33" t="s">
        <v>3475</v>
      </c>
      <c r="S3864">
        <v>37</v>
      </c>
      <c r="T3864" s="1" t="s">
        <v>13989</v>
      </c>
      <c r="U3864" s="1" t="str">
        <f>HYPERLINK("http://ictvonline.org/taxonomy/p/taxonomy-history?taxnode_id=202104446","ICTVonline=202104446")</f>
        <v>ICTVonline=202104446</v>
      </c>
    </row>
    <row r="3865" spans="1:21" x14ac:dyDescent="0.2">
      <c r="A3865" s="3">
        <v>3864</v>
      </c>
      <c r="B3865" s="1" t="s">
        <v>5250</v>
      </c>
      <c r="D3865" s="1" t="s">
        <v>5280</v>
      </c>
      <c r="F3865" s="1" t="s">
        <v>5281</v>
      </c>
      <c r="H3865" s="1" t="s">
        <v>5284</v>
      </c>
      <c r="J3865" s="1" t="s">
        <v>5285</v>
      </c>
      <c r="L3865" s="1" t="s">
        <v>913</v>
      </c>
      <c r="N3865" s="1" t="s">
        <v>3018</v>
      </c>
      <c r="P3865" s="1" t="s">
        <v>12614</v>
      </c>
      <c r="Q3865" s="30" t="s">
        <v>2565</v>
      </c>
      <c r="R3865" s="33" t="s">
        <v>3475</v>
      </c>
      <c r="S3865">
        <v>37</v>
      </c>
      <c r="T3865" s="1" t="s">
        <v>13989</v>
      </c>
      <c r="U3865" s="1" t="str">
        <f>HYPERLINK("http://ictvonline.org/taxonomy/p/taxonomy-history?taxnode_id=202107113","ICTVonline=202107113")</f>
        <v>ICTVonline=202107113</v>
      </c>
    </row>
    <row r="3866" spans="1:21" x14ac:dyDescent="0.2">
      <c r="A3866" s="3">
        <v>3865</v>
      </c>
      <c r="B3866" s="1" t="s">
        <v>5250</v>
      </c>
      <c r="D3866" s="1" t="s">
        <v>5280</v>
      </c>
      <c r="F3866" s="1" t="s">
        <v>5281</v>
      </c>
      <c r="H3866" s="1" t="s">
        <v>5284</v>
      </c>
      <c r="J3866" s="1" t="s">
        <v>5285</v>
      </c>
      <c r="L3866" s="1" t="s">
        <v>913</v>
      </c>
      <c r="N3866" s="1" t="s">
        <v>3018</v>
      </c>
      <c r="P3866" s="1" t="s">
        <v>12615</v>
      </c>
      <c r="Q3866" s="30" t="s">
        <v>2565</v>
      </c>
      <c r="R3866" s="33" t="s">
        <v>3475</v>
      </c>
      <c r="S3866">
        <v>37</v>
      </c>
      <c r="T3866" s="1" t="s">
        <v>13989</v>
      </c>
      <c r="U3866" s="1" t="str">
        <f>HYPERLINK("http://ictvonline.org/taxonomy/p/taxonomy-history?taxnode_id=202104437","ICTVonline=202104437")</f>
        <v>ICTVonline=202104437</v>
      </c>
    </row>
    <row r="3867" spans="1:21" x14ac:dyDescent="0.2">
      <c r="A3867" s="3">
        <v>3866</v>
      </c>
      <c r="B3867" s="1" t="s">
        <v>5250</v>
      </c>
      <c r="D3867" s="1" t="s">
        <v>5280</v>
      </c>
      <c r="F3867" s="1" t="s">
        <v>5281</v>
      </c>
      <c r="H3867" s="1" t="s">
        <v>5284</v>
      </c>
      <c r="J3867" s="1" t="s">
        <v>5285</v>
      </c>
      <c r="L3867" s="1" t="s">
        <v>913</v>
      </c>
      <c r="N3867" s="1" t="s">
        <v>3018</v>
      </c>
      <c r="P3867" s="1" t="s">
        <v>12616</v>
      </c>
      <c r="Q3867" s="30" t="s">
        <v>2565</v>
      </c>
      <c r="R3867" s="33" t="s">
        <v>3475</v>
      </c>
      <c r="S3867">
        <v>37</v>
      </c>
      <c r="T3867" s="1" t="s">
        <v>13989</v>
      </c>
      <c r="U3867" s="1" t="str">
        <f>HYPERLINK("http://ictvonline.org/taxonomy/p/taxonomy-history?taxnode_id=202104423","ICTVonline=202104423")</f>
        <v>ICTVonline=202104423</v>
      </c>
    </row>
    <row r="3868" spans="1:21" x14ac:dyDescent="0.2">
      <c r="A3868" s="3">
        <v>3867</v>
      </c>
      <c r="B3868" s="1" t="s">
        <v>5250</v>
      </c>
      <c r="D3868" s="1" t="s">
        <v>5280</v>
      </c>
      <c r="F3868" s="1" t="s">
        <v>5281</v>
      </c>
      <c r="H3868" s="1" t="s">
        <v>5284</v>
      </c>
      <c r="J3868" s="1" t="s">
        <v>5285</v>
      </c>
      <c r="L3868" s="1" t="s">
        <v>913</v>
      </c>
      <c r="N3868" s="1" t="s">
        <v>3018</v>
      </c>
      <c r="P3868" s="1" t="s">
        <v>12617</v>
      </c>
      <c r="Q3868" s="30" t="s">
        <v>2565</v>
      </c>
      <c r="R3868" s="33" t="s">
        <v>3475</v>
      </c>
      <c r="S3868">
        <v>37</v>
      </c>
      <c r="T3868" s="1" t="s">
        <v>13989</v>
      </c>
      <c r="U3868" s="1" t="str">
        <f>HYPERLINK("http://ictvonline.org/taxonomy/p/taxonomy-history?taxnode_id=202104438","ICTVonline=202104438")</f>
        <v>ICTVonline=202104438</v>
      </c>
    </row>
    <row r="3869" spans="1:21" x14ac:dyDescent="0.2">
      <c r="A3869" s="3">
        <v>3868</v>
      </c>
      <c r="B3869" s="1" t="s">
        <v>5250</v>
      </c>
      <c r="D3869" s="1" t="s">
        <v>5280</v>
      </c>
      <c r="F3869" s="1" t="s">
        <v>5281</v>
      </c>
      <c r="H3869" s="1" t="s">
        <v>5284</v>
      </c>
      <c r="J3869" s="1" t="s">
        <v>5285</v>
      </c>
      <c r="L3869" s="1" t="s">
        <v>913</v>
      </c>
      <c r="N3869" s="1" t="s">
        <v>3018</v>
      </c>
      <c r="P3869" s="1" t="s">
        <v>12618</v>
      </c>
      <c r="Q3869" s="30" t="s">
        <v>2565</v>
      </c>
      <c r="R3869" s="33" t="s">
        <v>3475</v>
      </c>
      <c r="S3869">
        <v>37</v>
      </c>
      <c r="T3869" s="1" t="s">
        <v>13989</v>
      </c>
      <c r="U3869" s="1" t="str">
        <f>HYPERLINK("http://ictvonline.org/taxonomy/p/taxonomy-history?taxnode_id=202104447","ICTVonline=202104447")</f>
        <v>ICTVonline=202104447</v>
      </c>
    </row>
    <row r="3870" spans="1:21" x14ac:dyDescent="0.2">
      <c r="A3870" s="3">
        <v>3869</v>
      </c>
      <c r="B3870" s="1" t="s">
        <v>5250</v>
      </c>
      <c r="D3870" s="1" t="s">
        <v>5280</v>
      </c>
      <c r="F3870" s="1" t="s">
        <v>5281</v>
      </c>
      <c r="H3870" s="1" t="s">
        <v>5284</v>
      </c>
      <c r="J3870" s="1" t="s">
        <v>5285</v>
      </c>
      <c r="L3870" s="1" t="s">
        <v>913</v>
      </c>
      <c r="N3870" s="1" t="s">
        <v>3018</v>
      </c>
      <c r="P3870" s="1" t="s">
        <v>12619</v>
      </c>
      <c r="Q3870" s="30" t="s">
        <v>2565</v>
      </c>
      <c r="R3870" s="33" t="s">
        <v>3475</v>
      </c>
      <c r="S3870">
        <v>37</v>
      </c>
      <c r="T3870" s="1" t="s">
        <v>13989</v>
      </c>
      <c r="U3870" s="1" t="str">
        <f>HYPERLINK("http://ictvonline.org/taxonomy/p/taxonomy-history?taxnode_id=202104426","ICTVonline=202104426")</f>
        <v>ICTVonline=202104426</v>
      </c>
    </row>
    <row r="3871" spans="1:21" x14ac:dyDescent="0.2">
      <c r="A3871" s="3">
        <v>3870</v>
      </c>
      <c r="B3871" s="1" t="s">
        <v>5250</v>
      </c>
      <c r="D3871" s="1" t="s">
        <v>5280</v>
      </c>
      <c r="F3871" s="1" t="s">
        <v>5281</v>
      </c>
      <c r="H3871" s="1" t="s">
        <v>5284</v>
      </c>
      <c r="J3871" s="1" t="s">
        <v>5285</v>
      </c>
      <c r="L3871" s="1" t="s">
        <v>913</v>
      </c>
      <c r="N3871" s="1" t="s">
        <v>3018</v>
      </c>
      <c r="P3871" s="1" t="s">
        <v>12620</v>
      </c>
      <c r="Q3871" s="30" t="s">
        <v>2565</v>
      </c>
      <c r="R3871" s="33" t="s">
        <v>3475</v>
      </c>
      <c r="S3871">
        <v>37</v>
      </c>
      <c r="T3871" s="1" t="s">
        <v>13989</v>
      </c>
      <c r="U3871" s="1" t="str">
        <f>HYPERLINK("http://ictvonline.org/taxonomy/p/taxonomy-history?taxnode_id=202104413","ICTVonline=202104413")</f>
        <v>ICTVonline=202104413</v>
      </c>
    </row>
    <row r="3872" spans="1:21" x14ac:dyDescent="0.2">
      <c r="A3872" s="3">
        <v>3871</v>
      </c>
      <c r="B3872" s="1" t="s">
        <v>5250</v>
      </c>
      <c r="D3872" s="1" t="s">
        <v>5280</v>
      </c>
      <c r="F3872" s="1" t="s">
        <v>5281</v>
      </c>
      <c r="H3872" s="1" t="s">
        <v>5284</v>
      </c>
      <c r="J3872" s="1" t="s">
        <v>5285</v>
      </c>
      <c r="L3872" s="1" t="s">
        <v>913</v>
      </c>
      <c r="N3872" s="1" t="s">
        <v>3018</v>
      </c>
      <c r="P3872" s="1" t="s">
        <v>12621</v>
      </c>
      <c r="Q3872" s="30" t="s">
        <v>2565</v>
      </c>
      <c r="R3872" s="33" t="s">
        <v>3475</v>
      </c>
      <c r="S3872">
        <v>37</v>
      </c>
      <c r="T3872" s="1" t="s">
        <v>13989</v>
      </c>
      <c r="U3872" s="1" t="str">
        <f>HYPERLINK("http://ictvonline.org/taxonomy/p/taxonomy-history?taxnode_id=202104433","ICTVonline=202104433")</f>
        <v>ICTVonline=202104433</v>
      </c>
    </row>
    <row r="3873" spans="1:21" x14ac:dyDescent="0.2">
      <c r="A3873" s="3">
        <v>3872</v>
      </c>
      <c r="B3873" s="1" t="s">
        <v>5250</v>
      </c>
      <c r="D3873" s="1" t="s">
        <v>5280</v>
      </c>
      <c r="F3873" s="1" t="s">
        <v>5281</v>
      </c>
      <c r="H3873" s="1" t="s">
        <v>5284</v>
      </c>
      <c r="J3873" s="1" t="s">
        <v>5285</v>
      </c>
      <c r="L3873" s="1" t="s">
        <v>913</v>
      </c>
      <c r="N3873" s="1" t="s">
        <v>3018</v>
      </c>
      <c r="P3873" s="1" t="s">
        <v>12622</v>
      </c>
      <c r="Q3873" s="30" t="s">
        <v>2565</v>
      </c>
      <c r="R3873" s="33" t="s">
        <v>3475</v>
      </c>
      <c r="S3873">
        <v>37</v>
      </c>
      <c r="T3873" s="1" t="s">
        <v>13989</v>
      </c>
      <c r="U3873" s="1" t="str">
        <f>HYPERLINK("http://ictvonline.org/taxonomy/p/taxonomy-history?taxnode_id=202109583","ICTVonline=202109583")</f>
        <v>ICTVonline=202109583</v>
      </c>
    </row>
    <row r="3874" spans="1:21" x14ac:dyDescent="0.2">
      <c r="A3874" s="3">
        <v>3873</v>
      </c>
      <c r="B3874" s="1" t="s">
        <v>5250</v>
      </c>
      <c r="D3874" s="1" t="s">
        <v>5280</v>
      </c>
      <c r="F3874" s="1" t="s">
        <v>5281</v>
      </c>
      <c r="H3874" s="1" t="s">
        <v>5284</v>
      </c>
      <c r="J3874" s="1" t="s">
        <v>5285</v>
      </c>
      <c r="L3874" s="1" t="s">
        <v>913</v>
      </c>
      <c r="N3874" s="1" t="s">
        <v>3018</v>
      </c>
      <c r="P3874" s="1" t="s">
        <v>12623</v>
      </c>
      <c r="Q3874" s="30" t="s">
        <v>2565</v>
      </c>
      <c r="R3874" s="33" t="s">
        <v>3475</v>
      </c>
      <c r="S3874">
        <v>37</v>
      </c>
      <c r="T3874" s="1" t="s">
        <v>13989</v>
      </c>
      <c r="U3874" s="1" t="str">
        <f>HYPERLINK("http://ictvonline.org/taxonomy/p/taxonomy-history?taxnode_id=202106344","ICTVonline=202106344")</f>
        <v>ICTVonline=202106344</v>
      </c>
    </row>
    <row r="3875" spans="1:21" x14ac:dyDescent="0.2">
      <c r="A3875" s="3">
        <v>3874</v>
      </c>
      <c r="B3875" s="1" t="s">
        <v>5250</v>
      </c>
      <c r="D3875" s="1" t="s">
        <v>5280</v>
      </c>
      <c r="F3875" s="1" t="s">
        <v>5281</v>
      </c>
      <c r="H3875" s="1" t="s">
        <v>5284</v>
      </c>
      <c r="J3875" s="1" t="s">
        <v>5285</v>
      </c>
      <c r="L3875" s="1" t="s">
        <v>913</v>
      </c>
      <c r="N3875" s="1" t="s">
        <v>3018</v>
      </c>
      <c r="P3875" s="1" t="s">
        <v>12624</v>
      </c>
      <c r="Q3875" s="30" t="s">
        <v>2565</v>
      </c>
      <c r="R3875" s="33" t="s">
        <v>3475</v>
      </c>
      <c r="S3875">
        <v>37</v>
      </c>
      <c r="T3875" s="1" t="s">
        <v>13989</v>
      </c>
      <c r="U3875" s="1" t="str">
        <f>HYPERLINK("http://ictvonline.org/taxonomy/p/taxonomy-history?taxnode_id=202104435","ICTVonline=202104435")</f>
        <v>ICTVonline=202104435</v>
      </c>
    </row>
    <row r="3876" spans="1:21" x14ac:dyDescent="0.2">
      <c r="A3876" s="3">
        <v>3875</v>
      </c>
      <c r="B3876" s="1" t="s">
        <v>5250</v>
      </c>
      <c r="D3876" s="1" t="s">
        <v>5280</v>
      </c>
      <c r="F3876" s="1" t="s">
        <v>5281</v>
      </c>
      <c r="H3876" s="1" t="s">
        <v>5284</v>
      </c>
      <c r="J3876" s="1" t="s">
        <v>5285</v>
      </c>
      <c r="L3876" s="1" t="s">
        <v>913</v>
      </c>
      <c r="N3876" s="1" t="s">
        <v>3018</v>
      </c>
      <c r="P3876" s="1" t="s">
        <v>12625</v>
      </c>
      <c r="Q3876" s="30" t="s">
        <v>2565</v>
      </c>
      <c r="R3876" s="33" t="s">
        <v>3475</v>
      </c>
      <c r="S3876">
        <v>37</v>
      </c>
      <c r="T3876" s="1" t="s">
        <v>13989</v>
      </c>
      <c r="U3876" s="1" t="str">
        <f>HYPERLINK("http://ictvonline.org/taxonomy/p/taxonomy-history?taxnode_id=202104440","ICTVonline=202104440")</f>
        <v>ICTVonline=202104440</v>
      </c>
    </row>
    <row r="3877" spans="1:21" x14ac:dyDescent="0.2">
      <c r="A3877" s="3">
        <v>3876</v>
      </c>
      <c r="B3877" s="1" t="s">
        <v>5250</v>
      </c>
      <c r="D3877" s="1" t="s">
        <v>5280</v>
      </c>
      <c r="F3877" s="1" t="s">
        <v>5281</v>
      </c>
      <c r="H3877" s="1" t="s">
        <v>5284</v>
      </c>
      <c r="J3877" s="1" t="s">
        <v>5285</v>
      </c>
      <c r="L3877" s="1" t="s">
        <v>913</v>
      </c>
      <c r="N3877" s="1" t="s">
        <v>3018</v>
      </c>
      <c r="P3877" s="1" t="s">
        <v>12626</v>
      </c>
      <c r="Q3877" s="30" t="s">
        <v>2565</v>
      </c>
      <c r="R3877" s="33" t="s">
        <v>3475</v>
      </c>
      <c r="S3877">
        <v>37</v>
      </c>
      <c r="T3877" s="1" t="s">
        <v>13989</v>
      </c>
      <c r="U3877" s="1" t="str">
        <f>HYPERLINK("http://ictvonline.org/taxonomy/p/taxonomy-history?taxnode_id=202104439","ICTVonline=202104439")</f>
        <v>ICTVonline=202104439</v>
      </c>
    </row>
    <row r="3878" spans="1:21" x14ac:dyDescent="0.2">
      <c r="A3878" s="3">
        <v>3877</v>
      </c>
      <c r="B3878" s="1" t="s">
        <v>5250</v>
      </c>
      <c r="D3878" s="1" t="s">
        <v>5280</v>
      </c>
      <c r="F3878" s="1" t="s">
        <v>5281</v>
      </c>
      <c r="H3878" s="1" t="s">
        <v>5284</v>
      </c>
      <c r="J3878" s="1" t="s">
        <v>5285</v>
      </c>
      <c r="L3878" s="1" t="s">
        <v>913</v>
      </c>
      <c r="N3878" s="1" t="s">
        <v>3018</v>
      </c>
      <c r="P3878" s="1" t="s">
        <v>12627</v>
      </c>
      <c r="Q3878" s="30" t="s">
        <v>2565</v>
      </c>
      <c r="R3878" s="33" t="s">
        <v>3475</v>
      </c>
      <c r="S3878">
        <v>37</v>
      </c>
      <c r="T3878" s="1" t="s">
        <v>13989</v>
      </c>
      <c r="U3878" s="1" t="str">
        <f>HYPERLINK("http://ictvonline.org/taxonomy/p/taxonomy-history?taxnode_id=202106345","ICTVonline=202106345")</f>
        <v>ICTVonline=202106345</v>
      </c>
    </row>
    <row r="3879" spans="1:21" x14ac:dyDescent="0.2">
      <c r="A3879" s="3">
        <v>3878</v>
      </c>
      <c r="B3879" s="1" t="s">
        <v>5250</v>
      </c>
      <c r="D3879" s="1" t="s">
        <v>5280</v>
      </c>
      <c r="F3879" s="1" t="s">
        <v>5281</v>
      </c>
      <c r="H3879" s="1" t="s">
        <v>5284</v>
      </c>
      <c r="J3879" s="1" t="s">
        <v>5285</v>
      </c>
      <c r="L3879" s="1" t="s">
        <v>913</v>
      </c>
      <c r="N3879" s="1" t="s">
        <v>3018</v>
      </c>
      <c r="P3879" s="1" t="s">
        <v>12628</v>
      </c>
      <c r="Q3879" s="30" t="s">
        <v>2565</v>
      </c>
      <c r="R3879" s="33" t="s">
        <v>3475</v>
      </c>
      <c r="S3879">
        <v>37</v>
      </c>
      <c r="T3879" s="1" t="s">
        <v>13989</v>
      </c>
      <c r="U3879" s="1" t="str">
        <f>HYPERLINK("http://ictvonline.org/taxonomy/p/taxonomy-history?taxnode_id=202106346","ICTVonline=202106346")</f>
        <v>ICTVonline=202106346</v>
      </c>
    </row>
    <row r="3880" spans="1:21" x14ac:dyDescent="0.2">
      <c r="A3880" s="3">
        <v>3879</v>
      </c>
      <c r="B3880" s="1" t="s">
        <v>5250</v>
      </c>
      <c r="D3880" s="1" t="s">
        <v>5280</v>
      </c>
      <c r="F3880" s="1" t="s">
        <v>5281</v>
      </c>
      <c r="H3880" s="1" t="s">
        <v>5284</v>
      </c>
      <c r="J3880" s="1" t="s">
        <v>5285</v>
      </c>
      <c r="L3880" s="1" t="s">
        <v>913</v>
      </c>
      <c r="N3880" s="1" t="s">
        <v>3018</v>
      </c>
      <c r="P3880" s="1" t="s">
        <v>12629</v>
      </c>
      <c r="Q3880" s="30" t="s">
        <v>2565</v>
      </c>
      <c r="R3880" s="33" t="s">
        <v>3475</v>
      </c>
      <c r="S3880">
        <v>37</v>
      </c>
      <c r="T3880" s="1" t="s">
        <v>13989</v>
      </c>
      <c r="U3880" s="1" t="str">
        <f>HYPERLINK("http://ictvonline.org/taxonomy/p/taxonomy-history?taxnode_id=202104448","ICTVonline=202104448")</f>
        <v>ICTVonline=202104448</v>
      </c>
    </row>
    <row r="3881" spans="1:21" x14ac:dyDescent="0.2">
      <c r="A3881" s="3">
        <v>3880</v>
      </c>
      <c r="B3881" s="1" t="s">
        <v>5250</v>
      </c>
      <c r="D3881" s="1" t="s">
        <v>5280</v>
      </c>
      <c r="F3881" s="1" t="s">
        <v>5281</v>
      </c>
      <c r="H3881" s="1" t="s">
        <v>5284</v>
      </c>
      <c r="J3881" s="1" t="s">
        <v>5285</v>
      </c>
      <c r="L3881" s="1" t="s">
        <v>913</v>
      </c>
      <c r="N3881" s="1" t="s">
        <v>3018</v>
      </c>
      <c r="P3881" s="1" t="s">
        <v>12630</v>
      </c>
      <c r="Q3881" s="30" t="s">
        <v>2565</v>
      </c>
      <c r="R3881" s="33" t="s">
        <v>3475</v>
      </c>
      <c r="S3881">
        <v>37</v>
      </c>
      <c r="T3881" s="1" t="s">
        <v>13989</v>
      </c>
      <c r="U3881" s="1" t="str">
        <f>HYPERLINK("http://ictvonline.org/taxonomy/p/taxonomy-history?taxnode_id=202109585","ICTVonline=202109585")</f>
        <v>ICTVonline=202109585</v>
      </c>
    </row>
    <row r="3882" spans="1:21" x14ac:dyDescent="0.2">
      <c r="A3882" s="3">
        <v>3881</v>
      </c>
      <c r="B3882" s="1" t="s">
        <v>5250</v>
      </c>
      <c r="D3882" s="1" t="s">
        <v>5280</v>
      </c>
      <c r="F3882" s="1" t="s">
        <v>5281</v>
      </c>
      <c r="H3882" s="1" t="s">
        <v>5284</v>
      </c>
      <c r="J3882" s="1" t="s">
        <v>5285</v>
      </c>
      <c r="L3882" s="1" t="s">
        <v>913</v>
      </c>
      <c r="N3882" s="1" t="s">
        <v>3018</v>
      </c>
      <c r="P3882" s="1" t="s">
        <v>12631</v>
      </c>
      <c r="Q3882" s="30" t="s">
        <v>2565</v>
      </c>
      <c r="R3882" s="33" t="s">
        <v>3475</v>
      </c>
      <c r="S3882">
        <v>37</v>
      </c>
      <c r="T3882" s="1" t="s">
        <v>13989</v>
      </c>
      <c r="U3882" s="1" t="str">
        <f>HYPERLINK("http://ictvonline.org/taxonomy/p/taxonomy-history?taxnode_id=202104427","ICTVonline=202104427")</f>
        <v>ICTVonline=202104427</v>
      </c>
    </row>
    <row r="3883" spans="1:21" x14ac:dyDescent="0.2">
      <c r="A3883" s="3">
        <v>3882</v>
      </c>
      <c r="B3883" s="1" t="s">
        <v>5250</v>
      </c>
      <c r="D3883" s="1" t="s">
        <v>5280</v>
      </c>
      <c r="F3883" s="1" t="s">
        <v>5281</v>
      </c>
      <c r="H3883" s="1" t="s">
        <v>5284</v>
      </c>
      <c r="J3883" s="1" t="s">
        <v>5285</v>
      </c>
      <c r="L3883" s="1" t="s">
        <v>913</v>
      </c>
      <c r="N3883" s="1" t="s">
        <v>3018</v>
      </c>
      <c r="P3883" s="1" t="s">
        <v>12632</v>
      </c>
      <c r="Q3883" s="30" t="s">
        <v>2565</v>
      </c>
      <c r="R3883" s="33" t="s">
        <v>3475</v>
      </c>
      <c r="S3883">
        <v>37</v>
      </c>
      <c r="T3883" s="1" t="s">
        <v>13989</v>
      </c>
      <c r="U3883" s="1" t="str">
        <f>HYPERLINK("http://ictvonline.org/taxonomy/p/taxonomy-history?taxnode_id=202104414","ICTVonline=202104414")</f>
        <v>ICTVonline=202104414</v>
      </c>
    </row>
    <row r="3884" spans="1:21" x14ac:dyDescent="0.2">
      <c r="A3884" s="3">
        <v>3883</v>
      </c>
      <c r="B3884" s="1" t="s">
        <v>5250</v>
      </c>
      <c r="D3884" s="1" t="s">
        <v>5280</v>
      </c>
      <c r="F3884" s="1" t="s">
        <v>5281</v>
      </c>
      <c r="H3884" s="1" t="s">
        <v>5284</v>
      </c>
      <c r="J3884" s="1" t="s">
        <v>5285</v>
      </c>
      <c r="L3884" s="1" t="s">
        <v>913</v>
      </c>
      <c r="N3884" s="1" t="s">
        <v>3018</v>
      </c>
      <c r="P3884" s="1" t="s">
        <v>12633</v>
      </c>
      <c r="Q3884" s="30" t="s">
        <v>2565</v>
      </c>
      <c r="R3884" s="33" t="s">
        <v>3475</v>
      </c>
      <c r="S3884">
        <v>37</v>
      </c>
      <c r="T3884" s="1" t="s">
        <v>13989</v>
      </c>
      <c r="U3884" s="1" t="str">
        <f>HYPERLINK("http://ictvonline.org/taxonomy/p/taxonomy-history?taxnode_id=202104419","ICTVonline=202104419")</f>
        <v>ICTVonline=202104419</v>
      </c>
    </row>
    <row r="3885" spans="1:21" x14ac:dyDescent="0.2">
      <c r="A3885" s="3">
        <v>3884</v>
      </c>
      <c r="B3885" s="1" t="s">
        <v>5250</v>
      </c>
      <c r="D3885" s="1" t="s">
        <v>5280</v>
      </c>
      <c r="F3885" s="1" t="s">
        <v>5281</v>
      </c>
      <c r="H3885" s="1" t="s">
        <v>5284</v>
      </c>
      <c r="J3885" s="1" t="s">
        <v>5285</v>
      </c>
      <c r="L3885" s="1" t="s">
        <v>913</v>
      </c>
      <c r="N3885" s="1" t="s">
        <v>3018</v>
      </c>
      <c r="P3885" s="1" t="s">
        <v>12634</v>
      </c>
      <c r="Q3885" s="30" t="s">
        <v>2565</v>
      </c>
      <c r="R3885" s="33" t="s">
        <v>3475</v>
      </c>
      <c r="S3885">
        <v>37</v>
      </c>
      <c r="T3885" s="1" t="s">
        <v>13989</v>
      </c>
      <c r="U3885" s="1" t="str">
        <f>HYPERLINK("http://ictvonline.org/taxonomy/p/taxonomy-history?taxnode_id=202109584","ICTVonline=202109584")</f>
        <v>ICTVonline=202109584</v>
      </c>
    </row>
    <row r="3886" spans="1:21" x14ac:dyDescent="0.2">
      <c r="A3886" s="3">
        <v>3885</v>
      </c>
      <c r="B3886" s="1" t="s">
        <v>5250</v>
      </c>
      <c r="D3886" s="1" t="s">
        <v>5280</v>
      </c>
      <c r="F3886" s="1" t="s">
        <v>5281</v>
      </c>
      <c r="H3886" s="1" t="s">
        <v>5284</v>
      </c>
      <c r="J3886" s="1" t="s">
        <v>5285</v>
      </c>
      <c r="L3886" s="1" t="s">
        <v>913</v>
      </c>
      <c r="N3886" s="1" t="s">
        <v>3018</v>
      </c>
      <c r="P3886" s="1" t="s">
        <v>12635</v>
      </c>
      <c r="Q3886" s="30" t="s">
        <v>2565</v>
      </c>
      <c r="R3886" s="33" t="s">
        <v>3475</v>
      </c>
      <c r="S3886">
        <v>37</v>
      </c>
      <c r="T3886" s="1" t="s">
        <v>13989</v>
      </c>
      <c r="U3886" s="1" t="str">
        <f>HYPERLINK("http://ictvonline.org/taxonomy/p/taxonomy-history?taxnode_id=202104436","ICTVonline=202104436")</f>
        <v>ICTVonline=202104436</v>
      </c>
    </row>
    <row r="3887" spans="1:21" x14ac:dyDescent="0.2">
      <c r="A3887" s="3">
        <v>3886</v>
      </c>
      <c r="B3887" s="1" t="s">
        <v>5250</v>
      </c>
      <c r="D3887" s="1" t="s">
        <v>5280</v>
      </c>
      <c r="F3887" s="1" t="s">
        <v>5281</v>
      </c>
      <c r="H3887" s="1" t="s">
        <v>5284</v>
      </c>
      <c r="J3887" s="1" t="s">
        <v>5285</v>
      </c>
      <c r="L3887" s="1" t="s">
        <v>913</v>
      </c>
      <c r="N3887" s="1" t="s">
        <v>3018</v>
      </c>
      <c r="P3887" s="1" t="s">
        <v>12636</v>
      </c>
      <c r="Q3887" s="30" t="s">
        <v>2565</v>
      </c>
      <c r="R3887" s="33" t="s">
        <v>3475</v>
      </c>
      <c r="S3887">
        <v>37</v>
      </c>
      <c r="T3887" s="1" t="s">
        <v>13989</v>
      </c>
      <c r="U3887" s="1" t="str">
        <f>HYPERLINK("http://ictvonline.org/taxonomy/p/taxonomy-history?taxnode_id=202107114","ICTVonline=202107114")</f>
        <v>ICTVonline=202107114</v>
      </c>
    </row>
    <row r="3888" spans="1:21" x14ac:dyDescent="0.2">
      <c r="A3888" s="3">
        <v>3887</v>
      </c>
      <c r="B3888" s="1" t="s">
        <v>5250</v>
      </c>
      <c r="D3888" s="1" t="s">
        <v>5280</v>
      </c>
      <c r="F3888" s="1" t="s">
        <v>5281</v>
      </c>
      <c r="H3888" s="1" t="s">
        <v>5284</v>
      </c>
      <c r="J3888" s="1" t="s">
        <v>5285</v>
      </c>
      <c r="L3888" s="1" t="s">
        <v>913</v>
      </c>
      <c r="N3888" s="1" t="s">
        <v>3018</v>
      </c>
      <c r="P3888" s="1" t="s">
        <v>12637</v>
      </c>
      <c r="Q3888" s="30" t="s">
        <v>2565</v>
      </c>
      <c r="R3888" s="33" t="s">
        <v>3475</v>
      </c>
      <c r="S3888">
        <v>37</v>
      </c>
      <c r="T3888" s="1" t="s">
        <v>13989</v>
      </c>
      <c r="U3888" s="1" t="str">
        <f>HYPERLINK("http://ictvonline.org/taxonomy/p/taxonomy-history?taxnode_id=202109588","ICTVonline=202109588")</f>
        <v>ICTVonline=202109588</v>
      </c>
    </row>
    <row r="3889" spans="1:21" x14ac:dyDescent="0.2">
      <c r="A3889" s="3">
        <v>3888</v>
      </c>
      <c r="B3889" s="1" t="s">
        <v>5250</v>
      </c>
      <c r="D3889" s="1" t="s">
        <v>5280</v>
      </c>
      <c r="F3889" s="1" t="s">
        <v>5281</v>
      </c>
      <c r="H3889" s="1" t="s">
        <v>5284</v>
      </c>
      <c r="J3889" s="1" t="s">
        <v>5285</v>
      </c>
      <c r="L3889" s="1" t="s">
        <v>913</v>
      </c>
      <c r="N3889" s="1" t="s">
        <v>3019</v>
      </c>
      <c r="P3889" s="1" t="s">
        <v>12638</v>
      </c>
      <c r="Q3889" s="30" t="s">
        <v>2565</v>
      </c>
      <c r="R3889" s="33" t="s">
        <v>3475</v>
      </c>
      <c r="S3889">
        <v>37</v>
      </c>
      <c r="T3889" s="1" t="s">
        <v>13989</v>
      </c>
      <c r="U3889" s="1" t="str">
        <f>HYPERLINK("http://ictvonline.org/taxonomy/p/taxonomy-history?taxnode_id=202104451","ICTVonline=202104451")</f>
        <v>ICTVonline=202104451</v>
      </c>
    </row>
    <row r="3890" spans="1:21" x14ac:dyDescent="0.2">
      <c r="A3890" s="3">
        <v>3889</v>
      </c>
      <c r="B3890" s="1" t="s">
        <v>5250</v>
      </c>
      <c r="D3890" s="1" t="s">
        <v>5280</v>
      </c>
      <c r="F3890" s="1" t="s">
        <v>5281</v>
      </c>
      <c r="H3890" s="1" t="s">
        <v>5284</v>
      </c>
      <c r="J3890" s="1" t="s">
        <v>5285</v>
      </c>
      <c r="L3890" s="1" t="s">
        <v>913</v>
      </c>
      <c r="N3890" s="1" t="s">
        <v>3019</v>
      </c>
      <c r="P3890" s="1" t="s">
        <v>12639</v>
      </c>
      <c r="Q3890" s="30" t="s">
        <v>2565</v>
      </c>
      <c r="R3890" s="33" t="s">
        <v>3475</v>
      </c>
      <c r="S3890">
        <v>37</v>
      </c>
      <c r="T3890" s="1" t="s">
        <v>13989</v>
      </c>
      <c r="U3890" s="1" t="str">
        <f>HYPERLINK("http://ictvonline.org/taxonomy/p/taxonomy-history?taxnode_id=202104452","ICTVonline=202104452")</f>
        <v>ICTVonline=202104452</v>
      </c>
    </row>
    <row r="3891" spans="1:21" x14ac:dyDescent="0.2">
      <c r="A3891" s="3">
        <v>3890</v>
      </c>
      <c r="B3891" s="1" t="s">
        <v>5250</v>
      </c>
      <c r="D3891" s="1" t="s">
        <v>5280</v>
      </c>
      <c r="F3891" s="1" t="s">
        <v>5281</v>
      </c>
      <c r="H3891" s="1" t="s">
        <v>5284</v>
      </c>
      <c r="J3891" s="1" t="s">
        <v>5285</v>
      </c>
      <c r="L3891" s="1" t="s">
        <v>913</v>
      </c>
      <c r="N3891" s="1" t="s">
        <v>3019</v>
      </c>
      <c r="P3891" s="1" t="s">
        <v>12640</v>
      </c>
      <c r="Q3891" s="30" t="s">
        <v>2565</v>
      </c>
      <c r="R3891" s="33" t="s">
        <v>3475</v>
      </c>
      <c r="S3891">
        <v>37</v>
      </c>
      <c r="T3891" s="1" t="s">
        <v>13989</v>
      </c>
      <c r="U3891" s="1" t="str">
        <f>HYPERLINK("http://ictvonline.org/taxonomy/p/taxonomy-history?taxnode_id=202109593","ICTVonline=202109593")</f>
        <v>ICTVonline=202109593</v>
      </c>
    </row>
    <row r="3892" spans="1:21" x14ac:dyDescent="0.2">
      <c r="A3892" s="3">
        <v>3891</v>
      </c>
      <c r="B3892" s="1" t="s">
        <v>5250</v>
      </c>
      <c r="D3892" s="1" t="s">
        <v>5280</v>
      </c>
      <c r="F3892" s="1" t="s">
        <v>5281</v>
      </c>
      <c r="H3892" s="1" t="s">
        <v>5284</v>
      </c>
      <c r="J3892" s="1" t="s">
        <v>5285</v>
      </c>
      <c r="L3892" s="1" t="s">
        <v>913</v>
      </c>
      <c r="N3892" s="1" t="s">
        <v>3019</v>
      </c>
      <c r="P3892" s="1" t="s">
        <v>12641</v>
      </c>
      <c r="Q3892" s="30" t="s">
        <v>2565</v>
      </c>
      <c r="R3892" s="33" t="s">
        <v>3475</v>
      </c>
      <c r="S3892">
        <v>37</v>
      </c>
      <c r="T3892" s="1" t="s">
        <v>13989</v>
      </c>
      <c r="U3892" s="1" t="str">
        <f>HYPERLINK("http://ictvonline.org/taxonomy/p/taxonomy-history?taxnode_id=202106347","ICTVonline=202106347")</f>
        <v>ICTVonline=202106347</v>
      </c>
    </row>
    <row r="3893" spans="1:21" x14ac:dyDescent="0.2">
      <c r="A3893" s="3">
        <v>3892</v>
      </c>
      <c r="B3893" s="1" t="s">
        <v>5250</v>
      </c>
      <c r="D3893" s="1" t="s">
        <v>5280</v>
      </c>
      <c r="F3893" s="1" t="s">
        <v>5281</v>
      </c>
      <c r="H3893" s="1" t="s">
        <v>5284</v>
      </c>
      <c r="J3893" s="1" t="s">
        <v>5285</v>
      </c>
      <c r="L3893" s="1" t="s">
        <v>913</v>
      </c>
      <c r="N3893" s="1" t="s">
        <v>3019</v>
      </c>
      <c r="P3893" s="1" t="s">
        <v>12642</v>
      </c>
      <c r="Q3893" s="30" t="s">
        <v>2565</v>
      </c>
      <c r="R3893" s="33" t="s">
        <v>3475</v>
      </c>
      <c r="S3893">
        <v>37</v>
      </c>
      <c r="T3893" s="1" t="s">
        <v>13989</v>
      </c>
      <c r="U3893" s="1" t="str">
        <f>HYPERLINK("http://ictvonline.org/taxonomy/p/taxonomy-history?taxnode_id=202104453","ICTVonline=202104453")</f>
        <v>ICTVonline=202104453</v>
      </c>
    </row>
    <row r="3894" spans="1:21" x14ac:dyDescent="0.2">
      <c r="A3894" s="3">
        <v>3893</v>
      </c>
      <c r="B3894" s="1" t="s">
        <v>5250</v>
      </c>
      <c r="D3894" s="1" t="s">
        <v>5280</v>
      </c>
      <c r="F3894" s="1" t="s">
        <v>5281</v>
      </c>
      <c r="H3894" s="1" t="s">
        <v>5284</v>
      </c>
      <c r="J3894" s="1" t="s">
        <v>5285</v>
      </c>
      <c r="L3894" s="1" t="s">
        <v>913</v>
      </c>
      <c r="N3894" s="1" t="s">
        <v>3019</v>
      </c>
      <c r="P3894" s="1" t="s">
        <v>12643</v>
      </c>
      <c r="Q3894" s="30" t="s">
        <v>2565</v>
      </c>
      <c r="R3894" s="33" t="s">
        <v>3475</v>
      </c>
      <c r="S3894">
        <v>37</v>
      </c>
      <c r="T3894" s="1" t="s">
        <v>13989</v>
      </c>
      <c r="U3894" s="1" t="str">
        <f>HYPERLINK("http://ictvonline.org/taxonomy/p/taxonomy-history?taxnode_id=202104455","ICTVonline=202104455")</f>
        <v>ICTVonline=202104455</v>
      </c>
    </row>
    <row r="3895" spans="1:21" x14ac:dyDescent="0.2">
      <c r="A3895" s="3">
        <v>3894</v>
      </c>
      <c r="B3895" s="1" t="s">
        <v>5250</v>
      </c>
      <c r="D3895" s="1" t="s">
        <v>5280</v>
      </c>
      <c r="F3895" s="1" t="s">
        <v>5281</v>
      </c>
      <c r="H3895" s="1" t="s">
        <v>5284</v>
      </c>
      <c r="J3895" s="1" t="s">
        <v>5285</v>
      </c>
      <c r="L3895" s="1" t="s">
        <v>913</v>
      </c>
      <c r="N3895" s="1" t="s">
        <v>3019</v>
      </c>
      <c r="P3895" s="1" t="s">
        <v>12644</v>
      </c>
      <c r="Q3895" s="30" t="s">
        <v>2565</v>
      </c>
      <c r="R3895" s="33" t="s">
        <v>3475</v>
      </c>
      <c r="S3895">
        <v>37</v>
      </c>
      <c r="T3895" s="1" t="s">
        <v>13989</v>
      </c>
      <c r="U3895" s="1" t="str">
        <f>HYPERLINK("http://ictvonline.org/taxonomy/p/taxonomy-history?taxnode_id=202104463","ICTVonline=202104463")</f>
        <v>ICTVonline=202104463</v>
      </c>
    </row>
    <row r="3896" spans="1:21" x14ac:dyDescent="0.2">
      <c r="A3896" s="3">
        <v>3895</v>
      </c>
      <c r="B3896" s="1" t="s">
        <v>5250</v>
      </c>
      <c r="D3896" s="1" t="s">
        <v>5280</v>
      </c>
      <c r="F3896" s="1" t="s">
        <v>5281</v>
      </c>
      <c r="H3896" s="1" t="s">
        <v>5284</v>
      </c>
      <c r="J3896" s="1" t="s">
        <v>5285</v>
      </c>
      <c r="L3896" s="1" t="s">
        <v>913</v>
      </c>
      <c r="N3896" s="1" t="s">
        <v>3019</v>
      </c>
      <c r="P3896" s="1" t="s">
        <v>12645</v>
      </c>
      <c r="Q3896" s="30" t="s">
        <v>2565</v>
      </c>
      <c r="R3896" s="33" t="s">
        <v>3475</v>
      </c>
      <c r="S3896">
        <v>37</v>
      </c>
      <c r="T3896" s="1" t="s">
        <v>13989</v>
      </c>
      <c r="U3896" s="1" t="str">
        <f>HYPERLINK("http://ictvonline.org/taxonomy/p/taxonomy-history?taxnode_id=202107115","ICTVonline=202107115")</f>
        <v>ICTVonline=202107115</v>
      </c>
    </row>
    <row r="3897" spans="1:21" x14ac:dyDescent="0.2">
      <c r="A3897" s="3">
        <v>3896</v>
      </c>
      <c r="B3897" s="1" t="s">
        <v>5250</v>
      </c>
      <c r="D3897" s="1" t="s">
        <v>5280</v>
      </c>
      <c r="F3897" s="1" t="s">
        <v>5281</v>
      </c>
      <c r="H3897" s="1" t="s">
        <v>5284</v>
      </c>
      <c r="J3897" s="1" t="s">
        <v>5285</v>
      </c>
      <c r="L3897" s="1" t="s">
        <v>913</v>
      </c>
      <c r="N3897" s="1" t="s">
        <v>3019</v>
      </c>
      <c r="P3897" s="1" t="s">
        <v>12646</v>
      </c>
      <c r="Q3897" s="30" t="s">
        <v>2565</v>
      </c>
      <c r="R3897" s="33" t="s">
        <v>3475</v>
      </c>
      <c r="S3897">
        <v>37</v>
      </c>
      <c r="T3897" s="1" t="s">
        <v>13989</v>
      </c>
      <c r="U3897" s="1" t="str">
        <f>HYPERLINK("http://ictvonline.org/taxonomy/p/taxonomy-history?taxnode_id=202104458","ICTVonline=202104458")</f>
        <v>ICTVonline=202104458</v>
      </c>
    </row>
    <row r="3898" spans="1:21" x14ac:dyDescent="0.2">
      <c r="A3898" s="3">
        <v>3897</v>
      </c>
      <c r="B3898" s="1" t="s">
        <v>5250</v>
      </c>
      <c r="D3898" s="1" t="s">
        <v>5280</v>
      </c>
      <c r="F3898" s="1" t="s">
        <v>5281</v>
      </c>
      <c r="H3898" s="1" t="s">
        <v>5284</v>
      </c>
      <c r="J3898" s="1" t="s">
        <v>5285</v>
      </c>
      <c r="L3898" s="1" t="s">
        <v>913</v>
      </c>
      <c r="N3898" s="1" t="s">
        <v>3019</v>
      </c>
      <c r="P3898" s="1" t="s">
        <v>12647</v>
      </c>
      <c r="Q3898" s="30" t="s">
        <v>2565</v>
      </c>
      <c r="R3898" s="33" t="s">
        <v>3475</v>
      </c>
      <c r="S3898">
        <v>37</v>
      </c>
      <c r="T3898" s="1" t="s">
        <v>13989</v>
      </c>
      <c r="U3898" s="1" t="str">
        <f>HYPERLINK("http://ictvonline.org/taxonomy/p/taxonomy-history?taxnode_id=202109590","ICTVonline=202109590")</f>
        <v>ICTVonline=202109590</v>
      </c>
    </row>
    <row r="3899" spans="1:21" x14ac:dyDescent="0.2">
      <c r="A3899" s="3">
        <v>3898</v>
      </c>
      <c r="B3899" s="1" t="s">
        <v>5250</v>
      </c>
      <c r="D3899" s="1" t="s">
        <v>5280</v>
      </c>
      <c r="F3899" s="1" t="s">
        <v>5281</v>
      </c>
      <c r="H3899" s="1" t="s">
        <v>5284</v>
      </c>
      <c r="J3899" s="1" t="s">
        <v>5285</v>
      </c>
      <c r="L3899" s="1" t="s">
        <v>913</v>
      </c>
      <c r="N3899" s="1" t="s">
        <v>3019</v>
      </c>
      <c r="P3899" s="1" t="s">
        <v>12648</v>
      </c>
      <c r="Q3899" s="30" t="s">
        <v>2565</v>
      </c>
      <c r="R3899" s="33" t="s">
        <v>3475</v>
      </c>
      <c r="S3899">
        <v>37</v>
      </c>
      <c r="T3899" s="1" t="s">
        <v>13989</v>
      </c>
      <c r="U3899" s="1" t="str">
        <f>HYPERLINK("http://ictvonline.org/taxonomy/p/taxonomy-history?taxnode_id=202104459","ICTVonline=202104459")</f>
        <v>ICTVonline=202104459</v>
      </c>
    </row>
    <row r="3900" spans="1:21" x14ac:dyDescent="0.2">
      <c r="A3900" s="3">
        <v>3899</v>
      </c>
      <c r="B3900" s="1" t="s">
        <v>5250</v>
      </c>
      <c r="D3900" s="1" t="s">
        <v>5280</v>
      </c>
      <c r="F3900" s="1" t="s">
        <v>5281</v>
      </c>
      <c r="H3900" s="1" t="s">
        <v>5284</v>
      </c>
      <c r="J3900" s="1" t="s">
        <v>5285</v>
      </c>
      <c r="L3900" s="1" t="s">
        <v>913</v>
      </c>
      <c r="N3900" s="1" t="s">
        <v>3019</v>
      </c>
      <c r="P3900" s="1" t="s">
        <v>12649</v>
      </c>
      <c r="Q3900" s="30" t="s">
        <v>2565</v>
      </c>
      <c r="R3900" s="33" t="s">
        <v>3475</v>
      </c>
      <c r="S3900">
        <v>37</v>
      </c>
      <c r="T3900" s="1" t="s">
        <v>13989</v>
      </c>
      <c r="U3900" s="1" t="str">
        <f>HYPERLINK("http://ictvonline.org/taxonomy/p/taxonomy-history?taxnode_id=202109591","ICTVonline=202109591")</f>
        <v>ICTVonline=202109591</v>
      </c>
    </row>
    <row r="3901" spans="1:21" x14ac:dyDescent="0.2">
      <c r="A3901" s="3">
        <v>3900</v>
      </c>
      <c r="B3901" s="1" t="s">
        <v>5250</v>
      </c>
      <c r="D3901" s="1" t="s">
        <v>5280</v>
      </c>
      <c r="F3901" s="1" t="s">
        <v>5281</v>
      </c>
      <c r="H3901" s="1" t="s">
        <v>5284</v>
      </c>
      <c r="J3901" s="1" t="s">
        <v>5285</v>
      </c>
      <c r="L3901" s="1" t="s">
        <v>913</v>
      </c>
      <c r="N3901" s="1" t="s">
        <v>3019</v>
      </c>
      <c r="P3901" s="1" t="s">
        <v>12650</v>
      </c>
      <c r="Q3901" s="30" t="s">
        <v>2565</v>
      </c>
      <c r="R3901" s="33" t="s">
        <v>3475</v>
      </c>
      <c r="S3901">
        <v>37</v>
      </c>
      <c r="T3901" s="1" t="s">
        <v>13989</v>
      </c>
      <c r="U3901" s="1" t="str">
        <f>HYPERLINK("http://ictvonline.org/taxonomy/p/taxonomy-history?taxnode_id=202105905","ICTVonline=202105905")</f>
        <v>ICTVonline=202105905</v>
      </c>
    </row>
    <row r="3902" spans="1:21" x14ac:dyDescent="0.2">
      <c r="A3902" s="3">
        <v>3901</v>
      </c>
      <c r="B3902" s="1" t="s">
        <v>5250</v>
      </c>
      <c r="D3902" s="1" t="s">
        <v>5280</v>
      </c>
      <c r="F3902" s="1" t="s">
        <v>5281</v>
      </c>
      <c r="H3902" s="1" t="s">
        <v>5284</v>
      </c>
      <c r="J3902" s="1" t="s">
        <v>5285</v>
      </c>
      <c r="L3902" s="1" t="s">
        <v>913</v>
      </c>
      <c r="N3902" s="1" t="s">
        <v>3019</v>
      </c>
      <c r="P3902" s="1" t="s">
        <v>12651</v>
      </c>
      <c r="Q3902" s="30" t="s">
        <v>2565</v>
      </c>
      <c r="R3902" s="33" t="s">
        <v>3475</v>
      </c>
      <c r="S3902">
        <v>37</v>
      </c>
      <c r="T3902" s="1" t="s">
        <v>13989</v>
      </c>
      <c r="U3902" s="1" t="str">
        <f>HYPERLINK("http://ictvonline.org/taxonomy/p/taxonomy-history?taxnode_id=202104464","ICTVonline=202104464")</f>
        <v>ICTVonline=202104464</v>
      </c>
    </row>
    <row r="3903" spans="1:21" x14ac:dyDescent="0.2">
      <c r="A3903" s="3">
        <v>3902</v>
      </c>
      <c r="B3903" s="1" t="s">
        <v>5250</v>
      </c>
      <c r="D3903" s="1" t="s">
        <v>5280</v>
      </c>
      <c r="F3903" s="1" t="s">
        <v>5281</v>
      </c>
      <c r="H3903" s="1" t="s">
        <v>5284</v>
      </c>
      <c r="J3903" s="1" t="s">
        <v>5285</v>
      </c>
      <c r="L3903" s="1" t="s">
        <v>913</v>
      </c>
      <c r="N3903" s="1" t="s">
        <v>3019</v>
      </c>
      <c r="P3903" s="1" t="s">
        <v>12652</v>
      </c>
      <c r="Q3903" s="30" t="s">
        <v>2565</v>
      </c>
      <c r="R3903" s="33" t="s">
        <v>3475</v>
      </c>
      <c r="S3903">
        <v>37</v>
      </c>
      <c r="T3903" s="1" t="s">
        <v>13989</v>
      </c>
      <c r="U3903" s="1" t="str">
        <f>HYPERLINK("http://ictvonline.org/taxonomy/p/taxonomy-history?taxnode_id=202104468","ICTVonline=202104468")</f>
        <v>ICTVonline=202104468</v>
      </c>
    </row>
    <row r="3904" spans="1:21" x14ac:dyDescent="0.2">
      <c r="A3904" s="3">
        <v>3903</v>
      </c>
      <c r="B3904" s="1" t="s">
        <v>5250</v>
      </c>
      <c r="D3904" s="1" t="s">
        <v>5280</v>
      </c>
      <c r="F3904" s="1" t="s">
        <v>5281</v>
      </c>
      <c r="H3904" s="1" t="s">
        <v>5284</v>
      </c>
      <c r="J3904" s="1" t="s">
        <v>5285</v>
      </c>
      <c r="L3904" s="1" t="s">
        <v>913</v>
      </c>
      <c r="N3904" s="1" t="s">
        <v>3019</v>
      </c>
      <c r="P3904" s="1" t="s">
        <v>12653</v>
      </c>
      <c r="Q3904" s="30" t="s">
        <v>2565</v>
      </c>
      <c r="R3904" s="33" t="s">
        <v>3475</v>
      </c>
      <c r="S3904">
        <v>37</v>
      </c>
      <c r="T3904" s="1" t="s">
        <v>13989</v>
      </c>
      <c r="U3904" s="1" t="str">
        <f>HYPERLINK("http://ictvonline.org/taxonomy/p/taxonomy-history?taxnode_id=202104467","ICTVonline=202104467")</f>
        <v>ICTVonline=202104467</v>
      </c>
    </row>
    <row r="3905" spans="1:21" x14ac:dyDescent="0.2">
      <c r="A3905" s="3">
        <v>3904</v>
      </c>
      <c r="B3905" s="1" t="s">
        <v>5250</v>
      </c>
      <c r="D3905" s="1" t="s">
        <v>5280</v>
      </c>
      <c r="F3905" s="1" t="s">
        <v>5281</v>
      </c>
      <c r="H3905" s="1" t="s">
        <v>5284</v>
      </c>
      <c r="J3905" s="1" t="s">
        <v>5285</v>
      </c>
      <c r="L3905" s="1" t="s">
        <v>913</v>
      </c>
      <c r="N3905" s="1" t="s">
        <v>3019</v>
      </c>
      <c r="P3905" s="1" t="s">
        <v>12654</v>
      </c>
      <c r="Q3905" s="30" t="s">
        <v>2565</v>
      </c>
      <c r="R3905" s="33" t="s">
        <v>3475</v>
      </c>
      <c r="S3905">
        <v>37</v>
      </c>
      <c r="T3905" s="1" t="s">
        <v>13989</v>
      </c>
      <c r="U3905" s="1" t="str">
        <f>HYPERLINK("http://ictvonline.org/taxonomy/p/taxonomy-history?taxnode_id=202104465","ICTVonline=202104465")</f>
        <v>ICTVonline=202104465</v>
      </c>
    </row>
    <row r="3906" spans="1:21" x14ac:dyDescent="0.2">
      <c r="A3906" s="3">
        <v>3905</v>
      </c>
      <c r="B3906" s="1" t="s">
        <v>5250</v>
      </c>
      <c r="D3906" s="1" t="s">
        <v>5280</v>
      </c>
      <c r="F3906" s="1" t="s">
        <v>5281</v>
      </c>
      <c r="H3906" s="1" t="s">
        <v>5284</v>
      </c>
      <c r="J3906" s="1" t="s">
        <v>5285</v>
      </c>
      <c r="L3906" s="1" t="s">
        <v>913</v>
      </c>
      <c r="N3906" s="1" t="s">
        <v>3019</v>
      </c>
      <c r="P3906" s="1" t="s">
        <v>12655</v>
      </c>
      <c r="Q3906" s="30" t="s">
        <v>2565</v>
      </c>
      <c r="R3906" s="33" t="s">
        <v>3475</v>
      </c>
      <c r="S3906">
        <v>37</v>
      </c>
      <c r="T3906" s="1" t="s">
        <v>13989</v>
      </c>
      <c r="U3906" s="1" t="str">
        <f>HYPERLINK("http://ictvonline.org/taxonomy/p/taxonomy-history?taxnode_id=202104466","ICTVonline=202104466")</f>
        <v>ICTVonline=202104466</v>
      </c>
    </row>
    <row r="3907" spans="1:21" x14ac:dyDescent="0.2">
      <c r="A3907" s="3">
        <v>3906</v>
      </c>
      <c r="B3907" s="1" t="s">
        <v>5250</v>
      </c>
      <c r="D3907" s="1" t="s">
        <v>5280</v>
      </c>
      <c r="F3907" s="1" t="s">
        <v>5281</v>
      </c>
      <c r="H3907" s="1" t="s">
        <v>5284</v>
      </c>
      <c r="J3907" s="1" t="s">
        <v>5285</v>
      </c>
      <c r="L3907" s="1" t="s">
        <v>913</v>
      </c>
      <c r="N3907" s="1" t="s">
        <v>3019</v>
      </c>
      <c r="P3907" s="1" t="s">
        <v>12656</v>
      </c>
      <c r="Q3907" s="30" t="s">
        <v>2565</v>
      </c>
      <c r="R3907" s="33" t="s">
        <v>3475</v>
      </c>
      <c r="S3907">
        <v>37</v>
      </c>
      <c r="T3907" s="1" t="s">
        <v>13989</v>
      </c>
      <c r="U3907" s="1" t="str">
        <f>HYPERLINK("http://ictvonline.org/taxonomy/p/taxonomy-history?taxnode_id=202104470","ICTVonline=202104470")</f>
        <v>ICTVonline=202104470</v>
      </c>
    </row>
    <row r="3908" spans="1:21" x14ac:dyDescent="0.2">
      <c r="A3908" s="3">
        <v>3907</v>
      </c>
      <c r="B3908" s="1" t="s">
        <v>5250</v>
      </c>
      <c r="D3908" s="1" t="s">
        <v>5280</v>
      </c>
      <c r="F3908" s="1" t="s">
        <v>5281</v>
      </c>
      <c r="H3908" s="1" t="s">
        <v>5284</v>
      </c>
      <c r="J3908" s="1" t="s">
        <v>5285</v>
      </c>
      <c r="L3908" s="1" t="s">
        <v>913</v>
      </c>
      <c r="N3908" s="1" t="s">
        <v>3019</v>
      </c>
      <c r="P3908" s="1" t="s">
        <v>12657</v>
      </c>
      <c r="Q3908" s="30" t="s">
        <v>2565</v>
      </c>
      <c r="R3908" s="33" t="s">
        <v>3475</v>
      </c>
      <c r="S3908">
        <v>37</v>
      </c>
      <c r="T3908" s="1" t="s">
        <v>13989</v>
      </c>
      <c r="U3908" s="1" t="str">
        <f>HYPERLINK("http://ictvonline.org/taxonomy/p/taxonomy-history?taxnode_id=202104471","ICTVonline=202104471")</f>
        <v>ICTVonline=202104471</v>
      </c>
    </row>
    <row r="3909" spans="1:21" x14ac:dyDescent="0.2">
      <c r="A3909" s="3">
        <v>3908</v>
      </c>
      <c r="B3909" s="1" t="s">
        <v>5250</v>
      </c>
      <c r="D3909" s="1" t="s">
        <v>5280</v>
      </c>
      <c r="F3909" s="1" t="s">
        <v>5281</v>
      </c>
      <c r="H3909" s="1" t="s">
        <v>5284</v>
      </c>
      <c r="J3909" s="1" t="s">
        <v>5285</v>
      </c>
      <c r="L3909" s="1" t="s">
        <v>913</v>
      </c>
      <c r="N3909" s="1" t="s">
        <v>3019</v>
      </c>
      <c r="P3909" s="1" t="s">
        <v>12658</v>
      </c>
      <c r="Q3909" s="30" t="s">
        <v>2565</v>
      </c>
      <c r="R3909" s="33" t="s">
        <v>3475</v>
      </c>
      <c r="S3909">
        <v>37</v>
      </c>
      <c r="T3909" s="1" t="s">
        <v>13989</v>
      </c>
      <c r="U3909" s="1" t="str">
        <f>HYPERLINK("http://ictvonline.org/taxonomy/p/taxonomy-history?taxnode_id=202104472","ICTVonline=202104472")</f>
        <v>ICTVonline=202104472</v>
      </c>
    </row>
    <row r="3910" spans="1:21" x14ac:dyDescent="0.2">
      <c r="A3910" s="3">
        <v>3909</v>
      </c>
      <c r="B3910" s="1" t="s">
        <v>5250</v>
      </c>
      <c r="D3910" s="1" t="s">
        <v>5280</v>
      </c>
      <c r="F3910" s="1" t="s">
        <v>5281</v>
      </c>
      <c r="H3910" s="1" t="s">
        <v>5284</v>
      </c>
      <c r="J3910" s="1" t="s">
        <v>5285</v>
      </c>
      <c r="L3910" s="1" t="s">
        <v>913</v>
      </c>
      <c r="N3910" s="1" t="s">
        <v>3019</v>
      </c>
      <c r="P3910" s="1" t="s">
        <v>12659</v>
      </c>
      <c r="Q3910" s="30" t="s">
        <v>2565</v>
      </c>
      <c r="R3910" s="33" t="s">
        <v>3475</v>
      </c>
      <c r="S3910">
        <v>37</v>
      </c>
      <c r="T3910" s="1" t="s">
        <v>13989</v>
      </c>
      <c r="U3910" s="1" t="str">
        <f>HYPERLINK("http://ictvonline.org/taxonomy/p/taxonomy-history?taxnode_id=202109589","ICTVonline=202109589")</f>
        <v>ICTVonline=202109589</v>
      </c>
    </row>
    <row r="3911" spans="1:21" x14ac:dyDescent="0.2">
      <c r="A3911" s="3">
        <v>3910</v>
      </c>
      <c r="B3911" s="1" t="s">
        <v>5250</v>
      </c>
      <c r="D3911" s="1" t="s">
        <v>5280</v>
      </c>
      <c r="F3911" s="1" t="s">
        <v>5281</v>
      </c>
      <c r="H3911" s="1" t="s">
        <v>5284</v>
      </c>
      <c r="J3911" s="1" t="s">
        <v>5285</v>
      </c>
      <c r="L3911" s="1" t="s">
        <v>913</v>
      </c>
      <c r="N3911" s="1" t="s">
        <v>3019</v>
      </c>
      <c r="P3911" s="1" t="s">
        <v>12660</v>
      </c>
      <c r="Q3911" s="30" t="s">
        <v>2565</v>
      </c>
      <c r="R3911" s="33" t="s">
        <v>3475</v>
      </c>
      <c r="S3911">
        <v>37</v>
      </c>
      <c r="T3911" s="1" t="s">
        <v>13989</v>
      </c>
      <c r="U3911" s="1" t="str">
        <f>HYPERLINK("http://ictvonline.org/taxonomy/p/taxonomy-history?taxnode_id=202104474","ICTVonline=202104474")</f>
        <v>ICTVonline=202104474</v>
      </c>
    </row>
    <row r="3912" spans="1:21" x14ac:dyDescent="0.2">
      <c r="A3912" s="3">
        <v>3911</v>
      </c>
      <c r="B3912" s="1" t="s">
        <v>5250</v>
      </c>
      <c r="D3912" s="1" t="s">
        <v>5280</v>
      </c>
      <c r="F3912" s="1" t="s">
        <v>5281</v>
      </c>
      <c r="H3912" s="1" t="s">
        <v>5284</v>
      </c>
      <c r="J3912" s="1" t="s">
        <v>5285</v>
      </c>
      <c r="L3912" s="1" t="s">
        <v>913</v>
      </c>
      <c r="N3912" s="1" t="s">
        <v>3019</v>
      </c>
      <c r="P3912" s="1" t="s">
        <v>12661</v>
      </c>
      <c r="Q3912" s="30" t="s">
        <v>2565</v>
      </c>
      <c r="R3912" s="33" t="s">
        <v>3475</v>
      </c>
      <c r="S3912">
        <v>37</v>
      </c>
      <c r="T3912" s="1" t="s">
        <v>13989</v>
      </c>
      <c r="U3912" s="1" t="str">
        <f>HYPERLINK("http://ictvonline.org/taxonomy/p/taxonomy-history?taxnode_id=202104475","ICTVonline=202104475")</f>
        <v>ICTVonline=202104475</v>
      </c>
    </row>
    <row r="3913" spans="1:21" x14ac:dyDescent="0.2">
      <c r="A3913" s="3">
        <v>3912</v>
      </c>
      <c r="B3913" s="1" t="s">
        <v>5250</v>
      </c>
      <c r="D3913" s="1" t="s">
        <v>5280</v>
      </c>
      <c r="F3913" s="1" t="s">
        <v>5281</v>
      </c>
      <c r="H3913" s="1" t="s">
        <v>5284</v>
      </c>
      <c r="J3913" s="1" t="s">
        <v>5285</v>
      </c>
      <c r="L3913" s="1" t="s">
        <v>913</v>
      </c>
      <c r="N3913" s="1" t="s">
        <v>3019</v>
      </c>
      <c r="P3913" s="1" t="s">
        <v>12662</v>
      </c>
      <c r="Q3913" s="30" t="s">
        <v>2565</v>
      </c>
      <c r="R3913" s="33" t="s">
        <v>3475</v>
      </c>
      <c r="S3913">
        <v>37</v>
      </c>
      <c r="T3913" s="1" t="s">
        <v>13989</v>
      </c>
      <c r="U3913" s="1" t="str">
        <f>HYPERLINK("http://ictvonline.org/taxonomy/p/taxonomy-history?taxnode_id=202104462","ICTVonline=202104462")</f>
        <v>ICTVonline=202104462</v>
      </c>
    </row>
    <row r="3914" spans="1:21" x14ac:dyDescent="0.2">
      <c r="A3914" s="3">
        <v>3913</v>
      </c>
      <c r="B3914" s="1" t="s">
        <v>5250</v>
      </c>
      <c r="D3914" s="1" t="s">
        <v>5280</v>
      </c>
      <c r="F3914" s="1" t="s">
        <v>5281</v>
      </c>
      <c r="H3914" s="1" t="s">
        <v>5284</v>
      </c>
      <c r="J3914" s="1" t="s">
        <v>5285</v>
      </c>
      <c r="L3914" s="1" t="s">
        <v>913</v>
      </c>
      <c r="N3914" s="1" t="s">
        <v>3019</v>
      </c>
      <c r="P3914" s="1" t="s">
        <v>12663</v>
      </c>
      <c r="Q3914" s="30" t="s">
        <v>2565</v>
      </c>
      <c r="R3914" s="33" t="s">
        <v>3475</v>
      </c>
      <c r="S3914">
        <v>37</v>
      </c>
      <c r="T3914" s="1" t="s">
        <v>13989</v>
      </c>
      <c r="U3914" s="1" t="str">
        <f>HYPERLINK("http://ictvonline.org/taxonomy/p/taxonomy-history?taxnode_id=202106348","ICTVonline=202106348")</f>
        <v>ICTVonline=202106348</v>
      </c>
    </row>
    <row r="3915" spans="1:21" x14ac:dyDescent="0.2">
      <c r="A3915" s="3">
        <v>3914</v>
      </c>
      <c r="B3915" s="1" t="s">
        <v>5250</v>
      </c>
      <c r="D3915" s="1" t="s">
        <v>5280</v>
      </c>
      <c r="F3915" s="1" t="s">
        <v>5281</v>
      </c>
      <c r="H3915" s="1" t="s">
        <v>5284</v>
      </c>
      <c r="J3915" s="1" t="s">
        <v>5285</v>
      </c>
      <c r="L3915" s="1" t="s">
        <v>913</v>
      </c>
      <c r="N3915" s="1" t="s">
        <v>3019</v>
      </c>
      <c r="P3915" s="1" t="s">
        <v>12664</v>
      </c>
      <c r="Q3915" s="30" t="s">
        <v>2565</v>
      </c>
      <c r="R3915" s="33" t="s">
        <v>3475</v>
      </c>
      <c r="S3915">
        <v>37</v>
      </c>
      <c r="T3915" s="1" t="s">
        <v>13989</v>
      </c>
      <c r="U3915" s="1" t="str">
        <f>HYPERLINK("http://ictvonline.org/taxonomy/p/taxonomy-history?taxnode_id=202104476","ICTVonline=202104476")</f>
        <v>ICTVonline=202104476</v>
      </c>
    </row>
    <row r="3916" spans="1:21" x14ac:dyDescent="0.2">
      <c r="A3916" s="3">
        <v>3915</v>
      </c>
      <c r="B3916" s="1" t="s">
        <v>5250</v>
      </c>
      <c r="D3916" s="1" t="s">
        <v>5280</v>
      </c>
      <c r="F3916" s="1" t="s">
        <v>5281</v>
      </c>
      <c r="H3916" s="1" t="s">
        <v>5284</v>
      </c>
      <c r="J3916" s="1" t="s">
        <v>5285</v>
      </c>
      <c r="L3916" s="1" t="s">
        <v>913</v>
      </c>
      <c r="N3916" s="1" t="s">
        <v>3019</v>
      </c>
      <c r="P3916" s="1" t="s">
        <v>12665</v>
      </c>
      <c r="Q3916" s="30" t="s">
        <v>2565</v>
      </c>
      <c r="R3916" s="33" t="s">
        <v>3475</v>
      </c>
      <c r="S3916">
        <v>37</v>
      </c>
      <c r="T3916" s="1" t="s">
        <v>13989</v>
      </c>
      <c r="U3916" s="1" t="str">
        <f>HYPERLINK("http://ictvonline.org/taxonomy/p/taxonomy-history?taxnode_id=202104477","ICTVonline=202104477")</f>
        <v>ICTVonline=202104477</v>
      </c>
    </row>
    <row r="3917" spans="1:21" x14ac:dyDescent="0.2">
      <c r="A3917" s="3">
        <v>3916</v>
      </c>
      <c r="B3917" s="1" t="s">
        <v>5250</v>
      </c>
      <c r="D3917" s="1" t="s">
        <v>5280</v>
      </c>
      <c r="F3917" s="1" t="s">
        <v>5281</v>
      </c>
      <c r="H3917" s="1" t="s">
        <v>5284</v>
      </c>
      <c r="J3917" s="1" t="s">
        <v>5285</v>
      </c>
      <c r="L3917" s="1" t="s">
        <v>913</v>
      </c>
      <c r="N3917" s="1" t="s">
        <v>3019</v>
      </c>
      <c r="P3917" s="1" t="s">
        <v>12666</v>
      </c>
      <c r="Q3917" s="30" t="s">
        <v>2565</v>
      </c>
      <c r="R3917" s="33" t="s">
        <v>3475</v>
      </c>
      <c r="S3917">
        <v>37</v>
      </c>
      <c r="T3917" s="1" t="s">
        <v>13989</v>
      </c>
      <c r="U3917" s="1" t="str">
        <f>HYPERLINK("http://ictvonline.org/taxonomy/p/taxonomy-history?taxnode_id=202109592","ICTVonline=202109592")</f>
        <v>ICTVonline=202109592</v>
      </c>
    </row>
    <row r="3918" spans="1:21" x14ac:dyDescent="0.2">
      <c r="A3918" s="3">
        <v>3917</v>
      </c>
      <c r="B3918" s="1" t="s">
        <v>5250</v>
      </c>
      <c r="D3918" s="1" t="s">
        <v>5280</v>
      </c>
      <c r="F3918" s="1" t="s">
        <v>5281</v>
      </c>
      <c r="H3918" s="1" t="s">
        <v>5284</v>
      </c>
      <c r="J3918" s="1" t="s">
        <v>5285</v>
      </c>
      <c r="L3918" s="1" t="s">
        <v>913</v>
      </c>
      <c r="N3918" s="1" t="s">
        <v>3019</v>
      </c>
      <c r="P3918" s="1" t="s">
        <v>12667</v>
      </c>
      <c r="Q3918" s="30" t="s">
        <v>2565</v>
      </c>
      <c r="R3918" s="33" t="s">
        <v>3475</v>
      </c>
      <c r="S3918">
        <v>37</v>
      </c>
      <c r="T3918" s="1" t="s">
        <v>13989</v>
      </c>
      <c r="U3918" s="1" t="str">
        <f>HYPERLINK("http://ictvonline.org/taxonomy/p/taxonomy-history?taxnode_id=202104450","ICTVonline=202104450")</f>
        <v>ICTVonline=202104450</v>
      </c>
    </row>
    <row r="3919" spans="1:21" x14ac:dyDescent="0.2">
      <c r="A3919" s="3">
        <v>3918</v>
      </c>
      <c r="B3919" s="1" t="s">
        <v>5250</v>
      </c>
      <c r="D3919" s="1" t="s">
        <v>5280</v>
      </c>
      <c r="F3919" s="1" t="s">
        <v>5281</v>
      </c>
      <c r="H3919" s="1" t="s">
        <v>5284</v>
      </c>
      <c r="J3919" s="1" t="s">
        <v>5285</v>
      </c>
      <c r="L3919" s="1" t="s">
        <v>913</v>
      </c>
      <c r="N3919" s="1" t="s">
        <v>3019</v>
      </c>
      <c r="P3919" s="1" t="s">
        <v>12668</v>
      </c>
      <c r="Q3919" s="30" t="s">
        <v>2565</v>
      </c>
      <c r="R3919" s="33" t="s">
        <v>3475</v>
      </c>
      <c r="S3919">
        <v>37</v>
      </c>
      <c r="T3919" s="1" t="s">
        <v>13989</v>
      </c>
      <c r="U3919" s="1" t="str">
        <f>HYPERLINK("http://ictvonline.org/taxonomy/p/taxonomy-history?taxnode_id=202104454","ICTVonline=202104454")</f>
        <v>ICTVonline=202104454</v>
      </c>
    </row>
    <row r="3920" spans="1:21" x14ac:dyDescent="0.2">
      <c r="A3920" s="3">
        <v>3919</v>
      </c>
      <c r="B3920" s="1" t="s">
        <v>5250</v>
      </c>
      <c r="D3920" s="1" t="s">
        <v>5280</v>
      </c>
      <c r="F3920" s="1" t="s">
        <v>5281</v>
      </c>
      <c r="H3920" s="1" t="s">
        <v>5284</v>
      </c>
      <c r="J3920" s="1" t="s">
        <v>5285</v>
      </c>
      <c r="L3920" s="1" t="s">
        <v>913</v>
      </c>
      <c r="N3920" s="1" t="s">
        <v>3019</v>
      </c>
      <c r="P3920" s="1" t="s">
        <v>12669</v>
      </c>
      <c r="Q3920" s="30" t="s">
        <v>2565</v>
      </c>
      <c r="R3920" s="33" t="s">
        <v>3475</v>
      </c>
      <c r="S3920">
        <v>37</v>
      </c>
      <c r="T3920" s="1" t="s">
        <v>13989</v>
      </c>
      <c r="U3920" s="1" t="str">
        <f>HYPERLINK("http://ictvonline.org/taxonomy/p/taxonomy-history?taxnode_id=202104456","ICTVonline=202104456")</f>
        <v>ICTVonline=202104456</v>
      </c>
    </row>
    <row r="3921" spans="1:21" x14ac:dyDescent="0.2">
      <c r="A3921" s="3">
        <v>3920</v>
      </c>
      <c r="B3921" s="1" t="s">
        <v>5250</v>
      </c>
      <c r="D3921" s="1" t="s">
        <v>5280</v>
      </c>
      <c r="F3921" s="1" t="s">
        <v>5281</v>
      </c>
      <c r="H3921" s="1" t="s">
        <v>5284</v>
      </c>
      <c r="J3921" s="1" t="s">
        <v>5285</v>
      </c>
      <c r="L3921" s="1" t="s">
        <v>913</v>
      </c>
      <c r="N3921" s="1" t="s">
        <v>3019</v>
      </c>
      <c r="P3921" s="1" t="s">
        <v>12670</v>
      </c>
      <c r="Q3921" s="30" t="s">
        <v>2565</v>
      </c>
      <c r="R3921" s="33" t="s">
        <v>3475</v>
      </c>
      <c r="S3921">
        <v>37</v>
      </c>
      <c r="T3921" s="1" t="s">
        <v>13989</v>
      </c>
      <c r="U3921" s="1" t="str">
        <f>HYPERLINK("http://ictvonline.org/taxonomy/p/taxonomy-history?taxnode_id=202104460","ICTVonline=202104460")</f>
        <v>ICTVonline=202104460</v>
      </c>
    </row>
    <row r="3922" spans="1:21" x14ac:dyDescent="0.2">
      <c r="A3922" s="3">
        <v>3921</v>
      </c>
      <c r="B3922" s="1" t="s">
        <v>5250</v>
      </c>
      <c r="D3922" s="1" t="s">
        <v>5280</v>
      </c>
      <c r="F3922" s="1" t="s">
        <v>5281</v>
      </c>
      <c r="H3922" s="1" t="s">
        <v>5284</v>
      </c>
      <c r="J3922" s="1" t="s">
        <v>5285</v>
      </c>
      <c r="L3922" s="1" t="s">
        <v>913</v>
      </c>
      <c r="N3922" s="1" t="s">
        <v>3019</v>
      </c>
      <c r="P3922" s="1" t="s">
        <v>12671</v>
      </c>
      <c r="Q3922" s="30" t="s">
        <v>2565</v>
      </c>
      <c r="R3922" s="33" t="s">
        <v>3475</v>
      </c>
      <c r="S3922">
        <v>37</v>
      </c>
      <c r="T3922" s="1" t="s">
        <v>13989</v>
      </c>
      <c r="U3922" s="1" t="str">
        <f>HYPERLINK("http://ictvonline.org/taxonomy/p/taxonomy-history?taxnode_id=202104469","ICTVonline=202104469")</f>
        <v>ICTVonline=202104469</v>
      </c>
    </row>
    <row r="3923" spans="1:21" x14ac:dyDescent="0.2">
      <c r="A3923" s="3">
        <v>3922</v>
      </c>
      <c r="B3923" s="1" t="s">
        <v>5250</v>
      </c>
      <c r="D3923" s="1" t="s">
        <v>5280</v>
      </c>
      <c r="F3923" s="1" t="s">
        <v>5281</v>
      </c>
      <c r="H3923" s="1" t="s">
        <v>5284</v>
      </c>
      <c r="J3923" s="1" t="s">
        <v>5285</v>
      </c>
      <c r="L3923" s="1" t="s">
        <v>913</v>
      </c>
      <c r="N3923" s="1" t="s">
        <v>3019</v>
      </c>
      <c r="P3923" s="1" t="s">
        <v>12672</v>
      </c>
      <c r="Q3923" s="30" t="s">
        <v>2565</v>
      </c>
      <c r="R3923" s="33" t="s">
        <v>3475</v>
      </c>
      <c r="S3923">
        <v>37</v>
      </c>
      <c r="T3923" s="1" t="s">
        <v>13989</v>
      </c>
      <c r="U3923" s="1" t="str">
        <f>HYPERLINK("http://ictvonline.org/taxonomy/p/taxonomy-history?taxnode_id=202104473","ICTVonline=202104473")</f>
        <v>ICTVonline=202104473</v>
      </c>
    </row>
    <row r="3924" spans="1:21" x14ac:dyDescent="0.2">
      <c r="A3924" s="3">
        <v>3923</v>
      </c>
      <c r="B3924" s="1" t="s">
        <v>5250</v>
      </c>
      <c r="D3924" s="1" t="s">
        <v>5280</v>
      </c>
      <c r="F3924" s="1" t="s">
        <v>5281</v>
      </c>
      <c r="H3924" s="1" t="s">
        <v>5284</v>
      </c>
      <c r="J3924" s="1" t="s">
        <v>5285</v>
      </c>
      <c r="L3924" s="1" t="s">
        <v>913</v>
      </c>
      <c r="N3924" s="1" t="s">
        <v>3019</v>
      </c>
      <c r="P3924" s="1" t="s">
        <v>12673</v>
      </c>
      <c r="Q3924" s="30" t="s">
        <v>2565</v>
      </c>
      <c r="R3924" s="33" t="s">
        <v>3475</v>
      </c>
      <c r="S3924">
        <v>37</v>
      </c>
      <c r="T3924" s="1" t="s">
        <v>13989</v>
      </c>
      <c r="U3924" s="1" t="str">
        <f>HYPERLINK("http://ictvonline.org/taxonomy/p/taxonomy-history?taxnode_id=202105906","ICTVonline=202105906")</f>
        <v>ICTVonline=202105906</v>
      </c>
    </row>
    <row r="3925" spans="1:21" x14ac:dyDescent="0.2">
      <c r="A3925" s="3">
        <v>3924</v>
      </c>
      <c r="B3925" s="1" t="s">
        <v>5250</v>
      </c>
      <c r="D3925" s="1" t="s">
        <v>5280</v>
      </c>
      <c r="F3925" s="1" t="s">
        <v>5281</v>
      </c>
      <c r="H3925" s="1" t="s">
        <v>5284</v>
      </c>
      <c r="J3925" s="1" t="s">
        <v>5285</v>
      </c>
      <c r="L3925" s="1" t="s">
        <v>913</v>
      </c>
      <c r="N3925" s="1" t="s">
        <v>3019</v>
      </c>
      <c r="P3925" s="1" t="s">
        <v>12674</v>
      </c>
      <c r="Q3925" s="30" t="s">
        <v>2565</v>
      </c>
      <c r="R3925" s="33" t="s">
        <v>3475</v>
      </c>
      <c r="S3925">
        <v>37</v>
      </c>
      <c r="T3925" s="1" t="s">
        <v>13989</v>
      </c>
      <c r="U3925" s="1" t="str">
        <f>HYPERLINK("http://ictvonline.org/taxonomy/p/taxonomy-history?taxnode_id=202104457","ICTVonline=202104457")</f>
        <v>ICTVonline=202104457</v>
      </c>
    </row>
    <row r="3926" spans="1:21" x14ac:dyDescent="0.2">
      <c r="A3926" s="3">
        <v>3925</v>
      </c>
      <c r="B3926" s="1" t="s">
        <v>5250</v>
      </c>
      <c r="D3926" s="1" t="s">
        <v>5280</v>
      </c>
      <c r="F3926" s="1" t="s">
        <v>5281</v>
      </c>
      <c r="H3926" s="1" t="s">
        <v>5284</v>
      </c>
      <c r="J3926" s="1" t="s">
        <v>5285</v>
      </c>
      <c r="L3926" s="1" t="s">
        <v>913</v>
      </c>
      <c r="N3926" s="1" t="s">
        <v>3019</v>
      </c>
      <c r="P3926" s="1" t="s">
        <v>12675</v>
      </c>
      <c r="Q3926" s="30" t="s">
        <v>2565</v>
      </c>
      <c r="R3926" s="33" t="s">
        <v>3475</v>
      </c>
      <c r="S3926">
        <v>37</v>
      </c>
      <c r="T3926" s="1" t="s">
        <v>13989</v>
      </c>
      <c r="U3926" s="1" t="str">
        <f>HYPERLINK("http://ictvonline.org/taxonomy/p/taxonomy-history?taxnode_id=202104461","ICTVonline=202104461")</f>
        <v>ICTVonline=202104461</v>
      </c>
    </row>
    <row r="3927" spans="1:21" x14ac:dyDescent="0.2">
      <c r="A3927" s="3">
        <v>3926</v>
      </c>
      <c r="B3927" s="1" t="s">
        <v>5250</v>
      </c>
      <c r="D3927" s="1" t="s">
        <v>5280</v>
      </c>
      <c r="F3927" s="1" t="s">
        <v>5281</v>
      </c>
      <c r="H3927" s="1" t="s">
        <v>5284</v>
      </c>
      <c r="J3927" s="1" t="s">
        <v>5285</v>
      </c>
      <c r="L3927" s="1" t="s">
        <v>913</v>
      </c>
      <c r="N3927" s="1" t="s">
        <v>3019</v>
      </c>
      <c r="P3927" s="1" t="s">
        <v>12676</v>
      </c>
      <c r="Q3927" s="30" t="s">
        <v>2565</v>
      </c>
      <c r="R3927" s="33" t="s">
        <v>3475</v>
      </c>
      <c r="S3927">
        <v>37</v>
      </c>
      <c r="T3927" s="1" t="s">
        <v>13989</v>
      </c>
      <c r="U3927" s="1" t="str">
        <f>HYPERLINK("http://ictvonline.org/taxonomy/p/taxonomy-history?taxnode_id=202107116","ICTVonline=202107116")</f>
        <v>ICTVonline=202107116</v>
      </c>
    </row>
    <row r="3928" spans="1:21" x14ac:dyDescent="0.2">
      <c r="A3928" s="3">
        <v>3927</v>
      </c>
      <c r="B3928" s="1" t="s">
        <v>5250</v>
      </c>
      <c r="D3928" s="1" t="s">
        <v>5280</v>
      </c>
      <c r="F3928" s="1" t="s">
        <v>5281</v>
      </c>
      <c r="H3928" s="1" t="s">
        <v>5284</v>
      </c>
      <c r="J3928" s="1" t="s">
        <v>5285</v>
      </c>
      <c r="L3928" s="1" t="s">
        <v>913</v>
      </c>
      <c r="N3928" s="1" t="s">
        <v>3019</v>
      </c>
      <c r="P3928" s="1" t="s">
        <v>12677</v>
      </c>
      <c r="Q3928" s="30" t="s">
        <v>2565</v>
      </c>
      <c r="R3928" s="33" t="s">
        <v>3475</v>
      </c>
      <c r="S3928">
        <v>37</v>
      </c>
      <c r="T3928" s="1" t="s">
        <v>13989</v>
      </c>
      <c r="U3928" s="1" t="str">
        <f>HYPERLINK("http://ictvonline.org/taxonomy/p/taxonomy-history?taxnode_id=202105907","ICTVonline=202105907")</f>
        <v>ICTVonline=202105907</v>
      </c>
    </row>
    <row r="3929" spans="1:21" x14ac:dyDescent="0.2">
      <c r="A3929" s="3">
        <v>3928</v>
      </c>
      <c r="B3929" s="1" t="s">
        <v>5250</v>
      </c>
      <c r="D3929" s="1" t="s">
        <v>5280</v>
      </c>
      <c r="F3929" s="1" t="s">
        <v>5281</v>
      </c>
      <c r="H3929" s="1" t="s">
        <v>5284</v>
      </c>
      <c r="J3929" s="1" t="s">
        <v>5285</v>
      </c>
      <c r="L3929" s="1" t="s">
        <v>913</v>
      </c>
      <c r="N3929" s="1" t="s">
        <v>3019</v>
      </c>
      <c r="P3929" s="1" t="s">
        <v>12678</v>
      </c>
      <c r="Q3929" s="30" t="s">
        <v>2565</v>
      </c>
      <c r="R3929" s="33" t="s">
        <v>3475</v>
      </c>
      <c r="S3929">
        <v>37</v>
      </c>
      <c r="T3929" s="1" t="s">
        <v>13989</v>
      </c>
      <c r="U3929" s="1" t="str">
        <f>HYPERLINK("http://ictvonline.org/taxonomy/p/taxonomy-history?taxnode_id=202104478","ICTVonline=202104478")</f>
        <v>ICTVonline=202104478</v>
      </c>
    </row>
    <row r="3930" spans="1:21" x14ac:dyDescent="0.2">
      <c r="A3930" s="3">
        <v>3929</v>
      </c>
      <c r="B3930" s="1" t="s">
        <v>5250</v>
      </c>
      <c r="D3930" s="1" t="s">
        <v>5280</v>
      </c>
      <c r="F3930" s="1" t="s">
        <v>5281</v>
      </c>
      <c r="H3930" s="1" t="s">
        <v>5284</v>
      </c>
      <c r="J3930" s="1" t="s">
        <v>5285</v>
      </c>
      <c r="L3930" s="1" t="s">
        <v>913</v>
      </c>
      <c r="N3930" s="1" t="s">
        <v>3020</v>
      </c>
      <c r="P3930" s="1" t="s">
        <v>12679</v>
      </c>
      <c r="Q3930" s="30" t="s">
        <v>2565</v>
      </c>
      <c r="R3930" s="33" t="s">
        <v>3475</v>
      </c>
      <c r="S3930">
        <v>37</v>
      </c>
      <c r="T3930" s="1" t="s">
        <v>13989</v>
      </c>
      <c r="U3930" s="1" t="str">
        <f>HYPERLINK("http://ictvonline.org/taxonomy/p/taxonomy-history?taxnode_id=202106349","ICTVonline=202106349")</f>
        <v>ICTVonline=202106349</v>
      </c>
    </row>
    <row r="3931" spans="1:21" x14ac:dyDescent="0.2">
      <c r="A3931" s="3">
        <v>3930</v>
      </c>
      <c r="B3931" s="1" t="s">
        <v>5250</v>
      </c>
      <c r="D3931" s="1" t="s">
        <v>5280</v>
      </c>
      <c r="F3931" s="1" t="s">
        <v>5281</v>
      </c>
      <c r="H3931" s="1" t="s">
        <v>5284</v>
      </c>
      <c r="J3931" s="1" t="s">
        <v>5285</v>
      </c>
      <c r="L3931" s="1" t="s">
        <v>913</v>
      </c>
      <c r="N3931" s="1" t="s">
        <v>3020</v>
      </c>
      <c r="P3931" s="1" t="s">
        <v>12680</v>
      </c>
      <c r="Q3931" s="30" t="s">
        <v>2565</v>
      </c>
      <c r="R3931" s="33" t="s">
        <v>3475</v>
      </c>
      <c r="S3931">
        <v>37</v>
      </c>
      <c r="T3931" s="1" t="s">
        <v>13989</v>
      </c>
      <c r="U3931" s="1" t="str">
        <f>HYPERLINK("http://ictvonline.org/taxonomy/p/taxonomy-history?taxnode_id=202109594","ICTVonline=202109594")</f>
        <v>ICTVonline=202109594</v>
      </c>
    </row>
    <row r="3932" spans="1:21" x14ac:dyDescent="0.2">
      <c r="A3932" s="3">
        <v>3931</v>
      </c>
      <c r="B3932" s="1" t="s">
        <v>5250</v>
      </c>
      <c r="D3932" s="1" t="s">
        <v>5280</v>
      </c>
      <c r="F3932" s="1" t="s">
        <v>5281</v>
      </c>
      <c r="H3932" s="1" t="s">
        <v>5284</v>
      </c>
      <c r="J3932" s="1" t="s">
        <v>5285</v>
      </c>
      <c r="L3932" s="1" t="s">
        <v>913</v>
      </c>
      <c r="N3932" s="1" t="s">
        <v>3020</v>
      </c>
      <c r="P3932" s="1" t="s">
        <v>12681</v>
      </c>
      <c r="Q3932" s="30" t="s">
        <v>2565</v>
      </c>
      <c r="R3932" s="33" t="s">
        <v>3475</v>
      </c>
      <c r="S3932">
        <v>37</v>
      </c>
      <c r="T3932" s="1" t="s">
        <v>13989</v>
      </c>
      <c r="U3932" s="1" t="str">
        <f>HYPERLINK("http://ictvonline.org/taxonomy/p/taxonomy-history?taxnode_id=202104482","ICTVonline=202104482")</f>
        <v>ICTVonline=202104482</v>
      </c>
    </row>
    <row r="3933" spans="1:21" x14ac:dyDescent="0.2">
      <c r="A3933" s="3">
        <v>3932</v>
      </c>
      <c r="B3933" s="1" t="s">
        <v>5250</v>
      </c>
      <c r="D3933" s="1" t="s">
        <v>5280</v>
      </c>
      <c r="F3933" s="1" t="s">
        <v>5281</v>
      </c>
      <c r="H3933" s="1" t="s">
        <v>5284</v>
      </c>
      <c r="J3933" s="1" t="s">
        <v>5285</v>
      </c>
      <c r="L3933" s="1" t="s">
        <v>913</v>
      </c>
      <c r="N3933" s="1" t="s">
        <v>3020</v>
      </c>
      <c r="P3933" s="1" t="s">
        <v>12682</v>
      </c>
      <c r="Q3933" s="30" t="s">
        <v>2565</v>
      </c>
      <c r="R3933" s="33" t="s">
        <v>3475</v>
      </c>
      <c r="S3933">
        <v>37</v>
      </c>
      <c r="T3933" s="1" t="s">
        <v>13989</v>
      </c>
      <c r="U3933" s="1" t="str">
        <f>HYPERLINK("http://ictvonline.org/taxonomy/p/taxonomy-history?taxnode_id=202106350","ICTVonline=202106350")</f>
        <v>ICTVonline=202106350</v>
      </c>
    </row>
    <row r="3934" spans="1:21" x14ac:dyDescent="0.2">
      <c r="A3934" s="3">
        <v>3933</v>
      </c>
      <c r="B3934" s="1" t="s">
        <v>5250</v>
      </c>
      <c r="D3934" s="1" t="s">
        <v>5280</v>
      </c>
      <c r="F3934" s="1" t="s">
        <v>5281</v>
      </c>
      <c r="H3934" s="1" t="s">
        <v>5284</v>
      </c>
      <c r="J3934" s="1" t="s">
        <v>5285</v>
      </c>
      <c r="L3934" s="1" t="s">
        <v>913</v>
      </c>
      <c r="N3934" s="1" t="s">
        <v>3020</v>
      </c>
      <c r="P3934" s="1" t="s">
        <v>12683</v>
      </c>
      <c r="Q3934" s="30" t="s">
        <v>2565</v>
      </c>
      <c r="R3934" s="33" t="s">
        <v>3475</v>
      </c>
      <c r="S3934">
        <v>37</v>
      </c>
      <c r="T3934" s="1" t="s">
        <v>13989</v>
      </c>
      <c r="U3934" s="1" t="str">
        <f>HYPERLINK("http://ictvonline.org/taxonomy/p/taxonomy-history?taxnode_id=202104481","ICTVonline=202104481")</f>
        <v>ICTVonline=202104481</v>
      </c>
    </row>
    <row r="3935" spans="1:21" x14ac:dyDescent="0.2">
      <c r="A3935" s="3">
        <v>3934</v>
      </c>
      <c r="B3935" s="1" t="s">
        <v>5250</v>
      </c>
      <c r="D3935" s="1" t="s">
        <v>5280</v>
      </c>
      <c r="F3935" s="1" t="s">
        <v>5281</v>
      </c>
      <c r="H3935" s="1" t="s">
        <v>5284</v>
      </c>
      <c r="J3935" s="1" t="s">
        <v>5285</v>
      </c>
      <c r="L3935" s="1" t="s">
        <v>913</v>
      </c>
      <c r="N3935" s="1" t="s">
        <v>3020</v>
      </c>
      <c r="P3935" s="1" t="s">
        <v>12684</v>
      </c>
      <c r="Q3935" s="30" t="s">
        <v>2565</v>
      </c>
      <c r="R3935" s="33" t="s">
        <v>3475</v>
      </c>
      <c r="S3935">
        <v>37</v>
      </c>
      <c r="T3935" s="1" t="s">
        <v>13989</v>
      </c>
      <c r="U3935" s="1" t="str">
        <f>HYPERLINK("http://ictvonline.org/taxonomy/p/taxonomy-history?taxnode_id=202104480","ICTVonline=202104480")</f>
        <v>ICTVonline=202104480</v>
      </c>
    </row>
    <row r="3936" spans="1:21" x14ac:dyDescent="0.2">
      <c r="A3936" s="3">
        <v>3935</v>
      </c>
      <c r="B3936" s="1" t="s">
        <v>5250</v>
      </c>
      <c r="D3936" s="1" t="s">
        <v>5280</v>
      </c>
      <c r="F3936" s="1" t="s">
        <v>5281</v>
      </c>
      <c r="H3936" s="1" t="s">
        <v>5284</v>
      </c>
      <c r="J3936" s="1" t="s">
        <v>5285</v>
      </c>
      <c r="L3936" s="1" t="s">
        <v>913</v>
      </c>
      <c r="N3936" s="1" t="s">
        <v>3020</v>
      </c>
      <c r="P3936" s="1" t="s">
        <v>12685</v>
      </c>
      <c r="Q3936" s="30" t="s">
        <v>2565</v>
      </c>
      <c r="R3936" s="33" t="s">
        <v>3475</v>
      </c>
      <c r="S3936">
        <v>37</v>
      </c>
      <c r="T3936" s="1" t="s">
        <v>13989</v>
      </c>
      <c r="U3936" s="1" t="str">
        <f>HYPERLINK("http://ictvonline.org/taxonomy/p/taxonomy-history?taxnode_id=202104483","ICTVonline=202104483")</f>
        <v>ICTVonline=202104483</v>
      </c>
    </row>
    <row r="3937" spans="1:21" x14ac:dyDescent="0.2">
      <c r="A3937" s="3">
        <v>3936</v>
      </c>
      <c r="B3937" s="1" t="s">
        <v>5250</v>
      </c>
      <c r="D3937" s="1" t="s">
        <v>5280</v>
      </c>
      <c r="F3937" s="1" t="s">
        <v>5281</v>
      </c>
      <c r="H3937" s="1" t="s">
        <v>5284</v>
      </c>
      <c r="J3937" s="1" t="s">
        <v>5285</v>
      </c>
      <c r="L3937" s="1" t="s">
        <v>913</v>
      </c>
      <c r="N3937" s="1" t="s">
        <v>6269</v>
      </c>
      <c r="P3937" s="1" t="s">
        <v>12686</v>
      </c>
      <c r="Q3937" s="30" t="s">
        <v>2565</v>
      </c>
      <c r="R3937" s="33" t="s">
        <v>3475</v>
      </c>
      <c r="S3937">
        <v>37</v>
      </c>
      <c r="T3937" s="1" t="s">
        <v>13989</v>
      </c>
      <c r="U3937" s="1" t="str">
        <f>HYPERLINK("http://ictvonline.org/taxonomy/p/taxonomy-history?taxnode_id=202104493","ICTVonline=202104493")</f>
        <v>ICTVonline=202104493</v>
      </c>
    </row>
    <row r="3938" spans="1:21" x14ac:dyDescent="0.2">
      <c r="A3938" s="3">
        <v>3937</v>
      </c>
      <c r="B3938" s="1" t="s">
        <v>5250</v>
      </c>
      <c r="D3938" s="1" t="s">
        <v>5280</v>
      </c>
      <c r="F3938" s="1" t="s">
        <v>5281</v>
      </c>
      <c r="H3938" s="1" t="s">
        <v>5284</v>
      </c>
      <c r="J3938" s="1" t="s">
        <v>5285</v>
      </c>
      <c r="L3938" s="1" t="s">
        <v>913</v>
      </c>
      <c r="N3938" s="1" t="s">
        <v>6269</v>
      </c>
      <c r="P3938" s="1" t="s">
        <v>12687</v>
      </c>
      <c r="Q3938" s="30" t="s">
        <v>2565</v>
      </c>
      <c r="R3938" s="33" t="s">
        <v>3475</v>
      </c>
      <c r="S3938">
        <v>37</v>
      </c>
      <c r="T3938" s="1" t="s">
        <v>13989</v>
      </c>
      <c r="U3938" s="1" t="str">
        <f>HYPERLINK("http://ictvonline.org/taxonomy/p/taxonomy-history?taxnode_id=202109597","ICTVonline=202109597")</f>
        <v>ICTVonline=202109597</v>
      </c>
    </row>
    <row r="3939" spans="1:21" x14ac:dyDescent="0.2">
      <c r="A3939" s="3">
        <v>3938</v>
      </c>
      <c r="B3939" s="1" t="s">
        <v>5250</v>
      </c>
      <c r="D3939" s="1" t="s">
        <v>5280</v>
      </c>
      <c r="F3939" s="1" t="s">
        <v>5281</v>
      </c>
      <c r="H3939" s="1" t="s">
        <v>5284</v>
      </c>
      <c r="J3939" s="1" t="s">
        <v>5285</v>
      </c>
      <c r="L3939" s="1" t="s">
        <v>913</v>
      </c>
      <c r="N3939" s="1" t="s">
        <v>6269</v>
      </c>
      <c r="P3939" s="1" t="s">
        <v>12688</v>
      </c>
      <c r="Q3939" s="30" t="s">
        <v>2565</v>
      </c>
      <c r="R3939" s="33" t="s">
        <v>3475</v>
      </c>
      <c r="S3939">
        <v>37</v>
      </c>
      <c r="T3939" s="1" t="s">
        <v>13989</v>
      </c>
      <c r="U3939" s="1" t="str">
        <f>HYPERLINK("http://ictvonline.org/taxonomy/p/taxonomy-history?taxnode_id=202109596","ICTVonline=202109596")</f>
        <v>ICTVonline=202109596</v>
      </c>
    </row>
    <row r="3940" spans="1:21" x14ac:dyDescent="0.2">
      <c r="A3940" s="3">
        <v>3939</v>
      </c>
      <c r="B3940" s="1" t="s">
        <v>5250</v>
      </c>
      <c r="D3940" s="1" t="s">
        <v>5280</v>
      </c>
      <c r="F3940" s="1" t="s">
        <v>5281</v>
      </c>
      <c r="H3940" s="1" t="s">
        <v>5284</v>
      </c>
      <c r="J3940" s="1" t="s">
        <v>5285</v>
      </c>
      <c r="L3940" s="1" t="s">
        <v>913</v>
      </c>
      <c r="N3940" s="1" t="s">
        <v>12689</v>
      </c>
      <c r="P3940" s="1" t="s">
        <v>12690</v>
      </c>
      <c r="Q3940" s="30" t="s">
        <v>2565</v>
      </c>
      <c r="R3940" s="33" t="s">
        <v>3473</v>
      </c>
      <c r="S3940">
        <v>37</v>
      </c>
      <c r="T3940" s="1" t="s">
        <v>13989</v>
      </c>
      <c r="U3940" s="1" t="str">
        <f>HYPERLINK("http://ictvonline.org/taxonomy/p/taxonomy-history?taxnode_id=202105910","ICTVonline=202105910")</f>
        <v>ICTVonline=202105910</v>
      </c>
    </row>
    <row r="3941" spans="1:21" x14ac:dyDescent="0.2">
      <c r="A3941" s="3">
        <v>3940</v>
      </c>
      <c r="B3941" s="1" t="s">
        <v>5250</v>
      </c>
      <c r="D3941" s="1" t="s">
        <v>5280</v>
      </c>
      <c r="F3941" s="1" t="s">
        <v>5281</v>
      </c>
      <c r="H3941" s="1" t="s">
        <v>5284</v>
      </c>
      <c r="J3941" s="1" t="s">
        <v>5285</v>
      </c>
      <c r="L3941" s="1" t="s">
        <v>913</v>
      </c>
      <c r="N3941" s="1" t="s">
        <v>3021</v>
      </c>
      <c r="P3941" s="1" t="s">
        <v>12691</v>
      </c>
      <c r="Q3941" s="30" t="s">
        <v>2565</v>
      </c>
      <c r="R3941" s="33" t="s">
        <v>3475</v>
      </c>
      <c r="S3941">
        <v>37</v>
      </c>
      <c r="T3941" s="1" t="s">
        <v>13989</v>
      </c>
      <c r="U3941" s="1" t="str">
        <f>HYPERLINK("http://ictvonline.org/taxonomy/p/taxonomy-history?taxnode_id=202104485","ICTVonline=202104485")</f>
        <v>ICTVonline=202104485</v>
      </c>
    </row>
    <row r="3942" spans="1:21" x14ac:dyDescent="0.2">
      <c r="A3942" s="3">
        <v>3941</v>
      </c>
      <c r="B3942" s="1" t="s">
        <v>5250</v>
      </c>
      <c r="D3942" s="1" t="s">
        <v>5280</v>
      </c>
      <c r="F3942" s="1" t="s">
        <v>5281</v>
      </c>
      <c r="H3942" s="1" t="s">
        <v>5284</v>
      </c>
      <c r="J3942" s="1" t="s">
        <v>5285</v>
      </c>
      <c r="L3942" s="1" t="s">
        <v>913</v>
      </c>
      <c r="N3942" s="1" t="s">
        <v>3021</v>
      </c>
      <c r="P3942" s="1" t="s">
        <v>12692</v>
      </c>
      <c r="Q3942" s="30" t="s">
        <v>2565</v>
      </c>
      <c r="R3942" s="33" t="s">
        <v>3475</v>
      </c>
      <c r="S3942">
        <v>37</v>
      </c>
      <c r="T3942" s="1" t="s">
        <v>13989</v>
      </c>
      <c r="U3942" s="1" t="str">
        <f>HYPERLINK("http://ictvonline.org/taxonomy/p/taxonomy-history?taxnode_id=202104486","ICTVonline=202104486")</f>
        <v>ICTVonline=202104486</v>
      </c>
    </row>
    <row r="3943" spans="1:21" x14ac:dyDescent="0.2">
      <c r="A3943" s="3">
        <v>3942</v>
      </c>
      <c r="B3943" s="1" t="s">
        <v>5250</v>
      </c>
      <c r="D3943" s="1" t="s">
        <v>5280</v>
      </c>
      <c r="F3943" s="1" t="s">
        <v>5281</v>
      </c>
      <c r="H3943" s="1" t="s">
        <v>5284</v>
      </c>
      <c r="J3943" s="1" t="s">
        <v>5285</v>
      </c>
      <c r="L3943" s="1" t="s">
        <v>913</v>
      </c>
      <c r="N3943" s="1" t="s">
        <v>3021</v>
      </c>
      <c r="P3943" s="1" t="s">
        <v>12693</v>
      </c>
      <c r="Q3943" s="30" t="s">
        <v>2565</v>
      </c>
      <c r="R3943" s="33" t="s">
        <v>3475</v>
      </c>
      <c r="S3943">
        <v>37</v>
      </c>
      <c r="T3943" s="1" t="s">
        <v>13989</v>
      </c>
      <c r="U3943" s="1" t="str">
        <f>HYPERLINK("http://ictvonline.org/taxonomy/p/taxonomy-history?taxnode_id=202104487","ICTVonline=202104487")</f>
        <v>ICTVonline=202104487</v>
      </c>
    </row>
    <row r="3944" spans="1:21" x14ac:dyDescent="0.2">
      <c r="A3944" s="3">
        <v>3943</v>
      </c>
      <c r="B3944" s="1" t="s">
        <v>5250</v>
      </c>
      <c r="D3944" s="1" t="s">
        <v>5280</v>
      </c>
      <c r="F3944" s="1" t="s">
        <v>5281</v>
      </c>
      <c r="H3944" s="1" t="s">
        <v>5284</v>
      </c>
      <c r="J3944" s="1" t="s">
        <v>5285</v>
      </c>
      <c r="L3944" s="1" t="s">
        <v>913</v>
      </c>
      <c r="N3944" s="1" t="s">
        <v>3021</v>
      </c>
      <c r="P3944" s="1" t="s">
        <v>12694</v>
      </c>
      <c r="Q3944" s="30" t="s">
        <v>2565</v>
      </c>
      <c r="R3944" s="33" t="s">
        <v>3475</v>
      </c>
      <c r="S3944">
        <v>37</v>
      </c>
      <c r="T3944" s="1" t="s">
        <v>13989</v>
      </c>
      <c r="U3944" s="1" t="str">
        <f>HYPERLINK("http://ictvonline.org/taxonomy/p/taxonomy-history?taxnode_id=202104488","ICTVonline=202104488")</f>
        <v>ICTVonline=202104488</v>
      </c>
    </row>
    <row r="3945" spans="1:21" x14ac:dyDescent="0.2">
      <c r="A3945" s="3">
        <v>3944</v>
      </c>
      <c r="B3945" s="1" t="s">
        <v>5250</v>
      </c>
      <c r="D3945" s="1" t="s">
        <v>5280</v>
      </c>
      <c r="F3945" s="1" t="s">
        <v>5281</v>
      </c>
      <c r="H3945" s="1" t="s">
        <v>5284</v>
      </c>
      <c r="J3945" s="1" t="s">
        <v>5285</v>
      </c>
      <c r="L3945" s="1" t="s">
        <v>913</v>
      </c>
      <c r="N3945" s="1" t="s">
        <v>3021</v>
      </c>
      <c r="P3945" s="1" t="s">
        <v>12695</v>
      </c>
      <c r="Q3945" s="30" t="s">
        <v>2565</v>
      </c>
      <c r="R3945" s="33" t="s">
        <v>3475</v>
      </c>
      <c r="S3945">
        <v>37</v>
      </c>
      <c r="T3945" s="1" t="s">
        <v>13989</v>
      </c>
      <c r="U3945" s="1" t="str">
        <f>HYPERLINK("http://ictvonline.org/taxonomy/p/taxonomy-history?taxnode_id=202105908","ICTVonline=202105908")</f>
        <v>ICTVonline=202105908</v>
      </c>
    </row>
    <row r="3946" spans="1:21" x14ac:dyDescent="0.2">
      <c r="A3946" s="3">
        <v>3945</v>
      </c>
      <c r="B3946" s="1" t="s">
        <v>5250</v>
      </c>
      <c r="D3946" s="1" t="s">
        <v>5280</v>
      </c>
      <c r="F3946" s="1" t="s">
        <v>5281</v>
      </c>
      <c r="H3946" s="1" t="s">
        <v>5284</v>
      </c>
      <c r="J3946" s="1" t="s">
        <v>5285</v>
      </c>
      <c r="L3946" s="1" t="s">
        <v>913</v>
      </c>
      <c r="N3946" s="1" t="s">
        <v>3021</v>
      </c>
      <c r="P3946" s="1" t="s">
        <v>12696</v>
      </c>
      <c r="Q3946" s="30" t="s">
        <v>2565</v>
      </c>
      <c r="R3946" s="33" t="s">
        <v>3475</v>
      </c>
      <c r="S3946">
        <v>37</v>
      </c>
      <c r="T3946" s="1" t="s">
        <v>13989</v>
      </c>
      <c r="U3946" s="1" t="str">
        <f>HYPERLINK("http://ictvonline.org/taxonomy/p/taxonomy-history?taxnode_id=202105909","ICTVonline=202105909")</f>
        <v>ICTVonline=202105909</v>
      </c>
    </row>
    <row r="3947" spans="1:21" x14ac:dyDescent="0.2">
      <c r="A3947" s="3">
        <v>3946</v>
      </c>
      <c r="B3947" s="1" t="s">
        <v>5250</v>
      </c>
      <c r="D3947" s="1" t="s">
        <v>5280</v>
      </c>
      <c r="F3947" s="1" t="s">
        <v>5281</v>
      </c>
      <c r="H3947" s="1" t="s">
        <v>5284</v>
      </c>
      <c r="J3947" s="1" t="s">
        <v>5285</v>
      </c>
      <c r="L3947" s="1" t="s">
        <v>913</v>
      </c>
      <c r="N3947" s="1" t="s">
        <v>3021</v>
      </c>
      <c r="P3947" s="1" t="s">
        <v>12697</v>
      </c>
      <c r="Q3947" s="30" t="s">
        <v>2565</v>
      </c>
      <c r="R3947" s="33" t="s">
        <v>3475</v>
      </c>
      <c r="S3947">
        <v>37</v>
      </c>
      <c r="T3947" s="1" t="s">
        <v>13989</v>
      </c>
      <c r="U3947" s="1" t="str">
        <f>HYPERLINK("http://ictvonline.org/taxonomy/p/taxonomy-history?taxnode_id=202104489","ICTVonline=202104489")</f>
        <v>ICTVonline=202104489</v>
      </c>
    </row>
    <row r="3948" spans="1:21" x14ac:dyDescent="0.2">
      <c r="A3948" s="3">
        <v>3947</v>
      </c>
      <c r="B3948" s="1" t="s">
        <v>5250</v>
      </c>
      <c r="D3948" s="1" t="s">
        <v>5280</v>
      </c>
      <c r="F3948" s="1" t="s">
        <v>5281</v>
      </c>
      <c r="H3948" s="1" t="s">
        <v>5284</v>
      </c>
      <c r="J3948" s="1" t="s">
        <v>5285</v>
      </c>
      <c r="L3948" s="1" t="s">
        <v>913</v>
      </c>
      <c r="N3948" s="1" t="s">
        <v>3021</v>
      </c>
      <c r="P3948" s="1" t="s">
        <v>12698</v>
      </c>
      <c r="Q3948" s="30" t="s">
        <v>2565</v>
      </c>
      <c r="R3948" s="33" t="s">
        <v>3475</v>
      </c>
      <c r="S3948">
        <v>37</v>
      </c>
      <c r="T3948" s="1" t="s">
        <v>13989</v>
      </c>
      <c r="U3948" s="1" t="str">
        <f>HYPERLINK("http://ictvonline.org/taxonomy/p/taxonomy-history?taxnode_id=202104490","ICTVonline=202104490")</f>
        <v>ICTVonline=202104490</v>
      </c>
    </row>
    <row r="3949" spans="1:21" x14ac:dyDescent="0.2">
      <c r="A3949" s="3">
        <v>3948</v>
      </c>
      <c r="B3949" s="1" t="s">
        <v>5250</v>
      </c>
      <c r="D3949" s="1" t="s">
        <v>5280</v>
      </c>
      <c r="F3949" s="1" t="s">
        <v>5281</v>
      </c>
      <c r="H3949" s="1" t="s">
        <v>5284</v>
      </c>
      <c r="J3949" s="1" t="s">
        <v>5285</v>
      </c>
      <c r="L3949" s="1" t="s">
        <v>913</v>
      </c>
      <c r="N3949" s="1" t="s">
        <v>3021</v>
      </c>
      <c r="P3949" s="1" t="s">
        <v>12699</v>
      </c>
      <c r="Q3949" s="30" t="s">
        <v>2565</v>
      </c>
      <c r="R3949" s="33" t="s">
        <v>3475</v>
      </c>
      <c r="S3949">
        <v>37</v>
      </c>
      <c r="T3949" s="1" t="s">
        <v>13989</v>
      </c>
      <c r="U3949" s="1" t="str">
        <f>HYPERLINK("http://ictvonline.org/taxonomy/p/taxonomy-history?taxnode_id=202104491","ICTVonline=202104491")</f>
        <v>ICTVonline=202104491</v>
      </c>
    </row>
    <row r="3950" spans="1:21" x14ac:dyDescent="0.2">
      <c r="A3950" s="3">
        <v>3949</v>
      </c>
      <c r="B3950" s="1" t="s">
        <v>5250</v>
      </c>
      <c r="D3950" s="1" t="s">
        <v>5280</v>
      </c>
      <c r="F3950" s="1" t="s">
        <v>5281</v>
      </c>
      <c r="H3950" s="1" t="s">
        <v>5284</v>
      </c>
      <c r="J3950" s="1" t="s">
        <v>5285</v>
      </c>
      <c r="L3950" s="1" t="s">
        <v>913</v>
      </c>
      <c r="N3950" s="1" t="s">
        <v>12700</v>
      </c>
      <c r="P3950" s="1" t="s">
        <v>12701</v>
      </c>
      <c r="Q3950" s="30" t="s">
        <v>2565</v>
      </c>
      <c r="R3950" s="33" t="s">
        <v>3473</v>
      </c>
      <c r="S3950">
        <v>37</v>
      </c>
      <c r="T3950" s="1" t="s">
        <v>13989</v>
      </c>
      <c r="U3950" s="1" t="str">
        <f>HYPERLINK("http://ictvonline.org/taxonomy/p/taxonomy-history?taxnode_id=202104494","ICTVonline=202104494")</f>
        <v>ICTVonline=202104494</v>
      </c>
    </row>
    <row r="3951" spans="1:21" x14ac:dyDescent="0.2">
      <c r="A3951" s="3">
        <v>3950</v>
      </c>
      <c r="B3951" s="1" t="s">
        <v>5250</v>
      </c>
      <c r="D3951" s="1" t="s">
        <v>5280</v>
      </c>
      <c r="F3951" s="1" t="s">
        <v>5281</v>
      </c>
      <c r="H3951" s="1" t="s">
        <v>5284</v>
      </c>
      <c r="J3951" s="1" t="s">
        <v>5285</v>
      </c>
      <c r="L3951" s="1" t="s">
        <v>913</v>
      </c>
      <c r="N3951" s="1" t="s">
        <v>12700</v>
      </c>
      <c r="P3951" s="1" t="s">
        <v>12702</v>
      </c>
      <c r="Q3951" s="30" t="s">
        <v>2565</v>
      </c>
      <c r="R3951" s="33" t="s">
        <v>3473</v>
      </c>
      <c r="S3951">
        <v>37</v>
      </c>
      <c r="T3951" s="1" t="s">
        <v>13989</v>
      </c>
      <c r="U3951" s="1" t="str">
        <f>HYPERLINK("http://ictvonline.org/taxonomy/p/taxonomy-history?taxnode_id=202106351","ICTVonline=202106351")</f>
        <v>ICTVonline=202106351</v>
      </c>
    </row>
    <row r="3952" spans="1:21" x14ac:dyDescent="0.2">
      <c r="A3952" s="3">
        <v>3951</v>
      </c>
      <c r="B3952" s="1" t="s">
        <v>5250</v>
      </c>
      <c r="D3952" s="1" t="s">
        <v>5280</v>
      </c>
      <c r="F3952" s="1" t="s">
        <v>5281</v>
      </c>
      <c r="H3952" s="1" t="s">
        <v>5284</v>
      </c>
      <c r="J3952" s="1" t="s">
        <v>5285</v>
      </c>
      <c r="L3952" s="1" t="s">
        <v>913</v>
      </c>
      <c r="N3952" s="1" t="s">
        <v>12700</v>
      </c>
      <c r="P3952" s="1" t="s">
        <v>12703</v>
      </c>
      <c r="Q3952" s="30" t="s">
        <v>2565</v>
      </c>
      <c r="R3952" s="33" t="s">
        <v>3473</v>
      </c>
      <c r="S3952">
        <v>37</v>
      </c>
      <c r="T3952" s="1" t="s">
        <v>13989</v>
      </c>
      <c r="U3952" s="1" t="str">
        <f>HYPERLINK("http://ictvonline.org/taxonomy/p/taxonomy-history?taxnode_id=202106352","ICTVonline=202106352")</f>
        <v>ICTVonline=202106352</v>
      </c>
    </row>
    <row r="3953" spans="1:21" x14ac:dyDescent="0.2">
      <c r="A3953" s="3">
        <v>3952</v>
      </c>
      <c r="B3953" s="1" t="s">
        <v>5250</v>
      </c>
      <c r="D3953" s="1" t="s">
        <v>5280</v>
      </c>
      <c r="F3953" s="1" t="s">
        <v>5281</v>
      </c>
      <c r="H3953" s="1" t="s">
        <v>5284</v>
      </c>
      <c r="J3953" s="1" t="s">
        <v>5285</v>
      </c>
      <c r="L3953" s="1" t="s">
        <v>913</v>
      </c>
      <c r="N3953" s="1" t="s">
        <v>12700</v>
      </c>
      <c r="P3953" s="1" t="s">
        <v>12704</v>
      </c>
      <c r="Q3953" s="30" t="s">
        <v>2565</v>
      </c>
      <c r="R3953" s="33" t="s">
        <v>3473</v>
      </c>
      <c r="S3953">
        <v>37</v>
      </c>
      <c r="T3953" s="1" t="s">
        <v>13989</v>
      </c>
      <c r="U3953" s="1" t="str">
        <f>HYPERLINK("http://ictvonline.org/taxonomy/p/taxonomy-history?taxnode_id=202105911","ICTVonline=202105911")</f>
        <v>ICTVonline=202105911</v>
      </c>
    </row>
    <row r="3954" spans="1:21" x14ac:dyDescent="0.2">
      <c r="A3954" s="3">
        <v>3953</v>
      </c>
      <c r="B3954" s="1" t="s">
        <v>5250</v>
      </c>
      <c r="D3954" s="1" t="s">
        <v>5280</v>
      </c>
      <c r="F3954" s="1" t="s">
        <v>5281</v>
      </c>
      <c r="H3954" s="1" t="s">
        <v>5284</v>
      </c>
      <c r="J3954" s="1" t="s">
        <v>5285</v>
      </c>
      <c r="L3954" s="1" t="s">
        <v>913</v>
      </c>
      <c r="N3954" s="1" t="s">
        <v>6270</v>
      </c>
      <c r="P3954" s="1" t="s">
        <v>12705</v>
      </c>
      <c r="Q3954" s="30" t="s">
        <v>2565</v>
      </c>
      <c r="R3954" s="33" t="s">
        <v>3475</v>
      </c>
      <c r="S3954">
        <v>37</v>
      </c>
      <c r="T3954" s="1" t="s">
        <v>13989</v>
      </c>
      <c r="U3954" s="1" t="str">
        <f>HYPERLINK("http://ictvonline.org/taxonomy/p/taxonomy-history?taxnode_id=202104495","ICTVonline=202104495")</f>
        <v>ICTVonline=202104495</v>
      </c>
    </row>
    <row r="3955" spans="1:21" x14ac:dyDescent="0.2">
      <c r="A3955" s="3">
        <v>3954</v>
      </c>
      <c r="B3955" s="1" t="s">
        <v>5250</v>
      </c>
      <c r="D3955" s="1" t="s">
        <v>5280</v>
      </c>
      <c r="F3955" s="1" t="s">
        <v>5281</v>
      </c>
      <c r="H3955" s="1" t="s">
        <v>5284</v>
      </c>
      <c r="J3955" s="1" t="s">
        <v>5286</v>
      </c>
      <c r="L3955" s="1" t="s">
        <v>785</v>
      </c>
      <c r="M3955" s="1" t="s">
        <v>3895</v>
      </c>
      <c r="N3955" s="1" t="s">
        <v>786</v>
      </c>
      <c r="P3955" s="1" t="s">
        <v>101</v>
      </c>
      <c r="Q3955" s="30" t="s">
        <v>2568</v>
      </c>
      <c r="R3955" s="33" t="s">
        <v>8665</v>
      </c>
      <c r="S3955">
        <v>36</v>
      </c>
      <c r="T3955" s="1" t="s">
        <v>8661</v>
      </c>
      <c r="U3955" s="1" t="str">
        <f>HYPERLINK("http://ictvonline.org/taxonomy/p/taxonomy-history?taxnode_id=202103974","ICTVonline=202103974")</f>
        <v>ICTVonline=202103974</v>
      </c>
    </row>
    <row r="3956" spans="1:21" x14ac:dyDescent="0.2">
      <c r="A3956" s="3">
        <v>3955</v>
      </c>
      <c r="B3956" s="1" t="s">
        <v>5250</v>
      </c>
      <c r="D3956" s="1" t="s">
        <v>5280</v>
      </c>
      <c r="F3956" s="1" t="s">
        <v>5281</v>
      </c>
      <c r="H3956" s="1" t="s">
        <v>5284</v>
      </c>
      <c r="J3956" s="1" t="s">
        <v>5286</v>
      </c>
      <c r="L3956" s="1" t="s">
        <v>785</v>
      </c>
      <c r="M3956" s="1" t="s">
        <v>3895</v>
      </c>
      <c r="N3956" s="1" t="s">
        <v>786</v>
      </c>
      <c r="P3956" s="1" t="s">
        <v>107</v>
      </c>
      <c r="Q3956" s="30" t="s">
        <v>2568</v>
      </c>
      <c r="R3956" s="33" t="s">
        <v>8665</v>
      </c>
      <c r="S3956">
        <v>36</v>
      </c>
      <c r="T3956" s="1" t="s">
        <v>8661</v>
      </c>
      <c r="U3956" s="1" t="str">
        <f>HYPERLINK("http://ictvonline.org/taxonomy/p/taxonomy-history?taxnode_id=202103975","ICTVonline=202103975")</f>
        <v>ICTVonline=202103975</v>
      </c>
    </row>
    <row r="3957" spans="1:21" x14ac:dyDescent="0.2">
      <c r="A3957" s="3">
        <v>3956</v>
      </c>
      <c r="B3957" s="1" t="s">
        <v>5250</v>
      </c>
      <c r="D3957" s="1" t="s">
        <v>5280</v>
      </c>
      <c r="F3957" s="1" t="s">
        <v>5281</v>
      </c>
      <c r="H3957" s="1" t="s">
        <v>5284</v>
      </c>
      <c r="J3957" s="1" t="s">
        <v>5286</v>
      </c>
      <c r="L3957" s="1" t="s">
        <v>785</v>
      </c>
      <c r="M3957" s="1" t="s">
        <v>3895</v>
      </c>
      <c r="N3957" s="1" t="s">
        <v>786</v>
      </c>
      <c r="P3957" s="1" t="s">
        <v>108</v>
      </c>
      <c r="Q3957" s="30" t="s">
        <v>2568</v>
      </c>
      <c r="R3957" s="33" t="s">
        <v>8665</v>
      </c>
      <c r="S3957">
        <v>36</v>
      </c>
      <c r="T3957" s="1" t="s">
        <v>8661</v>
      </c>
      <c r="U3957" s="1" t="str">
        <f>HYPERLINK("http://ictvonline.org/taxonomy/p/taxonomy-history?taxnode_id=202103976","ICTVonline=202103976")</f>
        <v>ICTVonline=202103976</v>
      </c>
    </row>
    <row r="3958" spans="1:21" x14ac:dyDescent="0.2">
      <c r="A3958" s="3">
        <v>3957</v>
      </c>
      <c r="B3958" s="1" t="s">
        <v>5250</v>
      </c>
      <c r="D3958" s="1" t="s">
        <v>5280</v>
      </c>
      <c r="F3958" s="1" t="s">
        <v>5281</v>
      </c>
      <c r="H3958" s="1" t="s">
        <v>5284</v>
      </c>
      <c r="J3958" s="1" t="s">
        <v>5286</v>
      </c>
      <c r="L3958" s="1" t="s">
        <v>785</v>
      </c>
      <c r="M3958" s="1" t="s">
        <v>3895</v>
      </c>
      <c r="N3958" s="1" t="s">
        <v>786</v>
      </c>
      <c r="P3958" s="1" t="s">
        <v>109</v>
      </c>
      <c r="Q3958" s="30" t="s">
        <v>2568</v>
      </c>
      <c r="R3958" s="33" t="s">
        <v>8665</v>
      </c>
      <c r="S3958">
        <v>36</v>
      </c>
      <c r="T3958" s="1" t="s">
        <v>8661</v>
      </c>
      <c r="U3958" s="1" t="str">
        <f>HYPERLINK("http://ictvonline.org/taxonomy/p/taxonomy-history?taxnode_id=202103977","ICTVonline=202103977")</f>
        <v>ICTVonline=202103977</v>
      </c>
    </row>
    <row r="3959" spans="1:21" x14ac:dyDescent="0.2">
      <c r="A3959" s="3">
        <v>3958</v>
      </c>
      <c r="B3959" s="1" t="s">
        <v>5250</v>
      </c>
      <c r="D3959" s="1" t="s">
        <v>5280</v>
      </c>
      <c r="F3959" s="1" t="s">
        <v>5281</v>
      </c>
      <c r="H3959" s="1" t="s">
        <v>5284</v>
      </c>
      <c r="J3959" s="1" t="s">
        <v>5286</v>
      </c>
      <c r="L3959" s="1" t="s">
        <v>785</v>
      </c>
      <c r="M3959" s="1" t="s">
        <v>3895</v>
      </c>
      <c r="N3959" s="1" t="s">
        <v>786</v>
      </c>
      <c r="P3959" s="1" t="s">
        <v>110</v>
      </c>
      <c r="Q3959" s="30" t="s">
        <v>2568</v>
      </c>
      <c r="R3959" s="33" t="s">
        <v>8665</v>
      </c>
      <c r="S3959">
        <v>36</v>
      </c>
      <c r="T3959" s="1" t="s">
        <v>8661</v>
      </c>
      <c r="U3959" s="1" t="str">
        <f>HYPERLINK("http://ictvonline.org/taxonomy/p/taxonomy-history?taxnode_id=202103978","ICTVonline=202103978")</f>
        <v>ICTVonline=202103978</v>
      </c>
    </row>
    <row r="3960" spans="1:21" x14ac:dyDescent="0.2">
      <c r="A3960" s="3">
        <v>3959</v>
      </c>
      <c r="B3960" s="1" t="s">
        <v>5250</v>
      </c>
      <c r="D3960" s="1" t="s">
        <v>5280</v>
      </c>
      <c r="F3960" s="1" t="s">
        <v>5281</v>
      </c>
      <c r="H3960" s="1" t="s">
        <v>5284</v>
      </c>
      <c r="J3960" s="1" t="s">
        <v>5286</v>
      </c>
      <c r="L3960" s="1" t="s">
        <v>785</v>
      </c>
      <c r="M3960" s="1" t="s">
        <v>3895</v>
      </c>
      <c r="N3960" s="1" t="s">
        <v>786</v>
      </c>
      <c r="P3960" s="1" t="s">
        <v>111</v>
      </c>
      <c r="Q3960" s="30" t="s">
        <v>2568</v>
      </c>
      <c r="R3960" s="33" t="s">
        <v>8665</v>
      </c>
      <c r="S3960">
        <v>36</v>
      </c>
      <c r="T3960" s="1" t="s">
        <v>8661</v>
      </c>
      <c r="U3960" s="1" t="str">
        <f>HYPERLINK("http://ictvonline.org/taxonomy/p/taxonomy-history?taxnode_id=202103979","ICTVonline=202103979")</f>
        <v>ICTVonline=202103979</v>
      </c>
    </row>
    <row r="3961" spans="1:21" x14ac:dyDescent="0.2">
      <c r="A3961" s="3">
        <v>3960</v>
      </c>
      <c r="B3961" s="1" t="s">
        <v>5250</v>
      </c>
      <c r="D3961" s="1" t="s">
        <v>5280</v>
      </c>
      <c r="F3961" s="1" t="s">
        <v>5281</v>
      </c>
      <c r="H3961" s="1" t="s">
        <v>5284</v>
      </c>
      <c r="J3961" s="1" t="s">
        <v>5286</v>
      </c>
      <c r="L3961" s="1" t="s">
        <v>785</v>
      </c>
      <c r="M3961" s="1" t="s">
        <v>3895</v>
      </c>
      <c r="N3961" s="1" t="s">
        <v>786</v>
      </c>
      <c r="P3961" s="1" t="s">
        <v>112</v>
      </c>
      <c r="Q3961" s="30" t="s">
        <v>2568</v>
      </c>
      <c r="R3961" s="33" t="s">
        <v>8665</v>
      </c>
      <c r="S3961">
        <v>36</v>
      </c>
      <c r="T3961" s="1" t="s">
        <v>8661</v>
      </c>
      <c r="U3961" s="1" t="str">
        <f>HYPERLINK("http://ictvonline.org/taxonomy/p/taxonomy-history?taxnode_id=202103980","ICTVonline=202103980")</f>
        <v>ICTVonline=202103980</v>
      </c>
    </row>
    <row r="3962" spans="1:21" x14ac:dyDescent="0.2">
      <c r="A3962" s="3">
        <v>3961</v>
      </c>
      <c r="B3962" s="1" t="s">
        <v>5250</v>
      </c>
      <c r="D3962" s="1" t="s">
        <v>5280</v>
      </c>
      <c r="F3962" s="1" t="s">
        <v>5281</v>
      </c>
      <c r="H3962" s="1" t="s">
        <v>5284</v>
      </c>
      <c r="J3962" s="1" t="s">
        <v>5286</v>
      </c>
      <c r="L3962" s="1" t="s">
        <v>785</v>
      </c>
      <c r="M3962" s="1" t="s">
        <v>3895</v>
      </c>
      <c r="N3962" s="1" t="s">
        <v>786</v>
      </c>
      <c r="P3962" s="1" t="s">
        <v>113</v>
      </c>
      <c r="Q3962" s="30" t="s">
        <v>2568</v>
      </c>
      <c r="R3962" s="33" t="s">
        <v>8665</v>
      </c>
      <c r="S3962">
        <v>36</v>
      </c>
      <c r="T3962" s="1" t="s">
        <v>8661</v>
      </c>
      <c r="U3962" s="1" t="str">
        <f>HYPERLINK("http://ictvonline.org/taxonomy/p/taxonomy-history?taxnode_id=202103981","ICTVonline=202103981")</f>
        <v>ICTVonline=202103981</v>
      </c>
    </row>
    <row r="3963" spans="1:21" x14ac:dyDescent="0.2">
      <c r="A3963" s="3">
        <v>3962</v>
      </c>
      <c r="B3963" s="1" t="s">
        <v>5250</v>
      </c>
      <c r="D3963" s="1" t="s">
        <v>5280</v>
      </c>
      <c r="F3963" s="1" t="s">
        <v>5281</v>
      </c>
      <c r="H3963" s="1" t="s">
        <v>5284</v>
      </c>
      <c r="J3963" s="1" t="s">
        <v>5286</v>
      </c>
      <c r="L3963" s="1" t="s">
        <v>785</v>
      </c>
      <c r="M3963" s="1" t="s">
        <v>3895</v>
      </c>
      <c r="N3963" s="1" t="s">
        <v>786</v>
      </c>
      <c r="P3963" s="1" t="s">
        <v>114</v>
      </c>
      <c r="Q3963" s="30" t="s">
        <v>2568</v>
      </c>
      <c r="R3963" s="33" t="s">
        <v>8665</v>
      </c>
      <c r="S3963">
        <v>36</v>
      </c>
      <c r="T3963" s="1" t="s">
        <v>8661</v>
      </c>
      <c r="U3963" s="1" t="str">
        <f>HYPERLINK("http://ictvonline.org/taxonomy/p/taxonomy-history?taxnode_id=202103982","ICTVonline=202103982")</f>
        <v>ICTVonline=202103982</v>
      </c>
    </row>
    <row r="3964" spans="1:21" x14ac:dyDescent="0.2">
      <c r="A3964" s="3">
        <v>3963</v>
      </c>
      <c r="B3964" s="1" t="s">
        <v>5250</v>
      </c>
      <c r="D3964" s="1" t="s">
        <v>5280</v>
      </c>
      <c r="F3964" s="1" t="s">
        <v>5281</v>
      </c>
      <c r="H3964" s="1" t="s">
        <v>5284</v>
      </c>
      <c r="J3964" s="1" t="s">
        <v>5286</v>
      </c>
      <c r="L3964" s="1" t="s">
        <v>785</v>
      </c>
      <c r="M3964" s="1" t="s">
        <v>3895</v>
      </c>
      <c r="N3964" s="1" t="s">
        <v>786</v>
      </c>
      <c r="P3964" s="1" t="s">
        <v>102</v>
      </c>
      <c r="Q3964" s="30" t="s">
        <v>2568</v>
      </c>
      <c r="R3964" s="33" t="s">
        <v>8665</v>
      </c>
      <c r="S3964">
        <v>36</v>
      </c>
      <c r="T3964" s="1" t="s">
        <v>8661</v>
      </c>
      <c r="U3964" s="1" t="str">
        <f>HYPERLINK("http://ictvonline.org/taxonomy/p/taxonomy-history?taxnode_id=202103983","ICTVonline=202103983")</f>
        <v>ICTVonline=202103983</v>
      </c>
    </row>
    <row r="3965" spans="1:21" x14ac:dyDescent="0.2">
      <c r="A3965" s="3">
        <v>3964</v>
      </c>
      <c r="B3965" s="1" t="s">
        <v>5250</v>
      </c>
      <c r="D3965" s="1" t="s">
        <v>5280</v>
      </c>
      <c r="F3965" s="1" t="s">
        <v>5281</v>
      </c>
      <c r="H3965" s="1" t="s">
        <v>5284</v>
      </c>
      <c r="J3965" s="1" t="s">
        <v>5286</v>
      </c>
      <c r="L3965" s="1" t="s">
        <v>785</v>
      </c>
      <c r="M3965" s="1" t="s">
        <v>3895</v>
      </c>
      <c r="N3965" s="1" t="s">
        <v>786</v>
      </c>
      <c r="P3965" s="1" t="s">
        <v>103</v>
      </c>
      <c r="Q3965" s="30" t="s">
        <v>2568</v>
      </c>
      <c r="R3965" s="33" t="s">
        <v>8665</v>
      </c>
      <c r="S3965">
        <v>36</v>
      </c>
      <c r="T3965" s="1" t="s">
        <v>8661</v>
      </c>
      <c r="U3965" s="1" t="str">
        <f>HYPERLINK("http://ictvonline.org/taxonomy/p/taxonomy-history?taxnode_id=202103984","ICTVonline=202103984")</f>
        <v>ICTVonline=202103984</v>
      </c>
    </row>
    <row r="3966" spans="1:21" x14ac:dyDescent="0.2">
      <c r="A3966" s="3">
        <v>3965</v>
      </c>
      <c r="B3966" s="1" t="s">
        <v>5250</v>
      </c>
      <c r="D3966" s="1" t="s">
        <v>5280</v>
      </c>
      <c r="F3966" s="1" t="s">
        <v>5281</v>
      </c>
      <c r="H3966" s="1" t="s">
        <v>5284</v>
      </c>
      <c r="J3966" s="1" t="s">
        <v>5286</v>
      </c>
      <c r="L3966" s="1" t="s">
        <v>785</v>
      </c>
      <c r="M3966" s="1" t="s">
        <v>3895</v>
      </c>
      <c r="N3966" s="1" t="s">
        <v>786</v>
      </c>
      <c r="P3966" s="1" t="s">
        <v>104</v>
      </c>
      <c r="Q3966" s="30" t="s">
        <v>2568</v>
      </c>
      <c r="R3966" s="33" t="s">
        <v>3474</v>
      </c>
      <c r="S3966">
        <v>35</v>
      </c>
      <c r="T3966" s="1" t="s">
        <v>5259</v>
      </c>
      <c r="U3966" s="1" t="str">
        <f>HYPERLINK("http://ictvonline.org/taxonomy/p/taxonomy-history?taxnode_id=202103985","ICTVonline=202103985")</f>
        <v>ICTVonline=202103985</v>
      </c>
    </row>
    <row r="3967" spans="1:21" x14ac:dyDescent="0.2">
      <c r="A3967" s="3">
        <v>3966</v>
      </c>
      <c r="B3967" s="1" t="s">
        <v>5250</v>
      </c>
      <c r="D3967" s="1" t="s">
        <v>5280</v>
      </c>
      <c r="F3967" s="1" t="s">
        <v>5281</v>
      </c>
      <c r="H3967" s="1" t="s">
        <v>5284</v>
      </c>
      <c r="J3967" s="1" t="s">
        <v>5286</v>
      </c>
      <c r="L3967" s="1" t="s">
        <v>785</v>
      </c>
      <c r="M3967" s="1" t="s">
        <v>3895</v>
      </c>
      <c r="N3967" s="1" t="s">
        <v>786</v>
      </c>
      <c r="P3967" s="1" t="s">
        <v>105</v>
      </c>
      <c r="Q3967" s="30" t="s">
        <v>2568</v>
      </c>
      <c r="R3967" s="33" t="s">
        <v>8665</v>
      </c>
      <c r="S3967">
        <v>36</v>
      </c>
      <c r="T3967" s="1" t="s">
        <v>8661</v>
      </c>
      <c r="U3967" s="1" t="str">
        <f>HYPERLINK("http://ictvonline.org/taxonomy/p/taxonomy-history?taxnode_id=202103986","ICTVonline=202103986")</f>
        <v>ICTVonline=202103986</v>
      </c>
    </row>
    <row r="3968" spans="1:21" x14ac:dyDescent="0.2">
      <c r="A3968" s="3">
        <v>3967</v>
      </c>
      <c r="B3968" s="1" t="s">
        <v>5250</v>
      </c>
      <c r="D3968" s="1" t="s">
        <v>5280</v>
      </c>
      <c r="F3968" s="1" t="s">
        <v>5281</v>
      </c>
      <c r="H3968" s="1" t="s">
        <v>5284</v>
      </c>
      <c r="J3968" s="1" t="s">
        <v>5286</v>
      </c>
      <c r="L3968" s="1" t="s">
        <v>785</v>
      </c>
      <c r="M3968" s="1" t="s">
        <v>3895</v>
      </c>
      <c r="N3968" s="1" t="s">
        <v>786</v>
      </c>
      <c r="P3968" s="1" t="s">
        <v>106</v>
      </c>
      <c r="Q3968" s="30" t="s">
        <v>2568</v>
      </c>
      <c r="R3968" s="33" t="s">
        <v>8665</v>
      </c>
      <c r="S3968">
        <v>36</v>
      </c>
      <c r="T3968" s="1" t="s">
        <v>8661</v>
      </c>
      <c r="U3968" s="1" t="str">
        <f>HYPERLINK("http://ictvonline.org/taxonomy/p/taxonomy-history?taxnode_id=202103987","ICTVonline=202103987")</f>
        <v>ICTVonline=202103987</v>
      </c>
    </row>
    <row r="3969" spans="1:21" x14ac:dyDescent="0.2">
      <c r="A3969" s="3">
        <v>3968</v>
      </c>
      <c r="B3969" s="1" t="s">
        <v>5250</v>
      </c>
      <c r="D3969" s="1" t="s">
        <v>5280</v>
      </c>
      <c r="F3969" s="1" t="s">
        <v>5281</v>
      </c>
      <c r="H3969" s="1" t="s">
        <v>5284</v>
      </c>
      <c r="J3969" s="1" t="s">
        <v>5286</v>
      </c>
      <c r="L3969" s="1" t="s">
        <v>785</v>
      </c>
      <c r="M3969" s="1" t="s">
        <v>3895</v>
      </c>
      <c r="N3969" s="1" t="s">
        <v>819</v>
      </c>
      <c r="P3969" s="1" t="s">
        <v>115</v>
      </c>
      <c r="Q3969" s="30" t="s">
        <v>2568</v>
      </c>
      <c r="R3969" s="33" t="s">
        <v>8665</v>
      </c>
      <c r="S3969">
        <v>36</v>
      </c>
      <c r="T3969" s="1" t="s">
        <v>8661</v>
      </c>
      <c r="U3969" s="1" t="str">
        <f>HYPERLINK("http://ictvonline.org/taxonomy/p/taxonomy-history?taxnode_id=202103989","ICTVonline=202103989")</f>
        <v>ICTVonline=202103989</v>
      </c>
    </row>
    <row r="3970" spans="1:21" x14ac:dyDescent="0.2">
      <c r="A3970" s="3">
        <v>3969</v>
      </c>
      <c r="B3970" s="1" t="s">
        <v>5250</v>
      </c>
      <c r="D3970" s="1" t="s">
        <v>5280</v>
      </c>
      <c r="F3970" s="1" t="s">
        <v>5281</v>
      </c>
      <c r="H3970" s="1" t="s">
        <v>5284</v>
      </c>
      <c r="J3970" s="1" t="s">
        <v>5286</v>
      </c>
      <c r="L3970" s="1" t="s">
        <v>785</v>
      </c>
      <c r="M3970" s="1" t="s">
        <v>3895</v>
      </c>
      <c r="N3970" s="1" t="s">
        <v>819</v>
      </c>
      <c r="P3970" s="1" t="s">
        <v>116</v>
      </c>
      <c r="Q3970" s="30" t="s">
        <v>2568</v>
      </c>
      <c r="R3970" s="33" t="s">
        <v>8665</v>
      </c>
      <c r="S3970">
        <v>36</v>
      </c>
      <c r="T3970" s="1" t="s">
        <v>8661</v>
      </c>
      <c r="U3970" s="1" t="str">
        <f>HYPERLINK("http://ictvonline.org/taxonomy/p/taxonomy-history?taxnode_id=202103990","ICTVonline=202103990")</f>
        <v>ICTVonline=202103990</v>
      </c>
    </row>
    <row r="3971" spans="1:21" x14ac:dyDescent="0.2">
      <c r="A3971" s="3">
        <v>3970</v>
      </c>
      <c r="B3971" s="1" t="s">
        <v>5250</v>
      </c>
      <c r="D3971" s="1" t="s">
        <v>5280</v>
      </c>
      <c r="F3971" s="1" t="s">
        <v>5281</v>
      </c>
      <c r="H3971" s="1" t="s">
        <v>5284</v>
      </c>
      <c r="J3971" s="1" t="s">
        <v>5286</v>
      </c>
      <c r="L3971" s="1" t="s">
        <v>785</v>
      </c>
      <c r="M3971" s="1" t="s">
        <v>3895</v>
      </c>
      <c r="N3971" s="1" t="s">
        <v>819</v>
      </c>
      <c r="P3971" s="1" t="s">
        <v>117</v>
      </c>
      <c r="Q3971" s="30" t="s">
        <v>2568</v>
      </c>
      <c r="R3971" s="33" t="s">
        <v>8665</v>
      </c>
      <c r="S3971">
        <v>36</v>
      </c>
      <c r="T3971" s="1" t="s">
        <v>8661</v>
      </c>
      <c r="U3971" s="1" t="str">
        <f>HYPERLINK("http://ictvonline.org/taxonomy/p/taxonomy-history?taxnode_id=202103991","ICTVonline=202103991")</f>
        <v>ICTVonline=202103991</v>
      </c>
    </row>
    <row r="3972" spans="1:21" x14ac:dyDescent="0.2">
      <c r="A3972" s="3">
        <v>3971</v>
      </c>
      <c r="B3972" s="1" t="s">
        <v>5250</v>
      </c>
      <c r="D3972" s="1" t="s">
        <v>5280</v>
      </c>
      <c r="F3972" s="1" t="s">
        <v>5281</v>
      </c>
      <c r="H3972" s="1" t="s">
        <v>5284</v>
      </c>
      <c r="J3972" s="1" t="s">
        <v>5286</v>
      </c>
      <c r="L3972" s="1" t="s">
        <v>785</v>
      </c>
      <c r="M3972" s="1" t="s">
        <v>3895</v>
      </c>
      <c r="N3972" s="1" t="s">
        <v>819</v>
      </c>
      <c r="P3972" s="1" t="s">
        <v>118</v>
      </c>
      <c r="Q3972" s="30" t="s">
        <v>2568</v>
      </c>
      <c r="R3972" s="33" t="s">
        <v>8665</v>
      </c>
      <c r="S3972">
        <v>36</v>
      </c>
      <c r="T3972" s="1" t="s">
        <v>8661</v>
      </c>
      <c r="U3972" s="1" t="str">
        <f>HYPERLINK("http://ictvonline.org/taxonomy/p/taxonomy-history?taxnode_id=202103992","ICTVonline=202103992")</f>
        <v>ICTVonline=202103992</v>
      </c>
    </row>
    <row r="3973" spans="1:21" x14ac:dyDescent="0.2">
      <c r="A3973" s="3">
        <v>3972</v>
      </c>
      <c r="B3973" s="1" t="s">
        <v>5250</v>
      </c>
      <c r="D3973" s="1" t="s">
        <v>5280</v>
      </c>
      <c r="F3973" s="1" t="s">
        <v>5281</v>
      </c>
      <c r="H3973" s="1" t="s">
        <v>5284</v>
      </c>
      <c r="J3973" s="1" t="s">
        <v>5286</v>
      </c>
      <c r="L3973" s="1" t="s">
        <v>785</v>
      </c>
      <c r="M3973" s="1" t="s">
        <v>3895</v>
      </c>
      <c r="N3973" s="1" t="s">
        <v>819</v>
      </c>
      <c r="P3973" s="1" t="s">
        <v>119</v>
      </c>
      <c r="Q3973" s="30" t="s">
        <v>2568</v>
      </c>
      <c r="R3973" s="33" t="s">
        <v>3474</v>
      </c>
      <c r="S3973">
        <v>35</v>
      </c>
      <c r="T3973" s="1" t="s">
        <v>5259</v>
      </c>
      <c r="U3973" s="1" t="str">
        <f>HYPERLINK("http://ictvonline.org/taxonomy/p/taxonomy-history?taxnode_id=202103993","ICTVonline=202103993")</f>
        <v>ICTVonline=202103993</v>
      </c>
    </row>
    <row r="3974" spans="1:21" x14ac:dyDescent="0.2">
      <c r="A3974" s="3">
        <v>3973</v>
      </c>
      <c r="B3974" s="1" t="s">
        <v>5250</v>
      </c>
      <c r="D3974" s="1" t="s">
        <v>5280</v>
      </c>
      <c r="F3974" s="1" t="s">
        <v>5281</v>
      </c>
      <c r="H3974" s="1" t="s">
        <v>5284</v>
      </c>
      <c r="J3974" s="1" t="s">
        <v>5286</v>
      </c>
      <c r="L3974" s="1" t="s">
        <v>785</v>
      </c>
      <c r="M3974" s="1" t="s">
        <v>3895</v>
      </c>
      <c r="N3974" s="1" t="s">
        <v>819</v>
      </c>
      <c r="P3974" s="1" t="s">
        <v>120</v>
      </c>
      <c r="Q3974" s="30" t="s">
        <v>2568</v>
      </c>
      <c r="R3974" s="33" t="s">
        <v>3474</v>
      </c>
      <c r="S3974">
        <v>35</v>
      </c>
      <c r="T3974" s="1" t="s">
        <v>5259</v>
      </c>
      <c r="U3974" s="1" t="str">
        <f>HYPERLINK("http://ictvonline.org/taxonomy/p/taxonomy-history?taxnode_id=202103994","ICTVonline=202103994")</f>
        <v>ICTVonline=202103994</v>
      </c>
    </row>
    <row r="3975" spans="1:21" x14ac:dyDescent="0.2">
      <c r="A3975" s="3">
        <v>3974</v>
      </c>
      <c r="B3975" s="1" t="s">
        <v>5250</v>
      </c>
      <c r="D3975" s="1" t="s">
        <v>5280</v>
      </c>
      <c r="F3975" s="1" t="s">
        <v>5281</v>
      </c>
      <c r="H3975" s="1" t="s">
        <v>5284</v>
      </c>
      <c r="J3975" s="1" t="s">
        <v>5286</v>
      </c>
      <c r="L3975" s="1" t="s">
        <v>785</v>
      </c>
      <c r="M3975" s="1" t="s">
        <v>3895</v>
      </c>
      <c r="N3975" s="1" t="s">
        <v>121</v>
      </c>
      <c r="P3975" s="1" t="s">
        <v>122</v>
      </c>
      <c r="Q3975" s="30" t="s">
        <v>2568</v>
      </c>
      <c r="R3975" s="33" t="s">
        <v>8665</v>
      </c>
      <c r="S3975">
        <v>36</v>
      </c>
      <c r="T3975" s="1" t="s">
        <v>8661</v>
      </c>
      <c r="U3975" s="1" t="str">
        <f>HYPERLINK("http://ictvonline.org/taxonomy/p/taxonomy-history?taxnode_id=202103996","ICTVonline=202103996")</f>
        <v>ICTVonline=202103996</v>
      </c>
    </row>
    <row r="3976" spans="1:21" x14ac:dyDescent="0.2">
      <c r="A3976" s="3">
        <v>3975</v>
      </c>
      <c r="B3976" s="1" t="s">
        <v>5250</v>
      </c>
      <c r="D3976" s="1" t="s">
        <v>5280</v>
      </c>
      <c r="F3976" s="1" t="s">
        <v>5281</v>
      </c>
      <c r="H3976" s="1" t="s">
        <v>5284</v>
      </c>
      <c r="J3976" s="1" t="s">
        <v>5286</v>
      </c>
      <c r="L3976" s="1" t="s">
        <v>785</v>
      </c>
      <c r="M3976" s="1" t="s">
        <v>3895</v>
      </c>
      <c r="N3976" s="1" t="s">
        <v>121</v>
      </c>
      <c r="P3976" s="1" t="s">
        <v>123</v>
      </c>
      <c r="Q3976" s="30" t="s">
        <v>2568</v>
      </c>
      <c r="R3976" s="33" t="s">
        <v>3474</v>
      </c>
      <c r="S3976">
        <v>35</v>
      </c>
      <c r="T3976" s="1" t="s">
        <v>5259</v>
      </c>
      <c r="U3976" s="1" t="str">
        <f>HYPERLINK("http://ictvonline.org/taxonomy/p/taxonomy-history?taxnode_id=202103997","ICTVonline=202103997")</f>
        <v>ICTVonline=202103997</v>
      </c>
    </row>
    <row r="3977" spans="1:21" x14ac:dyDescent="0.2">
      <c r="A3977" s="3">
        <v>3976</v>
      </c>
      <c r="B3977" s="1" t="s">
        <v>5250</v>
      </c>
      <c r="D3977" s="1" t="s">
        <v>5280</v>
      </c>
      <c r="F3977" s="1" t="s">
        <v>5281</v>
      </c>
      <c r="H3977" s="1" t="s">
        <v>5284</v>
      </c>
      <c r="J3977" s="1" t="s">
        <v>5286</v>
      </c>
      <c r="L3977" s="1" t="s">
        <v>785</v>
      </c>
      <c r="M3977" s="1" t="s">
        <v>3895</v>
      </c>
      <c r="N3977" s="1" t="s">
        <v>121</v>
      </c>
      <c r="P3977" s="1" t="s">
        <v>2328</v>
      </c>
      <c r="Q3977" s="30" t="s">
        <v>2568</v>
      </c>
      <c r="R3977" s="33" t="s">
        <v>3474</v>
      </c>
      <c r="S3977">
        <v>35</v>
      </c>
      <c r="T3977" s="1" t="s">
        <v>5259</v>
      </c>
      <c r="U3977" s="1" t="str">
        <f>HYPERLINK("http://ictvonline.org/taxonomy/p/taxonomy-history?taxnode_id=202103998","ICTVonline=202103998")</f>
        <v>ICTVonline=202103998</v>
      </c>
    </row>
    <row r="3978" spans="1:21" x14ac:dyDescent="0.2">
      <c r="A3978" s="3">
        <v>3977</v>
      </c>
      <c r="B3978" s="1" t="s">
        <v>5250</v>
      </c>
      <c r="D3978" s="1" t="s">
        <v>5280</v>
      </c>
      <c r="F3978" s="1" t="s">
        <v>5281</v>
      </c>
      <c r="H3978" s="1" t="s">
        <v>5284</v>
      </c>
      <c r="J3978" s="1" t="s">
        <v>5286</v>
      </c>
      <c r="L3978" s="1" t="s">
        <v>785</v>
      </c>
      <c r="M3978" s="1" t="s">
        <v>3895</v>
      </c>
      <c r="N3978" s="1" t="s">
        <v>1757</v>
      </c>
      <c r="P3978" s="1" t="s">
        <v>124</v>
      </c>
      <c r="Q3978" s="30" t="s">
        <v>2568</v>
      </c>
      <c r="R3978" s="33" t="s">
        <v>8665</v>
      </c>
      <c r="S3978">
        <v>36</v>
      </c>
      <c r="T3978" s="1" t="s">
        <v>8661</v>
      </c>
      <c r="U3978" s="1" t="str">
        <f>HYPERLINK("http://ictvonline.org/taxonomy/p/taxonomy-history?taxnode_id=202104000","ICTVonline=202104000")</f>
        <v>ICTVonline=202104000</v>
      </c>
    </row>
    <row r="3979" spans="1:21" x14ac:dyDescent="0.2">
      <c r="A3979" s="3">
        <v>3978</v>
      </c>
      <c r="B3979" s="1" t="s">
        <v>5250</v>
      </c>
      <c r="D3979" s="1" t="s">
        <v>5280</v>
      </c>
      <c r="F3979" s="1" t="s">
        <v>5281</v>
      </c>
      <c r="H3979" s="1" t="s">
        <v>5284</v>
      </c>
      <c r="J3979" s="1" t="s">
        <v>5286</v>
      </c>
      <c r="L3979" s="1" t="s">
        <v>785</v>
      </c>
      <c r="M3979" s="1" t="s">
        <v>3895</v>
      </c>
      <c r="N3979" s="1" t="s">
        <v>1757</v>
      </c>
      <c r="P3979" s="1" t="s">
        <v>125</v>
      </c>
      <c r="Q3979" s="30" t="s">
        <v>2568</v>
      </c>
      <c r="R3979" s="33" t="s">
        <v>3474</v>
      </c>
      <c r="S3979">
        <v>35</v>
      </c>
      <c r="T3979" s="1" t="s">
        <v>5259</v>
      </c>
      <c r="U3979" s="1" t="str">
        <f>HYPERLINK("http://ictvonline.org/taxonomy/p/taxonomy-history?taxnode_id=202104001","ICTVonline=202104001")</f>
        <v>ICTVonline=202104001</v>
      </c>
    </row>
    <row r="3980" spans="1:21" x14ac:dyDescent="0.2">
      <c r="A3980" s="3">
        <v>3979</v>
      </c>
      <c r="B3980" s="1" t="s">
        <v>5250</v>
      </c>
      <c r="D3980" s="1" t="s">
        <v>5280</v>
      </c>
      <c r="F3980" s="1" t="s">
        <v>5281</v>
      </c>
      <c r="H3980" s="1" t="s">
        <v>5284</v>
      </c>
      <c r="J3980" s="1" t="s">
        <v>5286</v>
      </c>
      <c r="L3980" s="1" t="s">
        <v>785</v>
      </c>
      <c r="M3980" s="1" t="s">
        <v>3895</v>
      </c>
      <c r="N3980" s="1" t="s">
        <v>1757</v>
      </c>
      <c r="P3980" s="1" t="s">
        <v>126</v>
      </c>
      <c r="Q3980" s="30" t="s">
        <v>2568</v>
      </c>
      <c r="R3980" s="33" t="s">
        <v>3474</v>
      </c>
      <c r="S3980">
        <v>35</v>
      </c>
      <c r="T3980" s="1" t="s">
        <v>5259</v>
      </c>
      <c r="U3980" s="1" t="str">
        <f>HYPERLINK("http://ictvonline.org/taxonomy/p/taxonomy-history?taxnode_id=202104002","ICTVonline=202104002")</f>
        <v>ICTVonline=202104002</v>
      </c>
    </row>
    <row r="3981" spans="1:21" x14ac:dyDescent="0.2">
      <c r="A3981" s="3">
        <v>3980</v>
      </c>
      <c r="B3981" s="1" t="s">
        <v>5250</v>
      </c>
      <c r="D3981" s="1" t="s">
        <v>5280</v>
      </c>
      <c r="F3981" s="1" t="s">
        <v>5281</v>
      </c>
      <c r="H3981" s="1" t="s">
        <v>5284</v>
      </c>
      <c r="J3981" s="1" t="s">
        <v>5286</v>
      </c>
      <c r="L3981" s="1" t="s">
        <v>785</v>
      </c>
      <c r="M3981" s="1" t="s">
        <v>3895</v>
      </c>
      <c r="N3981" s="1" t="s">
        <v>1757</v>
      </c>
      <c r="P3981" s="1" t="s">
        <v>127</v>
      </c>
      <c r="Q3981" s="30" t="s">
        <v>2568</v>
      </c>
      <c r="R3981" s="33" t="s">
        <v>8665</v>
      </c>
      <c r="S3981">
        <v>36</v>
      </c>
      <c r="T3981" s="1" t="s">
        <v>8661</v>
      </c>
      <c r="U3981" s="1" t="str">
        <f>HYPERLINK("http://ictvonline.org/taxonomy/p/taxonomy-history?taxnode_id=202104003","ICTVonline=202104003")</f>
        <v>ICTVonline=202104003</v>
      </c>
    </row>
    <row r="3982" spans="1:21" x14ac:dyDescent="0.2">
      <c r="A3982" s="3">
        <v>3981</v>
      </c>
      <c r="B3982" s="1" t="s">
        <v>5250</v>
      </c>
      <c r="D3982" s="1" t="s">
        <v>5280</v>
      </c>
      <c r="F3982" s="1" t="s">
        <v>5281</v>
      </c>
      <c r="H3982" s="1" t="s">
        <v>5284</v>
      </c>
      <c r="J3982" s="1" t="s">
        <v>5286</v>
      </c>
      <c r="L3982" s="1" t="s">
        <v>785</v>
      </c>
      <c r="M3982" s="1" t="s">
        <v>3895</v>
      </c>
      <c r="N3982" s="1" t="s">
        <v>1757</v>
      </c>
      <c r="P3982" s="1" t="s">
        <v>128</v>
      </c>
      <c r="Q3982" s="30" t="s">
        <v>2568</v>
      </c>
      <c r="R3982" s="33" t="s">
        <v>3474</v>
      </c>
      <c r="S3982">
        <v>35</v>
      </c>
      <c r="T3982" s="1" t="s">
        <v>5259</v>
      </c>
      <c r="U3982" s="1" t="str">
        <f>HYPERLINK("http://ictvonline.org/taxonomy/p/taxonomy-history?taxnode_id=202104004","ICTVonline=202104004")</f>
        <v>ICTVonline=202104004</v>
      </c>
    </row>
    <row r="3983" spans="1:21" x14ac:dyDescent="0.2">
      <c r="A3983" s="3">
        <v>3982</v>
      </c>
      <c r="B3983" s="1" t="s">
        <v>5250</v>
      </c>
      <c r="D3983" s="1" t="s">
        <v>5280</v>
      </c>
      <c r="F3983" s="1" t="s">
        <v>5281</v>
      </c>
      <c r="H3983" s="1" t="s">
        <v>5284</v>
      </c>
      <c r="J3983" s="1" t="s">
        <v>5286</v>
      </c>
      <c r="L3983" s="1" t="s">
        <v>785</v>
      </c>
      <c r="M3983" s="1" t="s">
        <v>3895</v>
      </c>
      <c r="N3983" s="1" t="s">
        <v>1757</v>
      </c>
      <c r="P3983" s="1" t="s">
        <v>2329</v>
      </c>
      <c r="Q3983" s="30" t="s">
        <v>2568</v>
      </c>
      <c r="R3983" s="33" t="s">
        <v>3474</v>
      </c>
      <c r="S3983">
        <v>35</v>
      </c>
      <c r="T3983" s="1" t="s">
        <v>5259</v>
      </c>
      <c r="U3983" s="1" t="str">
        <f>HYPERLINK("http://ictvonline.org/taxonomy/p/taxonomy-history?taxnode_id=202104005","ICTVonline=202104005")</f>
        <v>ICTVonline=202104005</v>
      </c>
    </row>
    <row r="3984" spans="1:21" x14ac:dyDescent="0.2">
      <c r="A3984" s="3">
        <v>3983</v>
      </c>
      <c r="B3984" s="1" t="s">
        <v>5250</v>
      </c>
      <c r="D3984" s="1" t="s">
        <v>5280</v>
      </c>
      <c r="F3984" s="1" t="s">
        <v>5281</v>
      </c>
      <c r="H3984" s="1" t="s">
        <v>5284</v>
      </c>
      <c r="J3984" s="1" t="s">
        <v>5286</v>
      </c>
      <c r="L3984" s="1" t="s">
        <v>785</v>
      </c>
      <c r="M3984" s="1" t="s">
        <v>3895</v>
      </c>
      <c r="N3984" s="1" t="s">
        <v>1757</v>
      </c>
      <c r="P3984" s="1" t="s">
        <v>3896</v>
      </c>
      <c r="Q3984" s="30" t="s">
        <v>2568</v>
      </c>
      <c r="R3984" s="33" t="s">
        <v>3474</v>
      </c>
      <c r="S3984">
        <v>35</v>
      </c>
      <c r="T3984" s="1" t="s">
        <v>5259</v>
      </c>
      <c r="U3984" s="1" t="str">
        <f>HYPERLINK("http://ictvonline.org/taxonomy/p/taxonomy-history?taxnode_id=202105864","ICTVonline=202105864")</f>
        <v>ICTVonline=202105864</v>
      </c>
    </row>
    <row r="3985" spans="1:21" x14ac:dyDescent="0.2">
      <c r="A3985" s="3">
        <v>3984</v>
      </c>
      <c r="B3985" s="1" t="s">
        <v>5250</v>
      </c>
      <c r="D3985" s="1" t="s">
        <v>5280</v>
      </c>
      <c r="F3985" s="1" t="s">
        <v>5281</v>
      </c>
      <c r="H3985" s="1" t="s">
        <v>5284</v>
      </c>
      <c r="J3985" s="1" t="s">
        <v>5286</v>
      </c>
      <c r="L3985" s="1" t="s">
        <v>785</v>
      </c>
      <c r="M3985" s="1" t="s">
        <v>3895</v>
      </c>
      <c r="N3985" s="1" t="s">
        <v>2980</v>
      </c>
      <c r="P3985" s="1" t="s">
        <v>2981</v>
      </c>
      <c r="Q3985" s="30" t="s">
        <v>2568</v>
      </c>
      <c r="R3985" s="33" t="s">
        <v>8665</v>
      </c>
      <c r="S3985">
        <v>36</v>
      </c>
      <c r="T3985" s="1" t="s">
        <v>8661</v>
      </c>
      <c r="U3985" s="1" t="str">
        <f>HYPERLINK("http://ictvonline.org/taxonomy/p/taxonomy-history?taxnode_id=202104007","ICTVonline=202104007")</f>
        <v>ICTVonline=202104007</v>
      </c>
    </row>
    <row r="3986" spans="1:21" x14ac:dyDescent="0.2">
      <c r="A3986" s="3">
        <v>3985</v>
      </c>
      <c r="B3986" s="1" t="s">
        <v>5250</v>
      </c>
      <c r="D3986" s="1" t="s">
        <v>5280</v>
      </c>
      <c r="F3986" s="1" t="s">
        <v>5281</v>
      </c>
      <c r="H3986" s="1" t="s">
        <v>5284</v>
      </c>
      <c r="J3986" s="1" t="s">
        <v>5286</v>
      </c>
      <c r="L3986" s="1" t="s">
        <v>785</v>
      </c>
      <c r="M3986" s="1" t="s">
        <v>3895</v>
      </c>
      <c r="N3986" s="1" t="s">
        <v>129</v>
      </c>
      <c r="P3986" s="1" t="s">
        <v>130</v>
      </c>
      <c r="Q3986" s="30" t="s">
        <v>2568</v>
      </c>
      <c r="R3986" s="33" t="s">
        <v>8665</v>
      </c>
      <c r="S3986">
        <v>36</v>
      </c>
      <c r="T3986" s="1" t="s">
        <v>8661</v>
      </c>
      <c r="U3986" s="1" t="str">
        <f>HYPERLINK("http://ictvonline.org/taxonomy/p/taxonomy-history?taxnode_id=202104009","ICTVonline=202104009")</f>
        <v>ICTVonline=202104009</v>
      </c>
    </row>
    <row r="3987" spans="1:21" x14ac:dyDescent="0.2">
      <c r="A3987" s="3">
        <v>3986</v>
      </c>
      <c r="B3987" s="1" t="s">
        <v>5250</v>
      </c>
      <c r="D3987" s="1" t="s">
        <v>5280</v>
      </c>
      <c r="F3987" s="1" t="s">
        <v>5281</v>
      </c>
      <c r="H3987" s="1" t="s">
        <v>5284</v>
      </c>
      <c r="J3987" s="1" t="s">
        <v>5286</v>
      </c>
      <c r="L3987" s="1" t="s">
        <v>785</v>
      </c>
      <c r="M3987" s="1" t="s">
        <v>3895</v>
      </c>
      <c r="N3987" s="1" t="s">
        <v>131</v>
      </c>
      <c r="P3987" s="1" t="s">
        <v>132</v>
      </c>
      <c r="Q3987" s="30" t="s">
        <v>2568</v>
      </c>
      <c r="R3987" s="33" t="s">
        <v>8665</v>
      </c>
      <c r="S3987">
        <v>36</v>
      </c>
      <c r="T3987" s="1" t="s">
        <v>8661</v>
      </c>
      <c r="U3987" s="1" t="str">
        <f>HYPERLINK("http://ictvonline.org/taxonomy/p/taxonomy-history?taxnode_id=202104011","ICTVonline=202104011")</f>
        <v>ICTVonline=202104011</v>
      </c>
    </row>
    <row r="3988" spans="1:21" x14ac:dyDescent="0.2">
      <c r="A3988" s="3">
        <v>3987</v>
      </c>
      <c r="B3988" s="1" t="s">
        <v>5250</v>
      </c>
      <c r="D3988" s="1" t="s">
        <v>5280</v>
      </c>
      <c r="F3988" s="1" t="s">
        <v>5281</v>
      </c>
      <c r="H3988" s="1" t="s">
        <v>5284</v>
      </c>
      <c r="J3988" s="1" t="s">
        <v>5286</v>
      </c>
      <c r="L3988" s="1" t="s">
        <v>785</v>
      </c>
      <c r="M3988" s="1" t="s">
        <v>3895</v>
      </c>
      <c r="N3988" s="1" t="s">
        <v>133</v>
      </c>
      <c r="P3988" s="1" t="s">
        <v>134</v>
      </c>
      <c r="Q3988" s="30" t="s">
        <v>2568</v>
      </c>
      <c r="R3988" s="33" t="s">
        <v>8665</v>
      </c>
      <c r="S3988">
        <v>36</v>
      </c>
      <c r="T3988" s="1" t="s">
        <v>8661</v>
      </c>
      <c r="U3988" s="1" t="str">
        <f>HYPERLINK("http://ictvonline.org/taxonomy/p/taxonomy-history?taxnode_id=202104013","ICTVonline=202104013")</f>
        <v>ICTVonline=202104013</v>
      </c>
    </row>
    <row r="3989" spans="1:21" x14ac:dyDescent="0.2">
      <c r="A3989" s="3">
        <v>3988</v>
      </c>
      <c r="B3989" s="1" t="s">
        <v>5250</v>
      </c>
      <c r="D3989" s="1" t="s">
        <v>5280</v>
      </c>
      <c r="F3989" s="1" t="s">
        <v>5281</v>
      </c>
      <c r="H3989" s="1" t="s">
        <v>5284</v>
      </c>
      <c r="J3989" s="1" t="s">
        <v>5286</v>
      </c>
      <c r="L3989" s="1" t="s">
        <v>785</v>
      </c>
      <c r="M3989" s="1" t="s">
        <v>3895</v>
      </c>
      <c r="N3989" s="1" t="s">
        <v>135</v>
      </c>
      <c r="P3989" s="1" t="s">
        <v>136</v>
      </c>
      <c r="Q3989" s="30" t="s">
        <v>2568</v>
      </c>
      <c r="R3989" s="33" t="s">
        <v>8665</v>
      </c>
      <c r="S3989">
        <v>36</v>
      </c>
      <c r="T3989" s="1" t="s">
        <v>8661</v>
      </c>
      <c r="U3989" s="1" t="str">
        <f>HYPERLINK("http://ictvonline.org/taxonomy/p/taxonomy-history?taxnode_id=202104015","ICTVonline=202104015")</f>
        <v>ICTVonline=202104015</v>
      </c>
    </row>
    <row r="3990" spans="1:21" x14ac:dyDescent="0.2">
      <c r="A3990" s="3">
        <v>3989</v>
      </c>
      <c r="B3990" s="1" t="s">
        <v>5250</v>
      </c>
      <c r="D3990" s="1" t="s">
        <v>5280</v>
      </c>
      <c r="F3990" s="1" t="s">
        <v>5281</v>
      </c>
      <c r="H3990" s="1" t="s">
        <v>5284</v>
      </c>
      <c r="J3990" s="1" t="s">
        <v>5286</v>
      </c>
      <c r="L3990" s="1" t="s">
        <v>785</v>
      </c>
      <c r="M3990" s="1" t="s">
        <v>3895</v>
      </c>
      <c r="N3990" s="1" t="s">
        <v>135</v>
      </c>
      <c r="P3990" s="1" t="s">
        <v>2330</v>
      </c>
      <c r="Q3990" s="30" t="s">
        <v>2568</v>
      </c>
      <c r="R3990" s="33" t="s">
        <v>3474</v>
      </c>
      <c r="S3990">
        <v>35</v>
      </c>
      <c r="T3990" s="1" t="s">
        <v>5259</v>
      </c>
      <c r="U3990" s="1" t="str">
        <f>HYPERLINK("http://ictvonline.org/taxonomy/p/taxonomy-history?taxnode_id=202104016","ICTVonline=202104016")</f>
        <v>ICTVonline=202104016</v>
      </c>
    </row>
    <row r="3991" spans="1:21" x14ac:dyDescent="0.2">
      <c r="A3991" s="3">
        <v>3990</v>
      </c>
      <c r="B3991" s="1" t="s">
        <v>5250</v>
      </c>
      <c r="D3991" s="1" t="s">
        <v>5280</v>
      </c>
      <c r="F3991" s="1" t="s">
        <v>5281</v>
      </c>
      <c r="H3991" s="1" t="s">
        <v>5284</v>
      </c>
      <c r="J3991" s="1" t="s">
        <v>5286</v>
      </c>
      <c r="L3991" s="1" t="s">
        <v>785</v>
      </c>
      <c r="M3991" s="1" t="s">
        <v>3895</v>
      </c>
      <c r="N3991" s="1" t="s">
        <v>2331</v>
      </c>
      <c r="P3991" s="1" t="s">
        <v>2332</v>
      </c>
      <c r="Q3991" s="30" t="s">
        <v>2568</v>
      </c>
      <c r="R3991" s="33" t="s">
        <v>8665</v>
      </c>
      <c r="S3991">
        <v>36</v>
      </c>
      <c r="T3991" s="1" t="s">
        <v>8661</v>
      </c>
      <c r="U3991" s="1" t="str">
        <f>HYPERLINK("http://ictvonline.org/taxonomy/p/taxonomy-history?taxnode_id=202104018","ICTVonline=202104018")</f>
        <v>ICTVonline=202104018</v>
      </c>
    </row>
    <row r="3992" spans="1:21" x14ac:dyDescent="0.2">
      <c r="A3992" s="3">
        <v>3991</v>
      </c>
      <c r="B3992" s="1" t="s">
        <v>5250</v>
      </c>
      <c r="D3992" s="1" t="s">
        <v>5280</v>
      </c>
      <c r="F3992" s="1" t="s">
        <v>5281</v>
      </c>
      <c r="H3992" s="1" t="s">
        <v>5284</v>
      </c>
      <c r="J3992" s="1" t="s">
        <v>5286</v>
      </c>
      <c r="L3992" s="1" t="s">
        <v>785</v>
      </c>
      <c r="M3992" s="1" t="s">
        <v>3895</v>
      </c>
      <c r="N3992" s="1" t="s">
        <v>2331</v>
      </c>
      <c r="P3992" s="1" t="s">
        <v>2982</v>
      </c>
      <c r="Q3992" s="30" t="s">
        <v>2568</v>
      </c>
      <c r="R3992" s="33" t="s">
        <v>3474</v>
      </c>
      <c r="S3992">
        <v>35</v>
      </c>
      <c r="T3992" s="1" t="s">
        <v>5259</v>
      </c>
      <c r="U3992" s="1" t="str">
        <f>HYPERLINK("http://ictvonline.org/taxonomy/p/taxonomy-history?taxnode_id=202104019","ICTVonline=202104019")</f>
        <v>ICTVonline=202104019</v>
      </c>
    </row>
    <row r="3993" spans="1:21" x14ac:dyDescent="0.2">
      <c r="A3993" s="3">
        <v>3992</v>
      </c>
      <c r="B3993" s="1" t="s">
        <v>5250</v>
      </c>
      <c r="D3993" s="1" t="s">
        <v>5280</v>
      </c>
      <c r="F3993" s="1" t="s">
        <v>5281</v>
      </c>
      <c r="H3993" s="1" t="s">
        <v>5284</v>
      </c>
      <c r="J3993" s="1" t="s">
        <v>5286</v>
      </c>
      <c r="L3993" s="1" t="s">
        <v>785</v>
      </c>
      <c r="M3993" s="1" t="s">
        <v>3895</v>
      </c>
      <c r="N3993" s="1" t="s">
        <v>2331</v>
      </c>
      <c r="P3993" s="1" t="s">
        <v>3897</v>
      </c>
      <c r="Q3993" s="30" t="s">
        <v>2568</v>
      </c>
      <c r="R3993" s="33" t="s">
        <v>3474</v>
      </c>
      <c r="S3993">
        <v>35</v>
      </c>
      <c r="T3993" s="1" t="s">
        <v>5259</v>
      </c>
      <c r="U3993" s="1" t="str">
        <f>HYPERLINK("http://ictvonline.org/taxonomy/p/taxonomy-history?taxnode_id=202105865","ICTVonline=202105865")</f>
        <v>ICTVonline=202105865</v>
      </c>
    </row>
    <row r="3994" spans="1:21" x14ac:dyDescent="0.2">
      <c r="A3994" s="3">
        <v>3993</v>
      </c>
      <c r="B3994" s="1" t="s">
        <v>5250</v>
      </c>
      <c r="D3994" s="1" t="s">
        <v>5280</v>
      </c>
      <c r="F3994" s="1" t="s">
        <v>5281</v>
      </c>
      <c r="H3994" s="1" t="s">
        <v>5284</v>
      </c>
      <c r="J3994" s="1" t="s">
        <v>5286</v>
      </c>
      <c r="L3994" s="1" t="s">
        <v>785</v>
      </c>
      <c r="M3994" s="1" t="s">
        <v>3895</v>
      </c>
      <c r="N3994" s="1" t="s">
        <v>2331</v>
      </c>
      <c r="P3994" s="1" t="s">
        <v>3898</v>
      </c>
      <c r="Q3994" s="30" t="s">
        <v>2568</v>
      </c>
      <c r="R3994" s="33" t="s">
        <v>3474</v>
      </c>
      <c r="S3994">
        <v>35</v>
      </c>
      <c r="T3994" s="1" t="s">
        <v>5259</v>
      </c>
      <c r="U3994" s="1" t="str">
        <f>HYPERLINK("http://ictvonline.org/taxonomy/p/taxonomy-history?taxnode_id=202105866","ICTVonline=202105866")</f>
        <v>ICTVonline=202105866</v>
      </c>
    </row>
    <row r="3995" spans="1:21" x14ac:dyDescent="0.2">
      <c r="A3995" s="3">
        <v>3994</v>
      </c>
      <c r="B3995" s="1" t="s">
        <v>5250</v>
      </c>
      <c r="D3995" s="1" t="s">
        <v>5280</v>
      </c>
      <c r="F3995" s="1" t="s">
        <v>5281</v>
      </c>
      <c r="H3995" s="1" t="s">
        <v>5284</v>
      </c>
      <c r="J3995" s="1" t="s">
        <v>5286</v>
      </c>
      <c r="L3995" s="1" t="s">
        <v>785</v>
      </c>
      <c r="M3995" s="1" t="s">
        <v>3895</v>
      </c>
      <c r="N3995" s="1" t="s">
        <v>2331</v>
      </c>
      <c r="P3995" s="1" t="s">
        <v>3899</v>
      </c>
      <c r="Q3995" s="30" t="s">
        <v>2568</v>
      </c>
      <c r="R3995" s="33" t="s">
        <v>3474</v>
      </c>
      <c r="S3995">
        <v>35</v>
      </c>
      <c r="T3995" s="1" t="s">
        <v>5259</v>
      </c>
      <c r="U3995" s="1" t="str">
        <f>HYPERLINK("http://ictvonline.org/taxonomy/p/taxonomy-history?taxnode_id=202105867","ICTVonline=202105867")</f>
        <v>ICTVonline=202105867</v>
      </c>
    </row>
    <row r="3996" spans="1:21" x14ac:dyDescent="0.2">
      <c r="A3996" s="3">
        <v>3995</v>
      </c>
      <c r="B3996" s="1" t="s">
        <v>5250</v>
      </c>
      <c r="D3996" s="1" t="s">
        <v>5280</v>
      </c>
      <c r="F3996" s="1" t="s">
        <v>5281</v>
      </c>
      <c r="H3996" s="1" t="s">
        <v>5284</v>
      </c>
      <c r="J3996" s="1" t="s">
        <v>5286</v>
      </c>
      <c r="L3996" s="1" t="s">
        <v>785</v>
      </c>
      <c r="M3996" s="1" t="s">
        <v>3895</v>
      </c>
      <c r="N3996" s="1" t="s">
        <v>2333</v>
      </c>
      <c r="P3996" s="1" t="s">
        <v>2334</v>
      </c>
      <c r="Q3996" s="30" t="s">
        <v>2568</v>
      </c>
      <c r="R3996" s="33" t="s">
        <v>8665</v>
      </c>
      <c r="S3996">
        <v>36</v>
      </c>
      <c r="T3996" s="1" t="s">
        <v>8661</v>
      </c>
      <c r="U3996" s="1" t="str">
        <f>HYPERLINK("http://ictvonline.org/taxonomy/p/taxonomy-history?taxnode_id=202104021","ICTVonline=202104021")</f>
        <v>ICTVonline=202104021</v>
      </c>
    </row>
    <row r="3997" spans="1:21" x14ac:dyDescent="0.2">
      <c r="A3997" s="3">
        <v>3996</v>
      </c>
      <c r="B3997" s="1" t="s">
        <v>5250</v>
      </c>
      <c r="D3997" s="1" t="s">
        <v>5280</v>
      </c>
      <c r="F3997" s="1" t="s">
        <v>5281</v>
      </c>
      <c r="H3997" s="1" t="s">
        <v>5284</v>
      </c>
      <c r="J3997" s="1" t="s">
        <v>5286</v>
      </c>
      <c r="L3997" s="1" t="s">
        <v>785</v>
      </c>
      <c r="M3997" s="1" t="s">
        <v>3895</v>
      </c>
      <c r="N3997" s="1" t="s">
        <v>2335</v>
      </c>
      <c r="P3997" s="1" t="s">
        <v>2336</v>
      </c>
      <c r="Q3997" s="30" t="s">
        <v>2568</v>
      </c>
      <c r="R3997" s="33" t="s">
        <v>8665</v>
      </c>
      <c r="S3997">
        <v>36</v>
      </c>
      <c r="T3997" s="1" t="s">
        <v>8661</v>
      </c>
      <c r="U3997" s="1" t="str">
        <f>HYPERLINK("http://ictvonline.org/taxonomy/p/taxonomy-history?taxnode_id=202104023","ICTVonline=202104023")</f>
        <v>ICTVonline=202104023</v>
      </c>
    </row>
    <row r="3998" spans="1:21" x14ac:dyDescent="0.2">
      <c r="A3998" s="3">
        <v>3997</v>
      </c>
      <c r="B3998" s="1" t="s">
        <v>5250</v>
      </c>
      <c r="D3998" s="1" t="s">
        <v>5280</v>
      </c>
      <c r="F3998" s="1" t="s">
        <v>5281</v>
      </c>
      <c r="H3998" s="1" t="s">
        <v>5284</v>
      </c>
      <c r="J3998" s="1" t="s">
        <v>5286</v>
      </c>
      <c r="L3998" s="1" t="s">
        <v>785</v>
      </c>
      <c r="M3998" s="1" t="s">
        <v>3895</v>
      </c>
      <c r="N3998" s="1" t="s">
        <v>2337</v>
      </c>
      <c r="P3998" s="1" t="s">
        <v>2338</v>
      </c>
      <c r="Q3998" s="30" t="s">
        <v>2568</v>
      </c>
      <c r="R3998" s="33" t="s">
        <v>8665</v>
      </c>
      <c r="S3998">
        <v>36</v>
      </c>
      <c r="T3998" s="1" t="s">
        <v>8661</v>
      </c>
      <c r="U3998" s="1" t="str">
        <f>HYPERLINK("http://ictvonline.org/taxonomy/p/taxonomy-history?taxnode_id=202104025","ICTVonline=202104025")</f>
        <v>ICTVonline=202104025</v>
      </c>
    </row>
    <row r="3999" spans="1:21" x14ac:dyDescent="0.2">
      <c r="A3999" s="3">
        <v>3998</v>
      </c>
      <c r="B3999" s="1" t="s">
        <v>5250</v>
      </c>
      <c r="D3999" s="1" t="s">
        <v>5280</v>
      </c>
      <c r="F3999" s="1" t="s">
        <v>5281</v>
      </c>
      <c r="H3999" s="1" t="s">
        <v>5284</v>
      </c>
      <c r="J3999" s="1" t="s">
        <v>5286</v>
      </c>
      <c r="L3999" s="1" t="s">
        <v>785</v>
      </c>
      <c r="M3999" s="1" t="s">
        <v>3895</v>
      </c>
      <c r="N3999" s="1" t="s">
        <v>3062</v>
      </c>
      <c r="P3999" s="1" t="s">
        <v>2983</v>
      </c>
      <c r="Q3999" s="30" t="s">
        <v>2568</v>
      </c>
      <c r="R3999" s="33" t="s">
        <v>8665</v>
      </c>
      <c r="S3999">
        <v>36</v>
      </c>
      <c r="T3999" s="1" t="s">
        <v>8661</v>
      </c>
      <c r="U3999" s="1" t="str">
        <f>HYPERLINK("http://ictvonline.org/taxonomy/p/taxonomy-history?taxnode_id=202104027","ICTVonline=202104027")</f>
        <v>ICTVonline=202104027</v>
      </c>
    </row>
    <row r="4000" spans="1:21" x14ac:dyDescent="0.2">
      <c r="A4000" s="3">
        <v>3999</v>
      </c>
      <c r="B4000" s="1" t="s">
        <v>5250</v>
      </c>
      <c r="D4000" s="1" t="s">
        <v>5280</v>
      </c>
      <c r="F4000" s="1" t="s">
        <v>5281</v>
      </c>
      <c r="H4000" s="1" t="s">
        <v>5284</v>
      </c>
      <c r="J4000" s="1" t="s">
        <v>5286</v>
      </c>
      <c r="L4000" s="1" t="s">
        <v>785</v>
      </c>
      <c r="M4000" s="1" t="s">
        <v>3895</v>
      </c>
      <c r="N4000" s="1" t="s">
        <v>2339</v>
      </c>
      <c r="P4000" s="1" t="s">
        <v>2340</v>
      </c>
      <c r="Q4000" s="30" t="s">
        <v>2568</v>
      </c>
      <c r="R4000" s="33" t="s">
        <v>8665</v>
      </c>
      <c r="S4000">
        <v>36</v>
      </c>
      <c r="T4000" s="1" t="s">
        <v>8661</v>
      </c>
      <c r="U4000" s="1" t="str">
        <f>HYPERLINK("http://ictvonline.org/taxonomy/p/taxonomy-history?taxnode_id=202104029","ICTVonline=202104029")</f>
        <v>ICTVonline=202104029</v>
      </c>
    </row>
    <row r="4001" spans="1:21" x14ac:dyDescent="0.2">
      <c r="A4001" s="3">
        <v>4000</v>
      </c>
      <c r="B4001" s="1" t="s">
        <v>5250</v>
      </c>
      <c r="D4001" s="1" t="s">
        <v>5280</v>
      </c>
      <c r="F4001" s="1" t="s">
        <v>5281</v>
      </c>
      <c r="H4001" s="1" t="s">
        <v>5284</v>
      </c>
      <c r="J4001" s="1" t="s">
        <v>5286</v>
      </c>
      <c r="L4001" s="1" t="s">
        <v>785</v>
      </c>
      <c r="M4001" s="1" t="s">
        <v>3895</v>
      </c>
      <c r="N4001" s="1" t="s">
        <v>2984</v>
      </c>
      <c r="P4001" s="1" t="s">
        <v>2985</v>
      </c>
      <c r="Q4001" s="30" t="s">
        <v>2568</v>
      </c>
      <c r="R4001" s="33" t="s">
        <v>8665</v>
      </c>
      <c r="S4001">
        <v>36</v>
      </c>
      <c r="T4001" s="1" t="s">
        <v>8661</v>
      </c>
      <c r="U4001" s="1" t="str">
        <f>HYPERLINK("http://ictvonline.org/taxonomy/p/taxonomy-history?taxnode_id=202104031","ICTVonline=202104031")</f>
        <v>ICTVonline=202104031</v>
      </c>
    </row>
    <row r="4002" spans="1:21" x14ac:dyDescent="0.2">
      <c r="A4002" s="3">
        <v>4001</v>
      </c>
      <c r="B4002" s="1" t="s">
        <v>5250</v>
      </c>
      <c r="D4002" s="1" t="s">
        <v>5280</v>
      </c>
      <c r="F4002" s="1" t="s">
        <v>5281</v>
      </c>
      <c r="H4002" s="1" t="s">
        <v>5284</v>
      </c>
      <c r="J4002" s="1" t="s">
        <v>5286</v>
      </c>
      <c r="L4002" s="1" t="s">
        <v>785</v>
      </c>
      <c r="M4002" s="1" t="s">
        <v>3895</v>
      </c>
      <c r="N4002" s="1" t="s">
        <v>2341</v>
      </c>
      <c r="P4002" s="1" t="s">
        <v>2342</v>
      </c>
      <c r="Q4002" s="30" t="s">
        <v>2568</v>
      </c>
      <c r="R4002" s="33" t="s">
        <v>8665</v>
      </c>
      <c r="S4002">
        <v>36</v>
      </c>
      <c r="T4002" s="1" t="s">
        <v>8661</v>
      </c>
      <c r="U4002" s="1" t="str">
        <f>HYPERLINK("http://ictvonline.org/taxonomy/p/taxonomy-history?taxnode_id=202104033","ICTVonline=202104033")</f>
        <v>ICTVonline=202104033</v>
      </c>
    </row>
    <row r="4003" spans="1:21" x14ac:dyDescent="0.2">
      <c r="A4003" s="3">
        <v>4002</v>
      </c>
      <c r="B4003" s="1" t="s">
        <v>5250</v>
      </c>
      <c r="D4003" s="1" t="s">
        <v>5280</v>
      </c>
      <c r="F4003" s="1" t="s">
        <v>5281</v>
      </c>
      <c r="H4003" s="1" t="s">
        <v>5284</v>
      </c>
      <c r="J4003" s="1" t="s">
        <v>5286</v>
      </c>
      <c r="L4003" s="1" t="s">
        <v>785</v>
      </c>
      <c r="M4003" s="1" t="s">
        <v>3895</v>
      </c>
      <c r="N4003" s="1" t="s">
        <v>2986</v>
      </c>
      <c r="P4003" s="1" t="s">
        <v>2987</v>
      </c>
      <c r="Q4003" s="30" t="s">
        <v>2568</v>
      </c>
      <c r="R4003" s="33" t="s">
        <v>8665</v>
      </c>
      <c r="S4003">
        <v>36</v>
      </c>
      <c r="T4003" s="1" t="s">
        <v>8661</v>
      </c>
      <c r="U4003" s="1" t="str">
        <f>HYPERLINK("http://ictvonline.org/taxonomy/p/taxonomy-history?taxnode_id=202104035","ICTVonline=202104035")</f>
        <v>ICTVonline=202104035</v>
      </c>
    </row>
    <row r="4004" spans="1:21" x14ac:dyDescent="0.2">
      <c r="A4004" s="3">
        <v>4003</v>
      </c>
      <c r="B4004" s="1" t="s">
        <v>5250</v>
      </c>
      <c r="D4004" s="1" t="s">
        <v>5280</v>
      </c>
      <c r="F4004" s="1" t="s">
        <v>5281</v>
      </c>
      <c r="H4004" s="1" t="s">
        <v>5284</v>
      </c>
      <c r="J4004" s="1" t="s">
        <v>5286</v>
      </c>
      <c r="L4004" s="1" t="s">
        <v>785</v>
      </c>
      <c r="M4004" s="1" t="s">
        <v>3895</v>
      </c>
      <c r="N4004" s="1" t="s">
        <v>2343</v>
      </c>
      <c r="P4004" s="1" t="s">
        <v>2344</v>
      </c>
      <c r="Q4004" s="30" t="s">
        <v>2568</v>
      </c>
      <c r="R4004" s="33" t="s">
        <v>8665</v>
      </c>
      <c r="S4004">
        <v>36</v>
      </c>
      <c r="T4004" s="1" t="s">
        <v>8661</v>
      </c>
      <c r="U4004" s="1" t="str">
        <f>HYPERLINK("http://ictvonline.org/taxonomy/p/taxonomy-history?taxnode_id=202104037","ICTVonline=202104037")</f>
        <v>ICTVonline=202104037</v>
      </c>
    </row>
    <row r="4005" spans="1:21" x14ac:dyDescent="0.2">
      <c r="A4005" s="3">
        <v>4004</v>
      </c>
      <c r="B4005" s="1" t="s">
        <v>5250</v>
      </c>
      <c r="D4005" s="1" t="s">
        <v>5280</v>
      </c>
      <c r="F4005" s="1" t="s">
        <v>5281</v>
      </c>
      <c r="H4005" s="1" t="s">
        <v>5284</v>
      </c>
      <c r="J4005" s="1" t="s">
        <v>5286</v>
      </c>
      <c r="L4005" s="1" t="s">
        <v>785</v>
      </c>
      <c r="M4005" s="1" t="s">
        <v>3895</v>
      </c>
      <c r="N4005" s="1" t="s">
        <v>2345</v>
      </c>
      <c r="P4005" s="1" t="s">
        <v>2346</v>
      </c>
      <c r="Q4005" s="30" t="s">
        <v>2568</v>
      </c>
      <c r="R4005" s="33" t="s">
        <v>8665</v>
      </c>
      <c r="S4005">
        <v>36</v>
      </c>
      <c r="T4005" s="1" t="s">
        <v>8661</v>
      </c>
      <c r="U4005" s="1" t="str">
        <f>HYPERLINK("http://ictvonline.org/taxonomy/p/taxonomy-history?taxnode_id=202104039","ICTVonline=202104039")</f>
        <v>ICTVonline=202104039</v>
      </c>
    </row>
    <row r="4006" spans="1:21" x14ac:dyDescent="0.2">
      <c r="A4006" s="3">
        <v>4005</v>
      </c>
      <c r="B4006" s="1" t="s">
        <v>5250</v>
      </c>
      <c r="D4006" s="1" t="s">
        <v>5280</v>
      </c>
      <c r="F4006" s="1" t="s">
        <v>5281</v>
      </c>
      <c r="H4006" s="1" t="s">
        <v>5284</v>
      </c>
      <c r="J4006" s="1" t="s">
        <v>5286</v>
      </c>
      <c r="L4006" s="1" t="s">
        <v>785</v>
      </c>
      <c r="M4006" s="1" t="s">
        <v>3895</v>
      </c>
      <c r="N4006" s="1" t="s">
        <v>2988</v>
      </c>
      <c r="P4006" s="1" t="s">
        <v>2989</v>
      </c>
      <c r="Q4006" s="30" t="s">
        <v>2568</v>
      </c>
      <c r="R4006" s="33" t="s">
        <v>8665</v>
      </c>
      <c r="S4006">
        <v>36</v>
      </c>
      <c r="T4006" s="1" t="s">
        <v>8661</v>
      </c>
      <c r="U4006" s="1" t="str">
        <f>HYPERLINK("http://ictvonline.org/taxonomy/p/taxonomy-history?taxnode_id=202104041","ICTVonline=202104041")</f>
        <v>ICTVonline=202104041</v>
      </c>
    </row>
    <row r="4007" spans="1:21" x14ac:dyDescent="0.2">
      <c r="A4007" s="3">
        <v>4006</v>
      </c>
      <c r="B4007" s="1" t="s">
        <v>5250</v>
      </c>
      <c r="D4007" s="1" t="s">
        <v>5280</v>
      </c>
      <c r="F4007" s="1" t="s">
        <v>5281</v>
      </c>
      <c r="H4007" s="1" t="s">
        <v>5284</v>
      </c>
      <c r="J4007" s="1" t="s">
        <v>5286</v>
      </c>
      <c r="L4007" s="1" t="s">
        <v>785</v>
      </c>
      <c r="M4007" s="1" t="s">
        <v>3895</v>
      </c>
      <c r="N4007" s="1" t="s">
        <v>137</v>
      </c>
      <c r="P4007" s="1" t="s">
        <v>138</v>
      </c>
      <c r="Q4007" s="30" t="s">
        <v>2568</v>
      </c>
      <c r="R4007" s="33" t="s">
        <v>8665</v>
      </c>
      <c r="S4007">
        <v>36</v>
      </c>
      <c r="T4007" s="1" t="s">
        <v>8661</v>
      </c>
      <c r="U4007" s="1" t="str">
        <f>HYPERLINK("http://ictvonline.org/taxonomy/p/taxonomy-history?taxnode_id=202104043","ICTVonline=202104043")</f>
        <v>ICTVonline=202104043</v>
      </c>
    </row>
    <row r="4008" spans="1:21" x14ac:dyDescent="0.2">
      <c r="A4008" s="3">
        <v>4007</v>
      </c>
      <c r="B4008" s="1" t="s">
        <v>5250</v>
      </c>
      <c r="D4008" s="1" t="s">
        <v>5280</v>
      </c>
      <c r="F4008" s="1" t="s">
        <v>5281</v>
      </c>
      <c r="H4008" s="1" t="s">
        <v>5284</v>
      </c>
      <c r="J4008" s="1" t="s">
        <v>5286</v>
      </c>
      <c r="L4008" s="1" t="s">
        <v>785</v>
      </c>
      <c r="M4008" s="1" t="s">
        <v>3895</v>
      </c>
      <c r="N4008" s="1" t="s">
        <v>2990</v>
      </c>
      <c r="P4008" s="1" t="s">
        <v>2991</v>
      </c>
      <c r="Q4008" s="30" t="s">
        <v>2568</v>
      </c>
      <c r="R4008" s="33" t="s">
        <v>8665</v>
      </c>
      <c r="S4008">
        <v>36</v>
      </c>
      <c r="T4008" s="1" t="s">
        <v>8661</v>
      </c>
      <c r="U4008" s="1" t="str">
        <f>HYPERLINK("http://ictvonline.org/taxonomy/p/taxonomy-history?taxnode_id=202104045","ICTVonline=202104045")</f>
        <v>ICTVonline=202104045</v>
      </c>
    </row>
    <row r="4009" spans="1:21" x14ac:dyDescent="0.2">
      <c r="A4009" s="3">
        <v>4008</v>
      </c>
      <c r="B4009" s="1" t="s">
        <v>5250</v>
      </c>
      <c r="D4009" s="1" t="s">
        <v>5280</v>
      </c>
      <c r="F4009" s="1" t="s">
        <v>5281</v>
      </c>
      <c r="H4009" s="1" t="s">
        <v>5284</v>
      </c>
      <c r="J4009" s="1" t="s">
        <v>5286</v>
      </c>
      <c r="L4009" s="1" t="s">
        <v>785</v>
      </c>
      <c r="M4009" s="1" t="s">
        <v>3895</v>
      </c>
      <c r="N4009" s="1" t="s">
        <v>2347</v>
      </c>
      <c r="P4009" s="1" t="s">
        <v>2348</v>
      </c>
      <c r="Q4009" s="30" t="s">
        <v>2568</v>
      </c>
      <c r="R4009" s="33" t="s">
        <v>8665</v>
      </c>
      <c r="S4009">
        <v>36</v>
      </c>
      <c r="T4009" s="1" t="s">
        <v>8661</v>
      </c>
      <c r="U4009" s="1" t="str">
        <f>HYPERLINK("http://ictvonline.org/taxonomy/p/taxonomy-history?taxnode_id=202104047","ICTVonline=202104047")</f>
        <v>ICTVonline=202104047</v>
      </c>
    </row>
    <row r="4010" spans="1:21" x14ac:dyDescent="0.2">
      <c r="A4010" s="3">
        <v>4009</v>
      </c>
      <c r="B4010" s="1" t="s">
        <v>5250</v>
      </c>
      <c r="D4010" s="1" t="s">
        <v>5280</v>
      </c>
      <c r="F4010" s="1" t="s">
        <v>5281</v>
      </c>
      <c r="H4010" s="1" t="s">
        <v>5284</v>
      </c>
      <c r="J4010" s="1" t="s">
        <v>5286</v>
      </c>
      <c r="L4010" s="1" t="s">
        <v>785</v>
      </c>
      <c r="M4010" s="1" t="s">
        <v>3895</v>
      </c>
      <c r="N4010" s="1" t="s">
        <v>2347</v>
      </c>
      <c r="P4010" s="1" t="s">
        <v>3900</v>
      </c>
      <c r="Q4010" s="30" t="s">
        <v>2568</v>
      </c>
      <c r="R4010" s="33" t="s">
        <v>3474</v>
      </c>
      <c r="S4010">
        <v>35</v>
      </c>
      <c r="T4010" s="1" t="s">
        <v>5259</v>
      </c>
      <c r="U4010" s="1" t="str">
        <f>HYPERLINK("http://ictvonline.org/taxonomy/p/taxonomy-history?taxnode_id=202105868","ICTVonline=202105868")</f>
        <v>ICTVonline=202105868</v>
      </c>
    </row>
    <row r="4011" spans="1:21" x14ac:dyDescent="0.2">
      <c r="A4011" s="3">
        <v>4010</v>
      </c>
      <c r="B4011" s="1" t="s">
        <v>5250</v>
      </c>
      <c r="D4011" s="1" t="s">
        <v>5280</v>
      </c>
      <c r="F4011" s="1" t="s">
        <v>5281</v>
      </c>
      <c r="H4011" s="1" t="s">
        <v>5284</v>
      </c>
      <c r="J4011" s="1" t="s">
        <v>5286</v>
      </c>
      <c r="L4011" s="1" t="s">
        <v>785</v>
      </c>
      <c r="M4011" s="1" t="s">
        <v>3895</v>
      </c>
      <c r="N4011" s="1" t="s">
        <v>139</v>
      </c>
      <c r="P4011" s="1" t="s">
        <v>140</v>
      </c>
      <c r="Q4011" s="30" t="s">
        <v>2568</v>
      </c>
      <c r="R4011" s="33" t="s">
        <v>8665</v>
      </c>
      <c r="S4011">
        <v>36</v>
      </c>
      <c r="T4011" s="1" t="s">
        <v>8661</v>
      </c>
      <c r="U4011" s="1" t="str">
        <f>HYPERLINK("http://ictvonline.org/taxonomy/p/taxonomy-history?taxnode_id=202104049","ICTVonline=202104049")</f>
        <v>ICTVonline=202104049</v>
      </c>
    </row>
    <row r="4012" spans="1:21" x14ac:dyDescent="0.2">
      <c r="A4012" s="3">
        <v>4011</v>
      </c>
      <c r="B4012" s="1" t="s">
        <v>5250</v>
      </c>
      <c r="D4012" s="1" t="s">
        <v>5280</v>
      </c>
      <c r="F4012" s="1" t="s">
        <v>5281</v>
      </c>
      <c r="H4012" s="1" t="s">
        <v>5284</v>
      </c>
      <c r="J4012" s="1" t="s">
        <v>5286</v>
      </c>
      <c r="L4012" s="1" t="s">
        <v>785</v>
      </c>
      <c r="M4012" s="1" t="s">
        <v>3895</v>
      </c>
      <c r="N4012" s="1" t="s">
        <v>796</v>
      </c>
      <c r="P4012" s="1" t="s">
        <v>141</v>
      </c>
      <c r="Q4012" s="30" t="s">
        <v>2568</v>
      </c>
      <c r="R4012" s="33" t="s">
        <v>8665</v>
      </c>
      <c r="S4012">
        <v>36</v>
      </c>
      <c r="T4012" s="1" t="s">
        <v>8661</v>
      </c>
      <c r="U4012" s="1" t="str">
        <f>HYPERLINK("http://ictvonline.org/taxonomy/p/taxonomy-history?taxnode_id=202104051","ICTVonline=202104051")</f>
        <v>ICTVonline=202104051</v>
      </c>
    </row>
    <row r="4013" spans="1:21" x14ac:dyDescent="0.2">
      <c r="A4013" s="3">
        <v>4012</v>
      </c>
      <c r="B4013" s="1" t="s">
        <v>5250</v>
      </c>
      <c r="D4013" s="1" t="s">
        <v>5280</v>
      </c>
      <c r="F4013" s="1" t="s">
        <v>5281</v>
      </c>
      <c r="H4013" s="1" t="s">
        <v>5284</v>
      </c>
      <c r="J4013" s="1" t="s">
        <v>5286</v>
      </c>
      <c r="L4013" s="1" t="s">
        <v>785</v>
      </c>
      <c r="M4013" s="1" t="s">
        <v>3895</v>
      </c>
      <c r="N4013" s="1" t="s">
        <v>796</v>
      </c>
      <c r="P4013" s="1" t="s">
        <v>3901</v>
      </c>
      <c r="Q4013" s="30" t="s">
        <v>2568</v>
      </c>
      <c r="R4013" s="33" t="s">
        <v>3474</v>
      </c>
      <c r="S4013">
        <v>35</v>
      </c>
      <c r="T4013" s="1" t="s">
        <v>5259</v>
      </c>
      <c r="U4013" s="1" t="str">
        <f>HYPERLINK("http://ictvonline.org/taxonomy/p/taxonomy-history?taxnode_id=202105869","ICTVonline=202105869")</f>
        <v>ICTVonline=202105869</v>
      </c>
    </row>
    <row r="4014" spans="1:21" x14ac:dyDescent="0.2">
      <c r="A4014" s="3">
        <v>4013</v>
      </c>
      <c r="B4014" s="1" t="s">
        <v>5250</v>
      </c>
      <c r="D4014" s="1" t="s">
        <v>5280</v>
      </c>
      <c r="F4014" s="1" t="s">
        <v>5281</v>
      </c>
      <c r="H4014" s="1" t="s">
        <v>5284</v>
      </c>
      <c r="J4014" s="1" t="s">
        <v>5286</v>
      </c>
      <c r="L4014" s="1" t="s">
        <v>785</v>
      </c>
      <c r="M4014" s="1" t="s">
        <v>3895</v>
      </c>
      <c r="N4014" s="1" t="s">
        <v>872</v>
      </c>
      <c r="P4014" s="1" t="s">
        <v>142</v>
      </c>
      <c r="Q4014" s="30" t="s">
        <v>2568</v>
      </c>
      <c r="R4014" s="33" t="s">
        <v>8665</v>
      </c>
      <c r="S4014">
        <v>36</v>
      </c>
      <c r="T4014" s="1" t="s">
        <v>8661</v>
      </c>
      <c r="U4014" s="1" t="str">
        <f>HYPERLINK("http://ictvonline.org/taxonomy/p/taxonomy-history?taxnode_id=202104053","ICTVonline=202104053")</f>
        <v>ICTVonline=202104053</v>
      </c>
    </row>
    <row r="4015" spans="1:21" x14ac:dyDescent="0.2">
      <c r="A4015" s="3">
        <v>4014</v>
      </c>
      <c r="B4015" s="1" t="s">
        <v>5250</v>
      </c>
      <c r="D4015" s="1" t="s">
        <v>5280</v>
      </c>
      <c r="F4015" s="1" t="s">
        <v>5281</v>
      </c>
      <c r="H4015" s="1" t="s">
        <v>5284</v>
      </c>
      <c r="J4015" s="1" t="s">
        <v>5286</v>
      </c>
      <c r="L4015" s="1" t="s">
        <v>785</v>
      </c>
      <c r="M4015" s="1" t="s">
        <v>3895</v>
      </c>
      <c r="N4015" s="1" t="s">
        <v>873</v>
      </c>
      <c r="P4015" s="1" t="s">
        <v>143</v>
      </c>
      <c r="Q4015" s="30" t="s">
        <v>2568</v>
      </c>
      <c r="R4015" s="33" t="s">
        <v>8665</v>
      </c>
      <c r="S4015">
        <v>36</v>
      </c>
      <c r="T4015" s="1" t="s">
        <v>8661</v>
      </c>
      <c r="U4015" s="1" t="str">
        <f>HYPERLINK("http://ictvonline.org/taxonomy/p/taxonomy-history?taxnode_id=202104055","ICTVonline=202104055")</f>
        <v>ICTVonline=202104055</v>
      </c>
    </row>
    <row r="4016" spans="1:21" x14ac:dyDescent="0.2">
      <c r="A4016" s="3">
        <v>4015</v>
      </c>
      <c r="B4016" s="1" t="s">
        <v>5250</v>
      </c>
      <c r="D4016" s="1" t="s">
        <v>5280</v>
      </c>
      <c r="F4016" s="1" t="s">
        <v>5281</v>
      </c>
      <c r="H4016" s="1" t="s">
        <v>5284</v>
      </c>
      <c r="J4016" s="1" t="s">
        <v>5286</v>
      </c>
      <c r="L4016" s="1" t="s">
        <v>785</v>
      </c>
      <c r="M4016" s="1" t="s">
        <v>3895</v>
      </c>
      <c r="N4016" s="1" t="s">
        <v>873</v>
      </c>
      <c r="P4016" s="1" t="s">
        <v>145</v>
      </c>
      <c r="Q4016" s="30" t="s">
        <v>2568</v>
      </c>
      <c r="R4016" s="33" t="s">
        <v>8665</v>
      </c>
      <c r="S4016">
        <v>36</v>
      </c>
      <c r="T4016" s="1" t="s">
        <v>8661</v>
      </c>
      <c r="U4016" s="1" t="str">
        <f>HYPERLINK("http://ictvonline.org/taxonomy/p/taxonomy-history?taxnode_id=202104056","ICTVonline=202104056")</f>
        <v>ICTVonline=202104056</v>
      </c>
    </row>
    <row r="4017" spans="1:21" x14ac:dyDescent="0.2">
      <c r="A4017" s="3">
        <v>4016</v>
      </c>
      <c r="B4017" s="1" t="s">
        <v>5250</v>
      </c>
      <c r="D4017" s="1" t="s">
        <v>5280</v>
      </c>
      <c r="F4017" s="1" t="s">
        <v>5281</v>
      </c>
      <c r="H4017" s="1" t="s">
        <v>5284</v>
      </c>
      <c r="J4017" s="1" t="s">
        <v>5286</v>
      </c>
      <c r="L4017" s="1" t="s">
        <v>785</v>
      </c>
      <c r="M4017" s="1" t="s">
        <v>3895</v>
      </c>
      <c r="N4017" s="1" t="s">
        <v>873</v>
      </c>
      <c r="P4017" s="1" t="s">
        <v>146</v>
      </c>
      <c r="Q4017" s="30" t="s">
        <v>2568</v>
      </c>
      <c r="R4017" s="33" t="s">
        <v>8665</v>
      </c>
      <c r="S4017">
        <v>36</v>
      </c>
      <c r="T4017" s="1" t="s">
        <v>8661</v>
      </c>
      <c r="U4017" s="1" t="str">
        <f>HYPERLINK("http://ictvonline.org/taxonomy/p/taxonomy-history?taxnode_id=202104057","ICTVonline=202104057")</f>
        <v>ICTVonline=202104057</v>
      </c>
    </row>
    <row r="4018" spans="1:21" x14ac:dyDescent="0.2">
      <c r="A4018" s="3">
        <v>4017</v>
      </c>
      <c r="B4018" s="1" t="s">
        <v>5250</v>
      </c>
      <c r="D4018" s="1" t="s">
        <v>5280</v>
      </c>
      <c r="F4018" s="1" t="s">
        <v>5281</v>
      </c>
      <c r="H4018" s="1" t="s">
        <v>5284</v>
      </c>
      <c r="J4018" s="1" t="s">
        <v>5286</v>
      </c>
      <c r="L4018" s="1" t="s">
        <v>785</v>
      </c>
      <c r="M4018" s="1" t="s">
        <v>3895</v>
      </c>
      <c r="N4018" s="1" t="s">
        <v>873</v>
      </c>
      <c r="P4018" s="1" t="s">
        <v>147</v>
      </c>
      <c r="Q4018" s="30" t="s">
        <v>2568</v>
      </c>
      <c r="R4018" s="33" t="s">
        <v>8665</v>
      </c>
      <c r="S4018">
        <v>36</v>
      </c>
      <c r="T4018" s="1" t="s">
        <v>8661</v>
      </c>
      <c r="U4018" s="1" t="str">
        <f>HYPERLINK("http://ictvonline.org/taxonomy/p/taxonomy-history?taxnode_id=202104058","ICTVonline=202104058")</f>
        <v>ICTVonline=202104058</v>
      </c>
    </row>
    <row r="4019" spans="1:21" x14ac:dyDescent="0.2">
      <c r="A4019" s="3">
        <v>4018</v>
      </c>
      <c r="B4019" s="1" t="s">
        <v>5250</v>
      </c>
      <c r="D4019" s="1" t="s">
        <v>5280</v>
      </c>
      <c r="F4019" s="1" t="s">
        <v>5281</v>
      </c>
      <c r="H4019" s="1" t="s">
        <v>5284</v>
      </c>
      <c r="J4019" s="1" t="s">
        <v>5286</v>
      </c>
      <c r="L4019" s="1" t="s">
        <v>785</v>
      </c>
      <c r="M4019" s="1" t="s">
        <v>3895</v>
      </c>
      <c r="N4019" s="1" t="s">
        <v>873</v>
      </c>
      <c r="P4019" s="1" t="s">
        <v>148</v>
      </c>
      <c r="Q4019" s="30" t="s">
        <v>2568</v>
      </c>
      <c r="R4019" s="33" t="s">
        <v>8665</v>
      </c>
      <c r="S4019">
        <v>36</v>
      </c>
      <c r="T4019" s="1" t="s">
        <v>8661</v>
      </c>
      <c r="U4019" s="1" t="str">
        <f>HYPERLINK("http://ictvonline.org/taxonomy/p/taxonomy-history?taxnode_id=202104059","ICTVonline=202104059")</f>
        <v>ICTVonline=202104059</v>
      </c>
    </row>
    <row r="4020" spans="1:21" x14ac:dyDescent="0.2">
      <c r="A4020" s="3">
        <v>4019</v>
      </c>
      <c r="B4020" s="1" t="s">
        <v>5250</v>
      </c>
      <c r="D4020" s="1" t="s">
        <v>5280</v>
      </c>
      <c r="F4020" s="1" t="s">
        <v>5281</v>
      </c>
      <c r="H4020" s="1" t="s">
        <v>5284</v>
      </c>
      <c r="J4020" s="1" t="s">
        <v>5286</v>
      </c>
      <c r="L4020" s="1" t="s">
        <v>785</v>
      </c>
      <c r="M4020" s="1" t="s">
        <v>3895</v>
      </c>
      <c r="N4020" s="1" t="s">
        <v>873</v>
      </c>
      <c r="P4020" s="1" t="s">
        <v>149</v>
      </c>
      <c r="Q4020" s="30" t="s">
        <v>2568</v>
      </c>
      <c r="R4020" s="33" t="s">
        <v>3474</v>
      </c>
      <c r="S4020">
        <v>35</v>
      </c>
      <c r="T4020" s="1" t="s">
        <v>5259</v>
      </c>
      <c r="U4020" s="1" t="str">
        <f>HYPERLINK("http://ictvonline.org/taxonomy/p/taxonomy-history?taxnode_id=202104060","ICTVonline=202104060")</f>
        <v>ICTVonline=202104060</v>
      </c>
    </row>
    <row r="4021" spans="1:21" x14ac:dyDescent="0.2">
      <c r="A4021" s="3">
        <v>4020</v>
      </c>
      <c r="B4021" s="1" t="s">
        <v>5250</v>
      </c>
      <c r="D4021" s="1" t="s">
        <v>5280</v>
      </c>
      <c r="F4021" s="1" t="s">
        <v>5281</v>
      </c>
      <c r="H4021" s="1" t="s">
        <v>5284</v>
      </c>
      <c r="J4021" s="1" t="s">
        <v>5286</v>
      </c>
      <c r="L4021" s="1" t="s">
        <v>785</v>
      </c>
      <c r="M4021" s="1" t="s">
        <v>3895</v>
      </c>
      <c r="N4021" s="1" t="s">
        <v>873</v>
      </c>
      <c r="P4021" s="1" t="s">
        <v>150</v>
      </c>
      <c r="Q4021" s="30" t="s">
        <v>2568</v>
      </c>
      <c r="R4021" s="33" t="s">
        <v>3474</v>
      </c>
      <c r="S4021">
        <v>35</v>
      </c>
      <c r="T4021" s="1" t="s">
        <v>5259</v>
      </c>
      <c r="U4021" s="1" t="str">
        <f>HYPERLINK("http://ictvonline.org/taxonomy/p/taxonomy-history?taxnode_id=202104061","ICTVonline=202104061")</f>
        <v>ICTVonline=202104061</v>
      </c>
    </row>
    <row r="4022" spans="1:21" x14ac:dyDescent="0.2">
      <c r="A4022" s="3">
        <v>4021</v>
      </c>
      <c r="B4022" s="1" t="s">
        <v>5250</v>
      </c>
      <c r="D4022" s="1" t="s">
        <v>5280</v>
      </c>
      <c r="F4022" s="1" t="s">
        <v>5281</v>
      </c>
      <c r="H4022" s="1" t="s">
        <v>5284</v>
      </c>
      <c r="J4022" s="1" t="s">
        <v>5286</v>
      </c>
      <c r="L4022" s="1" t="s">
        <v>785</v>
      </c>
      <c r="M4022" s="1" t="s">
        <v>3895</v>
      </c>
      <c r="N4022" s="1" t="s">
        <v>873</v>
      </c>
      <c r="P4022" s="1" t="s">
        <v>151</v>
      </c>
      <c r="Q4022" s="30" t="s">
        <v>2568</v>
      </c>
      <c r="R4022" s="33" t="s">
        <v>3474</v>
      </c>
      <c r="S4022">
        <v>35</v>
      </c>
      <c r="T4022" s="1" t="s">
        <v>5259</v>
      </c>
      <c r="U4022" s="1" t="str">
        <f>HYPERLINK("http://ictvonline.org/taxonomy/p/taxonomy-history?taxnode_id=202104062","ICTVonline=202104062")</f>
        <v>ICTVonline=202104062</v>
      </c>
    </row>
    <row r="4023" spans="1:21" x14ac:dyDescent="0.2">
      <c r="A4023" s="3">
        <v>4022</v>
      </c>
      <c r="B4023" s="1" t="s">
        <v>5250</v>
      </c>
      <c r="D4023" s="1" t="s">
        <v>5280</v>
      </c>
      <c r="F4023" s="1" t="s">
        <v>5281</v>
      </c>
      <c r="H4023" s="1" t="s">
        <v>5284</v>
      </c>
      <c r="J4023" s="1" t="s">
        <v>5286</v>
      </c>
      <c r="L4023" s="1" t="s">
        <v>785</v>
      </c>
      <c r="M4023" s="1" t="s">
        <v>3895</v>
      </c>
      <c r="N4023" s="1" t="s">
        <v>873</v>
      </c>
      <c r="P4023" s="1" t="s">
        <v>152</v>
      </c>
      <c r="Q4023" s="30" t="s">
        <v>2568</v>
      </c>
      <c r="R4023" s="33" t="s">
        <v>3474</v>
      </c>
      <c r="S4023">
        <v>35</v>
      </c>
      <c r="T4023" s="1" t="s">
        <v>5259</v>
      </c>
      <c r="U4023" s="1" t="str">
        <f>HYPERLINK("http://ictvonline.org/taxonomy/p/taxonomy-history?taxnode_id=202104063","ICTVonline=202104063")</f>
        <v>ICTVonline=202104063</v>
      </c>
    </row>
    <row r="4024" spans="1:21" x14ac:dyDescent="0.2">
      <c r="A4024" s="3">
        <v>4023</v>
      </c>
      <c r="B4024" s="1" t="s">
        <v>5250</v>
      </c>
      <c r="D4024" s="1" t="s">
        <v>5280</v>
      </c>
      <c r="F4024" s="1" t="s">
        <v>5281</v>
      </c>
      <c r="H4024" s="1" t="s">
        <v>5284</v>
      </c>
      <c r="J4024" s="1" t="s">
        <v>5286</v>
      </c>
      <c r="L4024" s="1" t="s">
        <v>785</v>
      </c>
      <c r="M4024" s="1" t="s">
        <v>3895</v>
      </c>
      <c r="N4024" s="1" t="s">
        <v>873</v>
      </c>
      <c r="P4024" s="1" t="s">
        <v>144</v>
      </c>
      <c r="Q4024" s="30" t="s">
        <v>2568</v>
      </c>
      <c r="R4024" s="33" t="s">
        <v>3474</v>
      </c>
      <c r="S4024">
        <v>35</v>
      </c>
      <c r="T4024" s="1" t="s">
        <v>5259</v>
      </c>
      <c r="U4024" s="1" t="str">
        <f>HYPERLINK("http://ictvonline.org/taxonomy/p/taxonomy-history?taxnode_id=202104064","ICTVonline=202104064")</f>
        <v>ICTVonline=202104064</v>
      </c>
    </row>
    <row r="4025" spans="1:21" x14ac:dyDescent="0.2">
      <c r="A4025" s="3">
        <v>4024</v>
      </c>
      <c r="B4025" s="1" t="s">
        <v>5250</v>
      </c>
      <c r="D4025" s="1" t="s">
        <v>5280</v>
      </c>
      <c r="F4025" s="1" t="s">
        <v>5281</v>
      </c>
      <c r="H4025" s="1" t="s">
        <v>5284</v>
      </c>
      <c r="J4025" s="1" t="s">
        <v>5286</v>
      </c>
      <c r="L4025" s="1" t="s">
        <v>785</v>
      </c>
      <c r="M4025" s="1" t="s">
        <v>3895</v>
      </c>
      <c r="N4025" s="1" t="s">
        <v>873</v>
      </c>
      <c r="P4025" s="1" t="s">
        <v>2349</v>
      </c>
      <c r="Q4025" s="30" t="s">
        <v>2568</v>
      </c>
      <c r="R4025" s="33" t="s">
        <v>3474</v>
      </c>
      <c r="S4025">
        <v>35</v>
      </c>
      <c r="T4025" s="1" t="s">
        <v>5259</v>
      </c>
      <c r="U4025" s="1" t="str">
        <f>HYPERLINK("http://ictvonline.org/taxonomy/p/taxonomy-history?taxnode_id=202104065","ICTVonline=202104065")</f>
        <v>ICTVonline=202104065</v>
      </c>
    </row>
    <row r="4026" spans="1:21" x14ac:dyDescent="0.2">
      <c r="A4026" s="3">
        <v>4025</v>
      </c>
      <c r="B4026" s="1" t="s">
        <v>5250</v>
      </c>
      <c r="D4026" s="1" t="s">
        <v>5280</v>
      </c>
      <c r="F4026" s="1" t="s">
        <v>5281</v>
      </c>
      <c r="H4026" s="1" t="s">
        <v>5284</v>
      </c>
      <c r="J4026" s="1" t="s">
        <v>5286</v>
      </c>
      <c r="L4026" s="1" t="s">
        <v>785</v>
      </c>
      <c r="M4026" s="1" t="s">
        <v>3895</v>
      </c>
      <c r="N4026" s="1" t="s">
        <v>873</v>
      </c>
      <c r="P4026" s="1" t="s">
        <v>2350</v>
      </c>
      <c r="Q4026" s="30" t="s">
        <v>2568</v>
      </c>
      <c r="R4026" s="33" t="s">
        <v>3474</v>
      </c>
      <c r="S4026">
        <v>35</v>
      </c>
      <c r="T4026" s="1" t="s">
        <v>5259</v>
      </c>
      <c r="U4026" s="1" t="str">
        <f>HYPERLINK("http://ictvonline.org/taxonomy/p/taxonomy-history?taxnode_id=202104066","ICTVonline=202104066")</f>
        <v>ICTVonline=202104066</v>
      </c>
    </row>
    <row r="4027" spans="1:21" x14ac:dyDescent="0.2">
      <c r="A4027" s="3">
        <v>4026</v>
      </c>
      <c r="B4027" s="1" t="s">
        <v>5250</v>
      </c>
      <c r="D4027" s="1" t="s">
        <v>5280</v>
      </c>
      <c r="F4027" s="1" t="s">
        <v>5281</v>
      </c>
      <c r="H4027" s="1" t="s">
        <v>5284</v>
      </c>
      <c r="J4027" s="1" t="s">
        <v>5286</v>
      </c>
      <c r="L4027" s="1" t="s">
        <v>785</v>
      </c>
      <c r="M4027" s="1" t="s">
        <v>3895</v>
      </c>
      <c r="N4027" s="1" t="s">
        <v>873</v>
      </c>
      <c r="P4027" s="1" t="s">
        <v>2351</v>
      </c>
      <c r="Q4027" s="30" t="s">
        <v>2568</v>
      </c>
      <c r="R4027" s="33" t="s">
        <v>3474</v>
      </c>
      <c r="S4027">
        <v>35</v>
      </c>
      <c r="T4027" s="1" t="s">
        <v>5259</v>
      </c>
      <c r="U4027" s="1" t="str">
        <f>HYPERLINK("http://ictvonline.org/taxonomy/p/taxonomy-history?taxnode_id=202104067","ICTVonline=202104067")</f>
        <v>ICTVonline=202104067</v>
      </c>
    </row>
    <row r="4028" spans="1:21" x14ac:dyDescent="0.2">
      <c r="A4028" s="3">
        <v>4027</v>
      </c>
      <c r="B4028" s="1" t="s">
        <v>5250</v>
      </c>
      <c r="D4028" s="1" t="s">
        <v>5280</v>
      </c>
      <c r="F4028" s="1" t="s">
        <v>5281</v>
      </c>
      <c r="H4028" s="1" t="s">
        <v>5284</v>
      </c>
      <c r="J4028" s="1" t="s">
        <v>5286</v>
      </c>
      <c r="L4028" s="1" t="s">
        <v>785</v>
      </c>
      <c r="M4028" s="1" t="s">
        <v>3895</v>
      </c>
      <c r="N4028" s="1" t="s">
        <v>873</v>
      </c>
      <c r="P4028" s="1" t="s">
        <v>2352</v>
      </c>
      <c r="Q4028" s="30" t="s">
        <v>2568</v>
      </c>
      <c r="R4028" s="33" t="s">
        <v>3474</v>
      </c>
      <c r="S4028">
        <v>35</v>
      </c>
      <c r="T4028" s="1" t="s">
        <v>5259</v>
      </c>
      <c r="U4028" s="1" t="str">
        <f>HYPERLINK("http://ictvonline.org/taxonomy/p/taxonomy-history?taxnode_id=202104068","ICTVonline=202104068")</f>
        <v>ICTVonline=202104068</v>
      </c>
    </row>
    <row r="4029" spans="1:21" x14ac:dyDescent="0.2">
      <c r="A4029" s="3">
        <v>4028</v>
      </c>
      <c r="B4029" s="1" t="s">
        <v>5250</v>
      </c>
      <c r="D4029" s="1" t="s">
        <v>5280</v>
      </c>
      <c r="F4029" s="1" t="s">
        <v>5281</v>
      </c>
      <c r="H4029" s="1" t="s">
        <v>5284</v>
      </c>
      <c r="J4029" s="1" t="s">
        <v>5286</v>
      </c>
      <c r="L4029" s="1" t="s">
        <v>785</v>
      </c>
      <c r="M4029" s="1" t="s">
        <v>3895</v>
      </c>
      <c r="N4029" s="1" t="s">
        <v>873</v>
      </c>
      <c r="P4029" s="1" t="s">
        <v>2353</v>
      </c>
      <c r="Q4029" s="30" t="s">
        <v>2568</v>
      </c>
      <c r="R4029" s="33" t="s">
        <v>3474</v>
      </c>
      <c r="S4029">
        <v>35</v>
      </c>
      <c r="T4029" s="1" t="s">
        <v>5259</v>
      </c>
      <c r="U4029" s="1" t="str">
        <f>HYPERLINK("http://ictvonline.org/taxonomy/p/taxonomy-history?taxnode_id=202104069","ICTVonline=202104069")</f>
        <v>ICTVonline=202104069</v>
      </c>
    </row>
    <row r="4030" spans="1:21" x14ac:dyDescent="0.2">
      <c r="A4030" s="3">
        <v>4029</v>
      </c>
      <c r="B4030" s="1" t="s">
        <v>5250</v>
      </c>
      <c r="D4030" s="1" t="s">
        <v>5280</v>
      </c>
      <c r="F4030" s="1" t="s">
        <v>5281</v>
      </c>
      <c r="H4030" s="1" t="s">
        <v>5284</v>
      </c>
      <c r="J4030" s="1" t="s">
        <v>5286</v>
      </c>
      <c r="L4030" s="1" t="s">
        <v>785</v>
      </c>
      <c r="M4030" s="1" t="s">
        <v>3895</v>
      </c>
      <c r="N4030" s="1" t="s">
        <v>873</v>
      </c>
      <c r="P4030" s="1" t="s">
        <v>2354</v>
      </c>
      <c r="Q4030" s="30" t="s">
        <v>2568</v>
      </c>
      <c r="R4030" s="33" t="s">
        <v>3474</v>
      </c>
      <c r="S4030">
        <v>35</v>
      </c>
      <c r="T4030" s="1" t="s">
        <v>5259</v>
      </c>
      <c r="U4030" s="1" t="str">
        <f>HYPERLINK("http://ictvonline.org/taxonomy/p/taxonomy-history?taxnode_id=202104070","ICTVonline=202104070")</f>
        <v>ICTVonline=202104070</v>
      </c>
    </row>
    <row r="4031" spans="1:21" x14ac:dyDescent="0.2">
      <c r="A4031" s="3">
        <v>4030</v>
      </c>
      <c r="B4031" s="1" t="s">
        <v>5250</v>
      </c>
      <c r="D4031" s="1" t="s">
        <v>5280</v>
      </c>
      <c r="F4031" s="1" t="s">
        <v>5281</v>
      </c>
      <c r="H4031" s="1" t="s">
        <v>5284</v>
      </c>
      <c r="J4031" s="1" t="s">
        <v>5286</v>
      </c>
      <c r="L4031" s="1" t="s">
        <v>785</v>
      </c>
      <c r="M4031" s="1" t="s">
        <v>3895</v>
      </c>
      <c r="N4031" s="1" t="s">
        <v>873</v>
      </c>
      <c r="P4031" s="1" t="s">
        <v>2355</v>
      </c>
      <c r="Q4031" s="30" t="s">
        <v>2568</v>
      </c>
      <c r="R4031" s="33" t="s">
        <v>3474</v>
      </c>
      <c r="S4031">
        <v>35</v>
      </c>
      <c r="T4031" s="1" t="s">
        <v>5259</v>
      </c>
      <c r="U4031" s="1" t="str">
        <f>HYPERLINK("http://ictvonline.org/taxonomy/p/taxonomy-history?taxnode_id=202104071","ICTVonline=202104071")</f>
        <v>ICTVonline=202104071</v>
      </c>
    </row>
    <row r="4032" spans="1:21" x14ac:dyDescent="0.2">
      <c r="A4032" s="3">
        <v>4031</v>
      </c>
      <c r="B4032" s="1" t="s">
        <v>5250</v>
      </c>
      <c r="D4032" s="1" t="s">
        <v>5280</v>
      </c>
      <c r="F4032" s="1" t="s">
        <v>5281</v>
      </c>
      <c r="H4032" s="1" t="s">
        <v>5284</v>
      </c>
      <c r="J4032" s="1" t="s">
        <v>5286</v>
      </c>
      <c r="L4032" s="1" t="s">
        <v>785</v>
      </c>
      <c r="M4032" s="1" t="s">
        <v>3895</v>
      </c>
      <c r="N4032" s="1" t="s">
        <v>873</v>
      </c>
      <c r="P4032" s="1" t="s">
        <v>2356</v>
      </c>
      <c r="Q4032" s="30" t="s">
        <v>2568</v>
      </c>
      <c r="R4032" s="33" t="s">
        <v>3474</v>
      </c>
      <c r="S4032">
        <v>35</v>
      </c>
      <c r="T4032" s="1" t="s">
        <v>5259</v>
      </c>
      <c r="U4032" s="1" t="str">
        <f>HYPERLINK("http://ictvonline.org/taxonomy/p/taxonomy-history?taxnode_id=202104072","ICTVonline=202104072")</f>
        <v>ICTVonline=202104072</v>
      </c>
    </row>
    <row r="4033" spans="1:21" x14ac:dyDescent="0.2">
      <c r="A4033" s="3">
        <v>4032</v>
      </c>
      <c r="B4033" s="1" t="s">
        <v>5250</v>
      </c>
      <c r="D4033" s="1" t="s">
        <v>5280</v>
      </c>
      <c r="F4033" s="1" t="s">
        <v>5281</v>
      </c>
      <c r="H4033" s="1" t="s">
        <v>5284</v>
      </c>
      <c r="J4033" s="1" t="s">
        <v>5286</v>
      </c>
      <c r="L4033" s="1" t="s">
        <v>785</v>
      </c>
      <c r="M4033" s="1" t="s">
        <v>3895</v>
      </c>
      <c r="N4033" s="1" t="s">
        <v>873</v>
      </c>
      <c r="P4033" s="1" t="s">
        <v>2357</v>
      </c>
      <c r="Q4033" s="30" t="s">
        <v>2568</v>
      </c>
      <c r="R4033" s="33" t="s">
        <v>3474</v>
      </c>
      <c r="S4033">
        <v>35</v>
      </c>
      <c r="T4033" s="1" t="s">
        <v>5259</v>
      </c>
      <c r="U4033" s="1" t="str">
        <f>HYPERLINK("http://ictvonline.org/taxonomy/p/taxonomy-history?taxnode_id=202104073","ICTVonline=202104073")</f>
        <v>ICTVonline=202104073</v>
      </c>
    </row>
    <row r="4034" spans="1:21" x14ac:dyDescent="0.2">
      <c r="A4034" s="3">
        <v>4033</v>
      </c>
      <c r="B4034" s="1" t="s">
        <v>5250</v>
      </c>
      <c r="D4034" s="1" t="s">
        <v>5280</v>
      </c>
      <c r="F4034" s="1" t="s">
        <v>5281</v>
      </c>
      <c r="H4034" s="1" t="s">
        <v>5284</v>
      </c>
      <c r="J4034" s="1" t="s">
        <v>5286</v>
      </c>
      <c r="L4034" s="1" t="s">
        <v>785</v>
      </c>
      <c r="M4034" s="1" t="s">
        <v>3895</v>
      </c>
      <c r="N4034" s="1" t="s">
        <v>873</v>
      </c>
      <c r="P4034" s="1" t="s">
        <v>2358</v>
      </c>
      <c r="Q4034" s="30" t="s">
        <v>2568</v>
      </c>
      <c r="R4034" s="33" t="s">
        <v>3474</v>
      </c>
      <c r="S4034">
        <v>35</v>
      </c>
      <c r="T4034" s="1" t="s">
        <v>5259</v>
      </c>
      <c r="U4034" s="1" t="str">
        <f>HYPERLINK("http://ictvonline.org/taxonomy/p/taxonomy-history?taxnode_id=202104074","ICTVonline=202104074")</f>
        <v>ICTVonline=202104074</v>
      </c>
    </row>
    <row r="4035" spans="1:21" x14ac:dyDescent="0.2">
      <c r="A4035" s="3">
        <v>4034</v>
      </c>
      <c r="B4035" s="1" t="s">
        <v>5250</v>
      </c>
      <c r="D4035" s="1" t="s">
        <v>5280</v>
      </c>
      <c r="F4035" s="1" t="s">
        <v>5281</v>
      </c>
      <c r="H4035" s="1" t="s">
        <v>5284</v>
      </c>
      <c r="J4035" s="1" t="s">
        <v>5286</v>
      </c>
      <c r="L4035" s="1" t="s">
        <v>785</v>
      </c>
      <c r="M4035" s="1" t="s">
        <v>3895</v>
      </c>
      <c r="N4035" s="1" t="s">
        <v>873</v>
      </c>
      <c r="P4035" s="1" t="s">
        <v>2992</v>
      </c>
      <c r="Q4035" s="30" t="s">
        <v>2568</v>
      </c>
      <c r="R4035" s="33" t="s">
        <v>3474</v>
      </c>
      <c r="S4035">
        <v>35</v>
      </c>
      <c r="T4035" s="1" t="s">
        <v>5259</v>
      </c>
      <c r="U4035" s="1" t="str">
        <f>HYPERLINK("http://ictvonline.org/taxonomy/p/taxonomy-history?taxnode_id=202104075","ICTVonline=202104075")</f>
        <v>ICTVonline=202104075</v>
      </c>
    </row>
    <row r="4036" spans="1:21" x14ac:dyDescent="0.2">
      <c r="A4036" s="3">
        <v>4035</v>
      </c>
      <c r="B4036" s="1" t="s">
        <v>5250</v>
      </c>
      <c r="D4036" s="1" t="s">
        <v>5280</v>
      </c>
      <c r="F4036" s="1" t="s">
        <v>5281</v>
      </c>
      <c r="H4036" s="1" t="s">
        <v>5284</v>
      </c>
      <c r="J4036" s="1" t="s">
        <v>5286</v>
      </c>
      <c r="L4036" s="1" t="s">
        <v>785</v>
      </c>
      <c r="M4036" s="1" t="s">
        <v>3895</v>
      </c>
      <c r="N4036" s="1" t="s">
        <v>873</v>
      </c>
      <c r="P4036" s="1" t="s">
        <v>2993</v>
      </c>
      <c r="Q4036" s="30" t="s">
        <v>2568</v>
      </c>
      <c r="R4036" s="33" t="s">
        <v>3474</v>
      </c>
      <c r="S4036">
        <v>35</v>
      </c>
      <c r="T4036" s="1" t="s">
        <v>5259</v>
      </c>
      <c r="U4036" s="1" t="str">
        <f>HYPERLINK("http://ictvonline.org/taxonomy/p/taxonomy-history?taxnode_id=202104076","ICTVonline=202104076")</f>
        <v>ICTVonline=202104076</v>
      </c>
    </row>
    <row r="4037" spans="1:21" x14ac:dyDescent="0.2">
      <c r="A4037" s="3">
        <v>4036</v>
      </c>
      <c r="B4037" s="1" t="s">
        <v>5250</v>
      </c>
      <c r="D4037" s="1" t="s">
        <v>5280</v>
      </c>
      <c r="F4037" s="1" t="s">
        <v>5281</v>
      </c>
      <c r="H4037" s="1" t="s">
        <v>5284</v>
      </c>
      <c r="J4037" s="1" t="s">
        <v>5286</v>
      </c>
      <c r="L4037" s="1" t="s">
        <v>785</v>
      </c>
      <c r="M4037" s="1" t="s">
        <v>3895</v>
      </c>
      <c r="N4037" s="1" t="s">
        <v>873</v>
      </c>
      <c r="P4037" s="1" t="s">
        <v>2994</v>
      </c>
      <c r="Q4037" s="30" t="s">
        <v>2568</v>
      </c>
      <c r="R4037" s="33" t="s">
        <v>3474</v>
      </c>
      <c r="S4037">
        <v>35</v>
      </c>
      <c r="T4037" s="1" t="s">
        <v>5259</v>
      </c>
      <c r="U4037" s="1" t="str">
        <f>HYPERLINK("http://ictvonline.org/taxonomy/p/taxonomy-history?taxnode_id=202104077","ICTVonline=202104077")</f>
        <v>ICTVonline=202104077</v>
      </c>
    </row>
    <row r="4038" spans="1:21" x14ac:dyDescent="0.2">
      <c r="A4038" s="3">
        <v>4037</v>
      </c>
      <c r="B4038" s="1" t="s">
        <v>5250</v>
      </c>
      <c r="D4038" s="1" t="s">
        <v>5280</v>
      </c>
      <c r="F4038" s="1" t="s">
        <v>5281</v>
      </c>
      <c r="H4038" s="1" t="s">
        <v>5284</v>
      </c>
      <c r="J4038" s="1" t="s">
        <v>5286</v>
      </c>
      <c r="L4038" s="1" t="s">
        <v>785</v>
      </c>
      <c r="M4038" s="1" t="s">
        <v>3895</v>
      </c>
      <c r="N4038" s="1" t="s">
        <v>873</v>
      </c>
      <c r="P4038" s="1" t="s">
        <v>2995</v>
      </c>
      <c r="Q4038" s="30" t="s">
        <v>2568</v>
      </c>
      <c r="R4038" s="33" t="s">
        <v>3474</v>
      </c>
      <c r="S4038">
        <v>35</v>
      </c>
      <c r="T4038" s="1" t="s">
        <v>5259</v>
      </c>
      <c r="U4038" s="1" t="str">
        <f>HYPERLINK("http://ictvonline.org/taxonomy/p/taxonomy-history?taxnode_id=202104078","ICTVonline=202104078")</f>
        <v>ICTVonline=202104078</v>
      </c>
    </row>
    <row r="4039" spans="1:21" x14ac:dyDescent="0.2">
      <c r="A4039" s="3">
        <v>4038</v>
      </c>
      <c r="B4039" s="1" t="s">
        <v>5250</v>
      </c>
      <c r="D4039" s="1" t="s">
        <v>5280</v>
      </c>
      <c r="F4039" s="1" t="s">
        <v>5281</v>
      </c>
      <c r="H4039" s="1" t="s">
        <v>5284</v>
      </c>
      <c r="J4039" s="1" t="s">
        <v>5286</v>
      </c>
      <c r="L4039" s="1" t="s">
        <v>785</v>
      </c>
      <c r="M4039" s="1" t="s">
        <v>3895</v>
      </c>
      <c r="N4039" s="1" t="s">
        <v>873</v>
      </c>
      <c r="P4039" s="1" t="s">
        <v>2996</v>
      </c>
      <c r="Q4039" s="30" t="s">
        <v>2568</v>
      </c>
      <c r="R4039" s="33" t="s">
        <v>3474</v>
      </c>
      <c r="S4039">
        <v>35</v>
      </c>
      <c r="T4039" s="1" t="s">
        <v>5259</v>
      </c>
      <c r="U4039" s="1" t="str">
        <f>HYPERLINK("http://ictvonline.org/taxonomy/p/taxonomy-history?taxnode_id=202104079","ICTVonline=202104079")</f>
        <v>ICTVonline=202104079</v>
      </c>
    </row>
    <row r="4040" spans="1:21" x14ac:dyDescent="0.2">
      <c r="A4040" s="3">
        <v>4039</v>
      </c>
      <c r="B4040" s="1" t="s">
        <v>5250</v>
      </c>
      <c r="D4040" s="1" t="s">
        <v>5280</v>
      </c>
      <c r="F4040" s="1" t="s">
        <v>5281</v>
      </c>
      <c r="H4040" s="1" t="s">
        <v>5284</v>
      </c>
      <c r="J4040" s="1" t="s">
        <v>5286</v>
      </c>
      <c r="L4040" s="1" t="s">
        <v>785</v>
      </c>
      <c r="M4040" s="1" t="s">
        <v>3895</v>
      </c>
      <c r="N4040" s="1" t="s">
        <v>873</v>
      </c>
      <c r="P4040" s="1" t="s">
        <v>2997</v>
      </c>
      <c r="Q4040" s="30" t="s">
        <v>2568</v>
      </c>
      <c r="R4040" s="33" t="s">
        <v>3474</v>
      </c>
      <c r="S4040">
        <v>35</v>
      </c>
      <c r="T4040" s="1" t="s">
        <v>5259</v>
      </c>
      <c r="U4040" s="1" t="str">
        <f>HYPERLINK("http://ictvonline.org/taxonomy/p/taxonomy-history?taxnode_id=202104080","ICTVonline=202104080")</f>
        <v>ICTVonline=202104080</v>
      </c>
    </row>
    <row r="4041" spans="1:21" x14ac:dyDescent="0.2">
      <c r="A4041" s="3">
        <v>4040</v>
      </c>
      <c r="B4041" s="1" t="s">
        <v>5250</v>
      </c>
      <c r="D4041" s="1" t="s">
        <v>5280</v>
      </c>
      <c r="F4041" s="1" t="s">
        <v>5281</v>
      </c>
      <c r="H4041" s="1" t="s">
        <v>5284</v>
      </c>
      <c r="J4041" s="1" t="s">
        <v>5286</v>
      </c>
      <c r="L4041" s="1" t="s">
        <v>785</v>
      </c>
      <c r="M4041" s="1" t="s">
        <v>3895</v>
      </c>
      <c r="N4041" s="1" t="s">
        <v>873</v>
      </c>
      <c r="P4041" s="1" t="s">
        <v>3902</v>
      </c>
      <c r="Q4041" s="30" t="s">
        <v>2568</v>
      </c>
      <c r="R4041" s="33" t="s">
        <v>3474</v>
      </c>
      <c r="S4041">
        <v>35</v>
      </c>
      <c r="T4041" s="1" t="s">
        <v>5259</v>
      </c>
      <c r="U4041" s="1" t="str">
        <f>HYPERLINK("http://ictvonline.org/taxonomy/p/taxonomy-history?taxnode_id=202105870","ICTVonline=202105870")</f>
        <v>ICTVonline=202105870</v>
      </c>
    </row>
    <row r="4042" spans="1:21" x14ac:dyDescent="0.2">
      <c r="A4042" s="3">
        <v>4041</v>
      </c>
      <c r="B4042" s="1" t="s">
        <v>5250</v>
      </c>
      <c r="D4042" s="1" t="s">
        <v>5280</v>
      </c>
      <c r="F4042" s="1" t="s">
        <v>5281</v>
      </c>
      <c r="H4042" s="1" t="s">
        <v>5284</v>
      </c>
      <c r="J4042" s="1" t="s">
        <v>5286</v>
      </c>
      <c r="L4042" s="1" t="s">
        <v>785</v>
      </c>
      <c r="M4042" s="1" t="s">
        <v>3895</v>
      </c>
      <c r="N4042" s="1" t="s">
        <v>963</v>
      </c>
      <c r="P4042" s="1" t="s">
        <v>153</v>
      </c>
      <c r="Q4042" s="30" t="s">
        <v>2568</v>
      </c>
      <c r="R4042" s="33" t="s">
        <v>8665</v>
      </c>
      <c r="S4042">
        <v>36</v>
      </c>
      <c r="T4042" s="1" t="s">
        <v>8661</v>
      </c>
      <c r="U4042" s="1" t="str">
        <f>HYPERLINK("http://ictvonline.org/taxonomy/p/taxonomy-history?taxnode_id=202104082","ICTVonline=202104082")</f>
        <v>ICTVonline=202104082</v>
      </c>
    </row>
    <row r="4043" spans="1:21" x14ac:dyDescent="0.2">
      <c r="A4043" s="3">
        <v>4042</v>
      </c>
      <c r="B4043" s="1" t="s">
        <v>5250</v>
      </c>
      <c r="D4043" s="1" t="s">
        <v>5280</v>
      </c>
      <c r="F4043" s="1" t="s">
        <v>5281</v>
      </c>
      <c r="H4043" s="1" t="s">
        <v>5284</v>
      </c>
      <c r="J4043" s="1" t="s">
        <v>5286</v>
      </c>
      <c r="L4043" s="1" t="s">
        <v>785</v>
      </c>
      <c r="M4043" s="1" t="s">
        <v>3895</v>
      </c>
      <c r="N4043" s="1" t="s">
        <v>963</v>
      </c>
      <c r="P4043" s="1" t="s">
        <v>3903</v>
      </c>
      <c r="Q4043" s="30" t="s">
        <v>2568</v>
      </c>
      <c r="R4043" s="33" t="s">
        <v>3474</v>
      </c>
      <c r="S4043">
        <v>35</v>
      </c>
      <c r="T4043" s="1" t="s">
        <v>5259</v>
      </c>
      <c r="U4043" s="1" t="str">
        <f>HYPERLINK("http://ictvonline.org/taxonomy/p/taxonomy-history?taxnode_id=202105871","ICTVonline=202105871")</f>
        <v>ICTVonline=202105871</v>
      </c>
    </row>
    <row r="4044" spans="1:21" x14ac:dyDescent="0.2">
      <c r="A4044" s="3">
        <v>4043</v>
      </c>
      <c r="B4044" s="1" t="s">
        <v>5250</v>
      </c>
      <c r="D4044" s="1" t="s">
        <v>5280</v>
      </c>
      <c r="F4044" s="1" t="s">
        <v>5281</v>
      </c>
      <c r="H4044" s="1" t="s">
        <v>5284</v>
      </c>
      <c r="J4044" s="1" t="s">
        <v>5286</v>
      </c>
      <c r="L4044" s="1" t="s">
        <v>785</v>
      </c>
      <c r="M4044" s="1" t="s">
        <v>3895</v>
      </c>
      <c r="N4044" s="1" t="s">
        <v>1046</v>
      </c>
      <c r="P4044" s="1" t="s">
        <v>154</v>
      </c>
      <c r="Q4044" s="30" t="s">
        <v>2568</v>
      </c>
      <c r="R4044" s="33" t="s">
        <v>3474</v>
      </c>
      <c r="S4044">
        <v>35</v>
      </c>
      <c r="T4044" s="1" t="s">
        <v>5259</v>
      </c>
      <c r="U4044" s="1" t="str">
        <f>HYPERLINK("http://ictvonline.org/taxonomy/p/taxonomy-history?taxnode_id=202104084","ICTVonline=202104084")</f>
        <v>ICTVonline=202104084</v>
      </c>
    </row>
    <row r="4045" spans="1:21" x14ac:dyDescent="0.2">
      <c r="A4045" s="3">
        <v>4044</v>
      </c>
      <c r="B4045" s="1" t="s">
        <v>5250</v>
      </c>
      <c r="D4045" s="1" t="s">
        <v>5280</v>
      </c>
      <c r="F4045" s="1" t="s">
        <v>5281</v>
      </c>
      <c r="H4045" s="1" t="s">
        <v>5284</v>
      </c>
      <c r="J4045" s="1" t="s">
        <v>5286</v>
      </c>
      <c r="L4045" s="1" t="s">
        <v>785</v>
      </c>
      <c r="M4045" s="1" t="s">
        <v>3895</v>
      </c>
      <c r="N4045" s="1" t="s">
        <v>1046</v>
      </c>
      <c r="P4045" s="1" t="s">
        <v>155</v>
      </c>
      <c r="Q4045" s="30" t="s">
        <v>2568</v>
      </c>
      <c r="R4045" s="33" t="s">
        <v>8665</v>
      </c>
      <c r="S4045">
        <v>36</v>
      </c>
      <c r="T4045" s="1" t="s">
        <v>8661</v>
      </c>
      <c r="U4045" s="1" t="str">
        <f>HYPERLINK("http://ictvonline.org/taxonomy/p/taxonomy-history?taxnode_id=202104085","ICTVonline=202104085")</f>
        <v>ICTVonline=202104085</v>
      </c>
    </row>
    <row r="4046" spans="1:21" x14ac:dyDescent="0.2">
      <c r="A4046" s="3">
        <v>4045</v>
      </c>
      <c r="B4046" s="1" t="s">
        <v>5250</v>
      </c>
      <c r="D4046" s="1" t="s">
        <v>5280</v>
      </c>
      <c r="F4046" s="1" t="s">
        <v>5281</v>
      </c>
      <c r="H4046" s="1" t="s">
        <v>5284</v>
      </c>
      <c r="J4046" s="1" t="s">
        <v>5286</v>
      </c>
      <c r="L4046" s="1" t="s">
        <v>785</v>
      </c>
      <c r="M4046" s="1" t="s">
        <v>3895</v>
      </c>
      <c r="N4046" s="1" t="s">
        <v>1047</v>
      </c>
      <c r="P4046" s="1" t="s">
        <v>156</v>
      </c>
      <c r="Q4046" s="30" t="s">
        <v>2568</v>
      </c>
      <c r="R4046" s="33" t="s">
        <v>3474</v>
      </c>
      <c r="S4046">
        <v>35</v>
      </c>
      <c r="T4046" s="1" t="s">
        <v>5259</v>
      </c>
      <c r="U4046" s="1" t="str">
        <f>HYPERLINK("http://ictvonline.org/taxonomy/p/taxonomy-history?taxnode_id=202104087","ICTVonline=202104087")</f>
        <v>ICTVonline=202104087</v>
      </c>
    </row>
    <row r="4047" spans="1:21" x14ac:dyDescent="0.2">
      <c r="A4047" s="3">
        <v>4046</v>
      </c>
      <c r="B4047" s="1" t="s">
        <v>5250</v>
      </c>
      <c r="D4047" s="1" t="s">
        <v>5280</v>
      </c>
      <c r="F4047" s="1" t="s">
        <v>5281</v>
      </c>
      <c r="H4047" s="1" t="s">
        <v>5284</v>
      </c>
      <c r="J4047" s="1" t="s">
        <v>5286</v>
      </c>
      <c r="L4047" s="1" t="s">
        <v>785</v>
      </c>
      <c r="M4047" s="1" t="s">
        <v>3895</v>
      </c>
      <c r="N4047" s="1" t="s">
        <v>1047</v>
      </c>
      <c r="P4047" s="1" t="s">
        <v>157</v>
      </c>
      <c r="Q4047" s="30" t="s">
        <v>2568</v>
      </c>
      <c r="R4047" s="33" t="s">
        <v>8665</v>
      </c>
      <c r="S4047">
        <v>36</v>
      </c>
      <c r="T4047" s="1" t="s">
        <v>8661</v>
      </c>
      <c r="U4047" s="1" t="str">
        <f>HYPERLINK("http://ictvonline.org/taxonomy/p/taxonomy-history?taxnode_id=202104088","ICTVonline=202104088")</f>
        <v>ICTVonline=202104088</v>
      </c>
    </row>
    <row r="4048" spans="1:21" x14ac:dyDescent="0.2">
      <c r="A4048" s="3">
        <v>4047</v>
      </c>
      <c r="B4048" s="1" t="s">
        <v>5250</v>
      </c>
      <c r="D4048" s="1" t="s">
        <v>5280</v>
      </c>
      <c r="F4048" s="1" t="s">
        <v>5281</v>
      </c>
      <c r="H4048" s="1" t="s">
        <v>5284</v>
      </c>
      <c r="J4048" s="1" t="s">
        <v>5286</v>
      </c>
      <c r="L4048" s="1" t="s">
        <v>785</v>
      </c>
      <c r="M4048" s="1" t="s">
        <v>3895</v>
      </c>
      <c r="N4048" s="1" t="s">
        <v>1047</v>
      </c>
      <c r="P4048" s="1" t="s">
        <v>158</v>
      </c>
      <c r="Q4048" s="30" t="s">
        <v>2568</v>
      </c>
      <c r="R4048" s="33" t="s">
        <v>3474</v>
      </c>
      <c r="S4048">
        <v>35</v>
      </c>
      <c r="T4048" s="1" t="s">
        <v>5259</v>
      </c>
      <c r="U4048" s="1" t="str">
        <f>HYPERLINK("http://ictvonline.org/taxonomy/p/taxonomy-history?taxnode_id=202104089","ICTVonline=202104089")</f>
        <v>ICTVonline=202104089</v>
      </c>
    </row>
    <row r="4049" spans="1:21" x14ac:dyDescent="0.2">
      <c r="A4049" s="3">
        <v>4048</v>
      </c>
      <c r="B4049" s="1" t="s">
        <v>5250</v>
      </c>
      <c r="D4049" s="1" t="s">
        <v>5280</v>
      </c>
      <c r="F4049" s="1" t="s">
        <v>5281</v>
      </c>
      <c r="H4049" s="1" t="s">
        <v>5284</v>
      </c>
      <c r="J4049" s="1" t="s">
        <v>5286</v>
      </c>
      <c r="L4049" s="1" t="s">
        <v>785</v>
      </c>
      <c r="M4049" s="1" t="s">
        <v>3895</v>
      </c>
      <c r="N4049" s="1" t="s">
        <v>1047</v>
      </c>
      <c r="P4049" s="1" t="s">
        <v>159</v>
      </c>
      <c r="Q4049" s="30" t="s">
        <v>2568</v>
      </c>
      <c r="R4049" s="33" t="s">
        <v>3474</v>
      </c>
      <c r="S4049">
        <v>35</v>
      </c>
      <c r="T4049" s="1" t="s">
        <v>5259</v>
      </c>
      <c r="U4049" s="1" t="str">
        <f>HYPERLINK("http://ictvonline.org/taxonomy/p/taxonomy-history?taxnode_id=202104090","ICTVonline=202104090")</f>
        <v>ICTVonline=202104090</v>
      </c>
    </row>
    <row r="4050" spans="1:21" x14ac:dyDescent="0.2">
      <c r="A4050" s="3">
        <v>4049</v>
      </c>
      <c r="B4050" s="1" t="s">
        <v>5250</v>
      </c>
      <c r="D4050" s="1" t="s">
        <v>5280</v>
      </c>
      <c r="F4050" s="1" t="s">
        <v>5281</v>
      </c>
      <c r="H4050" s="1" t="s">
        <v>5284</v>
      </c>
      <c r="J4050" s="1" t="s">
        <v>5286</v>
      </c>
      <c r="L4050" s="1" t="s">
        <v>785</v>
      </c>
      <c r="M4050" s="1" t="s">
        <v>3895</v>
      </c>
      <c r="N4050" s="1" t="s">
        <v>1047</v>
      </c>
      <c r="P4050" s="1" t="s">
        <v>2359</v>
      </c>
      <c r="Q4050" s="30" t="s">
        <v>2568</v>
      </c>
      <c r="R4050" s="33" t="s">
        <v>3474</v>
      </c>
      <c r="S4050">
        <v>35</v>
      </c>
      <c r="T4050" s="1" t="s">
        <v>5259</v>
      </c>
      <c r="U4050" s="1" t="str">
        <f>HYPERLINK("http://ictvonline.org/taxonomy/p/taxonomy-history?taxnode_id=202104091","ICTVonline=202104091")</f>
        <v>ICTVonline=202104091</v>
      </c>
    </row>
    <row r="4051" spans="1:21" x14ac:dyDescent="0.2">
      <c r="A4051" s="3">
        <v>4050</v>
      </c>
      <c r="B4051" s="1" t="s">
        <v>5250</v>
      </c>
      <c r="D4051" s="1" t="s">
        <v>5280</v>
      </c>
      <c r="F4051" s="1" t="s">
        <v>5281</v>
      </c>
      <c r="H4051" s="1" t="s">
        <v>5284</v>
      </c>
      <c r="J4051" s="1" t="s">
        <v>5286</v>
      </c>
      <c r="L4051" s="1" t="s">
        <v>785</v>
      </c>
      <c r="M4051" s="1" t="s">
        <v>3895</v>
      </c>
      <c r="N4051" s="1" t="s">
        <v>1048</v>
      </c>
      <c r="P4051" s="1" t="s">
        <v>160</v>
      </c>
      <c r="Q4051" s="30" t="s">
        <v>2568</v>
      </c>
      <c r="R4051" s="33" t="s">
        <v>8665</v>
      </c>
      <c r="S4051">
        <v>36</v>
      </c>
      <c r="T4051" s="1" t="s">
        <v>8661</v>
      </c>
      <c r="U4051" s="1" t="str">
        <f>HYPERLINK("http://ictvonline.org/taxonomy/p/taxonomy-history?taxnode_id=202104093","ICTVonline=202104093")</f>
        <v>ICTVonline=202104093</v>
      </c>
    </row>
    <row r="4052" spans="1:21" x14ac:dyDescent="0.2">
      <c r="A4052" s="3">
        <v>4051</v>
      </c>
      <c r="B4052" s="1" t="s">
        <v>5250</v>
      </c>
      <c r="D4052" s="1" t="s">
        <v>5280</v>
      </c>
      <c r="F4052" s="1" t="s">
        <v>5281</v>
      </c>
      <c r="H4052" s="1" t="s">
        <v>5284</v>
      </c>
      <c r="J4052" s="1" t="s">
        <v>5286</v>
      </c>
      <c r="L4052" s="1" t="s">
        <v>785</v>
      </c>
      <c r="M4052" s="1" t="s">
        <v>3895</v>
      </c>
      <c r="N4052" s="1" t="s">
        <v>1048</v>
      </c>
      <c r="P4052" s="1" t="s">
        <v>161</v>
      </c>
      <c r="Q4052" s="30" t="s">
        <v>2568</v>
      </c>
      <c r="R4052" s="33" t="s">
        <v>8665</v>
      </c>
      <c r="S4052">
        <v>36</v>
      </c>
      <c r="T4052" s="1" t="s">
        <v>8661</v>
      </c>
      <c r="U4052" s="1" t="str">
        <f>HYPERLINK("http://ictvonline.org/taxonomy/p/taxonomy-history?taxnode_id=202104094","ICTVonline=202104094")</f>
        <v>ICTVonline=202104094</v>
      </c>
    </row>
    <row r="4053" spans="1:21" x14ac:dyDescent="0.2">
      <c r="A4053" s="3">
        <v>4052</v>
      </c>
      <c r="B4053" s="1" t="s">
        <v>5250</v>
      </c>
      <c r="D4053" s="1" t="s">
        <v>5280</v>
      </c>
      <c r="F4053" s="1" t="s">
        <v>5281</v>
      </c>
      <c r="H4053" s="1" t="s">
        <v>5284</v>
      </c>
      <c r="J4053" s="1" t="s">
        <v>5286</v>
      </c>
      <c r="L4053" s="1" t="s">
        <v>785</v>
      </c>
      <c r="M4053" s="1" t="s">
        <v>3895</v>
      </c>
      <c r="N4053" s="1" t="s">
        <v>1048</v>
      </c>
      <c r="P4053" s="1" t="s">
        <v>2998</v>
      </c>
      <c r="Q4053" s="30" t="s">
        <v>2568</v>
      </c>
      <c r="R4053" s="33" t="s">
        <v>3474</v>
      </c>
      <c r="S4053">
        <v>35</v>
      </c>
      <c r="T4053" s="1" t="s">
        <v>5259</v>
      </c>
      <c r="U4053" s="1" t="str">
        <f>HYPERLINK("http://ictvonline.org/taxonomy/p/taxonomy-history?taxnode_id=202104095","ICTVonline=202104095")</f>
        <v>ICTVonline=202104095</v>
      </c>
    </row>
    <row r="4054" spans="1:21" x14ac:dyDescent="0.2">
      <c r="A4054" s="3">
        <v>4053</v>
      </c>
      <c r="B4054" s="1" t="s">
        <v>5250</v>
      </c>
      <c r="D4054" s="1" t="s">
        <v>5280</v>
      </c>
      <c r="F4054" s="1" t="s">
        <v>5281</v>
      </c>
      <c r="H4054" s="1" t="s">
        <v>5284</v>
      </c>
      <c r="J4054" s="1" t="s">
        <v>5286</v>
      </c>
      <c r="L4054" s="1" t="s">
        <v>785</v>
      </c>
      <c r="M4054" s="1" t="s">
        <v>3895</v>
      </c>
      <c r="N4054" s="1" t="s">
        <v>1049</v>
      </c>
      <c r="P4054" s="1" t="s">
        <v>162</v>
      </c>
      <c r="Q4054" s="30" t="s">
        <v>2568</v>
      </c>
      <c r="R4054" s="33" t="s">
        <v>8665</v>
      </c>
      <c r="S4054">
        <v>36</v>
      </c>
      <c r="T4054" s="1" t="s">
        <v>8661</v>
      </c>
      <c r="U4054" s="1" t="str">
        <f>HYPERLINK("http://ictvonline.org/taxonomy/p/taxonomy-history?taxnode_id=202104097","ICTVonline=202104097")</f>
        <v>ICTVonline=202104097</v>
      </c>
    </row>
    <row r="4055" spans="1:21" x14ac:dyDescent="0.2">
      <c r="A4055" s="3">
        <v>4054</v>
      </c>
      <c r="B4055" s="1" t="s">
        <v>5250</v>
      </c>
      <c r="D4055" s="1" t="s">
        <v>5280</v>
      </c>
      <c r="F4055" s="1" t="s">
        <v>5281</v>
      </c>
      <c r="H4055" s="1" t="s">
        <v>5284</v>
      </c>
      <c r="J4055" s="1" t="s">
        <v>5286</v>
      </c>
      <c r="L4055" s="1" t="s">
        <v>785</v>
      </c>
      <c r="M4055" s="1" t="s">
        <v>3895</v>
      </c>
      <c r="N4055" s="1" t="s">
        <v>163</v>
      </c>
      <c r="P4055" s="1" t="s">
        <v>164</v>
      </c>
      <c r="Q4055" s="30" t="s">
        <v>2568</v>
      </c>
      <c r="R4055" s="33" t="s">
        <v>8665</v>
      </c>
      <c r="S4055">
        <v>36</v>
      </c>
      <c r="T4055" s="1" t="s">
        <v>8661</v>
      </c>
      <c r="U4055" s="1" t="str">
        <f>HYPERLINK("http://ictvonline.org/taxonomy/p/taxonomy-history?taxnode_id=202104099","ICTVonline=202104099")</f>
        <v>ICTVonline=202104099</v>
      </c>
    </row>
    <row r="4056" spans="1:21" x14ac:dyDescent="0.2">
      <c r="A4056" s="3">
        <v>4055</v>
      </c>
      <c r="B4056" s="1" t="s">
        <v>5250</v>
      </c>
      <c r="D4056" s="1" t="s">
        <v>5280</v>
      </c>
      <c r="F4056" s="1" t="s">
        <v>5281</v>
      </c>
      <c r="H4056" s="1" t="s">
        <v>5284</v>
      </c>
      <c r="J4056" s="1" t="s">
        <v>5286</v>
      </c>
      <c r="L4056" s="1" t="s">
        <v>785</v>
      </c>
      <c r="M4056" s="1" t="s">
        <v>3895</v>
      </c>
      <c r="N4056" s="1" t="s">
        <v>530</v>
      </c>
      <c r="P4056" s="1" t="s">
        <v>165</v>
      </c>
      <c r="Q4056" s="30" t="s">
        <v>2568</v>
      </c>
      <c r="R4056" s="33" t="s">
        <v>8665</v>
      </c>
      <c r="S4056">
        <v>36</v>
      </c>
      <c r="T4056" s="1" t="s">
        <v>8661</v>
      </c>
      <c r="U4056" s="1" t="str">
        <f>HYPERLINK("http://ictvonline.org/taxonomy/p/taxonomy-history?taxnode_id=202104101","ICTVonline=202104101")</f>
        <v>ICTVonline=202104101</v>
      </c>
    </row>
    <row r="4057" spans="1:21" x14ac:dyDescent="0.2">
      <c r="A4057" s="3">
        <v>4056</v>
      </c>
      <c r="B4057" s="1" t="s">
        <v>5250</v>
      </c>
      <c r="D4057" s="1" t="s">
        <v>5280</v>
      </c>
      <c r="F4057" s="1" t="s">
        <v>5281</v>
      </c>
      <c r="H4057" s="1" t="s">
        <v>5284</v>
      </c>
      <c r="J4057" s="1" t="s">
        <v>5286</v>
      </c>
      <c r="L4057" s="1" t="s">
        <v>785</v>
      </c>
      <c r="M4057" s="1" t="s">
        <v>3895</v>
      </c>
      <c r="N4057" s="1" t="s">
        <v>166</v>
      </c>
      <c r="P4057" s="1" t="s">
        <v>167</v>
      </c>
      <c r="Q4057" s="30" t="s">
        <v>2568</v>
      </c>
      <c r="R4057" s="33" t="s">
        <v>8665</v>
      </c>
      <c r="S4057">
        <v>36</v>
      </c>
      <c r="T4057" s="1" t="s">
        <v>8661</v>
      </c>
      <c r="U4057" s="1" t="str">
        <f>HYPERLINK("http://ictvonline.org/taxonomy/p/taxonomy-history?taxnode_id=202104103","ICTVonline=202104103")</f>
        <v>ICTVonline=202104103</v>
      </c>
    </row>
    <row r="4058" spans="1:21" x14ac:dyDescent="0.2">
      <c r="A4058" s="3">
        <v>4057</v>
      </c>
      <c r="B4058" s="1" t="s">
        <v>5250</v>
      </c>
      <c r="D4058" s="1" t="s">
        <v>5280</v>
      </c>
      <c r="F4058" s="1" t="s">
        <v>5281</v>
      </c>
      <c r="H4058" s="1" t="s">
        <v>5284</v>
      </c>
      <c r="J4058" s="1" t="s">
        <v>5286</v>
      </c>
      <c r="L4058" s="1" t="s">
        <v>785</v>
      </c>
      <c r="M4058" s="1" t="s">
        <v>3895</v>
      </c>
      <c r="N4058" s="1" t="s">
        <v>1050</v>
      </c>
      <c r="P4058" s="1" t="s">
        <v>168</v>
      </c>
      <c r="Q4058" s="30" t="s">
        <v>2568</v>
      </c>
      <c r="R4058" s="33" t="s">
        <v>8665</v>
      </c>
      <c r="S4058">
        <v>36</v>
      </c>
      <c r="T4058" s="1" t="s">
        <v>8661</v>
      </c>
      <c r="U4058" s="1" t="str">
        <f>HYPERLINK("http://ictvonline.org/taxonomy/p/taxonomy-history?taxnode_id=202104105","ICTVonline=202104105")</f>
        <v>ICTVonline=202104105</v>
      </c>
    </row>
    <row r="4059" spans="1:21" x14ac:dyDescent="0.2">
      <c r="A4059" s="3">
        <v>4058</v>
      </c>
      <c r="B4059" s="1" t="s">
        <v>5250</v>
      </c>
      <c r="D4059" s="1" t="s">
        <v>5280</v>
      </c>
      <c r="F4059" s="1" t="s">
        <v>5281</v>
      </c>
      <c r="H4059" s="1" t="s">
        <v>5284</v>
      </c>
      <c r="J4059" s="1" t="s">
        <v>5286</v>
      </c>
      <c r="L4059" s="1" t="s">
        <v>785</v>
      </c>
      <c r="M4059" s="1" t="s">
        <v>3895</v>
      </c>
      <c r="N4059" s="1" t="s">
        <v>1050</v>
      </c>
      <c r="P4059" s="1" t="s">
        <v>169</v>
      </c>
      <c r="Q4059" s="30" t="s">
        <v>2568</v>
      </c>
      <c r="R4059" s="33" t="s">
        <v>3474</v>
      </c>
      <c r="S4059">
        <v>35</v>
      </c>
      <c r="T4059" s="1" t="s">
        <v>5259</v>
      </c>
      <c r="U4059" s="1" t="str">
        <f>HYPERLINK("http://ictvonline.org/taxonomy/p/taxonomy-history?taxnode_id=202104106","ICTVonline=202104106")</f>
        <v>ICTVonline=202104106</v>
      </c>
    </row>
    <row r="4060" spans="1:21" x14ac:dyDescent="0.2">
      <c r="A4060" s="3">
        <v>4059</v>
      </c>
      <c r="B4060" s="1" t="s">
        <v>5250</v>
      </c>
      <c r="D4060" s="1" t="s">
        <v>5280</v>
      </c>
      <c r="F4060" s="1" t="s">
        <v>5281</v>
      </c>
      <c r="H4060" s="1" t="s">
        <v>5284</v>
      </c>
      <c r="J4060" s="1" t="s">
        <v>5286</v>
      </c>
      <c r="L4060" s="1" t="s">
        <v>785</v>
      </c>
      <c r="M4060" s="1" t="s">
        <v>3895</v>
      </c>
      <c r="N4060" s="1" t="s">
        <v>170</v>
      </c>
      <c r="P4060" s="1" t="s">
        <v>171</v>
      </c>
      <c r="Q4060" s="30" t="s">
        <v>2568</v>
      </c>
      <c r="R4060" s="33" t="s">
        <v>8665</v>
      </c>
      <c r="S4060">
        <v>36</v>
      </c>
      <c r="T4060" s="1" t="s">
        <v>8661</v>
      </c>
      <c r="U4060" s="1" t="str">
        <f>HYPERLINK("http://ictvonline.org/taxonomy/p/taxonomy-history?taxnode_id=202104108","ICTVonline=202104108")</f>
        <v>ICTVonline=202104108</v>
      </c>
    </row>
    <row r="4061" spans="1:21" x14ac:dyDescent="0.2">
      <c r="A4061" s="3">
        <v>4060</v>
      </c>
      <c r="B4061" s="1" t="s">
        <v>5250</v>
      </c>
      <c r="D4061" s="1" t="s">
        <v>5280</v>
      </c>
      <c r="F4061" s="1" t="s">
        <v>5281</v>
      </c>
      <c r="H4061" s="1" t="s">
        <v>5284</v>
      </c>
      <c r="J4061" s="1" t="s">
        <v>5286</v>
      </c>
      <c r="L4061" s="1" t="s">
        <v>785</v>
      </c>
      <c r="M4061" s="1" t="s">
        <v>3895</v>
      </c>
      <c r="N4061" s="1" t="s">
        <v>170</v>
      </c>
      <c r="P4061" s="1" t="s">
        <v>3904</v>
      </c>
      <c r="Q4061" s="30" t="s">
        <v>2568</v>
      </c>
      <c r="R4061" s="33" t="s">
        <v>3474</v>
      </c>
      <c r="S4061">
        <v>35</v>
      </c>
      <c r="T4061" s="1" t="s">
        <v>5259</v>
      </c>
      <c r="U4061" s="1" t="str">
        <f>HYPERLINK("http://ictvonline.org/taxonomy/p/taxonomy-history?taxnode_id=202105872","ICTVonline=202105872")</f>
        <v>ICTVonline=202105872</v>
      </c>
    </row>
    <row r="4062" spans="1:21" x14ac:dyDescent="0.2">
      <c r="A4062" s="3">
        <v>4061</v>
      </c>
      <c r="B4062" s="1" t="s">
        <v>5250</v>
      </c>
      <c r="D4062" s="1" t="s">
        <v>5280</v>
      </c>
      <c r="F4062" s="1" t="s">
        <v>5281</v>
      </c>
      <c r="H4062" s="1" t="s">
        <v>5284</v>
      </c>
      <c r="J4062" s="1" t="s">
        <v>5286</v>
      </c>
      <c r="L4062" s="1" t="s">
        <v>785</v>
      </c>
      <c r="M4062" s="1" t="s">
        <v>3895</v>
      </c>
      <c r="N4062" s="1" t="s">
        <v>170</v>
      </c>
      <c r="P4062" s="1" t="s">
        <v>3905</v>
      </c>
      <c r="Q4062" s="30" t="s">
        <v>2568</v>
      </c>
      <c r="R4062" s="33" t="s">
        <v>3474</v>
      </c>
      <c r="S4062">
        <v>35</v>
      </c>
      <c r="T4062" s="1" t="s">
        <v>5259</v>
      </c>
      <c r="U4062" s="1" t="str">
        <f>HYPERLINK("http://ictvonline.org/taxonomy/p/taxonomy-history?taxnode_id=202105873","ICTVonline=202105873")</f>
        <v>ICTVonline=202105873</v>
      </c>
    </row>
    <row r="4063" spans="1:21" x14ac:dyDescent="0.2">
      <c r="A4063" s="3">
        <v>4062</v>
      </c>
      <c r="B4063" s="1" t="s">
        <v>5250</v>
      </c>
      <c r="D4063" s="1" t="s">
        <v>5280</v>
      </c>
      <c r="F4063" s="1" t="s">
        <v>5281</v>
      </c>
      <c r="H4063" s="1" t="s">
        <v>5284</v>
      </c>
      <c r="J4063" s="1" t="s">
        <v>5286</v>
      </c>
      <c r="L4063" s="1" t="s">
        <v>785</v>
      </c>
      <c r="M4063" s="1" t="s">
        <v>3895</v>
      </c>
      <c r="N4063" s="1" t="s">
        <v>172</v>
      </c>
      <c r="P4063" s="1" t="s">
        <v>173</v>
      </c>
      <c r="Q4063" s="30" t="s">
        <v>2568</v>
      </c>
      <c r="R4063" s="33" t="s">
        <v>8665</v>
      </c>
      <c r="S4063">
        <v>36</v>
      </c>
      <c r="T4063" s="1" t="s">
        <v>8661</v>
      </c>
      <c r="U4063" s="1" t="str">
        <f>HYPERLINK("http://ictvonline.org/taxonomy/p/taxonomy-history?taxnode_id=202104110","ICTVonline=202104110")</f>
        <v>ICTVonline=202104110</v>
      </c>
    </row>
    <row r="4064" spans="1:21" x14ac:dyDescent="0.2">
      <c r="A4064" s="3">
        <v>4063</v>
      </c>
      <c r="B4064" s="1" t="s">
        <v>5250</v>
      </c>
      <c r="D4064" s="1" t="s">
        <v>5280</v>
      </c>
      <c r="F4064" s="1" t="s">
        <v>5281</v>
      </c>
      <c r="H4064" s="1" t="s">
        <v>5284</v>
      </c>
      <c r="J4064" s="1" t="s">
        <v>5286</v>
      </c>
      <c r="L4064" s="1" t="s">
        <v>785</v>
      </c>
      <c r="M4064" s="1" t="s">
        <v>3895</v>
      </c>
      <c r="N4064" s="1" t="s">
        <v>172</v>
      </c>
      <c r="P4064" s="1" t="s">
        <v>2999</v>
      </c>
      <c r="Q4064" s="30" t="s">
        <v>2568</v>
      </c>
      <c r="R4064" s="33" t="s">
        <v>3474</v>
      </c>
      <c r="S4064">
        <v>35</v>
      </c>
      <c r="T4064" s="1" t="s">
        <v>5259</v>
      </c>
      <c r="U4064" s="1" t="str">
        <f>HYPERLINK("http://ictvonline.org/taxonomy/p/taxonomy-history?taxnode_id=202104111","ICTVonline=202104111")</f>
        <v>ICTVonline=202104111</v>
      </c>
    </row>
    <row r="4065" spans="1:21" x14ac:dyDescent="0.2">
      <c r="A4065" s="3">
        <v>4064</v>
      </c>
      <c r="B4065" s="1" t="s">
        <v>5250</v>
      </c>
      <c r="D4065" s="1" t="s">
        <v>5280</v>
      </c>
      <c r="F4065" s="1" t="s">
        <v>5281</v>
      </c>
      <c r="H4065" s="1" t="s">
        <v>5284</v>
      </c>
      <c r="J4065" s="1" t="s">
        <v>5286</v>
      </c>
      <c r="L4065" s="1" t="s">
        <v>785</v>
      </c>
      <c r="M4065" s="1" t="s">
        <v>3895</v>
      </c>
      <c r="N4065" s="1" t="s">
        <v>174</v>
      </c>
      <c r="P4065" s="1" t="s">
        <v>175</v>
      </c>
      <c r="Q4065" s="30" t="s">
        <v>2568</v>
      </c>
      <c r="R4065" s="33" t="s">
        <v>8665</v>
      </c>
      <c r="S4065">
        <v>36</v>
      </c>
      <c r="T4065" s="1" t="s">
        <v>8661</v>
      </c>
      <c r="U4065" s="1" t="str">
        <f>HYPERLINK("http://ictvonline.org/taxonomy/p/taxonomy-history?taxnode_id=202104113","ICTVonline=202104113")</f>
        <v>ICTVonline=202104113</v>
      </c>
    </row>
    <row r="4066" spans="1:21" x14ac:dyDescent="0.2">
      <c r="A4066" s="3">
        <v>4065</v>
      </c>
      <c r="B4066" s="1" t="s">
        <v>5250</v>
      </c>
      <c r="D4066" s="1" t="s">
        <v>5280</v>
      </c>
      <c r="F4066" s="1" t="s">
        <v>5281</v>
      </c>
      <c r="H4066" s="1" t="s">
        <v>5284</v>
      </c>
      <c r="J4066" s="1" t="s">
        <v>5286</v>
      </c>
      <c r="L4066" s="1" t="s">
        <v>785</v>
      </c>
      <c r="M4066" s="1" t="s">
        <v>3895</v>
      </c>
      <c r="N4066" s="1" t="s">
        <v>176</v>
      </c>
      <c r="P4066" s="1" t="s">
        <v>177</v>
      </c>
      <c r="Q4066" s="30" t="s">
        <v>2568</v>
      </c>
      <c r="R4066" s="33" t="s">
        <v>8665</v>
      </c>
      <c r="S4066">
        <v>36</v>
      </c>
      <c r="T4066" s="1" t="s">
        <v>8661</v>
      </c>
      <c r="U4066" s="1" t="str">
        <f>HYPERLINK("http://ictvonline.org/taxonomy/p/taxonomy-history?taxnode_id=202104115","ICTVonline=202104115")</f>
        <v>ICTVonline=202104115</v>
      </c>
    </row>
    <row r="4067" spans="1:21" x14ac:dyDescent="0.2">
      <c r="A4067" s="3">
        <v>4066</v>
      </c>
      <c r="B4067" s="1" t="s">
        <v>5250</v>
      </c>
      <c r="D4067" s="1" t="s">
        <v>5280</v>
      </c>
      <c r="F4067" s="1" t="s">
        <v>5281</v>
      </c>
      <c r="H4067" s="1" t="s">
        <v>5284</v>
      </c>
      <c r="J4067" s="1" t="s">
        <v>5286</v>
      </c>
      <c r="L4067" s="1" t="s">
        <v>785</v>
      </c>
      <c r="M4067" s="1" t="s">
        <v>3895</v>
      </c>
      <c r="N4067" s="1" t="s">
        <v>176</v>
      </c>
      <c r="P4067" s="1" t="s">
        <v>2360</v>
      </c>
      <c r="Q4067" s="30" t="s">
        <v>2568</v>
      </c>
      <c r="R4067" s="33" t="s">
        <v>3474</v>
      </c>
      <c r="S4067">
        <v>35</v>
      </c>
      <c r="T4067" s="1" t="s">
        <v>5259</v>
      </c>
      <c r="U4067" s="1" t="str">
        <f>HYPERLINK("http://ictvonline.org/taxonomy/p/taxonomy-history?taxnode_id=202104116","ICTVonline=202104116")</f>
        <v>ICTVonline=202104116</v>
      </c>
    </row>
    <row r="4068" spans="1:21" x14ac:dyDescent="0.2">
      <c r="A4068" s="3">
        <v>4067</v>
      </c>
      <c r="B4068" s="1" t="s">
        <v>5250</v>
      </c>
      <c r="D4068" s="1" t="s">
        <v>5280</v>
      </c>
      <c r="F4068" s="1" t="s">
        <v>5281</v>
      </c>
      <c r="H4068" s="1" t="s">
        <v>5284</v>
      </c>
      <c r="J4068" s="1" t="s">
        <v>5286</v>
      </c>
      <c r="L4068" s="1" t="s">
        <v>785</v>
      </c>
      <c r="M4068" s="1" t="s">
        <v>3895</v>
      </c>
      <c r="N4068" s="1" t="s">
        <v>176</v>
      </c>
      <c r="P4068" s="1" t="s">
        <v>3000</v>
      </c>
      <c r="Q4068" s="30" t="s">
        <v>2568</v>
      </c>
      <c r="R4068" s="33" t="s">
        <v>3474</v>
      </c>
      <c r="S4068">
        <v>35</v>
      </c>
      <c r="T4068" s="1" t="s">
        <v>5259</v>
      </c>
      <c r="U4068" s="1" t="str">
        <f>HYPERLINK("http://ictvonline.org/taxonomy/p/taxonomy-history?taxnode_id=202104117","ICTVonline=202104117")</f>
        <v>ICTVonline=202104117</v>
      </c>
    </row>
    <row r="4069" spans="1:21" x14ac:dyDescent="0.2">
      <c r="A4069" s="3">
        <v>4068</v>
      </c>
      <c r="B4069" s="1" t="s">
        <v>5250</v>
      </c>
      <c r="D4069" s="1" t="s">
        <v>5280</v>
      </c>
      <c r="F4069" s="1" t="s">
        <v>5281</v>
      </c>
      <c r="H4069" s="1" t="s">
        <v>5284</v>
      </c>
      <c r="J4069" s="1" t="s">
        <v>5286</v>
      </c>
      <c r="L4069" s="1" t="s">
        <v>785</v>
      </c>
      <c r="M4069" s="1" t="s">
        <v>3895</v>
      </c>
      <c r="N4069" s="1" t="s">
        <v>176</v>
      </c>
      <c r="P4069" s="1" t="s">
        <v>3906</v>
      </c>
      <c r="Q4069" s="30" t="s">
        <v>2568</v>
      </c>
      <c r="R4069" s="33" t="s">
        <v>3474</v>
      </c>
      <c r="S4069">
        <v>35</v>
      </c>
      <c r="T4069" s="1" t="s">
        <v>5259</v>
      </c>
      <c r="U4069" s="1" t="str">
        <f>HYPERLINK("http://ictvonline.org/taxonomy/p/taxonomy-history?taxnode_id=202105874","ICTVonline=202105874")</f>
        <v>ICTVonline=202105874</v>
      </c>
    </row>
    <row r="4070" spans="1:21" x14ac:dyDescent="0.2">
      <c r="A4070" s="3">
        <v>4069</v>
      </c>
      <c r="B4070" s="1" t="s">
        <v>5250</v>
      </c>
      <c r="D4070" s="1" t="s">
        <v>5280</v>
      </c>
      <c r="F4070" s="1" t="s">
        <v>5281</v>
      </c>
      <c r="H4070" s="1" t="s">
        <v>5284</v>
      </c>
      <c r="J4070" s="1" t="s">
        <v>5286</v>
      </c>
      <c r="L4070" s="1" t="s">
        <v>785</v>
      </c>
      <c r="M4070" s="1" t="s">
        <v>3895</v>
      </c>
      <c r="N4070" s="1" t="s">
        <v>1051</v>
      </c>
      <c r="P4070" s="1" t="s">
        <v>178</v>
      </c>
      <c r="Q4070" s="30" t="s">
        <v>2568</v>
      </c>
      <c r="R4070" s="33" t="s">
        <v>8665</v>
      </c>
      <c r="S4070">
        <v>36</v>
      </c>
      <c r="T4070" s="1" t="s">
        <v>8661</v>
      </c>
      <c r="U4070" s="1" t="str">
        <f>HYPERLINK("http://ictvonline.org/taxonomy/p/taxonomy-history?taxnode_id=202104119","ICTVonline=202104119")</f>
        <v>ICTVonline=202104119</v>
      </c>
    </row>
    <row r="4071" spans="1:21" x14ac:dyDescent="0.2">
      <c r="A4071" s="3">
        <v>4070</v>
      </c>
      <c r="B4071" s="1" t="s">
        <v>5250</v>
      </c>
      <c r="D4071" s="1" t="s">
        <v>5280</v>
      </c>
      <c r="F4071" s="1" t="s">
        <v>5281</v>
      </c>
      <c r="H4071" s="1" t="s">
        <v>5284</v>
      </c>
      <c r="J4071" s="1" t="s">
        <v>5286</v>
      </c>
      <c r="L4071" s="1" t="s">
        <v>785</v>
      </c>
      <c r="M4071" s="1" t="s">
        <v>3895</v>
      </c>
      <c r="N4071" s="1" t="s">
        <v>3001</v>
      </c>
      <c r="P4071" s="1" t="s">
        <v>3002</v>
      </c>
      <c r="Q4071" s="30" t="s">
        <v>2568</v>
      </c>
      <c r="R4071" s="33" t="s">
        <v>8665</v>
      </c>
      <c r="S4071">
        <v>36</v>
      </c>
      <c r="T4071" s="1" t="s">
        <v>8661</v>
      </c>
      <c r="U4071" s="1" t="str">
        <f>HYPERLINK("http://ictvonline.org/taxonomy/p/taxonomy-history?taxnode_id=202104121","ICTVonline=202104121")</f>
        <v>ICTVonline=202104121</v>
      </c>
    </row>
    <row r="4072" spans="1:21" x14ac:dyDescent="0.2">
      <c r="A4072" s="3">
        <v>4071</v>
      </c>
      <c r="B4072" s="1" t="s">
        <v>5250</v>
      </c>
      <c r="D4072" s="1" t="s">
        <v>5280</v>
      </c>
      <c r="F4072" s="1" t="s">
        <v>5281</v>
      </c>
      <c r="H4072" s="1" t="s">
        <v>5284</v>
      </c>
      <c r="J4072" s="1" t="s">
        <v>5286</v>
      </c>
      <c r="L4072" s="1" t="s">
        <v>785</v>
      </c>
      <c r="M4072" s="1" t="s">
        <v>3895</v>
      </c>
      <c r="N4072" s="1" t="s">
        <v>3003</v>
      </c>
      <c r="P4072" s="1" t="s">
        <v>3004</v>
      </c>
      <c r="Q4072" s="30" t="s">
        <v>2568</v>
      </c>
      <c r="R4072" s="33" t="s">
        <v>8665</v>
      </c>
      <c r="S4072">
        <v>36</v>
      </c>
      <c r="T4072" s="1" t="s">
        <v>8661</v>
      </c>
      <c r="U4072" s="1" t="str">
        <f>HYPERLINK("http://ictvonline.org/taxonomy/p/taxonomy-history?taxnode_id=202104123","ICTVonline=202104123")</f>
        <v>ICTVonline=202104123</v>
      </c>
    </row>
    <row r="4073" spans="1:21" x14ac:dyDescent="0.2">
      <c r="A4073" s="3">
        <v>4072</v>
      </c>
      <c r="B4073" s="1" t="s">
        <v>5250</v>
      </c>
      <c r="D4073" s="1" t="s">
        <v>5280</v>
      </c>
      <c r="F4073" s="1" t="s">
        <v>5281</v>
      </c>
      <c r="H4073" s="1" t="s">
        <v>5284</v>
      </c>
      <c r="J4073" s="1" t="s">
        <v>5286</v>
      </c>
      <c r="L4073" s="1" t="s">
        <v>785</v>
      </c>
      <c r="M4073" s="1" t="s">
        <v>3895</v>
      </c>
      <c r="N4073" s="1" t="s">
        <v>3005</v>
      </c>
      <c r="P4073" s="1" t="s">
        <v>3006</v>
      </c>
      <c r="Q4073" s="30" t="s">
        <v>2568</v>
      </c>
      <c r="R4073" s="33" t="s">
        <v>8665</v>
      </c>
      <c r="S4073">
        <v>36</v>
      </c>
      <c r="T4073" s="1" t="s">
        <v>8661</v>
      </c>
      <c r="U4073" s="1" t="str">
        <f>HYPERLINK("http://ictvonline.org/taxonomy/p/taxonomy-history?taxnode_id=202104125","ICTVonline=202104125")</f>
        <v>ICTVonline=202104125</v>
      </c>
    </row>
    <row r="4074" spans="1:21" x14ac:dyDescent="0.2">
      <c r="A4074" s="3">
        <v>4073</v>
      </c>
      <c r="B4074" s="1" t="s">
        <v>5250</v>
      </c>
      <c r="D4074" s="1" t="s">
        <v>5280</v>
      </c>
      <c r="F4074" s="1" t="s">
        <v>5281</v>
      </c>
      <c r="H4074" s="1" t="s">
        <v>5284</v>
      </c>
      <c r="J4074" s="1" t="s">
        <v>5286</v>
      </c>
      <c r="L4074" s="1" t="s">
        <v>785</v>
      </c>
      <c r="M4074" s="1" t="s">
        <v>3895</v>
      </c>
      <c r="N4074" s="1" t="s">
        <v>3907</v>
      </c>
      <c r="P4074" s="1" t="s">
        <v>3908</v>
      </c>
      <c r="Q4074" s="30" t="s">
        <v>2568</v>
      </c>
      <c r="R4074" s="33" t="s">
        <v>8665</v>
      </c>
      <c r="S4074">
        <v>36</v>
      </c>
      <c r="T4074" s="1" t="s">
        <v>8661</v>
      </c>
      <c r="U4074" s="1" t="str">
        <f>HYPERLINK("http://ictvonline.org/taxonomy/p/taxonomy-history?taxnode_id=202105875","ICTVonline=202105875")</f>
        <v>ICTVonline=202105875</v>
      </c>
    </row>
    <row r="4075" spans="1:21" x14ac:dyDescent="0.2">
      <c r="A4075" s="3">
        <v>4074</v>
      </c>
      <c r="B4075" s="1" t="s">
        <v>5250</v>
      </c>
      <c r="D4075" s="1" t="s">
        <v>5280</v>
      </c>
      <c r="F4075" s="1" t="s">
        <v>5281</v>
      </c>
      <c r="H4075" s="1" t="s">
        <v>5284</v>
      </c>
      <c r="J4075" s="1" t="s">
        <v>5286</v>
      </c>
      <c r="L4075" s="1" t="s">
        <v>785</v>
      </c>
      <c r="M4075" s="1" t="s">
        <v>3895</v>
      </c>
      <c r="N4075" s="1" t="s">
        <v>3909</v>
      </c>
      <c r="P4075" s="1" t="s">
        <v>3910</v>
      </c>
      <c r="Q4075" s="30" t="s">
        <v>2568</v>
      </c>
      <c r="R4075" s="33" t="s">
        <v>8665</v>
      </c>
      <c r="S4075">
        <v>36</v>
      </c>
      <c r="T4075" s="1" t="s">
        <v>8661</v>
      </c>
      <c r="U4075" s="1" t="str">
        <f>HYPERLINK("http://ictvonline.org/taxonomy/p/taxonomy-history?taxnode_id=202105877","ICTVonline=202105877")</f>
        <v>ICTVonline=202105877</v>
      </c>
    </row>
    <row r="4076" spans="1:21" x14ac:dyDescent="0.2">
      <c r="A4076" s="3">
        <v>4075</v>
      </c>
      <c r="B4076" s="1" t="s">
        <v>5250</v>
      </c>
      <c r="D4076" s="1" t="s">
        <v>5280</v>
      </c>
      <c r="F4076" s="1" t="s">
        <v>5281</v>
      </c>
      <c r="H4076" s="1" t="s">
        <v>5284</v>
      </c>
      <c r="J4076" s="1" t="s">
        <v>5286</v>
      </c>
      <c r="L4076" s="1" t="s">
        <v>785</v>
      </c>
      <c r="M4076" s="1" t="s">
        <v>3895</v>
      </c>
      <c r="N4076" s="1" t="s">
        <v>3911</v>
      </c>
      <c r="P4076" s="1" t="s">
        <v>3912</v>
      </c>
      <c r="Q4076" s="30" t="s">
        <v>2568</v>
      </c>
      <c r="R4076" s="33" t="s">
        <v>8665</v>
      </c>
      <c r="S4076">
        <v>36</v>
      </c>
      <c r="T4076" s="1" t="s">
        <v>8661</v>
      </c>
      <c r="U4076" s="1" t="str">
        <f>HYPERLINK("http://ictvonline.org/taxonomy/p/taxonomy-history?taxnode_id=202105879","ICTVonline=202105879")</f>
        <v>ICTVonline=202105879</v>
      </c>
    </row>
    <row r="4077" spans="1:21" x14ac:dyDescent="0.2">
      <c r="A4077" s="3">
        <v>4076</v>
      </c>
      <c r="B4077" s="1" t="s">
        <v>5250</v>
      </c>
      <c r="D4077" s="1" t="s">
        <v>5280</v>
      </c>
      <c r="F4077" s="1" t="s">
        <v>5281</v>
      </c>
      <c r="H4077" s="1" t="s">
        <v>5284</v>
      </c>
      <c r="J4077" s="1" t="s">
        <v>5286</v>
      </c>
      <c r="L4077" s="1" t="s">
        <v>785</v>
      </c>
      <c r="M4077" s="1" t="s">
        <v>3895</v>
      </c>
      <c r="N4077" s="1" t="s">
        <v>3007</v>
      </c>
      <c r="P4077" s="1" t="s">
        <v>3008</v>
      </c>
      <c r="Q4077" s="30" t="s">
        <v>2568</v>
      </c>
      <c r="R4077" s="33" t="s">
        <v>8665</v>
      </c>
      <c r="S4077">
        <v>36</v>
      </c>
      <c r="T4077" s="1" t="s">
        <v>8661</v>
      </c>
      <c r="U4077" s="1" t="str">
        <f>HYPERLINK("http://ictvonline.org/taxonomy/p/taxonomy-history?taxnode_id=202104127","ICTVonline=202104127")</f>
        <v>ICTVonline=202104127</v>
      </c>
    </row>
    <row r="4078" spans="1:21" x14ac:dyDescent="0.2">
      <c r="A4078" s="3">
        <v>4077</v>
      </c>
      <c r="B4078" s="1" t="s">
        <v>5250</v>
      </c>
      <c r="D4078" s="1" t="s">
        <v>5280</v>
      </c>
      <c r="F4078" s="1" t="s">
        <v>5281</v>
      </c>
      <c r="H4078" s="1" t="s">
        <v>5284</v>
      </c>
      <c r="J4078" s="1" t="s">
        <v>5286</v>
      </c>
      <c r="L4078" s="1" t="s">
        <v>785</v>
      </c>
      <c r="M4078" s="1" t="s">
        <v>3895</v>
      </c>
      <c r="N4078" s="1" t="s">
        <v>179</v>
      </c>
      <c r="P4078" s="1" t="s">
        <v>180</v>
      </c>
      <c r="Q4078" s="30" t="s">
        <v>2568</v>
      </c>
      <c r="R4078" s="33" t="s">
        <v>8665</v>
      </c>
      <c r="S4078">
        <v>36</v>
      </c>
      <c r="T4078" s="1" t="s">
        <v>8661</v>
      </c>
      <c r="U4078" s="1" t="str">
        <f>HYPERLINK("http://ictvonline.org/taxonomy/p/taxonomy-history?taxnode_id=202104129","ICTVonline=202104129")</f>
        <v>ICTVonline=202104129</v>
      </c>
    </row>
    <row r="4079" spans="1:21" x14ac:dyDescent="0.2">
      <c r="A4079" s="3">
        <v>4078</v>
      </c>
      <c r="B4079" s="1" t="s">
        <v>5250</v>
      </c>
      <c r="D4079" s="1" t="s">
        <v>5280</v>
      </c>
      <c r="F4079" s="1" t="s">
        <v>5281</v>
      </c>
      <c r="H4079" s="1" t="s">
        <v>5284</v>
      </c>
      <c r="J4079" s="1" t="s">
        <v>5286</v>
      </c>
      <c r="L4079" s="1" t="s">
        <v>785</v>
      </c>
      <c r="M4079" s="1" t="s">
        <v>3895</v>
      </c>
      <c r="N4079" s="1" t="s">
        <v>179</v>
      </c>
      <c r="P4079" s="1" t="s">
        <v>181</v>
      </c>
      <c r="Q4079" s="30" t="s">
        <v>2568</v>
      </c>
      <c r="R4079" s="33" t="s">
        <v>3474</v>
      </c>
      <c r="S4079">
        <v>35</v>
      </c>
      <c r="T4079" s="1" t="s">
        <v>5259</v>
      </c>
      <c r="U4079" s="1" t="str">
        <f>HYPERLINK("http://ictvonline.org/taxonomy/p/taxonomy-history?taxnode_id=202104130","ICTVonline=202104130")</f>
        <v>ICTVonline=202104130</v>
      </c>
    </row>
    <row r="4080" spans="1:21" x14ac:dyDescent="0.2">
      <c r="A4080" s="3">
        <v>4079</v>
      </c>
      <c r="B4080" s="1" t="s">
        <v>5250</v>
      </c>
      <c r="D4080" s="1" t="s">
        <v>5280</v>
      </c>
      <c r="F4080" s="1" t="s">
        <v>5281</v>
      </c>
      <c r="H4080" s="1" t="s">
        <v>5284</v>
      </c>
      <c r="J4080" s="1" t="s">
        <v>5286</v>
      </c>
      <c r="L4080" s="1" t="s">
        <v>785</v>
      </c>
      <c r="M4080" s="1" t="s">
        <v>3895</v>
      </c>
      <c r="N4080" s="1" t="s">
        <v>179</v>
      </c>
      <c r="P4080" s="1" t="s">
        <v>2361</v>
      </c>
      <c r="Q4080" s="30" t="s">
        <v>2568</v>
      </c>
      <c r="R4080" s="33" t="s">
        <v>3474</v>
      </c>
      <c r="S4080">
        <v>35</v>
      </c>
      <c r="T4080" s="1" t="s">
        <v>5259</v>
      </c>
      <c r="U4080" s="1" t="str">
        <f>HYPERLINK("http://ictvonline.org/taxonomy/p/taxonomy-history?taxnode_id=202104131","ICTVonline=202104131")</f>
        <v>ICTVonline=202104131</v>
      </c>
    </row>
    <row r="4081" spans="1:21" x14ac:dyDescent="0.2">
      <c r="A4081" s="3">
        <v>4080</v>
      </c>
      <c r="B4081" s="1" t="s">
        <v>5250</v>
      </c>
      <c r="D4081" s="1" t="s">
        <v>5280</v>
      </c>
      <c r="F4081" s="1" t="s">
        <v>5281</v>
      </c>
      <c r="H4081" s="1" t="s">
        <v>5284</v>
      </c>
      <c r="J4081" s="1" t="s">
        <v>5286</v>
      </c>
      <c r="L4081" s="1" t="s">
        <v>785</v>
      </c>
      <c r="M4081" s="1" t="s">
        <v>3895</v>
      </c>
      <c r="N4081" s="1" t="s">
        <v>1552</v>
      </c>
      <c r="P4081" s="1" t="s">
        <v>182</v>
      </c>
      <c r="Q4081" s="30" t="s">
        <v>2568</v>
      </c>
      <c r="R4081" s="33" t="s">
        <v>8665</v>
      </c>
      <c r="S4081">
        <v>36</v>
      </c>
      <c r="T4081" s="1" t="s">
        <v>8661</v>
      </c>
      <c r="U4081" s="1" t="str">
        <f>HYPERLINK("http://ictvonline.org/taxonomy/p/taxonomy-history?taxnode_id=202104133","ICTVonline=202104133")</f>
        <v>ICTVonline=202104133</v>
      </c>
    </row>
    <row r="4082" spans="1:21" x14ac:dyDescent="0.2">
      <c r="A4082" s="3">
        <v>4081</v>
      </c>
      <c r="B4082" s="1" t="s">
        <v>5250</v>
      </c>
      <c r="D4082" s="1" t="s">
        <v>5280</v>
      </c>
      <c r="F4082" s="1" t="s">
        <v>5281</v>
      </c>
      <c r="H4082" s="1" t="s">
        <v>5284</v>
      </c>
      <c r="J4082" s="1" t="s">
        <v>5286</v>
      </c>
      <c r="L4082" s="1" t="s">
        <v>785</v>
      </c>
      <c r="M4082" s="1" t="s">
        <v>3895</v>
      </c>
      <c r="N4082" s="1" t="s">
        <v>1552</v>
      </c>
      <c r="P4082" s="1" t="s">
        <v>2362</v>
      </c>
      <c r="Q4082" s="30" t="s">
        <v>2568</v>
      </c>
      <c r="R4082" s="33" t="s">
        <v>3474</v>
      </c>
      <c r="S4082">
        <v>35</v>
      </c>
      <c r="T4082" s="1" t="s">
        <v>5259</v>
      </c>
      <c r="U4082" s="1" t="str">
        <f>HYPERLINK("http://ictvonline.org/taxonomy/p/taxonomy-history?taxnode_id=202104134","ICTVonline=202104134")</f>
        <v>ICTVonline=202104134</v>
      </c>
    </row>
    <row r="4083" spans="1:21" x14ac:dyDescent="0.2">
      <c r="A4083" s="3">
        <v>4082</v>
      </c>
      <c r="B4083" s="1" t="s">
        <v>5250</v>
      </c>
      <c r="D4083" s="1" t="s">
        <v>5280</v>
      </c>
      <c r="F4083" s="1" t="s">
        <v>5281</v>
      </c>
      <c r="H4083" s="1" t="s">
        <v>5284</v>
      </c>
      <c r="J4083" s="1" t="s">
        <v>5286</v>
      </c>
      <c r="L4083" s="1" t="s">
        <v>785</v>
      </c>
      <c r="M4083" s="1" t="s">
        <v>3895</v>
      </c>
      <c r="N4083" s="1" t="s">
        <v>1552</v>
      </c>
      <c r="P4083" s="1" t="s">
        <v>3009</v>
      </c>
      <c r="Q4083" s="30" t="s">
        <v>2568</v>
      </c>
      <c r="R4083" s="33" t="s">
        <v>3474</v>
      </c>
      <c r="S4083">
        <v>35</v>
      </c>
      <c r="T4083" s="1" t="s">
        <v>5259</v>
      </c>
      <c r="U4083" s="1" t="str">
        <f>HYPERLINK("http://ictvonline.org/taxonomy/p/taxonomy-history?taxnode_id=202104135","ICTVonline=202104135")</f>
        <v>ICTVonline=202104135</v>
      </c>
    </row>
    <row r="4084" spans="1:21" x14ac:dyDescent="0.2">
      <c r="A4084" s="3">
        <v>4083</v>
      </c>
      <c r="B4084" s="1" t="s">
        <v>5250</v>
      </c>
      <c r="D4084" s="1" t="s">
        <v>5280</v>
      </c>
      <c r="F4084" s="1" t="s">
        <v>5281</v>
      </c>
      <c r="H4084" s="1" t="s">
        <v>5284</v>
      </c>
      <c r="J4084" s="1" t="s">
        <v>5286</v>
      </c>
      <c r="L4084" s="1" t="s">
        <v>785</v>
      </c>
      <c r="M4084" s="1" t="s">
        <v>3895</v>
      </c>
      <c r="N4084" s="1" t="s">
        <v>1552</v>
      </c>
      <c r="P4084" s="1" t="s">
        <v>3913</v>
      </c>
      <c r="Q4084" s="30" t="s">
        <v>2568</v>
      </c>
      <c r="R4084" s="33" t="s">
        <v>3474</v>
      </c>
      <c r="S4084">
        <v>35</v>
      </c>
      <c r="T4084" s="1" t="s">
        <v>5259</v>
      </c>
      <c r="U4084" s="1" t="str">
        <f>HYPERLINK("http://ictvonline.org/taxonomy/p/taxonomy-history?taxnode_id=202105881","ICTVonline=202105881")</f>
        <v>ICTVonline=202105881</v>
      </c>
    </row>
    <row r="4085" spans="1:21" x14ac:dyDescent="0.2">
      <c r="A4085" s="3">
        <v>4084</v>
      </c>
      <c r="B4085" s="1" t="s">
        <v>5250</v>
      </c>
      <c r="D4085" s="1" t="s">
        <v>5280</v>
      </c>
      <c r="F4085" s="1" t="s">
        <v>5281</v>
      </c>
      <c r="H4085" s="1" t="s">
        <v>5284</v>
      </c>
      <c r="J4085" s="1" t="s">
        <v>5286</v>
      </c>
      <c r="L4085" s="1" t="s">
        <v>785</v>
      </c>
      <c r="M4085" s="1" t="s">
        <v>3895</v>
      </c>
      <c r="N4085" s="1" t="s">
        <v>1552</v>
      </c>
      <c r="P4085" s="1" t="s">
        <v>3914</v>
      </c>
      <c r="Q4085" s="30" t="s">
        <v>2568</v>
      </c>
      <c r="R4085" s="33" t="s">
        <v>3474</v>
      </c>
      <c r="S4085">
        <v>35</v>
      </c>
      <c r="T4085" s="1" t="s">
        <v>5259</v>
      </c>
      <c r="U4085" s="1" t="str">
        <f>HYPERLINK("http://ictvonline.org/taxonomy/p/taxonomy-history?taxnode_id=202105882","ICTVonline=202105882")</f>
        <v>ICTVonline=202105882</v>
      </c>
    </row>
    <row r="4086" spans="1:21" x14ac:dyDescent="0.2">
      <c r="A4086" s="3">
        <v>4085</v>
      </c>
      <c r="B4086" s="1" t="s">
        <v>5250</v>
      </c>
      <c r="D4086" s="1" t="s">
        <v>5280</v>
      </c>
      <c r="F4086" s="1" t="s">
        <v>5281</v>
      </c>
      <c r="H4086" s="1" t="s">
        <v>5284</v>
      </c>
      <c r="J4086" s="1" t="s">
        <v>5286</v>
      </c>
      <c r="L4086" s="1" t="s">
        <v>785</v>
      </c>
      <c r="M4086" s="1" t="s">
        <v>3895</v>
      </c>
      <c r="N4086" s="1" t="s">
        <v>1553</v>
      </c>
      <c r="P4086" s="1" t="s">
        <v>183</v>
      </c>
      <c r="Q4086" s="30" t="s">
        <v>2568</v>
      </c>
      <c r="R4086" s="33" t="s">
        <v>8665</v>
      </c>
      <c r="S4086">
        <v>36</v>
      </c>
      <c r="T4086" s="1" t="s">
        <v>8661</v>
      </c>
      <c r="U4086" s="1" t="str">
        <f>HYPERLINK("http://ictvonline.org/taxonomy/p/taxonomy-history?taxnode_id=202104137","ICTVonline=202104137")</f>
        <v>ICTVonline=202104137</v>
      </c>
    </row>
    <row r="4087" spans="1:21" x14ac:dyDescent="0.2">
      <c r="A4087" s="3">
        <v>4086</v>
      </c>
      <c r="B4087" s="1" t="s">
        <v>5250</v>
      </c>
      <c r="D4087" s="1" t="s">
        <v>5280</v>
      </c>
      <c r="F4087" s="1" t="s">
        <v>5281</v>
      </c>
      <c r="H4087" s="1" t="s">
        <v>5284</v>
      </c>
      <c r="J4087" s="1" t="s">
        <v>5286</v>
      </c>
      <c r="L4087" s="1" t="s">
        <v>785</v>
      </c>
      <c r="M4087" s="1" t="s">
        <v>3915</v>
      </c>
      <c r="N4087" s="1" t="s">
        <v>3916</v>
      </c>
      <c r="P4087" s="1" t="s">
        <v>3917</v>
      </c>
      <c r="Q4087" s="30" t="s">
        <v>2568</v>
      </c>
      <c r="R4087" s="33" t="s">
        <v>8665</v>
      </c>
      <c r="S4087">
        <v>36</v>
      </c>
      <c r="T4087" s="1" t="s">
        <v>8661</v>
      </c>
      <c r="U4087" s="1" t="str">
        <f>HYPERLINK("http://ictvonline.org/taxonomy/p/taxonomy-history?taxnode_id=202105884","ICTVonline=202105884")</f>
        <v>ICTVonline=202105884</v>
      </c>
    </row>
    <row r="4088" spans="1:21" x14ac:dyDescent="0.2">
      <c r="A4088" s="3">
        <v>4087</v>
      </c>
      <c r="B4088" s="1" t="s">
        <v>5250</v>
      </c>
      <c r="D4088" s="1" t="s">
        <v>5280</v>
      </c>
      <c r="F4088" s="1" t="s">
        <v>5281</v>
      </c>
      <c r="H4088" s="1" t="s">
        <v>5287</v>
      </c>
      <c r="J4088" s="1" t="s">
        <v>5288</v>
      </c>
      <c r="L4088" s="1" t="s">
        <v>1788</v>
      </c>
      <c r="M4088" s="1" t="s">
        <v>1789</v>
      </c>
      <c r="N4088" s="1" t="s">
        <v>5289</v>
      </c>
      <c r="P4088" s="1" t="s">
        <v>5290</v>
      </c>
      <c r="Q4088" s="30" t="s">
        <v>2891</v>
      </c>
      <c r="R4088" s="33" t="s">
        <v>3473</v>
      </c>
      <c r="S4088">
        <v>35</v>
      </c>
      <c r="T4088" s="1" t="s">
        <v>5291</v>
      </c>
      <c r="U4088" s="1" t="str">
        <f>HYPERLINK("http://ictvonline.org/taxonomy/p/taxonomy-history?taxnode_id=202104209","ICTVonline=202104209")</f>
        <v>ICTVonline=202104209</v>
      </c>
    </row>
    <row r="4089" spans="1:21" x14ac:dyDescent="0.2">
      <c r="A4089" s="3">
        <v>4088</v>
      </c>
      <c r="B4089" s="1" t="s">
        <v>5250</v>
      </c>
      <c r="D4089" s="1" t="s">
        <v>5280</v>
      </c>
      <c r="F4089" s="1" t="s">
        <v>5281</v>
      </c>
      <c r="H4089" s="1" t="s">
        <v>5287</v>
      </c>
      <c r="J4089" s="1" t="s">
        <v>5288</v>
      </c>
      <c r="L4089" s="1" t="s">
        <v>1788</v>
      </c>
      <c r="M4089" s="1" t="s">
        <v>1789</v>
      </c>
      <c r="N4089" s="1" t="s">
        <v>5289</v>
      </c>
      <c r="P4089" s="1" t="s">
        <v>5292</v>
      </c>
      <c r="Q4089" s="30" t="s">
        <v>2891</v>
      </c>
      <c r="R4089" s="33" t="s">
        <v>8665</v>
      </c>
      <c r="S4089">
        <v>36</v>
      </c>
      <c r="T4089" s="1" t="s">
        <v>8661</v>
      </c>
      <c r="U4089" s="1" t="str">
        <f>HYPERLINK("http://ictvonline.org/taxonomy/p/taxonomy-history?taxnode_id=202104212","ICTVonline=202104212")</f>
        <v>ICTVonline=202104212</v>
      </c>
    </row>
    <row r="4090" spans="1:21" x14ac:dyDescent="0.2">
      <c r="A4090" s="3">
        <v>4089</v>
      </c>
      <c r="B4090" s="1" t="s">
        <v>5250</v>
      </c>
      <c r="D4090" s="1" t="s">
        <v>5280</v>
      </c>
      <c r="F4090" s="1" t="s">
        <v>5281</v>
      </c>
      <c r="H4090" s="1" t="s">
        <v>5287</v>
      </c>
      <c r="J4090" s="1" t="s">
        <v>5288</v>
      </c>
      <c r="L4090" s="1" t="s">
        <v>1788</v>
      </c>
      <c r="M4090" s="1" t="s">
        <v>1789</v>
      </c>
      <c r="N4090" s="1" t="s">
        <v>5289</v>
      </c>
      <c r="P4090" s="1" t="s">
        <v>6271</v>
      </c>
      <c r="Q4090" s="30" t="s">
        <v>2891</v>
      </c>
      <c r="R4090" s="33" t="s">
        <v>3472</v>
      </c>
      <c r="S4090">
        <v>36</v>
      </c>
      <c r="T4090" s="1" t="s">
        <v>6272</v>
      </c>
      <c r="U4090" s="1" t="str">
        <f>HYPERLINK("http://ictvonline.org/taxonomy/p/taxonomy-history?taxnode_id=202109264","ICTVonline=202109264")</f>
        <v>ICTVonline=202109264</v>
      </c>
    </row>
    <row r="4091" spans="1:21" x14ac:dyDescent="0.2">
      <c r="A4091" s="3">
        <v>4090</v>
      </c>
      <c r="B4091" s="1" t="s">
        <v>5250</v>
      </c>
      <c r="D4091" s="1" t="s">
        <v>5280</v>
      </c>
      <c r="F4091" s="1" t="s">
        <v>5281</v>
      </c>
      <c r="H4091" s="1" t="s">
        <v>5287</v>
      </c>
      <c r="J4091" s="1" t="s">
        <v>5288</v>
      </c>
      <c r="L4091" s="1" t="s">
        <v>1788</v>
      </c>
      <c r="M4091" s="1" t="s">
        <v>1789</v>
      </c>
      <c r="N4091" s="1" t="s">
        <v>5293</v>
      </c>
      <c r="P4091" s="1" t="s">
        <v>5294</v>
      </c>
      <c r="Q4091" s="30" t="s">
        <v>2891</v>
      </c>
      <c r="R4091" s="33" t="s">
        <v>8665</v>
      </c>
      <c r="S4091">
        <v>36</v>
      </c>
      <c r="T4091" s="1" t="s">
        <v>8661</v>
      </c>
      <c r="U4091" s="1" t="str">
        <f>HYPERLINK("http://ictvonline.org/taxonomy/p/taxonomy-history?taxnode_id=202104211","ICTVonline=202104211")</f>
        <v>ICTVonline=202104211</v>
      </c>
    </row>
    <row r="4092" spans="1:21" x14ac:dyDescent="0.2">
      <c r="A4092" s="3">
        <v>4091</v>
      </c>
      <c r="B4092" s="1" t="s">
        <v>5250</v>
      </c>
      <c r="D4092" s="1" t="s">
        <v>5280</v>
      </c>
      <c r="F4092" s="1" t="s">
        <v>5281</v>
      </c>
      <c r="H4092" s="1" t="s">
        <v>5287</v>
      </c>
      <c r="J4092" s="1" t="s">
        <v>5288</v>
      </c>
      <c r="L4092" s="1" t="s">
        <v>1788</v>
      </c>
      <c r="M4092" s="1" t="s">
        <v>1789</v>
      </c>
      <c r="N4092" s="1" t="s">
        <v>6273</v>
      </c>
      <c r="P4092" s="1" t="s">
        <v>6274</v>
      </c>
      <c r="Q4092" s="30" t="s">
        <v>2891</v>
      </c>
      <c r="R4092" s="33" t="s">
        <v>3472</v>
      </c>
      <c r="S4092">
        <v>36</v>
      </c>
      <c r="T4092" s="1" t="s">
        <v>6272</v>
      </c>
      <c r="U4092" s="1" t="str">
        <f>HYPERLINK("http://ictvonline.org/taxonomy/p/taxonomy-history?taxnode_id=202109266","ICTVonline=202109266")</f>
        <v>ICTVonline=202109266</v>
      </c>
    </row>
    <row r="4093" spans="1:21" x14ac:dyDescent="0.2">
      <c r="A4093" s="3">
        <v>4092</v>
      </c>
      <c r="B4093" s="1" t="s">
        <v>5250</v>
      </c>
      <c r="D4093" s="1" t="s">
        <v>5280</v>
      </c>
      <c r="F4093" s="1" t="s">
        <v>5281</v>
      </c>
      <c r="H4093" s="1" t="s">
        <v>5287</v>
      </c>
      <c r="J4093" s="1" t="s">
        <v>5288</v>
      </c>
      <c r="L4093" s="1" t="s">
        <v>1788</v>
      </c>
      <c r="M4093" s="1" t="s">
        <v>1789</v>
      </c>
      <c r="N4093" s="1" t="s">
        <v>5295</v>
      </c>
      <c r="P4093" s="1" t="s">
        <v>5296</v>
      </c>
      <c r="Q4093" s="30" t="s">
        <v>2891</v>
      </c>
      <c r="R4093" s="33" t="s">
        <v>8665</v>
      </c>
      <c r="S4093">
        <v>36</v>
      </c>
      <c r="T4093" s="1" t="s">
        <v>8661</v>
      </c>
      <c r="U4093" s="1" t="str">
        <f>HYPERLINK("http://ictvonline.org/taxonomy/p/taxonomy-history?taxnode_id=202104215","ICTVonline=202104215")</f>
        <v>ICTVonline=202104215</v>
      </c>
    </row>
    <row r="4094" spans="1:21" x14ac:dyDescent="0.2">
      <c r="A4094" s="3">
        <v>4093</v>
      </c>
      <c r="B4094" s="1" t="s">
        <v>5250</v>
      </c>
      <c r="D4094" s="1" t="s">
        <v>5280</v>
      </c>
      <c r="F4094" s="1" t="s">
        <v>5281</v>
      </c>
      <c r="H4094" s="1" t="s">
        <v>5287</v>
      </c>
      <c r="J4094" s="1" t="s">
        <v>5288</v>
      </c>
      <c r="L4094" s="1" t="s">
        <v>1788</v>
      </c>
      <c r="M4094" s="1" t="s">
        <v>1789</v>
      </c>
      <c r="N4094" s="1" t="s">
        <v>5295</v>
      </c>
      <c r="P4094" s="1" t="s">
        <v>5297</v>
      </c>
      <c r="Q4094" s="30" t="s">
        <v>2891</v>
      </c>
      <c r="R4094" s="33" t="s">
        <v>3473</v>
      </c>
      <c r="S4094">
        <v>35</v>
      </c>
      <c r="T4094" s="1" t="s">
        <v>5291</v>
      </c>
      <c r="U4094" s="1" t="str">
        <f>HYPERLINK("http://ictvonline.org/taxonomy/p/taxonomy-history?taxnode_id=202104216","ICTVonline=202104216")</f>
        <v>ICTVonline=202104216</v>
      </c>
    </row>
    <row r="4095" spans="1:21" x14ac:dyDescent="0.2">
      <c r="A4095" s="3">
        <v>4094</v>
      </c>
      <c r="B4095" s="1" t="s">
        <v>5250</v>
      </c>
      <c r="D4095" s="1" t="s">
        <v>5280</v>
      </c>
      <c r="F4095" s="1" t="s">
        <v>5281</v>
      </c>
      <c r="H4095" s="1" t="s">
        <v>5287</v>
      </c>
      <c r="J4095" s="1" t="s">
        <v>5288</v>
      </c>
      <c r="L4095" s="1" t="s">
        <v>1788</v>
      </c>
      <c r="M4095" s="1" t="s">
        <v>1789</v>
      </c>
      <c r="N4095" s="1" t="s">
        <v>2379</v>
      </c>
      <c r="P4095" s="1" t="s">
        <v>2380</v>
      </c>
      <c r="Q4095" s="30" t="s">
        <v>2568</v>
      </c>
      <c r="R4095" s="33" t="s">
        <v>8665</v>
      </c>
      <c r="S4095">
        <v>36</v>
      </c>
      <c r="T4095" s="1" t="s">
        <v>8661</v>
      </c>
      <c r="U4095" s="1" t="str">
        <f>HYPERLINK("http://ictvonline.org/taxonomy/p/taxonomy-history?taxnode_id=202104226","ICTVonline=202104226")</f>
        <v>ICTVonline=202104226</v>
      </c>
    </row>
    <row r="4096" spans="1:21" x14ac:dyDescent="0.2">
      <c r="A4096" s="3">
        <v>4095</v>
      </c>
      <c r="B4096" s="1" t="s">
        <v>5250</v>
      </c>
      <c r="D4096" s="1" t="s">
        <v>5280</v>
      </c>
      <c r="F4096" s="1" t="s">
        <v>5281</v>
      </c>
      <c r="H4096" s="1" t="s">
        <v>5287</v>
      </c>
      <c r="J4096" s="1" t="s">
        <v>5288</v>
      </c>
      <c r="L4096" s="1" t="s">
        <v>1788</v>
      </c>
      <c r="M4096" s="1" t="s">
        <v>1789</v>
      </c>
      <c r="N4096" s="1" t="s">
        <v>2379</v>
      </c>
      <c r="P4096" s="1" t="s">
        <v>2381</v>
      </c>
      <c r="Q4096" s="30" t="s">
        <v>2568</v>
      </c>
      <c r="R4096" s="33" t="s">
        <v>3474</v>
      </c>
      <c r="S4096">
        <v>35</v>
      </c>
      <c r="T4096" s="1" t="s">
        <v>5291</v>
      </c>
      <c r="U4096" s="1" t="str">
        <f>HYPERLINK("http://ictvonline.org/taxonomy/p/taxonomy-history?taxnode_id=202104227","ICTVonline=202104227")</f>
        <v>ICTVonline=202104227</v>
      </c>
    </row>
    <row r="4097" spans="1:21" x14ac:dyDescent="0.2">
      <c r="A4097" s="3">
        <v>4096</v>
      </c>
      <c r="B4097" s="1" t="s">
        <v>5250</v>
      </c>
      <c r="D4097" s="1" t="s">
        <v>5280</v>
      </c>
      <c r="F4097" s="1" t="s">
        <v>5281</v>
      </c>
      <c r="H4097" s="1" t="s">
        <v>5287</v>
      </c>
      <c r="J4097" s="1" t="s">
        <v>5288</v>
      </c>
      <c r="L4097" s="1" t="s">
        <v>1788</v>
      </c>
      <c r="M4097" s="1" t="s">
        <v>1789</v>
      </c>
      <c r="N4097" s="1" t="s">
        <v>2379</v>
      </c>
      <c r="P4097" s="1" t="s">
        <v>2382</v>
      </c>
      <c r="Q4097" s="30" t="s">
        <v>2568</v>
      </c>
      <c r="R4097" s="33" t="s">
        <v>3474</v>
      </c>
      <c r="S4097">
        <v>35</v>
      </c>
      <c r="T4097" s="1" t="s">
        <v>5291</v>
      </c>
      <c r="U4097" s="1" t="str">
        <f>HYPERLINK("http://ictvonline.org/taxonomy/p/taxonomy-history?taxnode_id=202104228","ICTVonline=202104228")</f>
        <v>ICTVonline=202104228</v>
      </c>
    </row>
    <row r="4098" spans="1:21" x14ac:dyDescent="0.2">
      <c r="A4098" s="3">
        <v>4097</v>
      </c>
      <c r="B4098" s="1" t="s">
        <v>5250</v>
      </c>
      <c r="D4098" s="1" t="s">
        <v>5280</v>
      </c>
      <c r="F4098" s="1" t="s">
        <v>5281</v>
      </c>
      <c r="H4098" s="1" t="s">
        <v>5287</v>
      </c>
      <c r="J4098" s="1" t="s">
        <v>5288</v>
      </c>
      <c r="L4098" s="1" t="s">
        <v>1788</v>
      </c>
      <c r="M4098" s="1" t="s">
        <v>1789</v>
      </c>
      <c r="N4098" s="1" t="s">
        <v>2379</v>
      </c>
      <c r="P4098" s="1" t="s">
        <v>2383</v>
      </c>
      <c r="Q4098" s="30" t="s">
        <v>2568</v>
      </c>
      <c r="R4098" s="33" t="s">
        <v>3474</v>
      </c>
      <c r="S4098">
        <v>35</v>
      </c>
      <c r="T4098" s="1" t="s">
        <v>5291</v>
      </c>
      <c r="U4098" s="1" t="str">
        <f>HYPERLINK("http://ictvonline.org/taxonomy/p/taxonomy-history?taxnode_id=202104229","ICTVonline=202104229")</f>
        <v>ICTVonline=202104229</v>
      </c>
    </row>
    <row r="4099" spans="1:21" x14ac:dyDescent="0.2">
      <c r="A4099" s="3">
        <v>4098</v>
      </c>
      <c r="B4099" s="1" t="s">
        <v>5250</v>
      </c>
      <c r="D4099" s="1" t="s">
        <v>5280</v>
      </c>
      <c r="F4099" s="1" t="s">
        <v>5281</v>
      </c>
      <c r="H4099" s="1" t="s">
        <v>5287</v>
      </c>
      <c r="J4099" s="1" t="s">
        <v>5288</v>
      </c>
      <c r="L4099" s="1" t="s">
        <v>1788</v>
      </c>
      <c r="M4099" s="1" t="s">
        <v>1789</v>
      </c>
      <c r="N4099" s="1" t="s">
        <v>2379</v>
      </c>
      <c r="P4099" s="1" t="s">
        <v>2384</v>
      </c>
      <c r="Q4099" s="30" t="s">
        <v>2568</v>
      </c>
      <c r="R4099" s="33" t="s">
        <v>3474</v>
      </c>
      <c r="S4099">
        <v>35</v>
      </c>
      <c r="T4099" s="1" t="s">
        <v>5291</v>
      </c>
      <c r="U4099" s="1" t="str">
        <f>HYPERLINK("http://ictvonline.org/taxonomy/p/taxonomy-history?taxnode_id=202104230","ICTVonline=202104230")</f>
        <v>ICTVonline=202104230</v>
      </c>
    </row>
    <row r="4100" spans="1:21" x14ac:dyDescent="0.2">
      <c r="A4100" s="3">
        <v>4099</v>
      </c>
      <c r="B4100" s="1" t="s">
        <v>5250</v>
      </c>
      <c r="D4100" s="1" t="s">
        <v>5280</v>
      </c>
      <c r="F4100" s="1" t="s">
        <v>5281</v>
      </c>
      <c r="H4100" s="1" t="s">
        <v>5287</v>
      </c>
      <c r="J4100" s="1" t="s">
        <v>5288</v>
      </c>
      <c r="L4100" s="1" t="s">
        <v>1788</v>
      </c>
      <c r="M4100" s="1" t="s">
        <v>1789</v>
      </c>
      <c r="N4100" s="1" t="s">
        <v>5298</v>
      </c>
      <c r="P4100" s="1" t="s">
        <v>5299</v>
      </c>
      <c r="Q4100" s="30" t="s">
        <v>2891</v>
      </c>
      <c r="R4100" s="33" t="s">
        <v>8665</v>
      </c>
      <c r="S4100">
        <v>36</v>
      </c>
      <c r="T4100" s="1" t="s">
        <v>8661</v>
      </c>
      <c r="U4100" s="1" t="str">
        <f>HYPERLINK("http://ictvonline.org/taxonomy/p/taxonomy-history?taxnode_id=202104234","ICTVonline=202104234")</f>
        <v>ICTVonline=202104234</v>
      </c>
    </row>
    <row r="4101" spans="1:21" x14ac:dyDescent="0.2">
      <c r="A4101" s="3">
        <v>4100</v>
      </c>
      <c r="B4101" s="1" t="s">
        <v>5250</v>
      </c>
      <c r="D4101" s="1" t="s">
        <v>5280</v>
      </c>
      <c r="F4101" s="1" t="s">
        <v>5281</v>
      </c>
      <c r="H4101" s="1" t="s">
        <v>5287</v>
      </c>
      <c r="J4101" s="1" t="s">
        <v>5288</v>
      </c>
      <c r="L4101" s="1" t="s">
        <v>1788</v>
      </c>
      <c r="M4101" s="1" t="s">
        <v>1789</v>
      </c>
      <c r="N4101" s="1" t="s">
        <v>6275</v>
      </c>
      <c r="P4101" s="1" t="s">
        <v>6276</v>
      </c>
      <c r="Q4101" s="30" t="s">
        <v>2891</v>
      </c>
      <c r="R4101" s="33" t="s">
        <v>3472</v>
      </c>
      <c r="S4101">
        <v>36</v>
      </c>
      <c r="T4101" s="1" t="s">
        <v>6272</v>
      </c>
      <c r="U4101" s="1" t="str">
        <f>HYPERLINK("http://ictvonline.org/taxonomy/p/taxonomy-history?taxnode_id=202109268","ICTVonline=202109268")</f>
        <v>ICTVonline=202109268</v>
      </c>
    </row>
    <row r="4102" spans="1:21" x14ac:dyDescent="0.2">
      <c r="A4102" s="3">
        <v>4101</v>
      </c>
      <c r="B4102" s="1" t="s">
        <v>5250</v>
      </c>
      <c r="D4102" s="1" t="s">
        <v>5280</v>
      </c>
      <c r="F4102" s="1" t="s">
        <v>5281</v>
      </c>
      <c r="H4102" s="1" t="s">
        <v>5287</v>
      </c>
      <c r="J4102" s="1" t="s">
        <v>5288</v>
      </c>
      <c r="L4102" s="1" t="s">
        <v>1788</v>
      </c>
      <c r="M4102" s="1" t="s">
        <v>1789</v>
      </c>
      <c r="N4102" s="1" t="s">
        <v>5300</v>
      </c>
      <c r="P4102" s="1" t="s">
        <v>5301</v>
      </c>
      <c r="Q4102" s="30" t="s">
        <v>2891</v>
      </c>
      <c r="R4102" s="33" t="s">
        <v>8665</v>
      </c>
      <c r="S4102">
        <v>36</v>
      </c>
      <c r="T4102" s="1" t="s">
        <v>8661</v>
      </c>
      <c r="U4102" s="1" t="str">
        <f>HYPERLINK("http://ictvonline.org/taxonomy/p/taxonomy-history?taxnode_id=202104210","ICTVonline=202104210")</f>
        <v>ICTVonline=202104210</v>
      </c>
    </row>
    <row r="4103" spans="1:21" x14ac:dyDescent="0.2">
      <c r="A4103" s="3">
        <v>4102</v>
      </c>
      <c r="B4103" s="1" t="s">
        <v>5250</v>
      </c>
      <c r="D4103" s="1" t="s">
        <v>5280</v>
      </c>
      <c r="F4103" s="1" t="s">
        <v>5281</v>
      </c>
      <c r="H4103" s="1" t="s">
        <v>5287</v>
      </c>
      <c r="J4103" s="1" t="s">
        <v>5288</v>
      </c>
      <c r="L4103" s="1" t="s">
        <v>1788</v>
      </c>
      <c r="M4103" s="1" t="s">
        <v>1789</v>
      </c>
      <c r="N4103" s="1" t="s">
        <v>5304</v>
      </c>
      <c r="P4103" s="1" t="s">
        <v>5305</v>
      </c>
      <c r="Q4103" s="30" t="s">
        <v>2891</v>
      </c>
      <c r="R4103" s="33" t="s">
        <v>3473</v>
      </c>
      <c r="S4103">
        <v>35</v>
      </c>
      <c r="T4103" s="1" t="s">
        <v>5291</v>
      </c>
      <c r="U4103" s="1" t="str">
        <f>HYPERLINK("http://ictvonline.org/taxonomy/p/taxonomy-history?taxnode_id=202104213","ICTVonline=202104213")</f>
        <v>ICTVonline=202104213</v>
      </c>
    </row>
    <row r="4104" spans="1:21" x14ac:dyDescent="0.2">
      <c r="A4104" s="3">
        <v>4103</v>
      </c>
      <c r="B4104" s="1" t="s">
        <v>5250</v>
      </c>
      <c r="D4104" s="1" t="s">
        <v>5280</v>
      </c>
      <c r="F4104" s="1" t="s">
        <v>5281</v>
      </c>
      <c r="H4104" s="1" t="s">
        <v>5287</v>
      </c>
      <c r="J4104" s="1" t="s">
        <v>5288</v>
      </c>
      <c r="L4104" s="1" t="s">
        <v>1788</v>
      </c>
      <c r="M4104" s="1" t="s">
        <v>1789</v>
      </c>
      <c r="N4104" s="1" t="s">
        <v>5304</v>
      </c>
      <c r="P4104" s="1" t="s">
        <v>5306</v>
      </c>
      <c r="Q4104" s="30" t="s">
        <v>2891</v>
      </c>
      <c r="R4104" s="33" t="s">
        <v>8665</v>
      </c>
      <c r="S4104">
        <v>36</v>
      </c>
      <c r="T4104" s="1" t="s">
        <v>8661</v>
      </c>
      <c r="U4104" s="1" t="str">
        <f>HYPERLINK("http://ictvonline.org/taxonomy/p/taxonomy-history?taxnode_id=202104218","ICTVonline=202104218")</f>
        <v>ICTVonline=202104218</v>
      </c>
    </row>
    <row r="4105" spans="1:21" x14ac:dyDescent="0.2">
      <c r="A4105" s="3">
        <v>4104</v>
      </c>
      <c r="B4105" s="1" t="s">
        <v>5250</v>
      </c>
      <c r="D4105" s="1" t="s">
        <v>5280</v>
      </c>
      <c r="F4105" s="1" t="s">
        <v>5281</v>
      </c>
      <c r="H4105" s="1" t="s">
        <v>5287</v>
      </c>
      <c r="J4105" s="1" t="s">
        <v>5288</v>
      </c>
      <c r="L4105" s="1" t="s">
        <v>1788</v>
      </c>
      <c r="M4105" s="1" t="s">
        <v>1789</v>
      </c>
      <c r="N4105" s="1" t="s">
        <v>5307</v>
      </c>
      <c r="P4105" s="1" t="s">
        <v>5308</v>
      </c>
      <c r="Q4105" s="30" t="s">
        <v>2891</v>
      </c>
      <c r="R4105" s="33" t="s">
        <v>3473</v>
      </c>
      <c r="S4105">
        <v>35</v>
      </c>
      <c r="T4105" s="1" t="s">
        <v>5291</v>
      </c>
      <c r="U4105" s="1" t="str">
        <f>HYPERLINK("http://ictvonline.org/taxonomy/p/taxonomy-history?taxnode_id=202104214","ICTVonline=202104214")</f>
        <v>ICTVonline=202104214</v>
      </c>
    </row>
    <row r="4106" spans="1:21" x14ac:dyDescent="0.2">
      <c r="A4106" s="3">
        <v>4105</v>
      </c>
      <c r="B4106" s="1" t="s">
        <v>5250</v>
      </c>
      <c r="D4106" s="1" t="s">
        <v>5280</v>
      </c>
      <c r="F4106" s="1" t="s">
        <v>5281</v>
      </c>
      <c r="H4106" s="1" t="s">
        <v>5287</v>
      </c>
      <c r="J4106" s="1" t="s">
        <v>5288</v>
      </c>
      <c r="L4106" s="1" t="s">
        <v>1788</v>
      </c>
      <c r="M4106" s="1" t="s">
        <v>1789</v>
      </c>
      <c r="N4106" s="1" t="s">
        <v>5307</v>
      </c>
      <c r="P4106" s="1" t="s">
        <v>5309</v>
      </c>
      <c r="Q4106" s="30" t="s">
        <v>2891</v>
      </c>
      <c r="R4106" s="33" t="s">
        <v>3473</v>
      </c>
      <c r="S4106">
        <v>35</v>
      </c>
      <c r="T4106" s="1" t="s">
        <v>5291</v>
      </c>
      <c r="U4106" s="1" t="str">
        <f>HYPERLINK("http://ictvonline.org/taxonomy/p/taxonomy-history?taxnode_id=202104217","ICTVonline=202104217")</f>
        <v>ICTVonline=202104217</v>
      </c>
    </row>
    <row r="4107" spans="1:21" x14ac:dyDescent="0.2">
      <c r="A4107" s="3">
        <v>4106</v>
      </c>
      <c r="B4107" s="1" t="s">
        <v>5250</v>
      </c>
      <c r="D4107" s="1" t="s">
        <v>5280</v>
      </c>
      <c r="F4107" s="1" t="s">
        <v>5281</v>
      </c>
      <c r="H4107" s="1" t="s">
        <v>5287</v>
      </c>
      <c r="J4107" s="1" t="s">
        <v>5288</v>
      </c>
      <c r="L4107" s="1" t="s">
        <v>1788</v>
      </c>
      <c r="M4107" s="1" t="s">
        <v>1789</v>
      </c>
      <c r="N4107" s="1" t="s">
        <v>5307</v>
      </c>
      <c r="P4107" s="1" t="s">
        <v>5310</v>
      </c>
      <c r="Q4107" s="30" t="s">
        <v>2891</v>
      </c>
      <c r="R4107" s="33" t="s">
        <v>8665</v>
      </c>
      <c r="S4107">
        <v>36</v>
      </c>
      <c r="T4107" s="1" t="s">
        <v>8661</v>
      </c>
      <c r="U4107" s="1" t="str">
        <f>HYPERLINK("http://ictvonline.org/taxonomy/p/taxonomy-history?taxnode_id=202104219","ICTVonline=202104219")</f>
        <v>ICTVonline=202104219</v>
      </c>
    </row>
    <row r="4108" spans="1:21" x14ac:dyDescent="0.2">
      <c r="A4108" s="3">
        <v>4107</v>
      </c>
      <c r="B4108" s="1" t="s">
        <v>5250</v>
      </c>
      <c r="D4108" s="1" t="s">
        <v>5280</v>
      </c>
      <c r="F4108" s="1" t="s">
        <v>5281</v>
      </c>
      <c r="H4108" s="1" t="s">
        <v>5287</v>
      </c>
      <c r="J4108" s="1" t="s">
        <v>5288</v>
      </c>
      <c r="L4108" s="1" t="s">
        <v>1788</v>
      </c>
      <c r="M4108" s="1" t="s">
        <v>1789</v>
      </c>
      <c r="N4108" s="1" t="s">
        <v>6277</v>
      </c>
      <c r="P4108" s="1" t="s">
        <v>6278</v>
      </c>
      <c r="Q4108" s="30" t="s">
        <v>2891</v>
      </c>
      <c r="R4108" s="33" t="s">
        <v>3472</v>
      </c>
      <c r="S4108">
        <v>36</v>
      </c>
      <c r="T4108" s="1" t="s">
        <v>6272</v>
      </c>
      <c r="U4108" s="1" t="str">
        <f>HYPERLINK("http://ictvonline.org/taxonomy/p/taxonomy-history?taxnode_id=202109270","ICTVonline=202109270")</f>
        <v>ICTVonline=202109270</v>
      </c>
    </row>
    <row r="4109" spans="1:21" x14ac:dyDescent="0.2">
      <c r="A4109" s="3">
        <v>4108</v>
      </c>
      <c r="B4109" s="1" t="s">
        <v>5250</v>
      </c>
      <c r="D4109" s="1" t="s">
        <v>5280</v>
      </c>
      <c r="F4109" s="1" t="s">
        <v>5281</v>
      </c>
      <c r="H4109" s="1" t="s">
        <v>5287</v>
      </c>
      <c r="J4109" s="1" t="s">
        <v>5288</v>
      </c>
      <c r="L4109" s="1" t="s">
        <v>1788</v>
      </c>
      <c r="M4109" s="1" t="s">
        <v>5311</v>
      </c>
      <c r="N4109" s="1" t="s">
        <v>5312</v>
      </c>
      <c r="P4109" s="1" t="s">
        <v>5313</v>
      </c>
      <c r="Q4109" s="30" t="s">
        <v>2891</v>
      </c>
      <c r="R4109" s="33" t="s">
        <v>8665</v>
      </c>
      <c r="S4109">
        <v>36</v>
      </c>
      <c r="T4109" s="1" t="s">
        <v>8661</v>
      </c>
      <c r="U4109" s="1" t="str">
        <f>HYPERLINK("http://ictvonline.org/taxonomy/p/taxonomy-history?taxnode_id=202104221","ICTVonline=202104221")</f>
        <v>ICTVonline=202104221</v>
      </c>
    </row>
    <row r="4110" spans="1:21" x14ac:dyDescent="0.2">
      <c r="A4110" s="3">
        <v>4109</v>
      </c>
      <c r="B4110" s="1" t="s">
        <v>5250</v>
      </c>
      <c r="D4110" s="1" t="s">
        <v>5280</v>
      </c>
      <c r="F4110" s="1" t="s">
        <v>5281</v>
      </c>
      <c r="H4110" s="1" t="s">
        <v>5287</v>
      </c>
      <c r="J4110" s="1" t="s">
        <v>5288</v>
      </c>
      <c r="L4110" s="1" t="s">
        <v>1788</v>
      </c>
      <c r="M4110" s="1" t="s">
        <v>5311</v>
      </c>
      <c r="N4110" s="1" t="s">
        <v>5312</v>
      </c>
      <c r="P4110" s="1" t="s">
        <v>5314</v>
      </c>
      <c r="Q4110" s="30" t="s">
        <v>2891</v>
      </c>
      <c r="R4110" s="33" t="s">
        <v>3473</v>
      </c>
      <c r="S4110">
        <v>35</v>
      </c>
      <c r="T4110" s="1" t="s">
        <v>5291</v>
      </c>
      <c r="U4110" s="1" t="str">
        <f>HYPERLINK("http://ictvonline.org/taxonomy/p/taxonomy-history?taxnode_id=202104222","ICTVonline=202104222")</f>
        <v>ICTVonline=202104222</v>
      </c>
    </row>
    <row r="4111" spans="1:21" x14ac:dyDescent="0.2">
      <c r="A4111" s="3">
        <v>4110</v>
      </c>
      <c r="B4111" s="1" t="s">
        <v>5250</v>
      </c>
      <c r="D4111" s="1" t="s">
        <v>5280</v>
      </c>
      <c r="F4111" s="1" t="s">
        <v>5281</v>
      </c>
      <c r="H4111" s="1" t="s">
        <v>5287</v>
      </c>
      <c r="J4111" s="1" t="s">
        <v>5288</v>
      </c>
      <c r="L4111" s="1" t="s">
        <v>1788</v>
      </c>
      <c r="M4111" s="1" t="s">
        <v>5311</v>
      </c>
      <c r="N4111" s="1" t="s">
        <v>5315</v>
      </c>
      <c r="P4111" s="1" t="s">
        <v>5316</v>
      </c>
      <c r="Q4111" s="30" t="s">
        <v>2891</v>
      </c>
      <c r="R4111" s="33" t="s">
        <v>3472</v>
      </c>
      <c r="S4111">
        <v>35</v>
      </c>
      <c r="T4111" s="1" t="s">
        <v>5291</v>
      </c>
      <c r="U4111" s="1" t="str">
        <f>HYPERLINK("http://ictvonline.org/taxonomy/p/taxonomy-history?taxnode_id=202107331","ICTVonline=202107331")</f>
        <v>ICTVonline=202107331</v>
      </c>
    </row>
    <row r="4112" spans="1:21" x14ac:dyDescent="0.2">
      <c r="A4112" s="3">
        <v>4111</v>
      </c>
      <c r="B4112" s="1" t="s">
        <v>5250</v>
      </c>
      <c r="D4112" s="1" t="s">
        <v>5280</v>
      </c>
      <c r="F4112" s="1" t="s">
        <v>5281</v>
      </c>
      <c r="H4112" s="1" t="s">
        <v>5287</v>
      </c>
      <c r="J4112" s="1" t="s">
        <v>5288</v>
      </c>
      <c r="L4112" s="1" t="s">
        <v>1788</v>
      </c>
      <c r="M4112" s="1" t="s">
        <v>5311</v>
      </c>
      <c r="N4112" s="1" t="s">
        <v>5315</v>
      </c>
      <c r="P4112" s="1" t="s">
        <v>6279</v>
      </c>
      <c r="Q4112" s="30" t="s">
        <v>2891</v>
      </c>
      <c r="R4112" s="33" t="s">
        <v>3472</v>
      </c>
      <c r="S4112">
        <v>36</v>
      </c>
      <c r="T4112" s="1" t="s">
        <v>6272</v>
      </c>
      <c r="U4112" s="1" t="str">
        <f>HYPERLINK("http://ictvonline.org/taxonomy/p/taxonomy-history?taxnode_id=202109271","ICTVonline=202109271")</f>
        <v>ICTVonline=202109271</v>
      </c>
    </row>
    <row r="4113" spans="1:21" x14ac:dyDescent="0.2">
      <c r="A4113" s="3">
        <v>4112</v>
      </c>
      <c r="B4113" s="1" t="s">
        <v>5250</v>
      </c>
      <c r="D4113" s="1" t="s">
        <v>5280</v>
      </c>
      <c r="F4113" s="1" t="s">
        <v>5281</v>
      </c>
      <c r="H4113" s="1" t="s">
        <v>5287</v>
      </c>
      <c r="J4113" s="1" t="s">
        <v>5288</v>
      </c>
      <c r="L4113" s="1" t="s">
        <v>1788</v>
      </c>
      <c r="M4113" s="1" t="s">
        <v>5311</v>
      </c>
      <c r="N4113" s="1" t="s">
        <v>5315</v>
      </c>
      <c r="P4113" s="1" t="s">
        <v>5317</v>
      </c>
      <c r="Q4113" s="30" t="s">
        <v>2891</v>
      </c>
      <c r="R4113" s="33" t="s">
        <v>3472</v>
      </c>
      <c r="S4113">
        <v>35</v>
      </c>
      <c r="T4113" s="1" t="s">
        <v>5291</v>
      </c>
      <c r="U4113" s="1" t="str">
        <f>HYPERLINK("http://ictvonline.org/taxonomy/p/taxonomy-history?taxnode_id=202107332","ICTVonline=202107332")</f>
        <v>ICTVonline=202107332</v>
      </c>
    </row>
    <row r="4114" spans="1:21" x14ac:dyDescent="0.2">
      <c r="A4114" s="3">
        <v>4113</v>
      </c>
      <c r="B4114" s="1" t="s">
        <v>5250</v>
      </c>
      <c r="D4114" s="1" t="s">
        <v>5280</v>
      </c>
      <c r="F4114" s="1" t="s">
        <v>5281</v>
      </c>
      <c r="H4114" s="1" t="s">
        <v>5287</v>
      </c>
      <c r="J4114" s="1" t="s">
        <v>5288</v>
      </c>
      <c r="L4114" s="1" t="s">
        <v>1788</v>
      </c>
      <c r="M4114" s="1" t="s">
        <v>5311</v>
      </c>
      <c r="N4114" s="1" t="s">
        <v>5315</v>
      </c>
      <c r="P4114" s="1" t="s">
        <v>6280</v>
      </c>
      <c r="Q4114" s="30" t="s">
        <v>2891</v>
      </c>
      <c r="R4114" s="33" t="s">
        <v>3472</v>
      </c>
      <c r="S4114">
        <v>36</v>
      </c>
      <c r="T4114" s="1" t="s">
        <v>6272</v>
      </c>
      <c r="U4114" s="1" t="str">
        <f>HYPERLINK("http://ictvonline.org/taxonomy/p/taxonomy-history?taxnode_id=202109272","ICTVonline=202109272")</f>
        <v>ICTVonline=202109272</v>
      </c>
    </row>
    <row r="4115" spans="1:21" x14ac:dyDescent="0.2">
      <c r="A4115" s="3">
        <v>4114</v>
      </c>
      <c r="B4115" s="1" t="s">
        <v>5250</v>
      </c>
      <c r="D4115" s="1" t="s">
        <v>5280</v>
      </c>
      <c r="F4115" s="1" t="s">
        <v>5281</v>
      </c>
      <c r="H4115" s="1" t="s">
        <v>5287</v>
      </c>
      <c r="J4115" s="1" t="s">
        <v>5288</v>
      </c>
      <c r="L4115" s="1" t="s">
        <v>1788</v>
      </c>
      <c r="M4115" s="1" t="s">
        <v>5311</v>
      </c>
      <c r="N4115" s="1" t="s">
        <v>5315</v>
      </c>
      <c r="P4115" s="1" t="s">
        <v>6281</v>
      </c>
      <c r="Q4115" s="30" t="s">
        <v>2891</v>
      </c>
      <c r="R4115" s="33" t="s">
        <v>3472</v>
      </c>
      <c r="S4115">
        <v>36</v>
      </c>
      <c r="T4115" s="1" t="s">
        <v>6272</v>
      </c>
      <c r="U4115" s="1" t="str">
        <f>HYPERLINK("http://ictvonline.org/taxonomy/p/taxonomy-history?taxnode_id=202109273","ICTVonline=202109273")</f>
        <v>ICTVonline=202109273</v>
      </c>
    </row>
    <row r="4116" spans="1:21" x14ac:dyDescent="0.2">
      <c r="A4116" s="3">
        <v>4115</v>
      </c>
      <c r="B4116" s="1" t="s">
        <v>5250</v>
      </c>
      <c r="D4116" s="1" t="s">
        <v>5280</v>
      </c>
      <c r="F4116" s="1" t="s">
        <v>5281</v>
      </c>
      <c r="H4116" s="1" t="s">
        <v>5287</v>
      </c>
      <c r="J4116" s="1" t="s">
        <v>5288</v>
      </c>
      <c r="L4116" s="1" t="s">
        <v>1788</v>
      </c>
      <c r="M4116" s="1" t="s">
        <v>5311</v>
      </c>
      <c r="N4116" s="1" t="s">
        <v>5315</v>
      </c>
      <c r="P4116" s="1" t="s">
        <v>6282</v>
      </c>
      <c r="Q4116" s="30" t="s">
        <v>2891</v>
      </c>
      <c r="R4116" s="33" t="s">
        <v>3472</v>
      </c>
      <c r="S4116">
        <v>36</v>
      </c>
      <c r="T4116" s="1" t="s">
        <v>6272</v>
      </c>
      <c r="U4116" s="1" t="str">
        <f>HYPERLINK("http://ictvonline.org/taxonomy/p/taxonomy-history?taxnode_id=202109274","ICTVonline=202109274")</f>
        <v>ICTVonline=202109274</v>
      </c>
    </row>
    <row r="4117" spans="1:21" x14ac:dyDescent="0.2">
      <c r="A4117" s="3">
        <v>4116</v>
      </c>
      <c r="B4117" s="1" t="s">
        <v>5250</v>
      </c>
      <c r="D4117" s="1" t="s">
        <v>5280</v>
      </c>
      <c r="F4117" s="1" t="s">
        <v>5281</v>
      </c>
      <c r="H4117" s="1" t="s">
        <v>5287</v>
      </c>
      <c r="J4117" s="1" t="s">
        <v>5288</v>
      </c>
      <c r="L4117" s="1" t="s">
        <v>1788</v>
      </c>
      <c r="M4117" s="1" t="s">
        <v>5311</v>
      </c>
      <c r="N4117" s="1" t="s">
        <v>5315</v>
      </c>
      <c r="P4117" s="1" t="s">
        <v>5318</v>
      </c>
      <c r="Q4117" s="30" t="s">
        <v>2891</v>
      </c>
      <c r="R4117" s="33" t="s">
        <v>3472</v>
      </c>
      <c r="S4117">
        <v>35</v>
      </c>
      <c r="T4117" s="1" t="s">
        <v>5291</v>
      </c>
      <c r="U4117" s="1" t="str">
        <f>HYPERLINK("http://ictvonline.org/taxonomy/p/taxonomy-history?taxnode_id=202107333","ICTVonline=202107333")</f>
        <v>ICTVonline=202107333</v>
      </c>
    </row>
    <row r="4118" spans="1:21" x14ac:dyDescent="0.2">
      <c r="A4118" s="3">
        <v>4117</v>
      </c>
      <c r="B4118" s="1" t="s">
        <v>5250</v>
      </c>
      <c r="D4118" s="1" t="s">
        <v>5280</v>
      </c>
      <c r="F4118" s="1" t="s">
        <v>5281</v>
      </c>
      <c r="H4118" s="1" t="s">
        <v>5287</v>
      </c>
      <c r="J4118" s="1" t="s">
        <v>5288</v>
      </c>
      <c r="L4118" s="1" t="s">
        <v>1788</v>
      </c>
      <c r="M4118" s="1" t="s">
        <v>5311</v>
      </c>
      <c r="N4118" s="1" t="s">
        <v>5315</v>
      </c>
      <c r="P4118" s="1" t="s">
        <v>5319</v>
      </c>
      <c r="Q4118" s="30" t="s">
        <v>2891</v>
      </c>
      <c r="R4118" s="33" t="s">
        <v>3472</v>
      </c>
      <c r="S4118">
        <v>35</v>
      </c>
      <c r="T4118" s="1" t="s">
        <v>5291</v>
      </c>
      <c r="U4118" s="1" t="str">
        <f>HYPERLINK("http://ictvonline.org/taxonomy/p/taxonomy-history?taxnode_id=202107334","ICTVonline=202107334")</f>
        <v>ICTVonline=202107334</v>
      </c>
    </row>
    <row r="4119" spans="1:21" x14ac:dyDescent="0.2">
      <c r="A4119" s="3">
        <v>4118</v>
      </c>
      <c r="B4119" s="1" t="s">
        <v>5250</v>
      </c>
      <c r="D4119" s="1" t="s">
        <v>5280</v>
      </c>
      <c r="F4119" s="1" t="s">
        <v>5281</v>
      </c>
      <c r="H4119" s="1" t="s">
        <v>5287</v>
      </c>
      <c r="J4119" s="1" t="s">
        <v>5288</v>
      </c>
      <c r="L4119" s="1" t="s">
        <v>1788</v>
      </c>
      <c r="M4119" s="1" t="s">
        <v>5311</v>
      </c>
      <c r="N4119" s="1" t="s">
        <v>5315</v>
      </c>
      <c r="P4119" s="1" t="s">
        <v>5320</v>
      </c>
      <c r="Q4119" s="30" t="s">
        <v>2891</v>
      </c>
      <c r="R4119" s="33" t="s">
        <v>3472</v>
      </c>
      <c r="S4119">
        <v>35</v>
      </c>
      <c r="T4119" s="1" t="s">
        <v>5291</v>
      </c>
      <c r="U4119" s="1" t="str">
        <f>HYPERLINK("http://ictvonline.org/taxonomy/p/taxonomy-history?taxnode_id=202107335","ICTVonline=202107335")</f>
        <v>ICTVonline=202107335</v>
      </c>
    </row>
    <row r="4120" spans="1:21" x14ac:dyDescent="0.2">
      <c r="A4120" s="3">
        <v>4119</v>
      </c>
      <c r="B4120" s="1" t="s">
        <v>5250</v>
      </c>
      <c r="D4120" s="1" t="s">
        <v>5280</v>
      </c>
      <c r="F4120" s="1" t="s">
        <v>5281</v>
      </c>
      <c r="H4120" s="1" t="s">
        <v>5287</v>
      </c>
      <c r="J4120" s="1" t="s">
        <v>5288</v>
      </c>
      <c r="L4120" s="1" t="s">
        <v>1788</v>
      </c>
      <c r="M4120" s="1" t="s">
        <v>5311</v>
      </c>
      <c r="N4120" s="1" t="s">
        <v>5315</v>
      </c>
      <c r="P4120" s="1" t="s">
        <v>6283</v>
      </c>
      <c r="Q4120" s="30" t="s">
        <v>2891</v>
      </c>
      <c r="R4120" s="33" t="s">
        <v>3472</v>
      </c>
      <c r="S4120">
        <v>36</v>
      </c>
      <c r="T4120" s="1" t="s">
        <v>6272</v>
      </c>
      <c r="U4120" s="1" t="str">
        <f>HYPERLINK("http://ictvonline.org/taxonomy/p/taxonomy-history?taxnode_id=202109275","ICTVonline=202109275")</f>
        <v>ICTVonline=202109275</v>
      </c>
    </row>
    <row r="4121" spans="1:21" x14ac:dyDescent="0.2">
      <c r="A4121" s="3">
        <v>4120</v>
      </c>
      <c r="B4121" s="1" t="s">
        <v>5250</v>
      </c>
      <c r="D4121" s="1" t="s">
        <v>5280</v>
      </c>
      <c r="F4121" s="1" t="s">
        <v>5281</v>
      </c>
      <c r="H4121" s="1" t="s">
        <v>5287</v>
      </c>
      <c r="J4121" s="1" t="s">
        <v>5288</v>
      </c>
      <c r="L4121" s="1" t="s">
        <v>1788</v>
      </c>
      <c r="M4121" s="1" t="s">
        <v>5311</v>
      </c>
      <c r="N4121" s="1" t="s">
        <v>5315</v>
      </c>
      <c r="P4121" s="1" t="s">
        <v>6284</v>
      </c>
      <c r="Q4121" s="30" t="s">
        <v>2891</v>
      </c>
      <c r="R4121" s="33" t="s">
        <v>3472</v>
      </c>
      <c r="S4121">
        <v>36</v>
      </c>
      <c r="T4121" s="1" t="s">
        <v>6272</v>
      </c>
      <c r="U4121" s="1" t="str">
        <f>HYPERLINK("http://ictvonline.org/taxonomy/p/taxonomy-history?taxnode_id=202109276","ICTVonline=202109276")</f>
        <v>ICTVonline=202109276</v>
      </c>
    </row>
    <row r="4122" spans="1:21" x14ac:dyDescent="0.2">
      <c r="A4122" s="3">
        <v>4121</v>
      </c>
      <c r="B4122" s="1" t="s">
        <v>5250</v>
      </c>
      <c r="D4122" s="1" t="s">
        <v>5280</v>
      </c>
      <c r="F4122" s="1" t="s">
        <v>5281</v>
      </c>
      <c r="H4122" s="1" t="s">
        <v>5287</v>
      </c>
      <c r="J4122" s="1" t="s">
        <v>5288</v>
      </c>
      <c r="L4122" s="1" t="s">
        <v>1788</v>
      </c>
      <c r="M4122" s="1" t="s">
        <v>5311</v>
      </c>
      <c r="N4122" s="1" t="s">
        <v>5315</v>
      </c>
      <c r="P4122" s="1" t="s">
        <v>6285</v>
      </c>
      <c r="Q4122" s="30" t="s">
        <v>2891</v>
      </c>
      <c r="R4122" s="33" t="s">
        <v>3472</v>
      </c>
      <c r="S4122">
        <v>36</v>
      </c>
      <c r="T4122" s="1" t="s">
        <v>6272</v>
      </c>
      <c r="U4122" s="1" t="str">
        <f>HYPERLINK("http://ictvonline.org/taxonomy/p/taxonomy-history?taxnode_id=202109277","ICTVonline=202109277")</f>
        <v>ICTVonline=202109277</v>
      </c>
    </row>
    <row r="4123" spans="1:21" x14ac:dyDescent="0.2">
      <c r="A4123" s="3">
        <v>4122</v>
      </c>
      <c r="B4123" s="1" t="s">
        <v>5250</v>
      </c>
      <c r="D4123" s="1" t="s">
        <v>5280</v>
      </c>
      <c r="F4123" s="1" t="s">
        <v>5281</v>
      </c>
      <c r="H4123" s="1" t="s">
        <v>5287</v>
      </c>
      <c r="J4123" s="1" t="s">
        <v>5288</v>
      </c>
      <c r="L4123" s="1" t="s">
        <v>1788</v>
      </c>
      <c r="M4123" s="1" t="s">
        <v>5311</v>
      </c>
      <c r="N4123" s="1" t="s">
        <v>5315</v>
      </c>
      <c r="P4123" s="1" t="s">
        <v>6286</v>
      </c>
      <c r="Q4123" s="30" t="s">
        <v>2891</v>
      </c>
      <c r="R4123" s="33" t="s">
        <v>3472</v>
      </c>
      <c r="S4123">
        <v>36</v>
      </c>
      <c r="T4123" s="1" t="s">
        <v>6272</v>
      </c>
      <c r="U4123" s="1" t="str">
        <f>HYPERLINK("http://ictvonline.org/taxonomy/p/taxonomy-history?taxnode_id=202109278","ICTVonline=202109278")</f>
        <v>ICTVonline=202109278</v>
      </c>
    </row>
    <row r="4124" spans="1:21" x14ac:dyDescent="0.2">
      <c r="A4124" s="3">
        <v>4123</v>
      </c>
      <c r="B4124" s="1" t="s">
        <v>5250</v>
      </c>
      <c r="D4124" s="1" t="s">
        <v>5280</v>
      </c>
      <c r="F4124" s="1" t="s">
        <v>5281</v>
      </c>
      <c r="H4124" s="1" t="s">
        <v>5287</v>
      </c>
      <c r="J4124" s="1" t="s">
        <v>5288</v>
      </c>
      <c r="L4124" s="1" t="s">
        <v>1788</v>
      </c>
      <c r="M4124" s="1" t="s">
        <v>5311</v>
      </c>
      <c r="N4124" s="1" t="s">
        <v>5315</v>
      </c>
      <c r="P4124" s="1" t="s">
        <v>5321</v>
      </c>
      <c r="Q4124" s="30" t="s">
        <v>2891</v>
      </c>
      <c r="R4124" s="33" t="s">
        <v>8665</v>
      </c>
      <c r="S4124">
        <v>36</v>
      </c>
      <c r="T4124" s="1" t="s">
        <v>8661</v>
      </c>
      <c r="U4124" s="1" t="str">
        <f>HYPERLINK("http://ictvonline.org/taxonomy/p/taxonomy-history?taxnode_id=202107329","ICTVonline=202107329")</f>
        <v>ICTVonline=202107329</v>
      </c>
    </row>
    <row r="4125" spans="1:21" x14ac:dyDescent="0.2">
      <c r="A4125" s="3">
        <v>4124</v>
      </c>
      <c r="B4125" s="1" t="s">
        <v>5250</v>
      </c>
      <c r="D4125" s="1" t="s">
        <v>5280</v>
      </c>
      <c r="F4125" s="1" t="s">
        <v>5281</v>
      </c>
      <c r="H4125" s="1" t="s">
        <v>5287</v>
      </c>
      <c r="J4125" s="1" t="s">
        <v>5288</v>
      </c>
      <c r="L4125" s="1" t="s">
        <v>1788</v>
      </c>
      <c r="M4125" s="1" t="s">
        <v>5311</v>
      </c>
      <c r="N4125" s="1" t="s">
        <v>5315</v>
      </c>
      <c r="P4125" s="1" t="s">
        <v>5322</v>
      </c>
      <c r="Q4125" s="30" t="s">
        <v>2891</v>
      </c>
      <c r="R4125" s="33" t="s">
        <v>3472</v>
      </c>
      <c r="S4125">
        <v>35</v>
      </c>
      <c r="T4125" s="1" t="s">
        <v>5291</v>
      </c>
      <c r="U4125" s="1" t="str">
        <f>HYPERLINK("http://ictvonline.org/taxonomy/p/taxonomy-history?taxnode_id=202107330","ICTVonline=202107330")</f>
        <v>ICTVonline=202107330</v>
      </c>
    </row>
    <row r="4126" spans="1:21" x14ac:dyDescent="0.2">
      <c r="A4126" s="3">
        <v>4125</v>
      </c>
      <c r="B4126" s="1" t="s">
        <v>5250</v>
      </c>
      <c r="D4126" s="1" t="s">
        <v>5280</v>
      </c>
      <c r="F4126" s="1" t="s">
        <v>5281</v>
      </c>
      <c r="H4126" s="1" t="s">
        <v>5287</v>
      </c>
      <c r="J4126" s="1" t="s">
        <v>5288</v>
      </c>
      <c r="L4126" s="1" t="s">
        <v>1788</v>
      </c>
      <c r="M4126" s="1" t="s">
        <v>5311</v>
      </c>
      <c r="N4126" s="1" t="s">
        <v>5315</v>
      </c>
      <c r="P4126" s="1" t="s">
        <v>5323</v>
      </c>
      <c r="Q4126" s="30" t="s">
        <v>2891</v>
      </c>
      <c r="R4126" s="33" t="s">
        <v>3472</v>
      </c>
      <c r="S4126">
        <v>35</v>
      </c>
      <c r="T4126" s="1" t="s">
        <v>5291</v>
      </c>
      <c r="U4126" s="1" t="str">
        <f>HYPERLINK("http://ictvonline.org/taxonomy/p/taxonomy-history?taxnode_id=202107328","ICTVonline=202107328")</f>
        <v>ICTVonline=202107328</v>
      </c>
    </row>
    <row r="4127" spans="1:21" x14ac:dyDescent="0.2">
      <c r="A4127" s="3">
        <v>4126</v>
      </c>
      <c r="B4127" s="1" t="s">
        <v>5250</v>
      </c>
      <c r="D4127" s="1" t="s">
        <v>5280</v>
      </c>
      <c r="F4127" s="1" t="s">
        <v>5281</v>
      </c>
      <c r="H4127" s="1" t="s">
        <v>5287</v>
      </c>
      <c r="J4127" s="1" t="s">
        <v>5288</v>
      </c>
      <c r="L4127" s="1" t="s">
        <v>1788</v>
      </c>
      <c r="M4127" s="1" t="s">
        <v>5311</v>
      </c>
      <c r="N4127" s="1" t="s">
        <v>5324</v>
      </c>
      <c r="P4127" s="1" t="s">
        <v>5325</v>
      </c>
      <c r="Q4127" s="30" t="s">
        <v>2891</v>
      </c>
      <c r="R4127" s="33" t="s">
        <v>8665</v>
      </c>
      <c r="S4127">
        <v>36</v>
      </c>
      <c r="T4127" s="1" t="s">
        <v>8661</v>
      </c>
      <c r="U4127" s="1" t="str">
        <f>HYPERLINK("http://ictvonline.org/taxonomy/p/taxonomy-history?taxnode_id=202104224","ICTVonline=202104224")</f>
        <v>ICTVonline=202104224</v>
      </c>
    </row>
    <row r="4128" spans="1:21" x14ac:dyDescent="0.2">
      <c r="A4128" s="3">
        <v>4127</v>
      </c>
      <c r="B4128" s="1" t="s">
        <v>5250</v>
      </c>
      <c r="D4128" s="1" t="s">
        <v>5280</v>
      </c>
      <c r="F4128" s="1" t="s">
        <v>5281</v>
      </c>
      <c r="H4128" s="1" t="s">
        <v>5287</v>
      </c>
      <c r="J4128" s="1" t="s">
        <v>5288</v>
      </c>
      <c r="L4128" s="1" t="s">
        <v>1788</v>
      </c>
      <c r="M4128" s="1" t="s">
        <v>5311</v>
      </c>
      <c r="N4128" s="1" t="s">
        <v>5326</v>
      </c>
      <c r="P4128" s="1" t="s">
        <v>5327</v>
      </c>
      <c r="Q4128" s="30" t="s">
        <v>2891</v>
      </c>
      <c r="R4128" s="33" t="s">
        <v>8665</v>
      </c>
      <c r="S4128">
        <v>36</v>
      </c>
      <c r="T4128" s="1" t="s">
        <v>8661</v>
      </c>
      <c r="U4128" s="1" t="str">
        <f>HYPERLINK("http://ictvonline.org/taxonomy/p/taxonomy-history?taxnode_id=202107326","ICTVonline=202107326")</f>
        <v>ICTVonline=202107326</v>
      </c>
    </row>
    <row r="4129" spans="1:21" x14ac:dyDescent="0.2">
      <c r="A4129" s="3">
        <v>4128</v>
      </c>
      <c r="B4129" s="1" t="s">
        <v>5250</v>
      </c>
      <c r="D4129" s="1" t="s">
        <v>5280</v>
      </c>
      <c r="F4129" s="1" t="s">
        <v>5281</v>
      </c>
      <c r="H4129" s="1" t="s">
        <v>5287</v>
      </c>
      <c r="J4129" s="1" t="s">
        <v>5288</v>
      </c>
      <c r="L4129" s="1" t="s">
        <v>1788</v>
      </c>
      <c r="M4129" s="1" t="s">
        <v>5311</v>
      </c>
      <c r="N4129" s="1" t="s">
        <v>5302</v>
      </c>
      <c r="P4129" s="1" t="s">
        <v>5303</v>
      </c>
      <c r="Q4129" s="30" t="s">
        <v>2891</v>
      </c>
      <c r="R4129" s="33" t="s">
        <v>8665</v>
      </c>
      <c r="S4129">
        <v>36</v>
      </c>
      <c r="T4129" s="1" t="s">
        <v>8661</v>
      </c>
      <c r="U4129" s="1" t="str">
        <f>HYPERLINK("http://ictvonline.org/taxonomy/p/taxonomy-history?taxnode_id=202104232","ICTVonline=202104232")</f>
        <v>ICTVonline=202104232</v>
      </c>
    </row>
    <row r="4130" spans="1:21" x14ac:dyDescent="0.2">
      <c r="A4130" s="3">
        <v>4129</v>
      </c>
      <c r="B4130" s="1" t="s">
        <v>5250</v>
      </c>
      <c r="D4130" s="1" t="s">
        <v>5280</v>
      </c>
      <c r="F4130" s="1" t="s">
        <v>5281</v>
      </c>
      <c r="H4130" s="1" t="s">
        <v>5287</v>
      </c>
      <c r="J4130" s="1" t="s">
        <v>5288</v>
      </c>
      <c r="L4130" s="1" t="s">
        <v>1788</v>
      </c>
      <c r="M4130" s="1" t="s">
        <v>1506</v>
      </c>
      <c r="N4130" s="1" t="s">
        <v>2385</v>
      </c>
      <c r="P4130" s="1" t="s">
        <v>2386</v>
      </c>
      <c r="Q4130" s="30" t="s">
        <v>2568</v>
      </c>
      <c r="R4130" s="33" t="s">
        <v>8665</v>
      </c>
      <c r="S4130">
        <v>36</v>
      </c>
      <c r="T4130" s="1" t="s">
        <v>8661</v>
      </c>
      <c r="U4130" s="1" t="str">
        <f>HYPERLINK("http://ictvonline.org/taxonomy/p/taxonomy-history?taxnode_id=202104237","ICTVonline=202104237")</f>
        <v>ICTVonline=202104237</v>
      </c>
    </row>
    <row r="4131" spans="1:21" x14ac:dyDescent="0.2">
      <c r="A4131" s="3">
        <v>4130</v>
      </c>
      <c r="B4131" s="1" t="s">
        <v>5250</v>
      </c>
      <c r="D4131" s="1" t="s">
        <v>5280</v>
      </c>
      <c r="F4131" s="1" t="s">
        <v>5281</v>
      </c>
      <c r="H4131" s="1" t="s">
        <v>5287</v>
      </c>
      <c r="J4131" s="1" t="s">
        <v>5288</v>
      </c>
      <c r="L4131" s="1" t="s">
        <v>1788</v>
      </c>
      <c r="M4131" s="1" t="s">
        <v>1506</v>
      </c>
      <c r="N4131" s="1" t="s">
        <v>2385</v>
      </c>
      <c r="P4131" s="1" t="s">
        <v>2387</v>
      </c>
      <c r="Q4131" s="30" t="s">
        <v>2568</v>
      </c>
      <c r="R4131" s="33" t="s">
        <v>3474</v>
      </c>
      <c r="S4131">
        <v>35</v>
      </c>
      <c r="T4131" s="1" t="s">
        <v>5259</v>
      </c>
      <c r="U4131" s="1" t="str">
        <f>HYPERLINK("http://ictvonline.org/taxonomy/p/taxonomy-history?taxnode_id=202104238","ICTVonline=202104238")</f>
        <v>ICTVonline=202104238</v>
      </c>
    </row>
    <row r="4132" spans="1:21" x14ac:dyDescent="0.2">
      <c r="A4132" s="3">
        <v>4131</v>
      </c>
      <c r="B4132" s="1" t="s">
        <v>5250</v>
      </c>
      <c r="D4132" s="1" t="s">
        <v>5280</v>
      </c>
      <c r="F4132" s="1" t="s">
        <v>5281</v>
      </c>
      <c r="H4132" s="1" t="s">
        <v>5287</v>
      </c>
      <c r="J4132" s="1" t="s">
        <v>5288</v>
      </c>
      <c r="L4132" s="1" t="s">
        <v>1788</v>
      </c>
      <c r="M4132" s="1" t="s">
        <v>1506</v>
      </c>
      <c r="N4132" s="1" t="s">
        <v>2385</v>
      </c>
      <c r="P4132" s="1" t="s">
        <v>3920</v>
      </c>
      <c r="Q4132" s="30" t="s">
        <v>2568</v>
      </c>
      <c r="R4132" s="33" t="s">
        <v>3474</v>
      </c>
      <c r="S4132">
        <v>35</v>
      </c>
      <c r="T4132" s="1" t="s">
        <v>5259</v>
      </c>
      <c r="U4132" s="1" t="str">
        <f>HYPERLINK("http://ictvonline.org/taxonomy/p/taxonomy-history?taxnode_id=202105887","ICTVonline=202105887")</f>
        <v>ICTVonline=202105887</v>
      </c>
    </row>
    <row r="4133" spans="1:21" x14ac:dyDescent="0.2">
      <c r="A4133" s="3">
        <v>4132</v>
      </c>
      <c r="B4133" s="1" t="s">
        <v>5250</v>
      </c>
      <c r="D4133" s="1" t="s">
        <v>5280</v>
      </c>
      <c r="F4133" s="1" t="s">
        <v>5281</v>
      </c>
      <c r="H4133" s="1" t="s">
        <v>5287</v>
      </c>
      <c r="J4133" s="1" t="s">
        <v>5288</v>
      </c>
      <c r="L4133" s="1" t="s">
        <v>1788</v>
      </c>
      <c r="M4133" s="1" t="s">
        <v>1506</v>
      </c>
      <c r="N4133" s="1" t="s">
        <v>2385</v>
      </c>
      <c r="P4133" s="1" t="s">
        <v>3921</v>
      </c>
      <c r="Q4133" s="30" t="s">
        <v>2568</v>
      </c>
      <c r="R4133" s="33" t="s">
        <v>3474</v>
      </c>
      <c r="S4133">
        <v>35</v>
      </c>
      <c r="T4133" s="1" t="s">
        <v>5259</v>
      </c>
      <c r="U4133" s="1" t="str">
        <f>HYPERLINK("http://ictvonline.org/taxonomy/p/taxonomy-history?taxnode_id=202105888","ICTVonline=202105888")</f>
        <v>ICTVonline=202105888</v>
      </c>
    </row>
    <row r="4134" spans="1:21" x14ac:dyDescent="0.2">
      <c r="A4134" s="3">
        <v>4133</v>
      </c>
      <c r="B4134" s="1" t="s">
        <v>5250</v>
      </c>
      <c r="D4134" s="1" t="s">
        <v>5280</v>
      </c>
      <c r="F4134" s="1" t="s">
        <v>5281</v>
      </c>
      <c r="H4134" s="1" t="s">
        <v>5287</v>
      </c>
      <c r="J4134" s="1" t="s">
        <v>5288</v>
      </c>
      <c r="L4134" s="1" t="s">
        <v>1788</v>
      </c>
      <c r="M4134" s="1" t="s">
        <v>1506</v>
      </c>
      <c r="N4134" s="1" t="s">
        <v>2385</v>
      </c>
      <c r="P4134" s="1" t="s">
        <v>5328</v>
      </c>
      <c r="Q4134" s="30" t="s">
        <v>2891</v>
      </c>
      <c r="R4134" s="33" t="s">
        <v>3472</v>
      </c>
      <c r="S4134">
        <v>35</v>
      </c>
      <c r="T4134" s="1" t="s">
        <v>5291</v>
      </c>
      <c r="U4134" s="1" t="str">
        <f>HYPERLINK("http://ictvonline.org/taxonomy/p/taxonomy-history?taxnode_id=202107355","ICTVonline=202107355")</f>
        <v>ICTVonline=202107355</v>
      </c>
    </row>
    <row r="4135" spans="1:21" x14ac:dyDescent="0.2">
      <c r="A4135" s="3">
        <v>4134</v>
      </c>
      <c r="B4135" s="1" t="s">
        <v>5250</v>
      </c>
      <c r="D4135" s="1" t="s">
        <v>5280</v>
      </c>
      <c r="F4135" s="1" t="s">
        <v>5281</v>
      </c>
      <c r="H4135" s="1" t="s">
        <v>5287</v>
      </c>
      <c r="J4135" s="1" t="s">
        <v>5288</v>
      </c>
      <c r="L4135" s="1" t="s">
        <v>1788</v>
      </c>
      <c r="M4135" s="1" t="s">
        <v>1506</v>
      </c>
      <c r="N4135" s="1" t="s">
        <v>5329</v>
      </c>
      <c r="P4135" s="1" t="s">
        <v>5330</v>
      </c>
      <c r="Q4135" s="30" t="s">
        <v>2891</v>
      </c>
      <c r="R4135" s="33" t="s">
        <v>8665</v>
      </c>
      <c r="S4135">
        <v>36</v>
      </c>
      <c r="T4135" s="1" t="s">
        <v>8661</v>
      </c>
      <c r="U4135" s="1" t="str">
        <f>HYPERLINK("http://ictvonline.org/taxonomy/p/taxonomy-history?taxnode_id=202107337","ICTVonline=202107337")</f>
        <v>ICTVonline=202107337</v>
      </c>
    </row>
    <row r="4136" spans="1:21" x14ac:dyDescent="0.2">
      <c r="A4136" s="3">
        <v>4135</v>
      </c>
      <c r="B4136" s="1" t="s">
        <v>5250</v>
      </c>
      <c r="D4136" s="1" t="s">
        <v>5280</v>
      </c>
      <c r="F4136" s="1" t="s">
        <v>5281</v>
      </c>
      <c r="H4136" s="1" t="s">
        <v>5287</v>
      </c>
      <c r="J4136" s="1" t="s">
        <v>5288</v>
      </c>
      <c r="L4136" s="1" t="s">
        <v>1788</v>
      </c>
      <c r="M4136" s="1" t="s">
        <v>1506</v>
      </c>
      <c r="N4136" s="1" t="s">
        <v>2388</v>
      </c>
      <c r="P4136" s="1" t="s">
        <v>6287</v>
      </c>
      <c r="Q4136" s="30" t="s">
        <v>2891</v>
      </c>
      <c r="R4136" s="33" t="s">
        <v>3472</v>
      </c>
      <c r="S4136">
        <v>36</v>
      </c>
      <c r="T4136" s="1" t="s">
        <v>6272</v>
      </c>
      <c r="U4136" s="1" t="str">
        <f>HYPERLINK("http://ictvonline.org/taxonomy/p/taxonomy-history?taxnode_id=202109279","ICTVonline=202109279")</f>
        <v>ICTVonline=202109279</v>
      </c>
    </row>
    <row r="4137" spans="1:21" x14ac:dyDescent="0.2">
      <c r="A4137" s="3">
        <v>4136</v>
      </c>
      <c r="B4137" s="1" t="s">
        <v>5250</v>
      </c>
      <c r="D4137" s="1" t="s">
        <v>5280</v>
      </c>
      <c r="F4137" s="1" t="s">
        <v>5281</v>
      </c>
      <c r="H4137" s="1" t="s">
        <v>5287</v>
      </c>
      <c r="J4137" s="1" t="s">
        <v>5288</v>
      </c>
      <c r="L4137" s="1" t="s">
        <v>1788</v>
      </c>
      <c r="M4137" s="1" t="s">
        <v>1506</v>
      </c>
      <c r="N4137" s="1" t="s">
        <v>2388</v>
      </c>
      <c r="P4137" s="1" t="s">
        <v>2389</v>
      </c>
      <c r="Q4137" s="30" t="s">
        <v>2568</v>
      </c>
      <c r="R4137" s="33" t="s">
        <v>8665</v>
      </c>
      <c r="S4137">
        <v>36</v>
      </c>
      <c r="T4137" s="1" t="s">
        <v>8661</v>
      </c>
      <c r="U4137" s="1" t="str">
        <f>HYPERLINK("http://ictvonline.org/taxonomy/p/taxonomy-history?taxnode_id=202104240","ICTVonline=202104240")</f>
        <v>ICTVonline=202104240</v>
      </c>
    </row>
    <row r="4138" spans="1:21" x14ac:dyDescent="0.2">
      <c r="A4138" s="3">
        <v>4137</v>
      </c>
      <c r="B4138" s="1" t="s">
        <v>5250</v>
      </c>
      <c r="D4138" s="1" t="s">
        <v>5280</v>
      </c>
      <c r="F4138" s="1" t="s">
        <v>5281</v>
      </c>
      <c r="H4138" s="1" t="s">
        <v>5287</v>
      </c>
      <c r="J4138" s="1" t="s">
        <v>5288</v>
      </c>
      <c r="L4138" s="1" t="s">
        <v>1788</v>
      </c>
      <c r="M4138" s="1" t="s">
        <v>1506</v>
      </c>
      <c r="N4138" s="1" t="s">
        <v>2388</v>
      </c>
      <c r="P4138" s="1" t="s">
        <v>5331</v>
      </c>
      <c r="Q4138" s="30" t="s">
        <v>2891</v>
      </c>
      <c r="R4138" s="33" t="s">
        <v>3472</v>
      </c>
      <c r="S4138">
        <v>35</v>
      </c>
      <c r="T4138" s="1" t="s">
        <v>5291</v>
      </c>
      <c r="U4138" s="1" t="str">
        <f>HYPERLINK("http://ictvonline.org/taxonomy/p/taxonomy-history?taxnode_id=202107350","ICTVonline=202107350")</f>
        <v>ICTVonline=202107350</v>
      </c>
    </row>
    <row r="4139" spans="1:21" x14ac:dyDescent="0.2">
      <c r="A4139" s="3">
        <v>4138</v>
      </c>
      <c r="B4139" s="1" t="s">
        <v>5250</v>
      </c>
      <c r="D4139" s="1" t="s">
        <v>5280</v>
      </c>
      <c r="F4139" s="1" t="s">
        <v>5281</v>
      </c>
      <c r="H4139" s="1" t="s">
        <v>5287</v>
      </c>
      <c r="J4139" s="1" t="s">
        <v>5288</v>
      </c>
      <c r="L4139" s="1" t="s">
        <v>1788</v>
      </c>
      <c r="M4139" s="1" t="s">
        <v>1506</v>
      </c>
      <c r="N4139" s="1" t="s">
        <v>2390</v>
      </c>
      <c r="P4139" s="1" t="s">
        <v>2391</v>
      </c>
      <c r="Q4139" s="30" t="s">
        <v>2568</v>
      </c>
      <c r="R4139" s="33" t="s">
        <v>3474</v>
      </c>
      <c r="S4139">
        <v>35</v>
      </c>
      <c r="T4139" s="1" t="s">
        <v>5259</v>
      </c>
      <c r="U4139" s="1" t="str">
        <f>HYPERLINK("http://ictvonline.org/taxonomy/p/taxonomy-history?taxnode_id=202104242","ICTVonline=202104242")</f>
        <v>ICTVonline=202104242</v>
      </c>
    </row>
    <row r="4140" spans="1:21" x14ac:dyDescent="0.2">
      <c r="A4140" s="3">
        <v>4139</v>
      </c>
      <c r="B4140" s="1" t="s">
        <v>5250</v>
      </c>
      <c r="D4140" s="1" t="s">
        <v>5280</v>
      </c>
      <c r="F4140" s="1" t="s">
        <v>5281</v>
      </c>
      <c r="H4140" s="1" t="s">
        <v>5287</v>
      </c>
      <c r="J4140" s="1" t="s">
        <v>5288</v>
      </c>
      <c r="L4140" s="1" t="s">
        <v>1788</v>
      </c>
      <c r="M4140" s="1" t="s">
        <v>1506</v>
      </c>
      <c r="N4140" s="1" t="s">
        <v>2390</v>
      </c>
      <c r="P4140" s="1" t="s">
        <v>2392</v>
      </c>
      <c r="Q4140" s="30" t="s">
        <v>2568</v>
      </c>
      <c r="R4140" s="33" t="s">
        <v>3474</v>
      </c>
      <c r="S4140">
        <v>35</v>
      </c>
      <c r="T4140" s="1" t="s">
        <v>5259</v>
      </c>
      <c r="U4140" s="1" t="str">
        <f>HYPERLINK("http://ictvonline.org/taxonomy/p/taxonomy-history?taxnode_id=202104243","ICTVonline=202104243")</f>
        <v>ICTVonline=202104243</v>
      </c>
    </row>
    <row r="4141" spans="1:21" x14ac:dyDescent="0.2">
      <c r="A4141" s="3">
        <v>4140</v>
      </c>
      <c r="B4141" s="1" t="s">
        <v>5250</v>
      </c>
      <c r="D4141" s="1" t="s">
        <v>5280</v>
      </c>
      <c r="F4141" s="1" t="s">
        <v>5281</v>
      </c>
      <c r="H4141" s="1" t="s">
        <v>5287</v>
      </c>
      <c r="J4141" s="1" t="s">
        <v>5288</v>
      </c>
      <c r="L4141" s="1" t="s">
        <v>1788</v>
      </c>
      <c r="M4141" s="1" t="s">
        <v>1506</v>
      </c>
      <c r="N4141" s="1" t="s">
        <v>2390</v>
      </c>
      <c r="P4141" s="1" t="s">
        <v>2393</v>
      </c>
      <c r="Q4141" s="30" t="s">
        <v>2568</v>
      </c>
      <c r="R4141" s="33" t="s">
        <v>3474</v>
      </c>
      <c r="S4141">
        <v>35</v>
      </c>
      <c r="T4141" s="1" t="s">
        <v>5259</v>
      </c>
      <c r="U4141" s="1" t="str">
        <f>HYPERLINK("http://ictvonline.org/taxonomy/p/taxonomy-history?taxnode_id=202104244","ICTVonline=202104244")</f>
        <v>ICTVonline=202104244</v>
      </c>
    </row>
    <row r="4142" spans="1:21" x14ac:dyDescent="0.2">
      <c r="A4142" s="3">
        <v>4141</v>
      </c>
      <c r="B4142" s="1" t="s">
        <v>5250</v>
      </c>
      <c r="D4142" s="1" t="s">
        <v>5280</v>
      </c>
      <c r="F4142" s="1" t="s">
        <v>5281</v>
      </c>
      <c r="H4142" s="1" t="s">
        <v>5287</v>
      </c>
      <c r="J4142" s="1" t="s">
        <v>5288</v>
      </c>
      <c r="L4142" s="1" t="s">
        <v>1788</v>
      </c>
      <c r="M4142" s="1" t="s">
        <v>1506</v>
      </c>
      <c r="N4142" s="1" t="s">
        <v>2390</v>
      </c>
      <c r="P4142" s="1" t="s">
        <v>3922</v>
      </c>
      <c r="Q4142" s="30" t="s">
        <v>2568</v>
      </c>
      <c r="R4142" s="33" t="s">
        <v>3474</v>
      </c>
      <c r="S4142">
        <v>35</v>
      </c>
      <c r="T4142" s="1" t="s">
        <v>5259</v>
      </c>
      <c r="U4142" s="1" t="str">
        <f>HYPERLINK("http://ictvonline.org/taxonomy/p/taxonomy-history?taxnode_id=202105889","ICTVonline=202105889")</f>
        <v>ICTVonline=202105889</v>
      </c>
    </row>
    <row r="4143" spans="1:21" x14ac:dyDescent="0.2">
      <c r="A4143" s="3">
        <v>4142</v>
      </c>
      <c r="B4143" s="1" t="s">
        <v>5250</v>
      </c>
      <c r="D4143" s="1" t="s">
        <v>5280</v>
      </c>
      <c r="F4143" s="1" t="s">
        <v>5281</v>
      </c>
      <c r="H4143" s="1" t="s">
        <v>5287</v>
      </c>
      <c r="J4143" s="1" t="s">
        <v>5288</v>
      </c>
      <c r="L4143" s="1" t="s">
        <v>1788</v>
      </c>
      <c r="M4143" s="1" t="s">
        <v>1506</v>
      </c>
      <c r="N4143" s="1" t="s">
        <v>2390</v>
      </c>
      <c r="P4143" s="1" t="s">
        <v>3923</v>
      </c>
      <c r="Q4143" s="30" t="s">
        <v>2568</v>
      </c>
      <c r="R4143" s="33" t="s">
        <v>3474</v>
      </c>
      <c r="S4143">
        <v>35</v>
      </c>
      <c r="T4143" s="1" t="s">
        <v>5259</v>
      </c>
      <c r="U4143" s="1" t="str">
        <f>HYPERLINK("http://ictvonline.org/taxonomy/p/taxonomy-history?taxnode_id=202105890","ICTVonline=202105890")</f>
        <v>ICTVonline=202105890</v>
      </c>
    </row>
    <row r="4144" spans="1:21" x14ac:dyDescent="0.2">
      <c r="A4144" s="3">
        <v>4143</v>
      </c>
      <c r="B4144" s="1" t="s">
        <v>5250</v>
      </c>
      <c r="D4144" s="1" t="s">
        <v>5280</v>
      </c>
      <c r="F4144" s="1" t="s">
        <v>5281</v>
      </c>
      <c r="H4144" s="1" t="s">
        <v>5287</v>
      </c>
      <c r="J4144" s="1" t="s">
        <v>5288</v>
      </c>
      <c r="L4144" s="1" t="s">
        <v>1788</v>
      </c>
      <c r="M4144" s="1" t="s">
        <v>1506</v>
      </c>
      <c r="N4144" s="1" t="s">
        <v>2390</v>
      </c>
      <c r="P4144" s="1" t="s">
        <v>3924</v>
      </c>
      <c r="Q4144" s="30" t="s">
        <v>2568</v>
      </c>
      <c r="R4144" s="33" t="s">
        <v>3474</v>
      </c>
      <c r="S4144">
        <v>35</v>
      </c>
      <c r="T4144" s="1" t="s">
        <v>5259</v>
      </c>
      <c r="U4144" s="1" t="str">
        <f>HYPERLINK("http://ictvonline.org/taxonomy/p/taxonomy-history?taxnode_id=202105891","ICTVonline=202105891")</f>
        <v>ICTVonline=202105891</v>
      </c>
    </row>
    <row r="4145" spans="1:21" x14ac:dyDescent="0.2">
      <c r="A4145" s="3">
        <v>4144</v>
      </c>
      <c r="B4145" s="1" t="s">
        <v>5250</v>
      </c>
      <c r="D4145" s="1" t="s">
        <v>5280</v>
      </c>
      <c r="F4145" s="1" t="s">
        <v>5281</v>
      </c>
      <c r="H4145" s="1" t="s">
        <v>5287</v>
      </c>
      <c r="J4145" s="1" t="s">
        <v>5288</v>
      </c>
      <c r="L4145" s="1" t="s">
        <v>1788</v>
      </c>
      <c r="M4145" s="1" t="s">
        <v>1506</v>
      </c>
      <c r="N4145" s="1" t="s">
        <v>2390</v>
      </c>
      <c r="P4145" s="1" t="s">
        <v>3925</v>
      </c>
      <c r="Q4145" s="30" t="s">
        <v>2568</v>
      </c>
      <c r="R4145" s="33" t="s">
        <v>3474</v>
      </c>
      <c r="S4145">
        <v>35</v>
      </c>
      <c r="T4145" s="1" t="s">
        <v>5259</v>
      </c>
      <c r="U4145" s="1" t="str">
        <f>HYPERLINK("http://ictvonline.org/taxonomy/p/taxonomy-history?taxnode_id=202105892","ICTVonline=202105892")</f>
        <v>ICTVonline=202105892</v>
      </c>
    </row>
    <row r="4146" spans="1:21" x14ac:dyDescent="0.2">
      <c r="A4146" s="3">
        <v>4145</v>
      </c>
      <c r="B4146" s="1" t="s">
        <v>5250</v>
      </c>
      <c r="D4146" s="1" t="s">
        <v>5280</v>
      </c>
      <c r="F4146" s="1" t="s">
        <v>5281</v>
      </c>
      <c r="H4146" s="1" t="s">
        <v>5287</v>
      </c>
      <c r="J4146" s="1" t="s">
        <v>5288</v>
      </c>
      <c r="L4146" s="1" t="s">
        <v>1788</v>
      </c>
      <c r="M4146" s="1" t="s">
        <v>1506</v>
      </c>
      <c r="N4146" s="1" t="s">
        <v>2390</v>
      </c>
      <c r="P4146" s="1" t="s">
        <v>3926</v>
      </c>
      <c r="Q4146" s="30" t="s">
        <v>2568</v>
      </c>
      <c r="R4146" s="33" t="s">
        <v>3474</v>
      </c>
      <c r="S4146">
        <v>35</v>
      </c>
      <c r="T4146" s="1" t="s">
        <v>5259</v>
      </c>
      <c r="U4146" s="1" t="str">
        <f>HYPERLINK("http://ictvonline.org/taxonomy/p/taxonomy-history?taxnode_id=202105893","ICTVonline=202105893")</f>
        <v>ICTVonline=202105893</v>
      </c>
    </row>
    <row r="4147" spans="1:21" x14ac:dyDescent="0.2">
      <c r="A4147" s="3">
        <v>4146</v>
      </c>
      <c r="B4147" s="1" t="s">
        <v>5250</v>
      </c>
      <c r="D4147" s="1" t="s">
        <v>5280</v>
      </c>
      <c r="F4147" s="1" t="s">
        <v>5281</v>
      </c>
      <c r="H4147" s="1" t="s">
        <v>5287</v>
      </c>
      <c r="J4147" s="1" t="s">
        <v>5288</v>
      </c>
      <c r="L4147" s="1" t="s">
        <v>1788</v>
      </c>
      <c r="M4147" s="1" t="s">
        <v>1506</v>
      </c>
      <c r="N4147" s="1" t="s">
        <v>2390</v>
      </c>
      <c r="P4147" s="1" t="s">
        <v>3927</v>
      </c>
      <c r="Q4147" s="30" t="s">
        <v>2568</v>
      </c>
      <c r="R4147" s="33" t="s">
        <v>3474</v>
      </c>
      <c r="S4147">
        <v>35</v>
      </c>
      <c r="T4147" s="1" t="s">
        <v>5259</v>
      </c>
      <c r="U4147" s="1" t="str">
        <f>HYPERLINK("http://ictvonline.org/taxonomy/p/taxonomy-history?taxnode_id=202105894","ICTVonline=202105894")</f>
        <v>ICTVonline=202105894</v>
      </c>
    </row>
    <row r="4148" spans="1:21" x14ac:dyDescent="0.2">
      <c r="A4148" s="3">
        <v>4147</v>
      </c>
      <c r="B4148" s="1" t="s">
        <v>5250</v>
      </c>
      <c r="D4148" s="1" t="s">
        <v>5280</v>
      </c>
      <c r="F4148" s="1" t="s">
        <v>5281</v>
      </c>
      <c r="H4148" s="1" t="s">
        <v>5287</v>
      </c>
      <c r="J4148" s="1" t="s">
        <v>5288</v>
      </c>
      <c r="L4148" s="1" t="s">
        <v>1788</v>
      </c>
      <c r="M4148" s="1" t="s">
        <v>1506</v>
      </c>
      <c r="N4148" s="1" t="s">
        <v>2390</v>
      </c>
      <c r="P4148" s="1" t="s">
        <v>3928</v>
      </c>
      <c r="Q4148" s="30" t="s">
        <v>2568</v>
      </c>
      <c r="R4148" s="33" t="s">
        <v>3474</v>
      </c>
      <c r="S4148">
        <v>35</v>
      </c>
      <c r="T4148" s="1" t="s">
        <v>5259</v>
      </c>
      <c r="U4148" s="1" t="str">
        <f>HYPERLINK("http://ictvonline.org/taxonomy/p/taxonomy-history?taxnode_id=202105895","ICTVonline=202105895")</f>
        <v>ICTVonline=202105895</v>
      </c>
    </row>
    <row r="4149" spans="1:21" x14ac:dyDescent="0.2">
      <c r="A4149" s="3">
        <v>4148</v>
      </c>
      <c r="B4149" s="1" t="s">
        <v>5250</v>
      </c>
      <c r="D4149" s="1" t="s">
        <v>5280</v>
      </c>
      <c r="F4149" s="1" t="s">
        <v>5281</v>
      </c>
      <c r="H4149" s="1" t="s">
        <v>5287</v>
      </c>
      <c r="J4149" s="1" t="s">
        <v>5288</v>
      </c>
      <c r="L4149" s="1" t="s">
        <v>1788</v>
      </c>
      <c r="M4149" s="1" t="s">
        <v>1506</v>
      </c>
      <c r="N4149" s="1" t="s">
        <v>2390</v>
      </c>
      <c r="P4149" s="1" t="s">
        <v>6288</v>
      </c>
      <c r="Q4149" s="30" t="s">
        <v>2891</v>
      </c>
      <c r="R4149" s="33" t="s">
        <v>3472</v>
      </c>
      <c r="S4149">
        <v>36</v>
      </c>
      <c r="T4149" s="1" t="s">
        <v>6272</v>
      </c>
      <c r="U4149" s="1" t="str">
        <f>HYPERLINK("http://ictvonline.org/taxonomy/p/taxonomy-history?taxnode_id=202109280","ICTVonline=202109280")</f>
        <v>ICTVonline=202109280</v>
      </c>
    </row>
    <row r="4150" spans="1:21" x14ac:dyDescent="0.2">
      <c r="A4150" s="3">
        <v>4149</v>
      </c>
      <c r="B4150" s="1" t="s">
        <v>5250</v>
      </c>
      <c r="D4150" s="1" t="s">
        <v>5280</v>
      </c>
      <c r="F4150" s="1" t="s">
        <v>5281</v>
      </c>
      <c r="H4150" s="1" t="s">
        <v>5287</v>
      </c>
      <c r="J4150" s="1" t="s">
        <v>5288</v>
      </c>
      <c r="L4150" s="1" t="s">
        <v>1788</v>
      </c>
      <c r="M4150" s="1" t="s">
        <v>1506</v>
      </c>
      <c r="N4150" s="1" t="s">
        <v>2390</v>
      </c>
      <c r="P4150" s="1" t="s">
        <v>3929</v>
      </c>
      <c r="Q4150" s="30" t="s">
        <v>2568</v>
      </c>
      <c r="R4150" s="33" t="s">
        <v>3474</v>
      </c>
      <c r="S4150">
        <v>35</v>
      </c>
      <c r="T4150" s="1" t="s">
        <v>5259</v>
      </c>
      <c r="U4150" s="1" t="str">
        <f>HYPERLINK("http://ictvonline.org/taxonomy/p/taxonomy-history?taxnode_id=202105896","ICTVonline=202105896")</f>
        <v>ICTVonline=202105896</v>
      </c>
    </row>
    <row r="4151" spans="1:21" x14ac:dyDescent="0.2">
      <c r="A4151" s="3">
        <v>4150</v>
      </c>
      <c r="B4151" s="1" t="s">
        <v>5250</v>
      </c>
      <c r="D4151" s="1" t="s">
        <v>5280</v>
      </c>
      <c r="F4151" s="1" t="s">
        <v>5281</v>
      </c>
      <c r="H4151" s="1" t="s">
        <v>5287</v>
      </c>
      <c r="J4151" s="1" t="s">
        <v>5288</v>
      </c>
      <c r="L4151" s="1" t="s">
        <v>1788</v>
      </c>
      <c r="M4151" s="1" t="s">
        <v>1506</v>
      </c>
      <c r="N4151" s="1" t="s">
        <v>2390</v>
      </c>
      <c r="P4151" s="1" t="s">
        <v>2394</v>
      </c>
      <c r="Q4151" s="30" t="s">
        <v>2568</v>
      </c>
      <c r="R4151" s="33" t="s">
        <v>3474</v>
      </c>
      <c r="S4151">
        <v>35</v>
      </c>
      <c r="T4151" s="1" t="s">
        <v>5259</v>
      </c>
      <c r="U4151" s="1" t="str">
        <f>HYPERLINK("http://ictvonline.org/taxonomy/p/taxonomy-history?taxnode_id=202104245","ICTVonline=202104245")</f>
        <v>ICTVonline=202104245</v>
      </c>
    </row>
    <row r="4152" spans="1:21" x14ac:dyDescent="0.2">
      <c r="A4152" s="3">
        <v>4151</v>
      </c>
      <c r="B4152" s="1" t="s">
        <v>5250</v>
      </c>
      <c r="D4152" s="1" t="s">
        <v>5280</v>
      </c>
      <c r="F4152" s="1" t="s">
        <v>5281</v>
      </c>
      <c r="H4152" s="1" t="s">
        <v>5287</v>
      </c>
      <c r="J4152" s="1" t="s">
        <v>5288</v>
      </c>
      <c r="L4152" s="1" t="s">
        <v>1788</v>
      </c>
      <c r="M4152" s="1" t="s">
        <v>1506</v>
      </c>
      <c r="N4152" s="1" t="s">
        <v>2390</v>
      </c>
      <c r="P4152" s="1" t="s">
        <v>2395</v>
      </c>
      <c r="Q4152" s="30" t="s">
        <v>2568</v>
      </c>
      <c r="R4152" s="33" t="s">
        <v>3474</v>
      </c>
      <c r="S4152">
        <v>35</v>
      </c>
      <c r="T4152" s="1" t="s">
        <v>5259</v>
      </c>
      <c r="U4152" s="1" t="str">
        <f>HYPERLINK("http://ictvonline.org/taxonomy/p/taxonomy-history?taxnode_id=202104246","ICTVonline=202104246")</f>
        <v>ICTVonline=202104246</v>
      </c>
    </row>
    <row r="4153" spans="1:21" x14ac:dyDescent="0.2">
      <c r="A4153" s="3">
        <v>4152</v>
      </c>
      <c r="B4153" s="1" t="s">
        <v>5250</v>
      </c>
      <c r="D4153" s="1" t="s">
        <v>5280</v>
      </c>
      <c r="F4153" s="1" t="s">
        <v>5281</v>
      </c>
      <c r="H4153" s="1" t="s">
        <v>5287</v>
      </c>
      <c r="J4153" s="1" t="s">
        <v>5288</v>
      </c>
      <c r="L4153" s="1" t="s">
        <v>1788</v>
      </c>
      <c r="M4153" s="1" t="s">
        <v>1506</v>
      </c>
      <c r="N4153" s="1" t="s">
        <v>2390</v>
      </c>
      <c r="P4153" s="1" t="s">
        <v>2396</v>
      </c>
      <c r="Q4153" s="30" t="s">
        <v>2568</v>
      </c>
      <c r="R4153" s="33" t="s">
        <v>3474</v>
      </c>
      <c r="S4153">
        <v>35</v>
      </c>
      <c r="T4153" s="1" t="s">
        <v>5259</v>
      </c>
      <c r="U4153" s="1" t="str">
        <f>HYPERLINK("http://ictvonline.org/taxonomy/p/taxonomy-history?taxnode_id=202104247","ICTVonline=202104247")</f>
        <v>ICTVonline=202104247</v>
      </c>
    </row>
    <row r="4154" spans="1:21" x14ac:dyDescent="0.2">
      <c r="A4154" s="3">
        <v>4153</v>
      </c>
      <c r="B4154" s="1" t="s">
        <v>5250</v>
      </c>
      <c r="D4154" s="1" t="s">
        <v>5280</v>
      </c>
      <c r="F4154" s="1" t="s">
        <v>5281</v>
      </c>
      <c r="H4154" s="1" t="s">
        <v>5287</v>
      </c>
      <c r="J4154" s="1" t="s">
        <v>5288</v>
      </c>
      <c r="L4154" s="1" t="s">
        <v>1788</v>
      </c>
      <c r="M4154" s="1" t="s">
        <v>1506</v>
      </c>
      <c r="N4154" s="1" t="s">
        <v>2390</v>
      </c>
      <c r="P4154" s="1" t="s">
        <v>2397</v>
      </c>
      <c r="Q4154" s="30" t="s">
        <v>2568</v>
      </c>
      <c r="R4154" s="33" t="s">
        <v>3474</v>
      </c>
      <c r="S4154">
        <v>35</v>
      </c>
      <c r="T4154" s="1" t="s">
        <v>5259</v>
      </c>
      <c r="U4154" s="1" t="str">
        <f>HYPERLINK("http://ictvonline.org/taxonomy/p/taxonomy-history?taxnode_id=202104248","ICTVonline=202104248")</f>
        <v>ICTVonline=202104248</v>
      </c>
    </row>
    <row r="4155" spans="1:21" x14ac:dyDescent="0.2">
      <c r="A4155" s="3">
        <v>4154</v>
      </c>
      <c r="B4155" s="1" t="s">
        <v>5250</v>
      </c>
      <c r="D4155" s="1" t="s">
        <v>5280</v>
      </c>
      <c r="F4155" s="1" t="s">
        <v>5281</v>
      </c>
      <c r="H4155" s="1" t="s">
        <v>5287</v>
      </c>
      <c r="J4155" s="1" t="s">
        <v>5288</v>
      </c>
      <c r="L4155" s="1" t="s">
        <v>1788</v>
      </c>
      <c r="M4155" s="1" t="s">
        <v>1506</v>
      </c>
      <c r="N4155" s="1" t="s">
        <v>2390</v>
      </c>
      <c r="P4155" s="1" t="s">
        <v>6289</v>
      </c>
      <c r="Q4155" s="30" t="s">
        <v>2891</v>
      </c>
      <c r="R4155" s="33" t="s">
        <v>3472</v>
      </c>
      <c r="S4155">
        <v>36</v>
      </c>
      <c r="T4155" s="1" t="s">
        <v>6272</v>
      </c>
      <c r="U4155" s="1" t="str">
        <f>HYPERLINK("http://ictvonline.org/taxonomy/p/taxonomy-history?taxnode_id=202109281","ICTVonline=202109281")</f>
        <v>ICTVonline=202109281</v>
      </c>
    </row>
    <row r="4156" spans="1:21" x14ac:dyDescent="0.2">
      <c r="A4156" s="3">
        <v>4155</v>
      </c>
      <c r="B4156" s="1" t="s">
        <v>5250</v>
      </c>
      <c r="D4156" s="1" t="s">
        <v>5280</v>
      </c>
      <c r="F4156" s="1" t="s">
        <v>5281</v>
      </c>
      <c r="H4156" s="1" t="s">
        <v>5287</v>
      </c>
      <c r="J4156" s="1" t="s">
        <v>5288</v>
      </c>
      <c r="L4156" s="1" t="s">
        <v>1788</v>
      </c>
      <c r="M4156" s="1" t="s">
        <v>1506</v>
      </c>
      <c r="N4156" s="1" t="s">
        <v>2390</v>
      </c>
      <c r="P4156" s="1" t="s">
        <v>5332</v>
      </c>
      <c r="Q4156" s="30" t="s">
        <v>2891</v>
      </c>
      <c r="R4156" s="33" t="s">
        <v>3472</v>
      </c>
      <c r="S4156">
        <v>35</v>
      </c>
      <c r="T4156" s="1" t="s">
        <v>5291</v>
      </c>
      <c r="U4156" s="1" t="str">
        <f>HYPERLINK("http://ictvonline.org/taxonomy/p/taxonomy-history?taxnode_id=202107348","ICTVonline=202107348")</f>
        <v>ICTVonline=202107348</v>
      </c>
    </row>
    <row r="4157" spans="1:21" x14ac:dyDescent="0.2">
      <c r="A4157" s="3">
        <v>4156</v>
      </c>
      <c r="B4157" s="1" t="s">
        <v>5250</v>
      </c>
      <c r="D4157" s="1" t="s">
        <v>5280</v>
      </c>
      <c r="F4157" s="1" t="s">
        <v>5281</v>
      </c>
      <c r="H4157" s="1" t="s">
        <v>5287</v>
      </c>
      <c r="J4157" s="1" t="s">
        <v>5288</v>
      </c>
      <c r="L4157" s="1" t="s">
        <v>1788</v>
      </c>
      <c r="M4157" s="1" t="s">
        <v>1506</v>
      </c>
      <c r="N4157" s="1" t="s">
        <v>2390</v>
      </c>
      <c r="P4157" s="1" t="s">
        <v>5333</v>
      </c>
      <c r="Q4157" s="30" t="s">
        <v>2891</v>
      </c>
      <c r="R4157" s="33" t="s">
        <v>3472</v>
      </c>
      <c r="S4157">
        <v>35</v>
      </c>
      <c r="T4157" s="1" t="s">
        <v>5291</v>
      </c>
      <c r="U4157" s="1" t="str">
        <f>HYPERLINK("http://ictvonline.org/taxonomy/p/taxonomy-history?taxnode_id=202107349","ICTVonline=202107349")</f>
        <v>ICTVonline=202107349</v>
      </c>
    </row>
    <row r="4158" spans="1:21" x14ac:dyDescent="0.2">
      <c r="A4158" s="3">
        <v>4157</v>
      </c>
      <c r="B4158" s="1" t="s">
        <v>5250</v>
      </c>
      <c r="D4158" s="1" t="s">
        <v>5280</v>
      </c>
      <c r="F4158" s="1" t="s">
        <v>5281</v>
      </c>
      <c r="H4158" s="1" t="s">
        <v>5287</v>
      </c>
      <c r="J4158" s="1" t="s">
        <v>5288</v>
      </c>
      <c r="L4158" s="1" t="s">
        <v>1788</v>
      </c>
      <c r="M4158" s="1" t="s">
        <v>1506</v>
      </c>
      <c r="N4158" s="1" t="s">
        <v>2390</v>
      </c>
      <c r="P4158" s="1" t="s">
        <v>2398</v>
      </c>
      <c r="Q4158" s="30" t="s">
        <v>2568</v>
      </c>
      <c r="R4158" s="33" t="s">
        <v>8665</v>
      </c>
      <c r="S4158">
        <v>36</v>
      </c>
      <c r="T4158" s="1" t="s">
        <v>8661</v>
      </c>
      <c r="U4158" s="1" t="str">
        <f>HYPERLINK("http://ictvonline.org/taxonomy/p/taxonomy-history?taxnode_id=202104249","ICTVonline=202104249")</f>
        <v>ICTVonline=202104249</v>
      </c>
    </row>
    <row r="4159" spans="1:21" x14ac:dyDescent="0.2">
      <c r="A4159" s="3">
        <v>4158</v>
      </c>
      <c r="B4159" s="1" t="s">
        <v>5250</v>
      </c>
      <c r="D4159" s="1" t="s">
        <v>5280</v>
      </c>
      <c r="F4159" s="1" t="s">
        <v>5281</v>
      </c>
      <c r="H4159" s="1" t="s">
        <v>5287</v>
      </c>
      <c r="J4159" s="1" t="s">
        <v>5288</v>
      </c>
      <c r="L4159" s="1" t="s">
        <v>1788</v>
      </c>
      <c r="M4159" s="1" t="s">
        <v>1506</v>
      </c>
      <c r="N4159" s="1" t="s">
        <v>2390</v>
      </c>
      <c r="P4159" s="1" t="s">
        <v>2399</v>
      </c>
      <c r="Q4159" s="30" t="s">
        <v>2568</v>
      </c>
      <c r="R4159" s="33" t="s">
        <v>3474</v>
      </c>
      <c r="S4159">
        <v>35</v>
      </c>
      <c r="T4159" s="1" t="s">
        <v>5259</v>
      </c>
      <c r="U4159" s="1" t="str">
        <f>HYPERLINK("http://ictvonline.org/taxonomy/p/taxonomy-history?taxnode_id=202104250","ICTVonline=202104250")</f>
        <v>ICTVonline=202104250</v>
      </c>
    </row>
    <row r="4160" spans="1:21" x14ac:dyDescent="0.2">
      <c r="A4160" s="3">
        <v>4159</v>
      </c>
      <c r="B4160" s="1" t="s">
        <v>5250</v>
      </c>
      <c r="D4160" s="1" t="s">
        <v>5280</v>
      </c>
      <c r="F4160" s="1" t="s">
        <v>5281</v>
      </c>
      <c r="H4160" s="1" t="s">
        <v>5287</v>
      </c>
      <c r="J4160" s="1" t="s">
        <v>5288</v>
      </c>
      <c r="L4160" s="1" t="s">
        <v>1788</v>
      </c>
      <c r="M4160" s="1" t="s">
        <v>1506</v>
      </c>
      <c r="N4160" s="1" t="s">
        <v>2390</v>
      </c>
      <c r="P4160" s="1" t="s">
        <v>2400</v>
      </c>
      <c r="Q4160" s="30" t="s">
        <v>2568</v>
      </c>
      <c r="R4160" s="33" t="s">
        <v>3474</v>
      </c>
      <c r="S4160">
        <v>35</v>
      </c>
      <c r="T4160" s="1" t="s">
        <v>5259</v>
      </c>
      <c r="U4160" s="1" t="str">
        <f>HYPERLINK("http://ictvonline.org/taxonomy/p/taxonomy-history?taxnode_id=202104251","ICTVonline=202104251")</f>
        <v>ICTVonline=202104251</v>
      </c>
    </row>
    <row r="4161" spans="1:21" x14ac:dyDescent="0.2">
      <c r="A4161" s="3">
        <v>4160</v>
      </c>
      <c r="B4161" s="1" t="s">
        <v>5250</v>
      </c>
      <c r="D4161" s="1" t="s">
        <v>5280</v>
      </c>
      <c r="F4161" s="1" t="s">
        <v>5281</v>
      </c>
      <c r="H4161" s="1" t="s">
        <v>5287</v>
      </c>
      <c r="J4161" s="1" t="s">
        <v>5288</v>
      </c>
      <c r="L4161" s="1" t="s">
        <v>1788</v>
      </c>
      <c r="M4161" s="1" t="s">
        <v>1506</v>
      </c>
      <c r="N4161" s="1" t="s">
        <v>2390</v>
      </c>
      <c r="P4161" s="1" t="s">
        <v>2401</v>
      </c>
      <c r="Q4161" s="30" t="s">
        <v>2568</v>
      </c>
      <c r="R4161" s="33" t="s">
        <v>3474</v>
      </c>
      <c r="S4161">
        <v>35</v>
      </c>
      <c r="T4161" s="1" t="s">
        <v>5259</v>
      </c>
      <c r="U4161" s="1" t="str">
        <f>HYPERLINK("http://ictvonline.org/taxonomy/p/taxonomy-history?taxnode_id=202104252","ICTVonline=202104252")</f>
        <v>ICTVonline=202104252</v>
      </c>
    </row>
    <row r="4162" spans="1:21" x14ac:dyDescent="0.2">
      <c r="A4162" s="3">
        <v>4161</v>
      </c>
      <c r="B4162" s="1" t="s">
        <v>5250</v>
      </c>
      <c r="D4162" s="1" t="s">
        <v>5280</v>
      </c>
      <c r="F4162" s="1" t="s">
        <v>5281</v>
      </c>
      <c r="H4162" s="1" t="s">
        <v>5287</v>
      </c>
      <c r="J4162" s="1" t="s">
        <v>5288</v>
      </c>
      <c r="L4162" s="1" t="s">
        <v>1788</v>
      </c>
      <c r="M4162" s="1" t="s">
        <v>1506</v>
      </c>
      <c r="N4162" s="1" t="s">
        <v>2390</v>
      </c>
      <c r="P4162" s="1" t="s">
        <v>2402</v>
      </c>
      <c r="Q4162" s="30" t="s">
        <v>2568</v>
      </c>
      <c r="R4162" s="33" t="s">
        <v>3474</v>
      </c>
      <c r="S4162">
        <v>35</v>
      </c>
      <c r="T4162" s="1" t="s">
        <v>5259</v>
      </c>
      <c r="U4162" s="1" t="str">
        <f>HYPERLINK("http://ictvonline.org/taxonomy/p/taxonomy-history?taxnode_id=202104253","ICTVonline=202104253")</f>
        <v>ICTVonline=202104253</v>
      </c>
    </row>
    <row r="4163" spans="1:21" x14ac:dyDescent="0.2">
      <c r="A4163" s="3">
        <v>4162</v>
      </c>
      <c r="B4163" s="1" t="s">
        <v>5250</v>
      </c>
      <c r="D4163" s="1" t="s">
        <v>5280</v>
      </c>
      <c r="F4163" s="1" t="s">
        <v>5281</v>
      </c>
      <c r="H4163" s="1" t="s">
        <v>5287</v>
      </c>
      <c r="J4163" s="1" t="s">
        <v>5288</v>
      </c>
      <c r="L4163" s="1" t="s">
        <v>1788</v>
      </c>
      <c r="M4163" s="1" t="s">
        <v>1506</v>
      </c>
      <c r="N4163" s="1" t="s">
        <v>2390</v>
      </c>
      <c r="P4163" s="1" t="s">
        <v>3930</v>
      </c>
      <c r="Q4163" s="30" t="s">
        <v>2568</v>
      </c>
      <c r="R4163" s="33" t="s">
        <v>3474</v>
      </c>
      <c r="S4163">
        <v>35</v>
      </c>
      <c r="T4163" s="1" t="s">
        <v>5259</v>
      </c>
      <c r="U4163" s="1" t="str">
        <f>HYPERLINK("http://ictvonline.org/taxonomy/p/taxonomy-history?taxnode_id=202105897","ICTVonline=202105897")</f>
        <v>ICTVonline=202105897</v>
      </c>
    </row>
    <row r="4164" spans="1:21" x14ac:dyDescent="0.2">
      <c r="A4164" s="3">
        <v>4163</v>
      </c>
      <c r="B4164" s="1" t="s">
        <v>5250</v>
      </c>
      <c r="D4164" s="1" t="s">
        <v>5280</v>
      </c>
      <c r="F4164" s="1" t="s">
        <v>5281</v>
      </c>
      <c r="H4164" s="1" t="s">
        <v>5287</v>
      </c>
      <c r="J4164" s="1" t="s">
        <v>5288</v>
      </c>
      <c r="L4164" s="1" t="s">
        <v>1788</v>
      </c>
      <c r="M4164" s="1" t="s">
        <v>1506</v>
      </c>
      <c r="N4164" s="1" t="s">
        <v>2390</v>
      </c>
      <c r="P4164" s="1" t="s">
        <v>5334</v>
      </c>
      <c r="Q4164" s="30" t="s">
        <v>2891</v>
      </c>
      <c r="R4164" s="33" t="s">
        <v>3472</v>
      </c>
      <c r="S4164">
        <v>35</v>
      </c>
      <c r="T4164" s="1" t="s">
        <v>5291</v>
      </c>
      <c r="U4164" s="1" t="str">
        <f>HYPERLINK("http://ictvonline.org/taxonomy/p/taxonomy-history?taxnode_id=202107346","ICTVonline=202107346")</f>
        <v>ICTVonline=202107346</v>
      </c>
    </row>
    <row r="4165" spans="1:21" x14ac:dyDescent="0.2">
      <c r="A4165" s="3">
        <v>4164</v>
      </c>
      <c r="B4165" s="1" t="s">
        <v>5250</v>
      </c>
      <c r="D4165" s="1" t="s">
        <v>5280</v>
      </c>
      <c r="F4165" s="1" t="s">
        <v>5281</v>
      </c>
      <c r="H4165" s="1" t="s">
        <v>5287</v>
      </c>
      <c r="J4165" s="1" t="s">
        <v>5288</v>
      </c>
      <c r="L4165" s="1" t="s">
        <v>1788</v>
      </c>
      <c r="M4165" s="1" t="s">
        <v>1506</v>
      </c>
      <c r="N4165" s="1" t="s">
        <v>2390</v>
      </c>
      <c r="P4165" s="1" t="s">
        <v>5335</v>
      </c>
      <c r="Q4165" s="30" t="s">
        <v>2891</v>
      </c>
      <c r="R4165" s="33" t="s">
        <v>3472</v>
      </c>
      <c r="S4165">
        <v>35</v>
      </c>
      <c r="T4165" s="1" t="s">
        <v>5291</v>
      </c>
      <c r="U4165" s="1" t="str">
        <f>HYPERLINK("http://ictvonline.org/taxonomy/p/taxonomy-history?taxnode_id=202107347","ICTVonline=202107347")</f>
        <v>ICTVonline=202107347</v>
      </c>
    </row>
    <row r="4166" spans="1:21" x14ac:dyDescent="0.2">
      <c r="A4166" s="3">
        <v>4165</v>
      </c>
      <c r="B4166" s="1" t="s">
        <v>5250</v>
      </c>
      <c r="D4166" s="1" t="s">
        <v>5280</v>
      </c>
      <c r="F4166" s="1" t="s">
        <v>5281</v>
      </c>
      <c r="H4166" s="1" t="s">
        <v>5287</v>
      </c>
      <c r="J4166" s="1" t="s">
        <v>5288</v>
      </c>
      <c r="L4166" s="1" t="s">
        <v>1788</v>
      </c>
      <c r="M4166" s="1" t="s">
        <v>1506</v>
      </c>
      <c r="N4166" s="1" t="s">
        <v>2390</v>
      </c>
      <c r="P4166" s="1" t="s">
        <v>6290</v>
      </c>
      <c r="Q4166" s="30" t="s">
        <v>2891</v>
      </c>
      <c r="R4166" s="33" t="s">
        <v>3472</v>
      </c>
      <c r="S4166">
        <v>36</v>
      </c>
      <c r="T4166" s="1" t="s">
        <v>6272</v>
      </c>
      <c r="U4166" s="1" t="str">
        <f>HYPERLINK("http://ictvonline.org/taxonomy/p/taxonomy-history?taxnode_id=202109282","ICTVonline=202109282")</f>
        <v>ICTVonline=202109282</v>
      </c>
    </row>
    <row r="4167" spans="1:21" x14ac:dyDescent="0.2">
      <c r="A4167" s="3">
        <v>4166</v>
      </c>
      <c r="B4167" s="1" t="s">
        <v>5250</v>
      </c>
      <c r="D4167" s="1" t="s">
        <v>5280</v>
      </c>
      <c r="F4167" s="1" t="s">
        <v>5281</v>
      </c>
      <c r="H4167" s="1" t="s">
        <v>5287</v>
      </c>
      <c r="J4167" s="1" t="s">
        <v>5288</v>
      </c>
      <c r="L4167" s="1" t="s">
        <v>1788</v>
      </c>
      <c r="M4167" s="1" t="s">
        <v>1506</v>
      </c>
      <c r="N4167" s="1" t="s">
        <v>2403</v>
      </c>
      <c r="P4167" s="1" t="s">
        <v>5336</v>
      </c>
      <c r="Q4167" s="30" t="s">
        <v>2891</v>
      </c>
      <c r="R4167" s="33" t="s">
        <v>3472</v>
      </c>
      <c r="S4167">
        <v>35</v>
      </c>
      <c r="T4167" s="1" t="s">
        <v>5291</v>
      </c>
      <c r="U4167" s="1" t="str">
        <f>HYPERLINK("http://ictvonline.org/taxonomy/p/taxonomy-history?taxnode_id=202107344","ICTVonline=202107344")</f>
        <v>ICTVonline=202107344</v>
      </c>
    </row>
    <row r="4168" spans="1:21" x14ac:dyDescent="0.2">
      <c r="A4168" s="3">
        <v>4167</v>
      </c>
      <c r="B4168" s="1" t="s">
        <v>5250</v>
      </c>
      <c r="D4168" s="1" t="s">
        <v>5280</v>
      </c>
      <c r="F4168" s="1" t="s">
        <v>5281</v>
      </c>
      <c r="H4168" s="1" t="s">
        <v>5287</v>
      </c>
      <c r="J4168" s="1" t="s">
        <v>5288</v>
      </c>
      <c r="L4168" s="1" t="s">
        <v>1788</v>
      </c>
      <c r="M4168" s="1" t="s">
        <v>1506</v>
      </c>
      <c r="N4168" s="1" t="s">
        <v>2403</v>
      </c>
      <c r="P4168" s="1" t="s">
        <v>2404</v>
      </c>
      <c r="Q4168" s="30" t="s">
        <v>2568</v>
      </c>
      <c r="R4168" s="33" t="s">
        <v>8665</v>
      </c>
      <c r="S4168">
        <v>36</v>
      </c>
      <c r="T4168" s="1" t="s">
        <v>8661</v>
      </c>
      <c r="U4168" s="1" t="str">
        <f>HYPERLINK("http://ictvonline.org/taxonomy/p/taxonomy-history?taxnode_id=202104255","ICTVonline=202104255")</f>
        <v>ICTVonline=202104255</v>
      </c>
    </row>
    <row r="4169" spans="1:21" x14ac:dyDescent="0.2">
      <c r="A4169" s="3">
        <v>4168</v>
      </c>
      <c r="B4169" s="1" t="s">
        <v>5250</v>
      </c>
      <c r="D4169" s="1" t="s">
        <v>5280</v>
      </c>
      <c r="F4169" s="1" t="s">
        <v>5281</v>
      </c>
      <c r="H4169" s="1" t="s">
        <v>5287</v>
      </c>
      <c r="J4169" s="1" t="s">
        <v>5288</v>
      </c>
      <c r="L4169" s="1" t="s">
        <v>1788</v>
      </c>
      <c r="M4169" s="1" t="s">
        <v>1506</v>
      </c>
      <c r="N4169" s="1" t="s">
        <v>2403</v>
      </c>
      <c r="P4169" s="1" t="s">
        <v>2405</v>
      </c>
      <c r="Q4169" s="30" t="s">
        <v>2568</v>
      </c>
      <c r="R4169" s="33" t="s">
        <v>3474</v>
      </c>
      <c r="S4169">
        <v>35</v>
      </c>
      <c r="T4169" s="1" t="s">
        <v>5259</v>
      </c>
      <c r="U4169" s="1" t="str">
        <f>HYPERLINK("http://ictvonline.org/taxonomy/p/taxonomy-history?taxnode_id=202104256","ICTVonline=202104256")</f>
        <v>ICTVonline=202104256</v>
      </c>
    </row>
    <row r="4170" spans="1:21" x14ac:dyDescent="0.2">
      <c r="A4170" s="3">
        <v>4169</v>
      </c>
      <c r="B4170" s="1" t="s">
        <v>5250</v>
      </c>
      <c r="D4170" s="1" t="s">
        <v>5280</v>
      </c>
      <c r="F4170" s="1" t="s">
        <v>5281</v>
      </c>
      <c r="H4170" s="1" t="s">
        <v>5287</v>
      </c>
      <c r="J4170" s="1" t="s">
        <v>5288</v>
      </c>
      <c r="L4170" s="1" t="s">
        <v>1788</v>
      </c>
      <c r="M4170" s="1" t="s">
        <v>1506</v>
      </c>
      <c r="N4170" s="1" t="s">
        <v>2403</v>
      </c>
      <c r="P4170" s="1" t="s">
        <v>5337</v>
      </c>
      <c r="Q4170" s="30" t="s">
        <v>2891</v>
      </c>
      <c r="R4170" s="33" t="s">
        <v>3472</v>
      </c>
      <c r="S4170">
        <v>35</v>
      </c>
      <c r="T4170" s="1" t="s">
        <v>5291</v>
      </c>
      <c r="U4170" s="1" t="str">
        <f>HYPERLINK("http://ictvonline.org/taxonomy/p/taxonomy-history?taxnode_id=202107340","ICTVonline=202107340")</f>
        <v>ICTVonline=202107340</v>
      </c>
    </row>
    <row r="4171" spans="1:21" x14ac:dyDescent="0.2">
      <c r="A4171" s="3">
        <v>4170</v>
      </c>
      <c r="B4171" s="1" t="s">
        <v>5250</v>
      </c>
      <c r="D4171" s="1" t="s">
        <v>5280</v>
      </c>
      <c r="F4171" s="1" t="s">
        <v>5281</v>
      </c>
      <c r="H4171" s="1" t="s">
        <v>5287</v>
      </c>
      <c r="J4171" s="1" t="s">
        <v>5288</v>
      </c>
      <c r="L4171" s="1" t="s">
        <v>1788</v>
      </c>
      <c r="M4171" s="1" t="s">
        <v>1506</v>
      </c>
      <c r="N4171" s="1" t="s">
        <v>2403</v>
      </c>
      <c r="P4171" s="1" t="s">
        <v>5338</v>
      </c>
      <c r="Q4171" s="30" t="s">
        <v>2891</v>
      </c>
      <c r="R4171" s="33" t="s">
        <v>3472</v>
      </c>
      <c r="S4171">
        <v>35</v>
      </c>
      <c r="T4171" s="1" t="s">
        <v>5291</v>
      </c>
      <c r="U4171" s="1" t="str">
        <f>HYPERLINK("http://ictvonline.org/taxonomy/p/taxonomy-history?taxnode_id=202107341","ICTVonline=202107341")</f>
        <v>ICTVonline=202107341</v>
      </c>
    </row>
    <row r="4172" spans="1:21" x14ac:dyDescent="0.2">
      <c r="A4172" s="3">
        <v>4171</v>
      </c>
      <c r="B4172" s="1" t="s">
        <v>5250</v>
      </c>
      <c r="D4172" s="1" t="s">
        <v>5280</v>
      </c>
      <c r="F4172" s="1" t="s">
        <v>5281</v>
      </c>
      <c r="H4172" s="1" t="s">
        <v>5287</v>
      </c>
      <c r="J4172" s="1" t="s">
        <v>5288</v>
      </c>
      <c r="L4172" s="1" t="s">
        <v>1788</v>
      </c>
      <c r="M4172" s="1" t="s">
        <v>1506</v>
      </c>
      <c r="N4172" s="1" t="s">
        <v>2403</v>
      </c>
      <c r="P4172" s="1" t="s">
        <v>5339</v>
      </c>
      <c r="Q4172" s="30" t="s">
        <v>2891</v>
      </c>
      <c r="R4172" s="33" t="s">
        <v>3472</v>
      </c>
      <c r="S4172">
        <v>35</v>
      </c>
      <c r="T4172" s="1" t="s">
        <v>5291</v>
      </c>
      <c r="U4172" s="1" t="str">
        <f>HYPERLINK("http://ictvonline.org/taxonomy/p/taxonomy-history?taxnode_id=202107342","ICTVonline=202107342")</f>
        <v>ICTVonline=202107342</v>
      </c>
    </row>
    <row r="4173" spans="1:21" x14ac:dyDescent="0.2">
      <c r="A4173" s="3">
        <v>4172</v>
      </c>
      <c r="B4173" s="1" t="s">
        <v>5250</v>
      </c>
      <c r="D4173" s="1" t="s">
        <v>5280</v>
      </c>
      <c r="F4173" s="1" t="s">
        <v>5281</v>
      </c>
      <c r="H4173" s="1" t="s">
        <v>5287</v>
      </c>
      <c r="J4173" s="1" t="s">
        <v>5288</v>
      </c>
      <c r="L4173" s="1" t="s">
        <v>1788</v>
      </c>
      <c r="M4173" s="1" t="s">
        <v>1506</v>
      </c>
      <c r="N4173" s="1" t="s">
        <v>2403</v>
      </c>
      <c r="P4173" s="1" t="s">
        <v>5340</v>
      </c>
      <c r="Q4173" s="30" t="s">
        <v>2891</v>
      </c>
      <c r="R4173" s="33" t="s">
        <v>3472</v>
      </c>
      <c r="S4173">
        <v>35</v>
      </c>
      <c r="T4173" s="1" t="s">
        <v>5291</v>
      </c>
      <c r="U4173" s="1" t="str">
        <f>HYPERLINK("http://ictvonline.org/taxonomy/p/taxonomy-history?taxnode_id=202107343","ICTVonline=202107343")</f>
        <v>ICTVonline=202107343</v>
      </c>
    </row>
    <row r="4174" spans="1:21" x14ac:dyDescent="0.2">
      <c r="A4174" s="3">
        <v>4173</v>
      </c>
      <c r="B4174" s="1" t="s">
        <v>5250</v>
      </c>
      <c r="D4174" s="1" t="s">
        <v>5280</v>
      </c>
      <c r="F4174" s="1" t="s">
        <v>5281</v>
      </c>
      <c r="H4174" s="1" t="s">
        <v>5287</v>
      </c>
      <c r="J4174" s="1" t="s">
        <v>5288</v>
      </c>
      <c r="L4174" s="1" t="s">
        <v>1788</v>
      </c>
      <c r="M4174" s="1" t="s">
        <v>1506</v>
      </c>
      <c r="N4174" s="1" t="s">
        <v>2406</v>
      </c>
      <c r="P4174" s="1" t="s">
        <v>2407</v>
      </c>
      <c r="Q4174" s="30" t="s">
        <v>2568</v>
      </c>
      <c r="R4174" s="33" t="s">
        <v>8665</v>
      </c>
      <c r="S4174">
        <v>36</v>
      </c>
      <c r="T4174" s="1" t="s">
        <v>8661</v>
      </c>
      <c r="U4174" s="1" t="str">
        <f>HYPERLINK("http://ictvonline.org/taxonomy/p/taxonomy-history?taxnode_id=202104258","ICTVonline=202104258")</f>
        <v>ICTVonline=202104258</v>
      </c>
    </row>
    <row r="4175" spans="1:21" x14ac:dyDescent="0.2">
      <c r="A4175" s="3">
        <v>4174</v>
      </c>
      <c r="B4175" s="1" t="s">
        <v>5250</v>
      </c>
      <c r="D4175" s="1" t="s">
        <v>5280</v>
      </c>
      <c r="F4175" s="1" t="s">
        <v>5281</v>
      </c>
      <c r="H4175" s="1" t="s">
        <v>5287</v>
      </c>
      <c r="J4175" s="1" t="s">
        <v>5288</v>
      </c>
      <c r="L4175" s="1" t="s">
        <v>1788</v>
      </c>
      <c r="M4175" s="1" t="s">
        <v>1506</v>
      </c>
      <c r="N4175" s="1" t="s">
        <v>2406</v>
      </c>
      <c r="P4175" s="1" t="s">
        <v>2408</v>
      </c>
      <c r="Q4175" s="30" t="s">
        <v>2568</v>
      </c>
      <c r="R4175" s="33" t="s">
        <v>3474</v>
      </c>
      <c r="S4175">
        <v>35</v>
      </c>
      <c r="T4175" s="1" t="s">
        <v>5259</v>
      </c>
      <c r="U4175" s="1" t="str">
        <f>HYPERLINK("http://ictvonline.org/taxonomy/p/taxonomy-history?taxnode_id=202104259","ICTVonline=202104259")</f>
        <v>ICTVonline=202104259</v>
      </c>
    </row>
    <row r="4176" spans="1:21" x14ac:dyDescent="0.2">
      <c r="A4176" s="3">
        <v>4175</v>
      </c>
      <c r="B4176" s="1" t="s">
        <v>5250</v>
      </c>
      <c r="D4176" s="1" t="s">
        <v>5280</v>
      </c>
      <c r="F4176" s="1" t="s">
        <v>5281</v>
      </c>
      <c r="H4176" s="1" t="s">
        <v>5287</v>
      </c>
      <c r="J4176" s="1" t="s">
        <v>5288</v>
      </c>
      <c r="L4176" s="1" t="s">
        <v>1788</v>
      </c>
      <c r="M4176" s="1" t="s">
        <v>1506</v>
      </c>
      <c r="N4176" s="1" t="s">
        <v>2406</v>
      </c>
      <c r="P4176" s="1" t="s">
        <v>2409</v>
      </c>
      <c r="Q4176" s="30" t="s">
        <v>2568</v>
      </c>
      <c r="R4176" s="33" t="s">
        <v>3474</v>
      </c>
      <c r="S4176">
        <v>35</v>
      </c>
      <c r="T4176" s="1" t="s">
        <v>5259</v>
      </c>
      <c r="U4176" s="1" t="str">
        <f>HYPERLINK("http://ictvonline.org/taxonomy/p/taxonomy-history?taxnode_id=202104260","ICTVonline=202104260")</f>
        <v>ICTVonline=202104260</v>
      </c>
    </row>
    <row r="4177" spans="1:21" x14ac:dyDescent="0.2">
      <c r="A4177" s="3">
        <v>4176</v>
      </c>
      <c r="B4177" s="1" t="s">
        <v>5250</v>
      </c>
      <c r="D4177" s="1" t="s">
        <v>5280</v>
      </c>
      <c r="F4177" s="1" t="s">
        <v>5281</v>
      </c>
      <c r="H4177" s="1" t="s">
        <v>5287</v>
      </c>
      <c r="J4177" s="1" t="s">
        <v>5288</v>
      </c>
      <c r="L4177" s="1" t="s">
        <v>1788</v>
      </c>
      <c r="M4177" s="1" t="s">
        <v>1506</v>
      </c>
      <c r="N4177" s="1" t="s">
        <v>2406</v>
      </c>
      <c r="P4177" s="1" t="s">
        <v>2410</v>
      </c>
      <c r="Q4177" s="30" t="s">
        <v>2568</v>
      </c>
      <c r="R4177" s="33" t="s">
        <v>3474</v>
      </c>
      <c r="S4177">
        <v>35</v>
      </c>
      <c r="T4177" s="1" t="s">
        <v>5259</v>
      </c>
      <c r="U4177" s="1" t="str">
        <f>HYPERLINK("http://ictvonline.org/taxonomy/p/taxonomy-history?taxnode_id=202104261","ICTVonline=202104261")</f>
        <v>ICTVonline=202104261</v>
      </c>
    </row>
    <row r="4178" spans="1:21" x14ac:dyDescent="0.2">
      <c r="A4178" s="3">
        <v>4177</v>
      </c>
      <c r="B4178" s="1" t="s">
        <v>5250</v>
      </c>
      <c r="D4178" s="1" t="s">
        <v>5280</v>
      </c>
      <c r="F4178" s="1" t="s">
        <v>5281</v>
      </c>
      <c r="H4178" s="1" t="s">
        <v>5287</v>
      </c>
      <c r="J4178" s="1" t="s">
        <v>5288</v>
      </c>
      <c r="L4178" s="1" t="s">
        <v>1788</v>
      </c>
      <c r="M4178" s="1" t="s">
        <v>1506</v>
      </c>
      <c r="N4178" s="1" t="s">
        <v>2406</v>
      </c>
      <c r="P4178" s="1" t="s">
        <v>6291</v>
      </c>
      <c r="Q4178" s="30" t="s">
        <v>2891</v>
      </c>
      <c r="R4178" s="33" t="s">
        <v>3472</v>
      </c>
      <c r="S4178">
        <v>36</v>
      </c>
      <c r="T4178" s="1" t="s">
        <v>6272</v>
      </c>
      <c r="U4178" s="1" t="str">
        <f>HYPERLINK("http://ictvonline.org/taxonomy/p/taxonomy-history?taxnode_id=202109283","ICTVonline=202109283")</f>
        <v>ICTVonline=202109283</v>
      </c>
    </row>
    <row r="4179" spans="1:21" x14ac:dyDescent="0.2">
      <c r="A4179" s="3">
        <v>4178</v>
      </c>
      <c r="B4179" s="1" t="s">
        <v>5250</v>
      </c>
      <c r="D4179" s="1" t="s">
        <v>5280</v>
      </c>
      <c r="F4179" s="1" t="s">
        <v>5281</v>
      </c>
      <c r="H4179" s="1" t="s">
        <v>5287</v>
      </c>
      <c r="J4179" s="1" t="s">
        <v>5288</v>
      </c>
      <c r="L4179" s="1" t="s">
        <v>1788</v>
      </c>
      <c r="M4179" s="1" t="s">
        <v>1506</v>
      </c>
      <c r="N4179" s="1" t="s">
        <v>2406</v>
      </c>
      <c r="P4179" s="1" t="s">
        <v>2411</v>
      </c>
      <c r="Q4179" s="30" t="s">
        <v>2568</v>
      </c>
      <c r="R4179" s="33" t="s">
        <v>3474</v>
      </c>
      <c r="S4179">
        <v>35</v>
      </c>
      <c r="T4179" s="1" t="s">
        <v>5259</v>
      </c>
      <c r="U4179" s="1" t="str">
        <f>HYPERLINK("http://ictvonline.org/taxonomy/p/taxonomy-history?taxnode_id=202104262","ICTVonline=202104262")</f>
        <v>ICTVonline=202104262</v>
      </c>
    </row>
    <row r="4180" spans="1:21" x14ac:dyDescent="0.2">
      <c r="A4180" s="3">
        <v>4179</v>
      </c>
      <c r="B4180" s="1" t="s">
        <v>5250</v>
      </c>
      <c r="D4180" s="1" t="s">
        <v>5280</v>
      </c>
      <c r="F4180" s="1" t="s">
        <v>5281</v>
      </c>
      <c r="H4180" s="1" t="s">
        <v>5287</v>
      </c>
      <c r="J4180" s="1" t="s">
        <v>5288</v>
      </c>
      <c r="L4180" s="1" t="s">
        <v>1788</v>
      </c>
      <c r="M4180" s="1" t="s">
        <v>1506</v>
      </c>
      <c r="N4180" s="1" t="s">
        <v>2406</v>
      </c>
      <c r="P4180" s="1" t="s">
        <v>2412</v>
      </c>
      <c r="Q4180" s="30" t="s">
        <v>2568</v>
      </c>
      <c r="R4180" s="33" t="s">
        <v>3474</v>
      </c>
      <c r="S4180">
        <v>35</v>
      </c>
      <c r="T4180" s="1" t="s">
        <v>5259</v>
      </c>
      <c r="U4180" s="1" t="str">
        <f>HYPERLINK("http://ictvonline.org/taxonomy/p/taxonomy-history?taxnode_id=202104263","ICTVonline=202104263")</f>
        <v>ICTVonline=202104263</v>
      </c>
    </row>
    <row r="4181" spans="1:21" x14ac:dyDescent="0.2">
      <c r="A4181" s="3">
        <v>4180</v>
      </c>
      <c r="B4181" s="1" t="s">
        <v>5250</v>
      </c>
      <c r="D4181" s="1" t="s">
        <v>5280</v>
      </c>
      <c r="F4181" s="1" t="s">
        <v>5281</v>
      </c>
      <c r="H4181" s="1" t="s">
        <v>5287</v>
      </c>
      <c r="J4181" s="1" t="s">
        <v>5288</v>
      </c>
      <c r="L4181" s="1" t="s">
        <v>1788</v>
      </c>
      <c r="M4181" s="1" t="s">
        <v>1506</v>
      </c>
      <c r="N4181" s="1" t="s">
        <v>2406</v>
      </c>
      <c r="P4181" s="1" t="s">
        <v>5341</v>
      </c>
      <c r="Q4181" s="30" t="s">
        <v>2891</v>
      </c>
      <c r="R4181" s="33" t="s">
        <v>3472</v>
      </c>
      <c r="S4181">
        <v>35</v>
      </c>
      <c r="T4181" s="1" t="s">
        <v>5291</v>
      </c>
      <c r="U4181" s="1" t="str">
        <f>HYPERLINK("http://ictvonline.org/taxonomy/p/taxonomy-history?taxnode_id=202107353","ICTVonline=202107353")</f>
        <v>ICTVonline=202107353</v>
      </c>
    </row>
    <row r="4182" spans="1:21" x14ac:dyDescent="0.2">
      <c r="A4182" s="3">
        <v>4181</v>
      </c>
      <c r="B4182" s="1" t="s">
        <v>5250</v>
      </c>
      <c r="D4182" s="1" t="s">
        <v>5280</v>
      </c>
      <c r="F4182" s="1" t="s">
        <v>5281</v>
      </c>
      <c r="H4182" s="1" t="s">
        <v>5287</v>
      </c>
      <c r="J4182" s="1" t="s">
        <v>5288</v>
      </c>
      <c r="L4182" s="1" t="s">
        <v>1788</v>
      </c>
      <c r="M4182" s="1" t="s">
        <v>1506</v>
      </c>
      <c r="N4182" s="1" t="s">
        <v>2406</v>
      </c>
      <c r="P4182" s="1" t="s">
        <v>5342</v>
      </c>
      <c r="Q4182" s="30" t="s">
        <v>2891</v>
      </c>
      <c r="R4182" s="33" t="s">
        <v>3472</v>
      </c>
      <c r="S4182">
        <v>35</v>
      </c>
      <c r="T4182" s="1" t="s">
        <v>5291</v>
      </c>
      <c r="U4182" s="1" t="str">
        <f>HYPERLINK("http://ictvonline.org/taxonomy/p/taxonomy-history?taxnode_id=202107354","ICTVonline=202107354")</f>
        <v>ICTVonline=202107354</v>
      </c>
    </row>
    <row r="4183" spans="1:21" x14ac:dyDescent="0.2">
      <c r="A4183" s="3">
        <v>4182</v>
      </c>
      <c r="B4183" s="1" t="s">
        <v>5250</v>
      </c>
      <c r="D4183" s="1" t="s">
        <v>5280</v>
      </c>
      <c r="F4183" s="1" t="s">
        <v>5281</v>
      </c>
      <c r="H4183" s="1" t="s">
        <v>5287</v>
      </c>
      <c r="J4183" s="1" t="s">
        <v>5288</v>
      </c>
      <c r="L4183" s="1" t="s">
        <v>1788</v>
      </c>
      <c r="M4183" s="1" t="s">
        <v>1506</v>
      </c>
      <c r="N4183" s="1" t="s">
        <v>2406</v>
      </c>
      <c r="P4183" s="1" t="s">
        <v>2413</v>
      </c>
      <c r="Q4183" s="30" t="s">
        <v>2568</v>
      </c>
      <c r="R4183" s="33" t="s">
        <v>3474</v>
      </c>
      <c r="S4183">
        <v>35</v>
      </c>
      <c r="T4183" s="1" t="s">
        <v>5259</v>
      </c>
      <c r="U4183" s="1" t="str">
        <f>HYPERLINK("http://ictvonline.org/taxonomy/p/taxonomy-history?taxnode_id=202104264","ICTVonline=202104264")</f>
        <v>ICTVonline=202104264</v>
      </c>
    </row>
    <row r="4184" spans="1:21" x14ac:dyDescent="0.2">
      <c r="A4184" s="3">
        <v>4183</v>
      </c>
      <c r="B4184" s="1" t="s">
        <v>5250</v>
      </c>
      <c r="D4184" s="1" t="s">
        <v>5280</v>
      </c>
      <c r="F4184" s="1" t="s">
        <v>5281</v>
      </c>
      <c r="H4184" s="1" t="s">
        <v>5287</v>
      </c>
      <c r="J4184" s="1" t="s">
        <v>5288</v>
      </c>
      <c r="L4184" s="1" t="s">
        <v>1788</v>
      </c>
      <c r="M4184" s="1" t="s">
        <v>1506</v>
      </c>
      <c r="N4184" s="1" t="s">
        <v>2406</v>
      </c>
      <c r="P4184" s="1" t="s">
        <v>4872</v>
      </c>
      <c r="Q4184" s="30" t="s">
        <v>2568</v>
      </c>
      <c r="R4184" s="33" t="s">
        <v>3474</v>
      </c>
      <c r="S4184">
        <v>35</v>
      </c>
      <c r="T4184" s="1" t="s">
        <v>5259</v>
      </c>
      <c r="U4184" s="1" t="str">
        <f>HYPERLINK("http://ictvonline.org/taxonomy/p/taxonomy-history?taxnode_id=202106425","ICTVonline=202106425")</f>
        <v>ICTVonline=202106425</v>
      </c>
    </row>
    <row r="4185" spans="1:21" x14ac:dyDescent="0.2">
      <c r="A4185" s="3">
        <v>4184</v>
      </c>
      <c r="B4185" s="1" t="s">
        <v>5250</v>
      </c>
      <c r="D4185" s="1" t="s">
        <v>5280</v>
      </c>
      <c r="F4185" s="1" t="s">
        <v>5281</v>
      </c>
      <c r="H4185" s="1" t="s">
        <v>5287</v>
      </c>
      <c r="J4185" s="1" t="s">
        <v>5288</v>
      </c>
      <c r="L4185" s="1" t="s">
        <v>1788</v>
      </c>
      <c r="M4185" s="1" t="s">
        <v>1506</v>
      </c>
      <c r="N4185" s="1" t="s">
        <v>2414</v>
      </c>
      <c r="P4185" s="1" t="s">
        <v>5343</v>
      </c>
      <c r="Q4185" s="30" t="s">
        <v>2891</v>
      </c>
      <c r="R4185" s="33" t="s">
        <v>3472</v>
      </c>
      <c r="S4185">
        <v>35</v>
      </c>
      <c r="T4185" s="1" t="s">
        <v>5291</v>
      </c>
      <c r="U4185" s="1" t="str">
        <f>HYPERLINK("http://ictvonline.org/taxonomy/p/taxonomy-history?taxnode_id=202107345","ICTVonline=202107345")</f>
        <v>ICTVonline=202107345</v>
      </c>
    </row>
    <row r="4186" spans="1:21" x14ac:dyDescent="0.2">
      <c r="A4186" s="3">
        <v>4185</v>
      </c>
      <c r="B4186" s="1" t="s">
        <v>5250</v>
      </c>
      <c r="D4186" s="1" t="s">
        <v>5280</v>
      </c>
      <c r="F4186" s="1" t="s">
        <v>5281</v>
      </c>
      <c r="H4186" s="1" t="s">
        <v>5287</v>
      </c>
      <c r="J4186" s="1" t="s">
        <v>5288</v>
      </c>
      <c r="L4186" s="1" t="s">
        <v>1788</v>
      </c>
      <c r="M4186" s="1" t="s">
        <v>1506</v>
      </c>
      <c r="N4186" s="1" t="s">
        <v>2414</v>
      </c>
      <c r="P4186" s="1" t="s">
        <v>2415</v>
      </c>
      <c r="Q4186" s="30" t="s">
        <v>2568</v>
      </c>
      <c r="R4186" s="33" t="s">
        <v>8665</v>
      </c>
      <c r="S4186">
        <v>36</v>
      </c>
      <c r="T4186" s="1" t="s">
        <v>8661</v>
      </c>
      <c r="U4186" s="1" t="str">
        <f>HYPERLINK("http://ictvonline.org/taxonomy/p/taxonomy-history?taxnode_id=202104266","ICTVonline=202104266")</f>
        <v>ICTVonline=202104266</v>
      </c>
    </row>
    <row r="4187" spans="1:21" x14ac:dyDescent="0.2">
      <c r="A4187" s="3">
        <v>4186</v>
      </c>
      <c r="B4187" s="1" t="s">
        <v>5250</v>
      </c>
      <c r="D4187" s="1" t="s">
        <v>5280</v>
      </c>
      <c r="F4187" s="1" t="s">
        <v>5281</v>
      </c>
      <c r="H4187" s="1" t="s">
        <v>5287</v>
      </c>
      <c r="J4187" s="1" t="s">
        <v>5288</v>
      </c>
      <c r="L4187" s="1" t="s">
        <v>1788</v>
      </c>
      <c r="M4187" s="1" t="s">
        <v>1506</v>
      </c>
      <c r="N4187" s="1" t="s">
        <v>2414</v>
      </c>
      <c r="P4187" s="1" t="s">
        <v>2416</v>
      </c>
      <c r="Q4187" s="30" t="s">
        <v>2568</v>
      </c>
      <c r="R4187" s="33" t="s">
        <v>3474</v>
      </c>
      <c r="S4187">
        <v>35</v>
      </c>
      <c r="T4187" s="1" t="s">
        <v>5259</v>
      </c>
      <c r="U4187" s="1" t="str">
        <f>HYPERLINK("http://ictvonline.org/taxonomy/p/taxonomy-history?taxnode_id=202104267","ICTVonline=202104267")</f>
        <v>ICTVonline=202104267</v>
      </c>
    </row>
    <row r="4188" spans="1:21" x14ac:dyDescent="0.2">
      <c r="A4188" s="3">
        <v>4187</v>
      </c>
      <c r="B4188" s="1" t="s">
        <v>5250</v>
      </c>
      <c r="D4188" s="1" t="s">
        <v>5280</v>
      </c>
      <c r="F4188" s="1" t="s">
        <v>5281</v>
      </c>
      <c r="H4188" s="1" t="s">
        <v>5287</v>
      </c>
      <c r="J4188" s="1" t="s">
        <v>5288</v>
      </c>
      <c r="L4188" s="1" t="s">
        <v>1788</v>
      </c>
      <c r="M4188" s="1" t="s">
        <v>1506</v>
      </c>
      <c r="N4188" s="1" t="s">
        <v>2414</v>
      </c>
      <c r="P4188" s="1" t="s">
        <v>2417</v>
      </c>
      <c r="Q4188" s="30" t="s">
        <v>2568</v>
      </c>
      <c r="R4188" s="33" t="s">
        <v>3474</v>
      </c>
      <c r="S4188">
        <v>35</v>
      </c>
      <c r="T4188" s="1" t="s">
        <v>5259</v>
      </c>
      <c r="U4188" s="1" t="str">
        <f>HYPERLINK("http://ictvonline.org/taxonomy/p/taxonomy-history?taxnode_id=202104268","ICTVonline=202104268")</f>
        <v>ICTVonline=202104268</v>
      </c>
    </row>
    <row r="4189" spans="1:21" x14ac:dyDescent="0.2">
      <c r="A4189" s="3">
        <v>4188</v>
      </c>
      <c r="B4189" s="1" t="s">
        <v>5250</v>
      </c>
      <c r="D4189" s="1" t="s">
        <v>5280</v>
      </c>
      <c r="F4189" s="1" t="s">
        <v>5281</v>
      </c>
      <c r="H4189" s="1" t="s">
        <v>5287</v>
      </c>
      <c r="J4189" s="1" t="s">
        <v>5288</v>
      </c>
      <c r="L4189" s="1" t="s">
        <v>1788</v>
      </c>
      <c r="M4189" s="1" t="s">
        <v>1506</v>
      </c>
      <c r="N4189" s="1" t="s">
        <v>2414</v>
      </c>
      <c r="P4189" s="1" t="s">
        <v>2418</v>
      </c>
      <c r="Q4189" s="30" t="s">
        <v>2568</v>
      </c>
      <c r="R4189" s="33" t="s">
        <v>3474</v>
      </c>
      <c r="S4189">
        <v>35</v>
      </c>
      <c r="T4189" s="1" t="s">
        <v>5259</v>
      </c>
      <c r="U4189" s="1" t="str">
        <f>HYPERLINK("http://ictvonline.org/taxonomy/p/taxonomy-history?taxnode_id=202104269","ICTVonline=202104269")</f>
        <v>ICTVonline=202104269</v>
      </c>
    </row>
    <row r="4190" spans="1:21" x14ac:dyDescent="0.2">
      <c r="A4190" s="3">
        <v>4189</v>
      </c>
      <c r="B4190" s="1" t="s">
        <v>5250</v>
      </c>
      <c r="D4190" s="1" t="s">
        <v>5280</v>
      </c>
      <c r="F4190" s="1" t="s">
        <v>5281</v>
      </c>
      <c r="H4190" s="1" t="s">
        <v>5287</v>
      </c>
      <c r="J4190" s="1" t="s">
        <v>5288</v>
      </c>
      <c r="L4190" s="1" t="s">
        <v>1788</v>
      </c>
      <c r="M4190" s="1" t="s">
        <v>1506</v>
      </c>
      <c r="N4190" s="1" t="s">
        <v>2414</v>
      </c>
      <c r="P4190" s="1" t="s">
        <v>2419</v>
      </c>
      <c r="Q4190" s="30" t="s">
        <v>2568</v>
      </c>
      <c r="R4190" s="33" t="s">
        <v>3474</v>
      </c>
      <c r="S4190">
        <v>35</v>
      </c>
      <c r="T4190" s="1" t="s">
        <v>5259</v>
      </c>
      <c r="U4190" s="1" t="str">
        <f>HYPERLINK("http://ictvonline.org/taxonomy/p/taxonomy-history?taxnode_id=202104270","ICTVonline=202104270")</f>
        <v>ICTVonline=202104270</v>
      </c>
    </row>
    <row r="4191" spans="1:21" x14ac:dyDescent="0.2">
      <c r="A4191" s="3">
        <v>4190</v>
      </c>
      <c r="B4191" s="1" t="s">
        <v>5250</v>
      </c>
      <c r="D4191" s="1" t="s">
        <v>5280</v>
      </c>
      <c r="F4191" s="1" t="s">
        <v>5281</v>
      </c>
      <c r="H4191" s="1" t="s">
        <v>5287</v>
      </c>
      <c r="J4191" s="1" t="s">
        <v>5288</v>
      </c>
      <c r="L4191" s="1" t="s">
        <v>1788</v>
      </c>
      <c r="M4191" s="1" t="s">
        <v>1506</v>
      </c>
      <c r="N4191" s="1" t="s">
        <v>2414</v>
      </c>
      <c r="P4191" s="1" t="s">
        <v>2420</v>
      </c>
      <c r="Q4191" s="30" t="s">
        <v>2568</v>
      </c>
      <c r="R4191" s="33" t="s">
        <v>3474</v>
      </c>
      <c r="S4191">
        <v>35</v>
      </c>
      <c r="T4191" s="1" t="s">
        <v>5259</v>
      </c>
      <c r="U4191" s="1" t="str">
        <f>HYPERLINK("http://ictvonline.org/taxonomy/p/taxonomy-history?taxnode_id=202104271","ICTVonline=202104271")</f>
        <v>ICTVonline=202104271</v>
      </c>
    </row>
    <row r="4192" spans="1:21" x14ac:dyDescent="0.2">
      <c r="A4192" s="3">
        <v>4191</v>
      </c>
      <c r="B4192" s="1" t="s">
        <v>5250</v>
      </c>
      <c r="D4192" s="1" t="s">
        <v>5280</v>
      </c>
      <c r="F4192" s="1" t="s">
        <v>5281</v>
      </c>
      <c r="H4192" s="1" t="s">
        <v>5287</v>
      </c>
      <c r="J4192" s="1" t="s">
        <v>5288</v>
      </c>
      <c r="L4192" s="1" t="s">
        <v>1788</v>
      </c>
      <c r="M4192" s="1" t="s">
        <v>1506</v>
      </c>
      <c r="N4192" s="1" t="s">
        <v>5344</v>
      </c>
      <c r="P4192" s="1" t="s">
        <v>5345</v>
      </c>
      <c r="Q4192" s="30" t="s">
        <v>2891</v>
      </c>
      <c r="R4192" s="33" t="s">
        <v>8665</v>
      </c>
      <c r="S4192">
        <v>36</v>
      </c>
      <c r="T4192" s="1" t="s">
        <v>8661</v>
      </c>
      <c r="U4192" s="1" t="str">
        <f>HYPERLINK("http://ictvonline.org/taxonomy/p/taxonomy-history?taxnode_id=202107339","ICTVonline=202107339")</f>
        <v>ICTVonline=202107339</v>
      </c>
    </row>
    <row r="4193" spans="1:21" x14ac:dyDescent="0.2">
      <c r="A4193" s="3">
        <v>4192</v>
      </c>
      <c r="B4193" s="1" t="s">
        <v>5250</v>
      </c>
      <c r="D4193" s="1" t="s">
        <v>5280</v>
      </c>
      <c r="F4193" s="1" t="s">
        <v>5281</v>
      </c>
      <c r="H4193" s="1" t="s">
        <v>5287</v>
      </c>
      <c r="J4193" s="1" t="s">
        <v>5288</v>
      </c>
      <c r="L4193" s="1" t="s">
        <v>1788</v>
      </c>
      <c r="M4193" s="1" t="s">
        <v>1506</v>
      </c>
      <c r="N4193" s="1" t="s">
        <v>2421</v>
      </c>
      <c r="P4193" s="1" t="s">
        <v>2422</v>
      </c>
      <c r="Q4193" s="30" t="s">
        <v>2568</v>
      </c>
      <c r="R4193" s="33" t="s">
        <v>3474</v>
      </c>
      <c r="S4193">
        <v>35</v>
      </c>
      <c r="T4193" s="1" t="s">
        <v>5259</v>
      </c>
      <c r="U4193" s="1" t="str">
        <f>HYPERLINK("http://ictvonline.org/taxonomy/p/taxonomy-history?taxnode_id=202104273","ICTVonline=202104273")</f>
        <v>ICTVonline=202104273</v>
      </c>
    </row>
    <row r="4194" spans="1:21" x14ac:dyDescent="0.2">
      <c r="A4194" s="3">
        <v>4193</v>
      </c>
      <c r="B4194" s="1" t="s">
        <v>5250</v>
      </c>
      <c r="D4194" s="1" t="s">
        <v>5280</v>
      </c>
      <c r="F4194" s="1" t="s">
        <v>5281</v>
      </c>
      <c r="H4194" s="1" t="s">
        <v>5287</v>
      </c>
      <c r="J4194" s="1" t="s">
        <v>5288</v>
      </c>
      <c r="L4194" s="1" t="s">
        <v>1788</v>
      </c>
      <c r="M4194" s="1" t="s">
        <v>1506</v>
      </c>
      <c r="N4194" s="1" t="s">
        <v>2421</v>
      </c>
      <c r="P4194" s="1" t="s">
        <v>6292</v>
      </c>
      <c r="Q4194" s="30" t="s">
        <v>2891</v>
      </c>
      <c r="R4194" s="33" t="s">
        <v>3475</v>
      </c>
      <c r="S4194">
        <v>36</v>
      </c>
      <c r="T4194" s="1" t="s">
        <v>6272</v>
      </c>
      <c r="U4194" s="1" t="str">
        <f>HYPERLINK("http://ictvonline.org/taxonomy/p/taxonomy-history?taxnode_id=202107352","ICTVonline=202107352")</f>
        <v>ICTVonline=202107352</v>
      </c>
    </row>
    <row r="4195" spans="1:21" x14ac:dyDescent="0.2">
      <c r="A4195" s="3">
        <v>4194</v>
      </c>
      <c r="B4195" s="1" t="s">
        <v>5250</v>
      </c>
      <c r="D4195" s="1" t="s">
        <v>5280</v>
      </c>
      <c r="F4195" s="1" t="s">
        <v>5281</v>
      </c>
      <c r="H4195" s="1" t="s">
        <v>5287</v>
      </c>
      <c r="J4195" s="1" t="s">
        <v>5288</v>
      </c>
      <c r="L4195" s="1" t="s">
        <v>1788</v>
      </c>
      <c r="M4195" s="1" t="s">
        <v>1506</v>
      </c>
      <c r="N4195" s="1" t="s">
        <v>2421</v>
      </c>
      <c r="P4195" s="1" t="s">
        <v>6293</v>
      </c>
      <c r="Q4195" s="30" t="s">
        <v>2891</v>
      </c>
      <c r="R4195" s="33" t="s">
        <v>3472</v>
      </c>
      <c r="S4195">
        <v>36</v>
      </c>
      <c r="T4195" s="1" t="s">
        <v>6272</v>
      </c>
      <c r="U4195" s="1" t="str">
        <f>HYPERLINK("http://ictvonline.org/taxonomy/p/taxonomy-history?taxnode_id=202109284","ICTVonline=202109284")</f>
        <v>ICTVonline=202109284</v>
      </c>
    </row>
    <row r="4196" spans="1:21" x14ac:dyDescent="0.2">
      <c r="A4196" s="3">
        <v>4195</v>
      </c>
      <c r="B4196" s="1" t="s">
        <v>5250</v>
      </c>
      <c r="D4196" s="1" t="s">
        <v>5280</v>
      </c>
      <c r="F4196" s="1" t="s">
        <v>5281</v>
      </c>
      <c r="H4196" s="1" t="s">
        <v>5287</v>
      </c>
      <c r="J4196" s="1" t="s">
        <v>5288</v>
      </c>
      <c r="L4196" s="1" t="s">
        <v>1788</v>
      </c>
      <c r="M4196" s="1" t="s">
        <v>1506</v>
      </c>
      <c r="N4196" s="1" t="s">
        <v>2421</v>
      </c>
      <c r="P4196" s="1" t="s">
        <v>6294</v>
      </c>
      <c r="Q4196" s="30" t="s">
        <v>2891</v>
      </c>
      <c r="R4196" s="33" t="s">
        <v>3472</v>
      </c>
      <c r="S4196">
        <v>36</v>
      </c>
      <c r="T4196" s="1" t="s">
        <v>6272</v>
      </c>
      <c r="U4196" s="1" t="str">
        <f>HYPERLINK("http://ictvonline.org/taxonomy/p/taxonomy-history?taxnode_id=202109285","ICTVonline=202109285")</f>
        <v>ICTVonline=202109285</v>
      </c>
    </row>
    <row r="4197" spans="1:21" x14ac:dyDescent="0.2">
      <c r="A4197" s="3">
        <v>4196</v>
      </c>
      <c r="B4197" s="1" t="s">
        <v>5250</v>
      </c>
      <c r="D4197" s="1" t="s">
        <v>5280</v>
      </c>
      <c r="F4197" s="1" t="s">
        <v>5281</v>
      </c>
      <c r="H4197" s="1" t="s">
        <v>5287</v>
      </c>
      <c r="J4197" s="1" t="s">
        <v>5288</v>
      </c>
      <c r="L4197" s="1" t="s">
        <v>1788</v>
      </c>
      <c r="M4197" s="1" t="s">
        <v>1506</v>
      </c>
      <c r="N4197" s="1" t="s">
        <v>2421</v>
      </c>
      <c r="P4197" s="1" t="s">
        <v>3931</v>
      </c>
      <c r="Q4197" s="30" t="s">
        <v>2568</v>
      </c>
      <c r="R4197" s="33" t="s">
        <v>3474</v>
      </c>
      <c r="S4197">
        <v>35</v>
      </c>
      <c r="T4197" s="1" t="s">
        <v>5259</v>
      </c>
      <c r="U4197" s="1" t="str">
        <f>HYPERLINK("http://ictvonline.org/taxonomy/p/taxonomy-history?taxnode_id=202105898","ICTVonline=202105898")</f>
        <v>ICTVonline=202105898</v>
      </c>
    </row>
    <row r="4198" spans="1:21" x14ac:dyDescent="0.2">
      <c r="A4198" s="3">
        <v>4197</v>
      </c>
      <c r="B4198" s="1" t="s">
        <v>5250</v>
      </c>
      <c r="D4198" s="1" t="s">
        <v>5280</v>
      </c>
      <c r="F4198" s="1" t="s">
        <v>5281</v>
      </c>
      <c r="H4198" s="1" t="s">
        <v>5287</v>
      </c>
      <c r="J4198" s="1" t="s">
        <v>5288</v>
      </c>
      <c r="L4198" s="1" t="s">
        <v>1788</v>
      </c>
      <c r="M4198" s="1" t="s">
        <v>1506</v>
      </c>
      <c r="N4198" s="1" t="s">
        <v>2421</v>
      </c>
      <c r="P4198" s="1" t="s">
        <v>3932</v>
      </c>
      <c r="Q4198" s="30" t="s">
        <v>2568</v>
      </c>
      <c r="R4198" s="33" t="s">
        <v>3474</v>
      </c>
      <c r="S4198">
        <v>35</v>
      </c>
      <c r="T4198" s="1" t="s">
        <v>5259</v>
      </c>
      <c r="U4198" s="1" t="str">
        <f>HYPERLINK("http://ictvonline.org/taxonomy/p/taxonomy-history?taxnode_id=202105899","ICTVonline=202105899")</f>
        <v>ICTVonline=202105899</v>
      </c>
    </row>
    <row r="4199" spans="1:21" x14ac:dyDescent="0.2">
      <c r="A4199" s="3">
        <v>4198</v>
      </c>
      <c r="B4199" s="1" t="s">
        <v>5250</v>
      </c>
      <c r="D4199" s="1" t="s">
        <v>5280</v>
      </c>
      <c r="F4199" s="1" t="s">
        <v>5281</v>
      </c>
      <c r="H4199" s="1" t="s">
        <v>5287</v>
      </c>
      <c r="J4199" s="1" t="s">
        <v>5288</v>
      </c>
      <c r="L4199" s="1" t="s">
        <v>1788</v>
      </c>
      <c r="M4199" s="1" t="s">
        <v>1506</v>
      </c>
      <c r="N4199" s="1" t="s">
        <v>2421</v>
      </c>
      <c r="P4199" s="1" t="s">
        <v>2423</v>
      </c>
      <c r="Q4199" s="30" t="s">
        <v>2568</v>
      </c>
      <c r="R4199" s="33" t="s">
        <v>3474</v>
      </c>
      <c r="S4199">
        <v>35</v>
      </c>
      <c r="T4199" s="1" t="s">
        <v>5259</v>
      </c>
      <c r="U4199" s="1" t="str">
        <f>HYPERLINK("http://ictvonline.org/taxonomy/p/taxonomy-history?taxnode_id=202104274","ICTVonline=202104274")</f>
        <v>ICTVonline=202104274</v>
      </c>
    </row>
    <row r="4200" spans="1:21" x14ac:dyDescent="0.2">
      <c r="A4200" s="3">
        <v>4199</v>
      </c>
      <c r="B4200" s="1" t="s">
        <v>5250</v>
      </c>
      <c r="D4200" s="1" t="s">
        <v>5280</v>
      </c>
      <c r="F4200" s="1" t="s">
        <v>5281</v>
      </c>
      <c r="H4200" s="1" t="s">
        <v>5287</v>
      </c>
      <c r="J4200" s="1" t="s">
        <v>5288</v>
      </c>
      <c r="L4200" s="1" t="s">
        <v>1788</v>
      </c>
      <c r="M4200" s="1" t="s">
        <v>1506</v>
      </c>
      <c r="N4200" s="1" t="s">
        <v>2421</v>
      </c>
      <c r="P4200" s="1" t="s">
        <v>3933</v>
      </c>
      <c r="Q4200" s="30" t="s">
        <v>2568</v>
      </c>
      <c r="R4200" s="33" t="s">
        <v>3474</v>
      </c>
      <c r="S4200">
        <v>35</v>
      </c>
      <c r="T4200" s="1" t="s">
        <v>5259</v>
      </c>
      <c r="U4200" s="1" t="str">
        <f>HYPERLINK("http://ictvonline.org/taxonomy/p/taxonomy-history?taxnode_id=202105900","ICTVonline=202105900")</f>
        <v>ICTVonline=202105900</v>
      </c>
    </row>
    <row r="4201" spans="1:21" x14ac:dyDescent="0.2">
      <c r="A4201" s="3">
        <v>4200</v>
      </c>
      <c r="B4201" s="1" t="s">
        <v>5250</v>
      </c>
      <c r="D4201" s="1" t="s">
        <v>5280</v>
      </c>
      <c r="F4201" s="1" t="s">
        <v>5281</v>
      </c>
      <c r="H4201" s="1" t="s">
        <v>5287</v>
      </c>
      <c r="J4201" s="1" t="s">
        <v>5288</v>
      </c>
      <c r="L4201" s="1" t="s">
        <v>1788</v>
      </c>
      <c r="M4201" s="1" t="s">
        <v>1506</v>
      </c>
      <c r="N4201" s="1" t="s">
        <v>2421</v>
      </c>
      <c r="P4201" s="1" t="s">
        <v>3934</v>
      </c>
      <c r="Q4201" s="30" t="s">
        <v>2568</v>
      </c>
      <c r="R4201" s="33" t="s">
        <v>3474</v>
      </c>
      <c r="S4201">
        <v>35</v>
      </c>
      <c r="T4201" s="1" t="s">
        <v>5259</v>
      </c>
      <c r="U4201" s="1" t="str">
        <f>HYPERLINK("http://ictvonline.org/taxonomy/p/taxonomy-history?taxnode_id=202105901","ICTVonline=202105901")</f>
        <v>ICTVonline=202105901</v>
      </c>
    </row>
    <row r="4202" spans="1:21" x14ac:dyDescent="0.2">
      <c r="A4202" s="3">
        <v>4201</v>
      </c>
      <c r="B4202" s="1" t="s">
        <v>5250</v>
      </c>
      <c r="D4202" s="1" t="s">
        <v>5280</v>
      </c>
      <c r="F4202" s="1" t="s">
        <v>5281</v>
      </c>
      <c r="H4202" s="1" t="s">
        <v>5287</v>
      </c>
      <c r="J4202" s="1" t="s">
        <v>5288</v>
      </c>
      <c r="L4202" s="1" t="s">
        <v>1788</v>
      </c>
      <c r="M4202" s="1" t="s">
        <v>1506</v>
      </c>
      <c r="N4202" s="1" t="s">
        <v>2421</v>
      </c>
      <c r="P4202" s="1" t="s">
        <v>5346</v>
      </c>
      <c r="Q4202" s="30" t="s">
        <v>2891</v>
      </c>
      <c r="R4202" s="33" t="s">
        <v>3472</v>
      </c>
      <c r="S4202">
        <v>35</v>
      </c>
      <c r="T4202" s="1" t="s">
        <v>5291</v>
      </c>
      <c r="U4202" s="1" t="str">
        <f>HYPERLINK("http://ictvonline.org/taxonomy/p/taxonomy-history?taxnode_id=202107351","ICTVonline=202107351")</f>
        <v>ICTVonline=202107351</v>
      </c>
    </row>
    <row r="4203" spans="1:21" x14ac:dyDescent="0.2">
      <c r="A4203" s="3">
        <v>4202</v>
      </c>
      <c r="B4203" s="1" t="s">
        <v>5250</v>
      </c>
      <c r="D4203" s="1" t="s">
        <v>5280</v>
      </c>
      <c r="F4203" s="1" t="s">
        <v>5281</v>
      </c>
      <c r="H4203" s="1" t="s">
        <v>5287</v>
      </c>
      <c r="J4203" s="1" t="s">
        <v>5288</v>
      </c>
      <c r="L4203" s="1" t="s">
        <v>1788</v>
      </c>
      <c r="M4203" s="1" t="s">
        <v>1506</v>
      </c>
      <c r="N4203" s="1" t="s">
        <v>2421</v>
      </c>
      <c r="P4203" s="1" t="s">
        <v>2424</v>
      </c>
      <c r="Q4203" s="30" t="s">
        <v>2568</v>
      </c>
      <c r="R4203" s="33" t="s">
        <v>8665</v>
      </c>
      <c r="S4203">
        <v>36</v>
      </c>
      <c r="T4203" s="1" t="s">
        <v>8661</v>
      </c>
      <c r="U4203" s="1" t="str">
        <f>HYPERLINK("http://ictvonline.org/taxonomy/p/taxonomy-history?taxnode_id=202104275","ICTVonline=202104275")</f>
        <v>ICTVonline=202104275</v>
      </c>
    </row>
    <row r="4204" spans="1:21" x14ac:dyDescent="0.2">
      <c r="A4204" s="3">
        <v>4203</v>
      </c>
      <c r="B4204" s="1" t="s">
        <v>5250</v>
      </c>
      <c r="D4204" s="1" t="s">
        <v>5280</v>
      </c>
      <c r="F4204" s="1" t="s">
        <v>5281</v>
      </c>
      <c r="H4204" s="1" t="s">
        <v>5287</v>
      </c>
      <c r="J4204" s="1" t="s">
        <v>5288</v>
      </c>
      <c r="L4204" s="1" t="s">
        <v>1788</v>
      </c>
      <c r="M4204" s="1" t="s">
        <v>1506</v>
      </c>
      <c r="N4204" s="1" t="s">
        <v>2421</v>
      </c>
      <c r="P4204" s="1" t="s">
        <v>2425</v>
      </c>
      <c r="Q4204" s="30" t="s">
        <v>2568</v>
      </c>
      <c r="R4204" s="33" t="s">
        <v>3474</v>
      </c>
      <c r="S4204">
        <v>35</v>
      </c>
      <c r="T4204" s="1" t="s">
        <v>5259</v>
      </c>
      <c r="U4204" s="1" t="str">
        <f>HYPERLINK("http://ictvonline.org/taxonomy/p/taxonomy-history?taxnode_id=202104276","ICTVonline=202104276")</f>
        <v>ICTVonline=202104276</v>
      </c>
    </row>
    <row r="4205" spans="1:21" x14ac:dyDescent="0.2">
      <c r="A4205" s="3">
        <v>4204</v>
      </c>
      <c r="B4205" s="1" t="s">
        <v>5250</v>
      </c>
      <c r="D4205" s="1" t="s">
        <v>5280</v>
      </c>
      <c r="F4205" s="1" t="s">
        <v>5281</v>
      </c>
      <c r="H4205" s="1" t="s">
        <v>5287</v>
      </c>
      <c r="J4205" s="1" t="s">
        <v>5288</v>
      </c>
      <c r="L4205" s="1" t="s">
        <v>1788</v>
      </c>
      <c r="M4205" s="1" t="s">
        <v>1506</v>
      </c>
      <c r="N4205" s="1" t="s">
        <v>2421</v>
      </c>
      <c r="P4205" s="1" t="s">
        <v>3935</v>
      </c>
      <c r="Q4205" s="30" t="s">
        <v>2568</v>
      </c>
      <c r="R4205" s="33" t="s">
        <v>3474</v>
      </c>
      <c r="S4205">
        <v>35</v>
      </c>
      <c r="T4205" s="1" t="s">
        <v>5259</v>
      </c>
      <c r="U4205" s="1" t="str">
        <f>HYPERLINK("http://ictvonline.org/taxonomy/p/taxonomy-history?taxnode_id=202105902","ICTVonline=202105902")</f>
        <v>ICTVonline=202105902</v>
      </c>
    </row>
    <row r="4206" spans="1:21" x14ac:dyDescent="0.2">
      <c r="A4206" s="3">
        <v>4205</v>
      </c>
      <c r="B4206" s="1" t="s">
        <v>5250</v>
      </c>
      <c r="D4206" s="1" t="s">
        <v>5280</v>
      </c>
      <c r="F4206" s="1" t="s">
        <v>5281</v>
      </c>
      <c r="H4206" s="1" t="s">
        <v>5287</v>
      </c>
      <c r="J4206" s="1" t="s">
        <v>5288</v>
      </c>
      <c r="L4206" s="1" t="s">
        <v>1788</v>
      </c>
      <c r="M4206" s="1" t="s">
        <v>1506</v>
      </c>
      <c r="N4206" s="1" t="s">
        <v>2421</v>
      </c>
      <c r="P4206" s="1" t="s">
        <v>2426</v>
      </c>
      <c r="Q4206" s="30" t="s">
        <v>2568</v>
      </c>
      <c r="R4206" s="33" t="s">
        <v>3474</v>
      </c>
      <c r="S4206">
        <v>35</v>
      </c>
      <c r="T4206" s="1" t="s">
        <v>5259</v>
      </c>
      <c r="U4206" s="1" t="str">
        <f>HYPERLINK("http://ictvonline.org/taxonomy/p/taxonomy-history?taxnode_id=202104277","ICTVonline=202104277")</f>
        <v>ICTVonline=202104277</v>
      </c>
    </row>
    <row r="4207" spans="1:21" x14ac:dyDescent="0.2">
      <c r="A4207" s="3">
        <v>4206</v>
      </c>
      <c r="B4207" s="1" t="s">
        <v>5250</v>
      </c>
      <c r="D4207" s="1" t="s">
        <v>5280</v>
      </c>
      <c r="F4207" s="1" t="s">
        <v>5281</v>
      </c>
      <c r="H4207" s="1" t="s">
        <v>5287</v>
      </c>
      <c r="J4207" s="1" t="s">
        <v>5288</v>
      </c>
      <c r="L4207" s="1" t="s">
        <v>1788</v>
      </c>
      <c r="M4207" s="1" t="s">
        <v>1506</v>
      </c>
      <c r="N4207" s="1" t="s">
        <v>2421</v>
      </c>
      <c r="P4207" s="1" t="s">
        <v>3936</v>
      </c>
      <c r="Q4207" s="30" t="s">
        <v>2568</v>
      </c>
      <c r="R4207" s="33" t="s">
        <v>3474</v>
      </c>
      <c r="S4207">
        <v>35</v>
      </c>
      <c r="T4207" s="1" t="s">
        <v>5259</v>
      </c>
      <c r="U4207" s="1" t="str">
        <f>HYPERLINK("http://ictvonline.org/taxonomy/p/taxonomy-history?taxnode_id=202105903","ICTVonline=202105903")</f>
        <v>ICTVonline=202105903</v>
      </c>
    </row>
    <row r="4208" spans="1:21" x14ac:dyDescent="0.2">
      <c r="A4208" s="3">
        <v>4207</v>
      </c>
      <c r="B4208" s="1" t="s">
        <v>5250</v>
      </c>
      <c r="D4208" s="1" t="s">
        <v>5280</v>
      </c>
      <c r="F4208" s="1" t="s">
        <v>5281</v>
      </c>
      <c r="H4208" s="1" t="s">
        <v>5287</v>
      </c>
      <c r="J4208" s="1" t="s">
        <v>5288</v>
      </c>
      <c r="L4208" s="1" t="s">
        <v>1788</v>
      </c>
      <c r="M4208" s="1" t="s">
        <v>1506</v>
      </c>
      <c r="N4208" s="1" t="s">
        <v>2427</v>
      </c>
      <c r="P4208" s="1" t="s">
        <v>2428</v>
      </c>
      <c r="Q4208" s="30" t="s">
        <v>2568</v>
      </c>
      <c r="R4208" s="33" t="s">
        <v>3474</v>
      </c>
      <c r="S4208">
        <v>35</v>
      </c>
      <c r="T4208" s="1" t="s">
        <v>5259</v>
      </c>
      <c r="U4208" s="1" t="str">
        <f>HYPERLINK("http://ictvonline.org/taxonomy/p/taxonomy-history?taxnode_id=202104279","ICTVonline=202104279")</f>
        <v>ICTVonline=202104279</v>
      </c>
    </row>
    <row r="4209" spans="1:21" x14ac:dyDescent="0.2">
      <c r="A4209" s="3">
        <v>4208</v>
      </c>
      <c r="B4209" s="1" t="s">
        <v>5250</v>
      </c>
      <c r="D4209" s="1" t="s">
        <v>5280</v>
      </c>
      <c r="F4209" s="1" t="s">
        <v>5281</v>
      </c>
      <c r="H4209" s="1" t="s">
        <v>5287</v>
      </c>
      <c r="J4209" s="1" t="s">
        <v>5288</v>
      </c>
      <c r="L4209" s="1" t="s">
        <v>1788</v>
      </c>
      <c r="M4209" s="1" t="s">
        <v>1506</v>
      </c>
      <c r="N4209" s="1" t="s">
        <v>2427</v>
      </c>
      <c r="P4209" s="1" t="s">
        <v>2429</v>
      </c>
      <c r="Q4209" s="30" t="s">
        <v>2568</v>
      </c>
      <c r="R4209" s="33" t="s">
        <v>8665</v>
      </c>
      <c r="S4209">
        <v>36</v>
      </c>
      <c r="T4209" s="1" t="s">
        <v>8661</v>
      </c>
      <c r="U4209" s="1" t="str">
        <f>HYPERLINK("http://ictvonline.org/taxonomy/p/taxonomy-history?taxnode_id=202104280","ICTVonline=202104280")</f>
        <v>ICTVonline=202104280</v>
      </c>
    </row>
    <row r="4210" spans="1:21" x14ac:dyDescent="0.2">
      <c r="A4210" s="3">
        <v>4209</v>
      </c>
      <c r="B4210" s="1" t="s">
        <v>5250</v>
      </c>
      <c r="D4210" s="1" t="s">
        <v>5280</v>
      </c>
      <c r="F4210" s="1" t="s">
        <v>5281</v>
      </c>
      <c r="H4210" s="1" t="s">
        <v>5287</v>
      </c>
      <c r="J4210" s="1" t="s">
        <v>5288</v>
      </c>
      <c r="L4210" s="1" t="s">
        <v>1788</v>
      </c>
      <c r="M4210" s="1" t="s">
        <v>1506</v>
      </c>
      <c r="N4210" s="1" t="s">
        <v>2427</v>
      </c>
      <c r="P4210" s="1" t="s">
        <v>2430</v>
      </c>
      <c r="Q4210" s="30" t="s">
        <v>2568</v>
      </c>
      <c r="R4210" s="33" t="s">
        <v>3474</v>
      </c>
      <c r="S4210">
        <v>35</v>
      </c>
      <c r="T4210" s="1" t="s">
        <v>5259</v>
      </c>
      <c r="U4210" s="1" t="str">
        <f>HYPERLINK("http://ictvonline.org/taxonomy/p/taxonomy-history?taxnode_id=202104281","ICTVonline=202104281")</f>
        <v>ICTVonline=202104281</v>
      </c>
    </row>
    <row r="4211" spans="1:21" x14ac:dyDescent="0.2">
      <c r="A4211" s="3">
        <v>4210</v>
      </c>
      <c r="B4211" s="1" t="s">
        <v>5250</v>
      </c>
      <c r="D4211" s="1" t="s">
        <v>5280</v>
      </c>
      <c r="F4211" s="1" t="s">
        <v>5281</v>
      </c>
      <c r="H4211" s="1" t="s">
        <v>5287</v>
      </c>
      <c r="J4211" s="1" t="s">
        <v>5288</v>
      </c>
      <c r="L4211" s="1" t="s">
        <v>1788</v>
      </c>
      <c r="M4211" s="1" t="s">
        <v>1506</v>
      </c>
      <c r="N4211" s="1" t="s">
        <v>2427</v>
      </c>
      <c r="P4211" s="1" t="s">
        <v>2431</v>
      </c>
      <c r="Q4211" s="30" t="s">
        <v>2568</v>
      </c>
      <c r="R4211" s="33" t="s">
        <v>3474</v>
      </c>
      <c r="S4211">
        <v>35</v>
      </c>
      <c r="T4211" s="1" t="s">
        <v>5259</v>
      </c>
      <c r="U4211" s="1" t="str">
        <f>HYPERLINK("http://ictvonline.org/taxonomy/p/taxonomy-history?taxnode_id=202104282","ICTVonline=202104282")</f>
        <v>ICTVonline=202104282</v>
      </c>
    </row>
    <row r="4212" spans="1:21" x14ac:dyDescent="0.2">
      <c r="A4212" s="3">
        <v>4211</v>
      </c>
      <c r="B4212" s="1" t="s">
        <v>5250</v>
      </c>
      <c r="D4212" s="1" t="s">
        <v>5280</v>
      </c>
      <c r="F4212" s="1" t="s">
        <v>5281</v>
      </c>
      <c r="H4212" s="1" t="s">
        <v>5287</v>
      </c>
      <c r="J4212" s="1" t="s">
        <v>5288</v>
      </c>
      <c r="L4212" s="1" t="s">
        <v>1788</v>
      </c>
      <c r="M4212" s="1" t="s">
        <v>1506</v>
      </c>
      <c r="N4212" s="1" t="s">
        <v>2427</v>
      </c>
      <c r="P4212" s="1" t="s">
        <v>2432</v>
      </c>
      <c r="Q4212" s="30" t="s">
        <v>2568</v>
      </c>
      <c r="R4212" s="33" t="s">
        <v>3474</v>
      </c>
      <c r="S4212">
        <v>35</v>
      </c>
      <c r="T4212" s="1" t="s">
        <v>5259</v>
      </c>
      <c r="U4212" s="1" t="str">
        <f>HYPERLINK("http://ictvonline.org/taxonomy/p/taxonomy-history?taxnode_id=202104283","ICTVonline=202104283")</f>
        <v>ICTVonline=202104283</v>
      </c>
    </row>
    <row r="4213" spans="1:21" x14ac:dyDescent="0.2">
      <c r="A4213" s="3">
        <v>4212</v>
      </c>
      <c r="B4213" s="1" t="s">
        <v>5250</v>
      </c>
      <c r="D4213" s="1" t="s">
        <v>5280</v>
      </c>
      <c r="F4213" s="1" t="s">
        <v>5281</v>
      </c>
      <c r="H4213" s="1" t="s">
        <v>5287</v>
      </c>
      <c r="J4213" s="1" t="s">
        <v>5288</v>
      </c>
      <c r="L4213" s="1" t="s">
        <v>1788</v>
      </c>
      <c r="M4213" s="1" t="s">
        <v>1506</v>
      </c>
      <c r="N4213" s="1" t="s">
        <v>2427</v>
      </c>
      <c r="P4213" s="1" t="s">
        <v>2433</v>
      </c>
      <c r="Q4213" s="30" t="s">
        <v>2568</v>
      </c>
      <c r="R4213" s="33" t="s">
        <v>3474</v>
      </c>
      <c r="S4213">
        <v>35</v>
      </c>
      <c r="T4213" s="1" t="s">
        <v>5259</v>
      </c>
      <c r="U4213" s="1" t="str">
        <f>HYPERLINK("http://ictvonline.org/taxonomy/p/taxonomy-history?taxnode_id=202104284","ICTVonline=202104284")</f>
        <v>ICTVonline=202104284</v>
      </c>
    </row>
    <row r="4214" spans="1:21" x14ac:dyDescent="0.2">
      <c r="A4214" s="3">
        <v>4213</v>
      </c>
      <c r="B4214" s="1" t="s">
        <v>5250</v>
      </c>
      <c r="D4214" s="1" t="s">
        <v>5280</v>
      </c>
      <c r="F4214" s="1" t="s">
        <v>5347</v>
      </c>
      <c r="H4214" s="1" t="s">
        <v>5348</v>
      </c>
      <c r="J4214" s="1" t="s">
        <v>5349</v>
      </c>
      <c r="L4214" s="1" t="s">
        <v>3762</v>
      </c>
      <c r="N4214" s="1" t="s">
        <v>3763</v>
      </c>
      <c r="P4214" s="1" t="s">
        <v>3764</v>
      </c>
      <c r="Q4214" s="30" t="s">
        <v>2568</v>
      </c>
      <c r="R4214" s="33" t="s">
        <v>8665</v>
      </c>
      <c r="S4214">
        <v>36</v>
      </c>
      <c r="T4214" s="1" t="s">
        <v>8661</v>
      </c>
      <c r="U4214" s="1" t="str">
        <f>HYPERLINK("http://ictvonline.org/taxonomy/p/taxonomy-history?taxnode_id=202105746","ICTVonline=202105746")</f>
        <v>ICTVonline=202105746</v>
      </c>
    </row>
    <row r="4215" spans="1:21" x14ac:dyDescent="0.2">
      <c r="A4215" s="3">
        <v>4214</v>
      </c>
      <c r="B4215" s="1" t="s">
        <v>5250</v>
      </c>
      <c r="D4215" s="1" t="s">
        <v>5280</v>
      </c>
      <c r="F4215" s="1" t="s">
        <v>5347</v>
      </c>
      <c r="H4215" s="1" t="s">
        <v>5348</v>
      </c>
      <c r="J4215" s="1" t="s">
        <v>5349</v>
      </c>
      <c r="L4215" s="1" t="s">
        <v>3762</v>
      </c>
      <c r="N4215" s="1" t="s">
        <v>3765</v>
      </c>
      <c r="P4215" s="1" t="s">
        <v>3766</v>
      </c>
      <c r="Q4215" s="30" t="s">
        <v>2568</v>
      </c>
      <c r="R4215" s="33" t="s">
        <v>8665</v>
      </c>
      <c r="S4215">
        <v>36</v>
      </c>
      <c r="T4215" s="1" t="s">
        <v>8661</v>
      </c>
      <c r="U4215" s="1" t="str">
        <f>HYPERLINK("http://ictvonline.org/taxonomy/p/taxonomy-history?taxnode_id=202105748","ICTVonline=202105748")</f>
        <v>ICTVonline=202105748</v>
      </c>
    </row>
    <row r="4216" spans="1:21" x14ac:dyDescent="0.2">
      <c r="A4216" s="3">
        <v>4215</v>
      </c>
      <c r="B4216" s="1" t="s">
        <v>5250</v>
      </c>
      <c r="D4216" s="1" t="s">
        <v>5280</v>
      </c>
      <c r="F4216" s="1" t="s">
        <v>5347</v>
      </c>
      <c r="H4216" s="1" t="s">
        <v>5348</v>
      </c>
      <c r="J4216" s="1" t="s">
        <v>5349</v>
      </c>
      <c r="L4216" s="1" t="s">
        <v>3762</v>
      </c>
      <c r="N4216" s="1" t="s">
        <v>3767</v>
      </c>
      <c r="P4216" s="1" t="s">
        <v>3768</v>
      </c>
      <c r="Q4216" s="30" t="s">
        <v>2568</v>
      </c>
      <c r="R4216" s="33" t="s">
        <v>8665</v>
      </c>
      <c r="S4216">
        <v>36</v>
      </c>
      <c r="T4216" s="1" t="s">
        <v>8661</v>
      </c>
      <c r="U4216" s="1" t="str">
        <f>HYPERLINK("http://ictvonline.org/taxonomy/p/taxonomy-history?taxnode_id=202105339","ICTVonline=202105339")</f>
        <v>ICTVonline=202105339</v>
      </c>
    </row>
    <row r="4217" spans="1:21" x14ac:dyDescent="0.2">
      <c r="A4217" s="3">
        <v>4216</v>
      </c>
      <c r="B4217" s="1" t="s">
        <v>5250</v>
      </c>
      <c r="D4217" s="1" t="s">
        <v>5280</v>
      </c>
      <c r="F4217" s="1" t="s">
        <v>5347</v>
      </c>
      <c r="H4217" s="1" t="s">
        <v>5348</v>
      </c>
      <c r="J4217" s="1" t="s">
        <v>5349</v>
      </c>
      <c r="L4217" s="1" t="s">
        <v>3762</v>
      </c>
      <c r="N4217" s="1" t="s">
        <v>3767</v>
      </c>
      <c r="P4217" s="1" t="s">
        <v>3769</v>
      </c>
      <c r="Q4217" s="30" t="s">
        <v>2568</v>
      </c>
      <c r="R4217" s="33" t="s">
        <v>3474</v>
      </c>
      <c r="S4217">
        <v>35</v>
      </c>
      <c r="T4217" s="1" t="s">
        <v>5350</v>
      </c>
      <c r="U4217" s="1" t="str">
        <f>HYPERLINK("http://ictvonline.org/taxonomy/p/taxonomy-history?taxnode_id=202105750","ICTVonline=202105750")</f>
        <v>ICTVonline=202105750</v>
      </c>
    </row>
    <row r="4218" spans="1:21" x14ac:dyDescent="0.2">
      <c r="A4218" s="3">
        <v>4217</v>
      </c>
      <c r="B4218" s="1" t="s">
        <v>5250</v>
      </c>
      <c r="D4218" s="1" t="s">
        <v>5280</v>
      </c>
      <c r="F4218" s="1" t="s">
        <v>5347</v>
      </c>
      <c r="H4218" s="1" t="s">
        <v>5348</v>
      </c>
      <c r="J4218" s="1" t="s">
        <v>5349</v>
      </c>
      <c r="L4218" s="1" t="s">
        <v>3762</v>
      </c>
      <c r="N4218" s="1" t="s">
        <v>3767</v>
      </c>
      <c r="P4218" s="1" t="s">
        <v>3770</v>
      </c>
      <c r="Q4218" s="30" t="s">
        <v>2568</v>
      </c>
      <c r="R4218" s="33" t="s">
        <v>3474</v>
      </c>
      <c r="S4218">
        <v>35</v>
      </c>
      <c r="T4218" s="1" t="s">
        <v>5350</v>
      </c>
      <c r="U4218" s="1" t="str">
        <f>HYPERLINK("http://ictvonline.org/taxonomy/p/taxonomy-history?taxnode_id=202105751","ICTVonline=202105751")</f>
        <v>ICTVonline=202105751</v>
      </c>
    </row>
    <row r="4219" spans="1:21" x14ac:dyDescent="0.2">
      <c r="A4219" s="3">
        <v>4218</v>
      </c>
      <c r="B4219" s="1" t="s">
        <v>5250</v>
      </c>
      <c r="D4219" s="1" t="s">
        <v>5280</v>
      </c>
      <c r="F4219" s="1" t="s">
        <v>5347</v>
      </c>
      <c r="H4219" s="1" t="s">
        <v>5348</v>
      </c>
      <c r="J4219" s="1" t="s">
        <v>5349</v>
      </c>
      <c r="L4219" s="1" t="s">
        <v>3762</v>
      </c>
      <c r="N4219" s="1" t="s">
        <v>3767</v>
      </c>
      <c r="P4219" s="1" t="s">
        <v>3771</v>
      </c>
      <c r="Q4219" s="30" t="s">
        <v>2568</v>
      </c>
      <c r="R4219" s="33" t="s">
        <v>3474</v>
      </c>
      <c r="S4219">
        <v>35</v>
      </c>
      <c r="T4219" s="1" t="s">
        <v>5350</v>
      </c>
      <c r="U4219" s="1" t="str">
        <f>HYPERLINK("http://ictvonline.org/taxonomy/p/taxonomy-history?taxnode_id=202105752","ICTVonline=202105752")</f>
        <v>ICTVonline=202105752</v>
      </c>
    </row>
    <row r="4220" spans="1:21" x14ac:dyDescent="0.2">
      <c r="A4220" s="3">
        <v>4219</v>
      </c>
      <c r="B4220" s="1" t="s">
        <v>5250</v>
      </c>
      <c r="D4220" s="1" t="s">
        <v>5280</v>
      </c>
      <c r="F4220" s="1" t="s">
        <v>5347</v>
      </c>
      <c r="H4220" s="1" t="s">
        <v>5348</v>
      </c>
      <c r="J4220" s="1" t="s">
        <v>5349</v>
      </c>
      <c r="L4220" s="1" t="s">
        <v>3762</v>
      </c>
      <c r="N4220" s="1" t="s">
        <v>3767</v>
      </c>
      <c r="P4220" s="1" t="s">
        <v>3772</v>
      </c>
      <c r="Q4220" s="30" t="s">
        <v>2568</v>
      </c>
      <c r="R4220" s="33" t="s">
        <v>3474</v>
      </c>
      <c r="S4220">
        <v>35</v>
      </c>
      <c r="T4220" s="1" t="s">
        <v>5350</v>
      </c>
      <c r="U4220" s="1" t="str">
        <f>HYPERLINK("http://ictvonline.org/taxonomy/p/taxonomy-history?taxnode_id=202105753","ICTVonline=202105753")</f>
        <v>ICTVonline=202105753</v>
      </c>
    </row>
    <row r="4221" spans="1:21" x14ac:dyDescent="0.2">
      <c r="A4221" s="3">
        <v>4220</v>
      </c>
      <c r="B4221" s="1" t="s">
        <v>5250</v>
      </c>
      <c r="D4221" s="1" t="s">
        <v>5280</v>
      </c>
      <c r="F4221" s="1" t="s">
        <v>5347</v>
      </c>
      <c r="H4221" s="1" t="s">
        <v>5348</v>
      </c>
      <c r="J4221" s="1" t="s">
        <v>5349</v>
      </c>
      <c r="L4221" s="1" t="s">
        <v>3762</v>
      </c>
      <c r="N4221" s="1" t="s">
        <v>3767</v>
      </c>
      <c r="P4221" s="1" t="s">
        <v>3773</v>
      </c>
      <c r="Q4221" s="30" t="s">
        <v>2568</v>
      </c>
      <c r="R4221" s="33" t="s">
        <v>3474</v>
      </c>
      <c r="S4221">
        <v>35</v>
      </c>
      <c r="T4221" s="1" t="s">
        <v>5350</v>
      </c>
      <c r="U4221" s="1" t="str">
        <f>HYPERLINK("http://ictvonline.org/taxonomy/p/taxonomy-history?taxnode_id=202105754","ICTVonline=202105754")</f>
        <v>ICTVonline=202105754</v>
      </c>
    </row>
    <row r="4222" spans="1:21" x14ac:dyDescent="0.2">
      <c r="A4222" s="3">
        <v>4221</v>
      </c>
      <c r="B4222" s="1" t="s">
        <v>5250</v>
      </c>
      <c r="D4222" s="1" t="s">
        <v>5280</v>
      </c>
      <c r="F4222" s="1" t="s">
        <v>5347</v>
      </c>
      <c r="H4222" s="1" t="s">
        <v>5348</v>
      </c>
      <c r="J4222" s="1" t="s">
        <v>5349</v>
      </c>
      <c r="L4222" s="1" t="s">
        <v>3762</v>
      </c>
      <c r="N4222" s="1" t="s">
        <v>3767</v>
      </c>
      <c r="P4222" s="1" t="s">
        <v>3774</v>
      </c>
      <c r="Q4222" s="30" t="s">
        <v>2568</v>
      </c>
      <c r="R4222" s="33" t="s">
        <v>3474</v>
      </c>
      <c r="S4222">
        <v>35</v>
      </c>
      <c r="T4222" s="1" t="s">
        <v>5350</v>
      </c>
      <c r="U4222" s="1" t="str">
        <f>HYPERLINK("http://ictvonline.org/taxonomy/p/taxonomy-history?taxnode_id=202105755","ICTVonline=202105755")</f>
        <v>ICTVonline=202105755</v>
      </c>
    </row>
    <row r="4223" spans="1:21" x14ac:dyDescent="0.2">
      <c r="A4223" s="3">
        <v>4222</v>
      </c>
      <c r="B4223" s="1" t="s">
        <v>5250</v>
      </c>
      <c r="D4223" s="1" t="s">
        <v>5280</v>
      </c>
      <c r="F4223" s="1" t="s">
        <v>5347</v>
      </c>
      <c r="H4223" s="1" t="s">
        <v>5348</v>
      </c>
      <c r="J4223" s="1" t="s">
        <v>5351</v>
      </c>
      <c r="L4223" s="1" t="s">
        <v>717</v>
      </c>
      <c r="N4223" s="1" t="s">
        <v>718</v>
      </c>
      <c r="P4223" s="1" t="s">
        <v>2890</v>
      </c>
      <c r="Q4223" s="30" t="s">
        <v>2568</v>
      </c>
      <c r="R4223" s="33" t="s">
        <v>3474</v>
      </c>
      <c r="S4223">
        <v>35</v>
      </c>
      <c r="T4223" s="1" t="s">
        <v>5350</v>
      </c>
      <c r="U4223" s="1" t="str">
        <f>HYPERLINK("http://ictvonline.org/taxonomy/p/taxonomy-history?taxnode_id=202102903","ICTVonline=202102903")</f>
        <v>ICTVonline=202102903</v>
      </c>
    </row>
    <row r="4224" spans="1:21" x14ac:dyDescent="0.2">
      <c r="A4224" s="3">
        <v>4223</v>
      </c>
      <c r="B4224" s="1" t="s">
        <v>5250</v>
      </c>
      <c r="D4224" s="1" t="s">
        <v>5280</v>
      </c>
      <c r="F4224" s="1" t="s">
        <v>5347</v>
      </c>
      <c r="H4224" s="1" t="s">
        <v>5348</v>
      </c>
      <c r="J4224" s="1" t="s">
        <v>5351</v>
      </c>
      <c r="L4224" s="1" t="s">
        <v>717</v>
      </c>
      <c r="N4224" s="1" t="s">
        <v>718</v>
      </c>
      <c r="P4224" s="1" t="s">
        <v>3493</v>
      </c>
      <c r="Q4224" s="30" t="s">
        <v>2568</v>
      </c>
      <c r="R4224" s="33" t="s">
        <v>3474</v>
      </c>
      <c r="S4224">
        <v>35</v>
      </c>
      <c r="T4224" s="1" t="s">
        <v>5350</v>
      </c>
      <c r="U4224" s="1" t="str">
        <f>HYPERLINK("http://ictvonline.org/taxonomy/p/taxonomy-history?taxnode_id=202102904","ICTVonline=202102904")</f>
        <v>ICTVonline=202102904</v>
      </c>
    </row>
    <row r="4225" spans="1:21" x14ac:dyDescent="0.2">
      <c r="A4225" s="3">
        <v>4224</v>
      </c>
      <c r="B4225" s="1" t="s">
        <v>5250</v>
      </c>
      <c r="D4225" s="1" t="s">
        <v>5280</v>
      </c>
      <c r="F4225" s="1" t="s">
        <v>5347</v>
      </c>
      <c r="H4225" s="1" t="s">
        <v>5348</v>
      </c>
      <c r="J4225" s="1" t="s">
        <v>5351</v>
      </c>
      <c r="L4225" s="1" t="s">
        <v>717</v>
      </c>
      <c r="N4225" s="1" t="s">
        <v>718</v>
      </c>
      <c r="P4225" s="1" t="s">
        <v>3494</v>
      </c>
      <c r="Q4225" s="30" t="s">
        <v>2568</v>
      </c>
      <c r="R4225" s="33" t="s">
        <v>3474</v>
      </c>
      <c r="S4225">
        <v>35</v>
      </c>
      <c r="T4225" s="1" t="s">
        <v>5350</v>
      </c>
      <c r="U4225" s="1" t="str">
        <f>HYPERLINK("http://ictvonline.org/taxonomy/p/taxonomy-history?taxnode_id=202102905","ICTVonline=202102905")</f>
        <v>ICTVonline=202102905</v>
      </c>
    </row>
    <row r="4226" spans="1:21" x14ac:dyDescent="0.2">
      <c r="A4226" s="3">
        <v>4225</v>
      </c>
      <c r="B4226" s="1" t="s">
        <v>5250</v>
      </c>
      <c r="D4226" s="1" t="s">
        <v>5280</v>
      </c>
      <c r="F4226" s="1" t="s">
        <v>5347</v>
      </c>
      <c r="H4226" s="1" t="s">
        <v>5348</v>
      </c>
      <c r="J4226" s="1" t="s">
        <v>5351</v>
      </c>
      <c r="L4226" s="1" t="s">
        <v>717</v>
      </c>
      <c r="N4226" s="1" t="s">
        <v>718</v>
      </c>
      <c r="P4226" s="1" t="s">
        <v>3495</v>
      </c>
      <c r="Q4226" s="30" t="s">
        <v>2568</v>
      </c>
      <c r="R4226" s="33" t="s">
        <v>3474</v>
      </c>
      <c r="S4226">
        <v>35</v>
      </c>
      <c r="T4226" s="1" t="s">
        <v>5350</v>
      </c>
      <c r="U4226" s="1" t="str">
        <f>HYPERLINK("http://ictvonline.org/taxonomy/p/taxonomy-history?taxnode_id=202102906","ICTVonline=202102906")</f>
        <v>ICTVonline=202102906</v>
      </c>
    </row>
    <row r="4227" spans="1:21" x14ac:dyDescent="0.2">
      <c r="A4227" s="3">
        <v>4226</v>
      </c>
      <c r="B4227" s="1" t="s">
        <v>5250</v>
      </c>
      <c r="D4227" s="1" t="s">
        <v>5280</v>
      </c>
      <c r="F4227" s="1" t="s">
        <v>5347</v>
      </c>
      <c r="H4227" s="1" t="s">
        <v>5348</v>
      </c>
      <c r="J4227" s="1" t="s">
        <v>5351</v>
      </c>
      <c r="L4227" s="1" t="s">
        <v>717</v>
      </c>
      <c r="N4227" s="1" t="s">
        <v>718</v>
      </c>
      <c r="P4227" s="1" t="s">
        <v>3297</v>
      </c>
      <c r="Q4227" s="30" t="s">
        <v>2568</v>
      </c>
      <c r="R4227" s="33" t="s">
        <v>3474</v>
      </c>
      <c r="S4227">
        <v>35</v>
      </c>
      <c r="T4227" s="1" t="s">
        <v>5350</v>
      </c>
      <c r="U4227" s="1" t="str">
        <f>HYPERLINK("http://ictvonline.org/taxonomy/p/taxonomy-history?taxnode_id=202102907","ICTVonline=202102907")</f>
        <v>ICTVonline=202102907</v>
      </c>
    </row>
    <row r="4228" spans="1:21" x14ac:dyDescent="0.2">
      <c r="A4228" s="3">
        <v>4227</v>
      </c>
      <c r="B4228" s="1" t="s">
        <v>5250</v>
      </c>
      <c r="D4228" s="1" t="s">
        <v>5280</v>
      </c>
      <c r="F4228" s="1" t="s">
        <v>5347</v>
      </c>
      <c r="H4228" s="1" t="s">
        <v>5348</v>
      </c>
      <c r="J4228" s="1" t="s">
        <v>5351</v>
      </c>
      <c r="L4228" s="1" t="s">
        <v>717</v>
      </c>
      <c r="N4228" s="1" t="s">
        <v>718</v>
      </c>
      <c r="P4228" s="1" t="s">
        <v>3298</v>
      </c>
      <c r="Q4228" s="30" t="s">
        <v>2568</v>
      </c>
      <c r="R4228" s="33" t="s">
        <v>3474</v>
      </c>
      <c r="S4228">
        <v>35</v>
      </c>
      <c r="T4228" s="1" t="s">
        <v>5350</v>
      </c>
      <c r="U4228" s="1" t="str">
        <f>HYPERLINK("http://ictvonline.org/taxonomy/p/taxonomy-history?taxnode_id=202102908","ICTVonline=202102908")</f>
        <v>ICTVonline=202102908</v>
      </c>
    </row>
    <row r="4229" spans="1:21" x14ac:dyDescent="0.2">
      <c r="A4229" s="3">
        <v>4228</v>
      </c>
      <c r="B4229" s="1" t="s">
        <v>5250</v>
      </c>
      <c r="D4229" s="1" t="s">
        <v>5280</v>
      </c>
      <c r="F4229" s="1" t="s">
        <v>5347</v>
      </c>
      <c r="H4229" s="1" t="s">
        <v>5348</v>
      </c>
      <c r="J4229" s="1" t="s">
        <v>5351</v>
      </c>
      <c r="L4229" s="1" t="s">
        <v>717</v>
      </c>
      <c r="N4229" s="1" t="s">
        <v>718</v>
      </c>
      <c r="P4229" s="1" t="s">
        <v>3299</v>
      </c>
      <c r="Q4229" s="30" t="s">
        <v>2568</v>
      </c>
      <c r="R4229" s="33" t="s">
        <v>3474</v>
      </c>
      <c r="S4229">
        <v>35</v>
      </c>
      <c r="T4229" s="1" t="s">
        <v>5350</v>
      </c>
      <c r="U4229" s="1" t="str">
        <f>HYPERLINK("http://ictvonline.org/taxonomy/p/taxonomy-history?taxnode_id=202102909","ICTVonline=202102909")</f>
        <v>ICTVonline=202102909</v>
      </c>
    </row>
    <row r="4230" spans="1:21" x14ac:dyDescent="0.2">
      <c r="A4230" s="3">
        <v>4229</v>
      </c>
      <c r="B4230" s="1" t="s">
        <v>5250</v>
      </c>
      <c r="D4230" s="1" t="s">
        <v>5280</v>
      </c>
      <c r="F4230" s="1" t="s">
        <v>5347</v>
      </c>
      <c r="H4230" s="1" t="s">
        <v>5348</v>
      </c>
      <c r="J4230" s="1" t="s">
        <v>5351</v>
      </c>
      <c r="L4230" s="1" t="s">
        <v>717</v>
      </c>
      <c r="N4230" s="1" t="s">
        <v>718</v>
      </c>
      <c r="P4230" s="1" t="s">
        <v>3300</v>
      </c>
      <c r="Q4230" s="30" t="s">
        <v>2568</v>
      </c>
      <c r="R4230" s="33" t="s">
        <v>3474</v>
      </c>
      <c r="S4230">
        <v>35</v>
      </c>
      <c r="T4230" s="1" t="s">
        <v>5350</v>
      </c>
      <c r="U4230" s="1" t="str">
        <f>HYPERLINK("http://ictvonline.org/taxonomy/p/taxonomy-history?taxnode_id=202102910","ICTVonline=202102910")</f>
        <v>ICTVonline=202102910</v>
      </c>
    </row>
    <row r="4231" spans="1:21" x14ac:dyDescent="0.2">
      <c r="A4231" s="3">
        <v>4230</v>
      </c>
      <c r="B4231" s="1" t="s">
        <v>5250</v>
      </c>
      <c r="D4231" s="1" t="s">
        <v>5280</v>
      </c>
      <c r="F4231" s="1" t="s">
        <v>5347</v>
      </c>
      <c r="H4231" s="1" t="s">
        <v>5348</v>
      </c>
      <c r="J4231" s="1" t="s">
        <v>5351</v>
      </c>
      <c r="L4231" s="1" t="s">
        <v>717</v>
      </c>
      <c r="N4231" s="1" t="s">
        <v>718</v>
      </c>
      <c r="P4231" s="1" t="s">
        <v>3301</v>
      </c>
      <c r="Q4231" s="30" t="s">
        <v>2568</v>
      </c>
      <c r="R4231" s="33" t="s">
        <v>3474</v>
      </c>
      <c r="S4231">
        <v>35</v>
      </c>
      <c r="T4231" s="1" t="s">
        <v>5350</v>
      </c>
      <c r="U4231" s="1" t="str">
        <f>HYPERLINK("http://ictvonline.org/taxonomy/p/taxonomy-history?taxnode_id=202102911","ICTVonline=202102911")</f>
        <v>ICTVonline=202102911</v>
      </c>
    </row>
    <row r="4232" spans="1:21" x14ac:dyDescent="0.2">
      <c r="A4232" s="3">
        <v>4231</v>
      </c>
      <c r="B4232" s="1" t="s">
        <v>5250</v>
      </c>
      <c r="D4232" s="1" t="s">
        <v>5280</v>
      </c>
      <c r="F4232" s="1" t="s">
        <v>5347</v>
      </c>
      <c r="H4232" s="1" t="s">
        <v>5348</v>
      </c>
      <c r="J4232" s="1" t="s">
        <v>5351</v>
      </c>
      <c r="L4232" s="1" t="s">
        <v>717</v>
      </c>
      <c r="N4232" s="1" t="s">
        <v>718</v>
      </c>
      <c r="P4232" s="1" t="s">
        <v>3782</v>
      </c>
      <c r="Q4232" s="30" t="s">
        <v>2568</v>
      </c>
      <c r="R4232" s="33" t="s">
        <v>3474</v>
      </c>
      <c r="S4232">
        <v>35</v>
      </c>
      <c r="T4232" s="1" t="s">
        <v>5350</v>
      </c>
      <c r="U4232" s="1" t="str">
        <f>HYPERLINK("http://ictvonline.org/taxonomy/p/taxonomy-history?taxnode_id=202105767","ICTVonline=202105767")</f>
        <v>ICTVonline=202105767</v>
      </c>
    </row>
    <row r="4233" spans="1:21" x14ac:dyDescent="0.2">
      <c r="A4233" s="3">
        <v>4232</v>
      </c>
      <c r="B4233" s="1" t="s">
        <v>5250</v>
      </c>
      <c r="D4233" s="1" t="s">
        <v>5280</v>
      </c>
      <c r="F4233" s="1" t="s">
        <v>5347</v>
      </c>
      <c r="H4233" s="1" t="s">
        <v>5348</v>
      </c>
      <c r="J4233" s="1" t="s">
        <v>5351</v>
      </c>
      <c r="L4233" s="1" t="s">
        <v>717</v>
      </c>
      <c r="N4233" s="1" t="s">
        <v>718</v>
      </c>
      <c r="P4233" s="1" t="s">
        <v>4809</v>
      </c>
      <c r="Q4233" s="30" t="s">
        <v>2568</v>
      </c>
      <c r="R4233" s="33" t="s">
        <v>3474</v>
      </c>
      <c r="S4233">
        <v>35</v>
      </c>
      <c r="T4233" s="1" t="s">
        <v>5350</v>
      </c>
      <c r="U4233" s="1" t="str">
        <f>HYPERLINK("http://ictvonline.org/taxonomy/p/taxonomy-history?taxnode_id=202106561","ICTVonline=202106561")</f>
        <v>ICTVonline=202106561</v>
      </c>
    </row>
    <row r="4234" spans="1:21" x14ac:dyDescent="0.2">
      <c r="A4234" s="3">
        <v>4233</v>
      </c>
      <c r="B4234" s="1" t="s">
        <v>5250</v>
      </c>
      <c r="D4234" s="1" t="s">
        <v>5280</v>
      </c>
      <c r="F4234" s="1" t="s">
        <v>5347</v>
      </c>
      <c r="H4234" s="1" t="s">
        <v>5348</v>
      </c>
      <c r="J4234" s="1" t="s">
        <v>5351</v>
      </c>
      <c r="L4234" s="1" t="s">
        <v>717</v>
      </c>
      <c r="N4234" s="1" t="s">
        <v>718</v>
      </c>
      <c r="P4234" s="1" t="s">
        <v>4810</v>
      </c>
      <c r="Q4234" s="30" t="s">
        <v>2568</v>
      </c>
      <c r="R4234" s="33" t="s">
        <v>3474</v>
      </c>
      <c r="S4234">
        <v>35</v>
      </c>
      <c r="T4234" s="1" t="s">
        <v>5350</v>
      </c>
      <c r="U4234" s="1" t="str">
        <f>HYPERLINK("http://ictvonline.org/taxonomy/p/taxonomy-history?taxnode_id=202106562","ICTVonline=202106562")</f>
        <v>ICTVonline=202106562</v>
      </c>
    </row>
    <row r="4235" spans="1:21" x14ac:dyDescent="0.2">
      <c r="A4235" s="3">
        <v>4234</v>
      </c>
      <c r="B4235" s="1" t="s">
        <v>5250</v>
      </c>
      <c r="D4235" s="1" t="s">
        <v>5280</v>
      </c>
      <c r="F4235" s="1" t="s">
        <v>5347</v>
      </c>
      <c r="H4235" s="1" t="s">
        <v>5348</v>
      </c>
      <c r="J4235" s="1" t="s">
        <v>5351</v>
      </c>
      <c r="L4235" s="1" t="s">
        <v>717</v>
      </c>
      <c r="N4235" s="1" t="s">
        <v>718</v>
      </c>
      <c r="P4235" s="1" t="s">
        <v>5352</v>
      </c>
      <c r="Q4235" s="30" t="s">
        <v>2969</v>
      </c>
      <c r="R4235" s="33" t="s">
        <v>3472</v>
      </c>
      <c r="S4235">
        <v>35</v>
      </c>
      <c r="T4235" s="1" t="s">
        <v>5353</v>
      </c>
      <c r="U4235" s="1" t="str">
        <f>HYPERLINK("http://ictvonline.org/taxonomy/p/taxonomy-history?taxnode_id=202108676","ICTVonline=202108676")</f>
        <v>ICTVonline=202108676</v>
      </c>
    </row>
    <row r="4236" spans="1:21" x14ac:dyDescent="0.2">
      <c r="A4236" s="3">
        <v>4235</v>
      </c>
      <c r="B4236" s="1" t="s">
        <v>5250</v>
      </c>
      <c r="D4236" s="1" t="s">
        <v>5280</v>
      </c>
      <c r="F4236" s="1" t="s">
        <v>5347</v>
      </c>
      <c r="H4236" s="1" t="s">
        <v>5348</v>
      </c>
      <c r="J4236" s="1" t="s">
        <v>5351</v>
      </c>
      <c r="L4236" s="1" t="s">
        <v>717</v>
      </c>
      <c r="N4236" s="1" t="s">
        <v>718</v>
      </c>
      <c r="P4236" s="1" t="s">
        <v>6295</v>
      </c>
      <c r="Q4236" s="30" t="s">
        <v>2891</v>
      </c>
      <c r="R4236" s="33" t="s">
        <v>3472</v>
      </c>
      <c r="S4236">
        <v>36</v>
      </c>
      <c r="T4236" s="1" t="s">
        <v>6296</v>
      </c>
      <c r="U4236" s="1" t="str">
        <f>HYPERLINK("http://ictvonline.org/taxonomy/p/taxonomy-history?taxnode_id=202109255","ICTVonline=202109255")</f>
        <v>ICTVonline=202109255</v>
      </c>
    </row>
    <row r="4237" spans="1:21" x14ac:dyDescent="0.2">
      <c r="A4237" s="3">
        <v>4236</v>
      </c>
      <c r="B4237" s="1" t="s">
        <v>5250</v>
      </c>
      <c r="D4237" s="1" t="s">
        <v>5280</v>
      </c>
      <c r="F4237" s="1" t="s">
        <v>5347</v>
      </c>
      <c r="H4237" s="1" t="s">
        <v>5348</v>
      </c>
      <c r="J4237" s="1" t="s">
        <v>5351</v>
      </c>
      <c r="L4237" s="1" t="s">
        <v>717</v>
      </c>
      <c r="N4237" s="1" t="s">
        <v>718</v>
      </c>
      <c r="P4237" s="1" t="s">
        <v>1670</v>
      </c>
      <c r="Q4237" s="30" t="s">
        <v>2568</v>
      </c>
      <c r="R4237" s="33" t="s">
        <v>3474</v>
      </c>
      <c r="S4237">
        <v>35</v>
      </c>
      <c r="T4237" s="1" t="s">
        <v>5350</v>
      </c>
      <c r="U4237" s="1" t="str">
        <f>HYPERLINK("http://ictvonline.org/taxonomy/p/taxonomy-history?taxnode_id=202102912","ICTVonline=202102912")</f>
        <v>ICTVonline=202102912</v>
      </c>
    </row>
    <row r="4238" spans="1:21" x14ac:dyDescent="0.2">
      <c r="A4238" s="3">
        <v>4237</v>
      </c>
      <c r="B4238" s="1" t="s">
        <v>5250</v>
      </c>
      <c r="D4238" s="1" t="s">
        <v>5280</v>
      </c>
      <c r="F4238" s="1" t="s">
        <v>5347</v>
      </c>
      <c r="H4238" s="1" t="s">
        <v>5348</v>
      </c>
      <c r="J4238" s="1" t="s">
        <v>5351</v>
      </c>
      <c r="L4238" s="1" t="s">
        <v>717</v>
      </c>
      <c r="N4238" s="1" t="s">
        <v>718</v>
      </c>
      <c r="P4238" s="1" t="s">
        <v>6297</v>
      </c>
      <c r="Q4238" s="30" t="s">
        <v>2891</v>
      </c>
      <c r="R4238" s="33" t="s">
        <v>3472</v>
      </c>
      <c r="S4238">
        <v>36</v>
      </c>
      <c r="T4238" s="1" t="s">
        <v>6296</v>
      </c>
      <c r="U4238" s="1" t="str">
        <f>HYPERLINK("http://ictvonline.org/taxonomy/p/taxonomy-history?taxnode_id=202109254","ICTVonline=202109254")</f>
        <v>ICTVonline=202109254</v>
      </c>
    </row>
    <row r="4239" spans="1:21" x14ac:dyDescent="0.2">
      <c r="A4239" s="3">
        <v>4238</v>
      </c>
      <c r="B4239" s="1" t="s">
        <v>5250</v>
      </c>
      <c r="D4239" s="1" t="s">
        <v>5280</v>
      </c>
      <c r="F4239" s="1" t="s">
        <v>5347</v>
      </c>
      <c r="H4239" s="1" t="s">
        <v>5348</v>
      </c>
      <c r="J4239" s="1" t="s">
        <v>5351</v>
      </c>
      <c r="L4239" s="1" t="s">
        <v>717</v>
      </c>
      <c r="N4239" s="1" t="s">
        <v>718</v>
      </c>
      <c r="P4239" s="1" t="s">
        <v>1671</v>
      </c>
      <c r="Q4239" s="30" t="s">
        <v>2568</v>
      </c>
      <c r="R4239" s="33" t="s">
        <v>3474</v>
      </c>
      <c r="S4239">
        <v>35</v>
      </c>
      <c r="T4239" s="1" t="s">
        <v>5350</v>
      </c>
      <c r="U4239" s="1" t="str">
        <f>HYPERLINK("http://ictvonline.org/taxonomy/p/taxonomy-history?taxnode_id=202102913","ICTVonline=202102913")</f>
        <v>ICTVonline=202102913</v>
      </c>
    </row>
    <row r="4240" spans="1:21" x14ac:dyDescent="0.2">
      <c r="A4240" s="3">
        <v>4239</v>
      </c>
      <c r="B4240" s="1" t="s">
        <v>5250</v>
      </c>
      <c r="D4240" s="1" t="s">
        <v>5280</v>
      </c>
      <c r="F4240" s="1" t="s">
        <v>5347</v>
      </c>
      <c r="H4240" s="1" t="s">
        <v>5348</v>
      </c>
      <c r="J4240" s="1" t="s">
        <v>5351</v>
      </c>
      <c r="L4240" s="1" t="s">
        <v>717</v>
      </c>
      <c r="N4240" s="1" t="s">
        <v>718</v>
      </c>
      <c r="P4240" s="1" t="s">
        <v>2892</v>
      </c>
      <c r="Q4240" s="30" t="s">
        <v>2568</v>
      </c>
      <c r="R4240" s="33" t="s">
        <v>3474</v>
      </c>
      <c r="S4240">
        <v>35</v>
      </c>
      <c r="T4240" s="1" t="s">
        <v>5350</v>
      </c>
      <c r="U4240" s="1" t="str">
        <f>HYPERLINK("http://ictvonline.org/taxonomy/p/taxonomy-history?taxnode_id=202102914","ICTVonline=202102914")</f>
        <v>ICTVonline=202102914</v>
      </c>
    </row>
    <row r="4241" spans="1:21" x14ac:dyDescent="0.2">
      <c r="A4241" s="3">
        <v>4240</v>
      </c>
      <c r="B4241" s="1" t="s">
        <v>5250</v>
      </c>
      <c r="D4241" s="1" t="s">
        <v>5280</v>
      </c>
      <c r="F4241" s="1" t="s">
        <v>5347</v>
      </c>
      <c r="H4241" s="1" t="s">
        <v>5348</v>
      </c>
      <c r="J4241" s="1" t="s">
        <v>5351</v>
      </c>
      <c r="L4241" s="1" t="s">
        <v>717</v>
      </c>
      <c r="N4241" s="1" t="s">
        <v>718</v>
      </c>
      <c r="P4241" s="1" t="s">
        <v>3496</v>
      </c>
      <c r="Q4241" s="30" t="s">
        <v>2568</v>
      </c>
      <c r="R4241" s="33" t="s">
        <v>3474</v>
      </c>
      <c r="S4241">
        <v>35</v>
      </c>
      <c r="T4241" s="1" t="s">
        <v>5350</v>
      </c>
      <c r="U4241" s="1" t="str">
        <f>HYPERLINK("http://ictvonline.org/taxonomy/p/taxonomy-history?taxnode_id=202102915","ICTVonline=202102915")</f>
        <v>ICTVonline=202102915</v>
      </c>
    </row>
    <row r="4242" spans="1:21" x14ac:dyDescent="0.2">
      <c r="A4242" s="3">
        <v>4241</v>
      </c>
      <c r="B4242" s="1" t="s">
        <v>5250</v>
      </c>
      <c r="D4242" s="1" t="s">
        <v>5280</v>
      </c>
      <c r="F4242" s="1" t="s">
        <v>5347</v>
      </c>
      <c r="H4242" s="1" t="s">
        <v>5348</v>
      </c>
      <c r="J4242" s="1" t="s">
        <v>5351</v>
      </c>
      <c r="L4242" s="1" t="s">
        <v>717</v>
      </c>
      <c r="N4242" s="1" t="s">
        <v>718</v>
      </c>
      <c r="P4242" s="1" t="s">
        <v>5354</v>
      </c>
      <c r="Q4242" s="30" t="s">
        <v>2969</v>
      </c>
      <c r="R4242" s="33" t="s">
        <v>3472</v>
      </c>
      <c r="S4242">
        <v>35</v>
      </c>
      <c r="T4242" s="1" t="s">
        <v>5353</v>
      </c>
      <c r="U4242" s="1" t="str">
        <f>HYPERLINK("http://ictvonline.org/taxonomy/p/taxonomy-history?taxnode_id=202108677","ICTVonline=202108677")</f>
        <v>ICTVonline=202108677</v>
      </c>
    </row>
    <row r="4243" spans="1:21" x14ac:dyDescent="0.2">
      <c r="A4243" s="3">
        <v>4242</v>
      </c>
      <c r="B4243" s="1" t="s">
        <v>5250</v>
      </c>
      <c r="D4243" s="1" t="s">
        <v>5280</v>
      </c>
      <c r="F4243" s="1" t="s">
        <v>5347</v>
      </c>
      <c r="H4243" s="1" t="s">
        <v>5348</v>
      </c>
      <c r="J4243" s="1" t="s">
        <v>5351</v>
      </c>
      <c r="L4243" s="1" t="s">
        <v>717</v>
      </c>
      <c r="N4243" s="1" t="s">
        <v>718</v>
      </c>
      <c r="P4243" s="1" t="s">
        <v>720</v>
      </c>
      <c r="Q4243" s="30" t="s">
        <v>2568</v>
      </c>
      <c r="R4243" s="33" t="s">
        <v>3474</v>
      </c>
      <c r="S4243">
        <v>35</v>
      </c>
      <c r="T4243" s="1" t="s">
        <v>5350</v>
      </c>
      <c r="U4243" s="1" t="str">
        <f>HYPERLINK("http://ictvonline.org/taxonomy/p/taxonomy-history?taxnode_id=202102916","ICTVonline=202102916")</f>
        <v>ICTVonline=202102916</v>
      </c>
    </row>
    <row r="4244" spans="1:21" x14ac:dyDescent="0.2">
      <c r="A4244" s="3">
        <v>4243</v>
      </c>
      <c r="B4244" s="1" t="s">
        <v>5250</v>
      </c>
      <c r="D4244" s="1" t="s">
        <v>5280</v>
      </c>
      <c r="F4244" s="1" t="s">
        <v>5347</v>
      </c>
      <c r="H4244" s="1" t="s">
        <v>5348</v>
      </c>
      <c r="J4244" s="1" t="s">
        <v>5351</v>
      </c>
      <c r="L4244" s="1" t="s">
        <v>717</v>
      </c>
      <c r="N4244" s="1" t="s">
        <v>718</v>
      </c>
      <c r="P4244" s="1" t="s">
        <v>6298</v>
      </c>
      <c r="Q4244" s="30" t="s">
        <v>2891</v>
      </c>
      <c r="R4244" s="33" t="s">
        <v>3472</v>
      </c>
      <c r="S4244">
        <v>36</v>
      </c>
      <c r="T4244" s="1" t="s">
        <v>6299</v>
      </c>
      <c r="U4244" s="1" t="str">
        <f>HYPERLINK("http://ictvonline.org/taxonomy/p/taxonomy-history?taxnode_id=202109185","ICTVonline=202109185")</f>
        <v>ICTVonline=202109185</v>
      </c>
    </row>
    <row r="4245" spans="1:21" x14ac:dyDescent="0.2">
      <c r="A4245" s="3">
        <v>4244</v>
      </c>
      <c r="B4245" s="1" t="s">
        <v>5250</v>
      </c>
      <c r="D4245" s="1" t="s">
        <v>5280</v>
      </c>
      <c r="F4245" s="1" t="s">
        <v>5347</v>
      </c>
      <c r="H4245" s="1" t="s">
        <v>5348</v>
      </c>
      <c r="J4245" s="1" t="s">
        <v>5351</v>
      </c>
      <c r="L4245" s="1" t="s">
        <v>717</v>
      </c>
      <c r="N4245" s="1" t="s">
        <v>718</v>
      </c>
      <c r="P4245" s="1" t="s">
        <v>2893</v>
      </c>
      <c r="Q4245" s="30" t="s">
        <v>2568</v>
      </c>
      <c r="R4245" s="33" t="s">
        <v>3474</v>
      </c>
      <c r="S4245">
        <v>35</v>
      </c>
      <c r="T4245" s="1" t="s">
        <v>5350</v>
      </c>
      <c r="U4245" s="1" t="str">
        <f>HYPERLINK("http://ictvonline.org/taxonomy/p/taxonomy-history?taxnode_id=202102917","ICTVonline=202102917")</f>
        <v>ICTVonline=202102917</v>
      </c>
    </row>
    <row r="4246" spans="1:21" x14ac:dyDescent="0.2">
      <c r="A4246" s="3">
        <v>4245</v>
      </c>
      <c r="B4246" s="1" t="s">
        <v>5250</v>
      </c>
      <c r="D4246" s="1" t="s">
        <v>5280</v>
      </c>
      <c r="F4246" s="1" t="s">
        <v>5347</v>
      </c>
      <c r="H4246" s="1" t="s">
        <v>5348</v>
      </c>
      <c r="J4246" s="1" t="s">
        <v>5351</v>
      </c>
      <c r="L4246" s="1" t="s">
        <v>717</v>
      </c>
      <c r="N4246" s="1" t="s">
        <v>718</v>
      </c>
      <c r="P4246" s="1" t="s">
        <v>1117</v>
      </c>
      <c r="Q4246" s="30" t="s">
        <v>2568</v>
      </c>
      <c r="R4246" s="33" t="s">
        <v>3474</v>
      </c>
      <c r="S4246">
        <v>35</v>
      </c>
      <c r="T4246" s="1" t="s">
        <v>5350</v>
      </c>
      <c r="U4246" s="1" t="str">
        <f>HYPERLINK("http://ictvonline.org/taxonomy/p/taxonomy-history?taxnode_id=202102918","ICTVonline=202102918")</f>
        <v>ICTVonline=202102918</v>
      </c>
    </row>
    <row r="4247" spans="1:21" x14ac:dyDescent="0.2">
      <c r="A4247" s="3">
        <v>4246</v>
      </c>
      <c r="B4247" s="1" t="s">
        <v>5250</v>
      </c>
      <c r="D4247" s="1" t="s">
        <v>5280</v>
      </c>
      <c r="F4247" s="1" t="s">
        <v>5347</v>
      </c>
      <c r="H4247" s="1" t="s">
        <v>5348</v>
      </c>
      <c r="J4247" s="1" t="s">
        <v>5351</v>
      </c>
      <c r="L4247" s="1" t="s">
        <v>717</v>
      </c>
      <c r="N4247" s="1" t="s">
        <v>718</v>
      </c>
      <c r="P4247" s="1" t="s">
        <v>1118</v>
      </c>
      <c r="Q4247" s="30" t="s">
        <v>2568</v>
      </c>
      <c r="R4247" s="33" t="s">
        <v>3474</v>
      </c>
      <c r="S4247">
        <v>35</v>
      </c>
      <c r="T4247" s="1" t="s">
        <v>5350</v>
      </c>
      <c r="U4247" s="1" t="str">
        <f>HYPERLINK("http://ictvonline.org/taxonomy/p/taxonomy-history?taxnode_id=202102919","ICTVonline=202102919")</f>
        <v>ICTVonline=202102919</v>
      </c>
    </row>
    <row r="4248" spans="1:21" x14ac:dyDescent="0.2">
      <c r="A4248" s="3">
        <v>4247</v>
      </c>
      <c r="B4248" s="1" t="s">
        <v>5250</v>
      </c>
      <c r="D4248" s="1" t="s">
        <v>5280</v>
      </c>
      <c r="F4248" s="1" t="s">
        <v>5347</v>
      </c>
      <c r="H4248" s="1" t="s">
        <v>5348</v>
      </c>
      <c r="J4248" s="1" t="s">
        <v>5351</v>
      </c>
      <c r="L4248" s="1" t="s">
        <v>717</v>
      </c>
      <c r="N4248" s="1" t="s">
        <v>718</v>
      </c>
      <c r="P4248" s="1" t="s">
        <v>1119</v>
      </c>
      <c r="Q4248" s="30" t="s">
        <v>2568</v>
      </c>
      <c r="R4248" s="33" t="s">
        <v>3474</v>
      </c>
      <c r="S4248">
        <v>35</v>
      </c>
      <c r="T4248" s="1" t="s">
        <v>5350</v>
      </c>
      <c r="U4248" s="1" t="str">
        <f>HYPERLINK("http://ictvonline.org/taxonomy/p/taxonomy-history?taxnode_id=202102920","ICTVonline=202102920")</f>
        <v>ICTVonline=202102920</v>
      </c>
    </row>
    <row r="4249" spans="1:21" x14ac:dyDescent="0.2">
      <c r="A4249" s="3">
        <v>4248</v>
      </c>
      <c r="B4249" s="1" t="s">
        <v>5250</v>
      </c>
      <c r="D4249" s="1" t="s">
        <v>5280</v>
      </c>
      <c r="F4249" s="1" t="s">
        <v>5347</v>
      </c>
      <c r="H4249" s="1" t="s">
        <v>5348</v>
      </c>
      <c r="J4249" s="1" t="s">
        <v>5351</v>
      </c>
      <c r="L4249" s="1" t="s">
        <v>717</v>
      </c>
      <c r="N4249" s="1" t="s">
        <v>718</v>
      </c>
      <c r="P4249" s="1" t="s">
        <v>3497</v>
      </c>
      <c r="Q4249" s="30" t="s">
        <v>2568</v>
      </c>
      <c r="R4249" s="33" t="s">
        <v>3474</v>
      </c>
      <c r="S4249">
        <v>35</v>
      </c>
      <c r="T4249" s="1" t="s">
        <v>5350</v>
      </c>
      <c r="U4249" s="1" t="str">
        <f>HYPERLINK("http://ictvonline.org/taxonomy/p/taxonomy-history?taxnode_id=202102921","ICTVonline=202102921")</f>
        <v>ICTVonline=202102921</v>
      </c>
    </row>
    <row r="4250" spans="1:21" x14ac:dyDescent="0.2">
      <c r="A4250" s="3">
        <v>4249</v>
      </c>
      <c r="B4250" s="1" t="s">
        <v>5250</v>
      </c>
      <c r="D4250" s="1" t="s">
        <v>5280</v>
      </c>
      <c r="F4250" s="1" t="s">
        <v>5347</v>
      </c>
      <c r="H4250" s="1" t="s">
        <v>5348</v>
      </c>
      <c r="J4250" s="1" t="s">
        <v>5351</v>
      </c>
      <c r="L4250" s="1" t="s">
        <v>717</v>
      </c>
      <c r="N4250" s="1" t="s">
        <v>718</v>
      </c>
      <c r="P4250" s="1" t="s">
        <v>2894</v>
      </c>
      <c r="Q4250" s="30" t="s">
        <v>2568</v>
      </c>
      <c r="R4250" s="33" t="s">
        <v>3474</v>
      </c>
      <c r="S4250">
        <v>35</v>
      </c>
      <c r="T4250" s="1" t="s">
        <v>5350</v>
      </c>
      <c r="U4250" s="1" t="str">
        <f>HYPERLINK("http://ictvonline.org/taxonomy/p/taxonomy-history?taxnode_id=202102922","ICTVonline=202102922")</f>
        <v>ICTVonline=202102922</v>
      </c>
    </row>
    <row r="4251" spans="1:21" x14ac:dyDescent="0.2">
      <c r="A4251" s="3">
        <v>4250</v>
      </c>
      <c r="B4251" s="1" t="s">
        <v>5250</v>
      </c>
      <c r="D4251" s="1" t="s">
        <v>5280</v>
      </c>
      <c r="F4251" s="1" t="s">
        <v>5347</v>
      </c>
      <c r="H4251" s="1" t="s">
        <v>5348</v>
      </c>
      <c r="J4251" s="1" t="s">
        <v>5351</v>
      </c>
      <c r="L4251" s="1" t="s">
        <v>717</v>
      </c>
      <c r="N4251" s="1" t="s">
        <v>718</v>
      </c>
      <c r="P4251" s="1" t="s">
        <v>5355</v>
      </c>
      <c r="Q4251" s="30" t="s">
        <v>2969</v>
      </c>
      <c r="R4251" s="33" t="s">
        <v>3472</v>
      </c>
      <c r="S4251">
        <v>35</v>
      </c>
      <c r="T4251" s="1" t="s">
        <v>5353</v>
      </c>
      <c r="U4251" s="1" t="str">
        <f>HYPERLINK("http://ictvonline.org/taxonomy/p/taxonomy-history?taxnode_id=202108679","ICTVonline=202108679")</f>
        <v>ICTVonline=202108679</v>
      </c>
    </row>
    <row r="4252" spans="1:21" x14ac:dyDescent="0.2">
      <c r="A4252" s="3">
        <v>4251</v>
      </c>
      <c r="B4252" s="1" t="s">
        <v>5250</v>
      </c>
      <c r="D4252" s="1" t="s">
        <v>5280</v>
      </c>
      <c r="F4252" s="1" t="s">
        <v>5347</v>
      </c>
      <c r="H4252" s="1" t="s">
        <v>5348</v>
      </c>
      <c r="J4252" s="1" t="s">
        <v>5351</v>
      </c>
      <c r="L4252" s="1" t="s">
        <v>717</v>
      </c>
      <c r="N4252" s="1" t="s">
        <v>718</v>
      </c>
      <c r="P4252" s="1" t="s">
        <v>6300</v>
      </c>
      <c r="Q4252" s="30" t="s">
        <v>2891</v>
      </c>
      <c r="R4252" s="33" t="s">
        <v>3472</v>
      </c>
      <c r="S4252">
        <v>36</v>
      </c>
      <c r="T4252" s="1" t="s">
        <v>6296</v>
      </c>
      <c r="U4252" s="1" t="str">
        <f>HYPERLINK("http://ictvonline.org/taxonomy/p/taxonomy-history?taxnode_id=202109256","ICTVonline=202109256")</f>
        <v>ICTVonline=202109256</v>
      </c>
    </row>
    <row r="4253" spans="1:21" x14ac:dyDescent="0.2">
      <c r="A4253" s="3">
        <v>4252</v>
      </c>
      <c r="B4253" s="1" t="s">
        <v>5250</v>
      </c>
      <c r="D4253" s="1" t="s">
        <v>5280</v>
      </c>
      <c r="F4253" s="1" t="s">
        <v>5347</v>
      </c>
      <c r="H4253" s="1" t="s">
        <v>5348</v>
      </c>
      <c r="J4253" s="1" t="s">
        <v>5351</v>
      </c>
      <c r="L4253" s="1" t="s">
        <v>717</v>
      </c>
      <c r="N4253" s="1" t="s">
        <v>718</v>
      </c>
      <c r="P4253" s="1" t="s">
        <v>719</v>
      </c>
      <c r="Q4253" s="30" t="s">
        <v>2568</v>
      </c>
      <c r="R4253" s="33" t="s">
        <v>3474</v>
      </c>
      <c r="S4253">
        <v>35</v>
      </c>
      <c r="T4253" s="1" t="s">
        <v>5350</v>
      </c>
      <c r="U4253" s="1" t="str">
        <f>HYPERLINK("http://ictvonline.org/taxonomy/p/taxonomy-history?taxnode_id=202102923","ICTVonline=202102923")</f>
        <v>ICTVonline=202102923</v>
      </c>
    </row>
    <row r="4254" spans="1:21" x14ac:dyDescent="0.2">
      <c r="A4254" s="3">
        <v>4253</v>
      </c>
      <c r="B4254" s="1" t="s">
        <v>5250</v>
      </c>
      <c r="D4254" s="1" t="s">
        <v>5280</v>
      </c>
      <c r="F4254" s="1" t="s">
        <v>5347</v>
      </c>
      <c r="H4254" s="1" t="s">
        <v>5348</v>
      </c>
      <c r="J4254" s="1" t="s">
        <v>5351</v>
      </c>
      <c r="L4254" s="1" t="s">
        <v>717</v>
      </c>
      <c r="N4254" s="1" t="s">
        <v>718</v>
      </c>
      <c r="P4254" s="1" t="s">
        <v>2895</v>
      </c>
      <c r="Q4254" s="30" t="s">
        <v>2568</v>
      </c>
      <c r="R4254" s="33" t="s">
        <v>8665</v>
      </c>
      <c r="S4254">
        <v>36</v>
      </c>
      <c r="T4254" s="1" t="s">
        <v>8661</v>
      </c>
      <c r="U4254" s="1" t="str">
        <f>HYPERLINK("http://ictvonline.org/taxonomy/p/taxonomy-history?taxnode_id=202102924","ICTVonline=202102924")</f>
        <v>ICTVonline=202102924</v>
      </c>
    </row>
    <row r="4255" spans="1:21" x14ac:dyDescent="0.2">
      <c r="A4255" s="3">
        <v>4254</v>
      </c>
      <c r="B4255" s="1" t="s">
        <v>5250</v>
      </c>
      <c r="D4255" s="1" t="s">
        <v>5280</v>
      </c>
      <c r="F4255" s="1" t="s">
        <v>5347</v>
      </c>
      <c r="H4255" s="1" t="s">
        <v>5348</v>
      </c>
      <c r="J4255" s="1" t="s">
        <v>5351</v>
      </c>
      <c r="L4255" s="1" t="s">
        <v>717</v>
      </c>
      <c r="N4255" s="1" t="s">
        <v>718</v>
      </c>
      <c r="P4255" s="1" t="s">
        <v>2896</v>
      </c>
      <c r="Q4255" s="30" t="s">
        <v>2568</v>
      </c>
      <c r="R4255" s="33" t="s">
        <v>8665</v>
      </c>
      <c r="S4255">
        <v>36</v>
      </c>
      <c r="T4255" s="1" t="s">
        <v>8661</v>
      </c>
      <c r="U4255" s="1" t="str">
        <f>HYPERLINK("http://ictvonline.org/taxonomy/p/taxonomy-history?taxnode_id=202102925","ICTVonline=202102925")</f>
        <v>ICTVonline=202102925</v>
      </c>
    </row>
    <row r="4256" spans="1:21" x14ac:dyDescent="0.2">
      <c r="A4256" s="3">
        <v>4255</v>
      </c>
      <c r="B4256" s="1" t="s">
        <v>5250</v>
      </c>
      <c r="D4256" s="1" t="s">
        <v>5280</v>
      </c>
      <c r="F4256" s="1" t="s">
        <v>5347</v>
      </c>
      <c r="H4256" s="1" t="s">
        <v>5348</v>
      </c>
      <c r="J4256" s="1" t="s">
        <v>5351</v>
      </c>
      <c r="L4256" s="1" t="s">
        <v>717</v>
      </c>
      <c r="N4256" s="1" t="s">
        <v>718</v>
      </c>
      <c r="P4256" s="1" t="s">
        <v>3783</v>
      </c>
      <c r="Q4256" s="30" t="s">
        <v>2568</v>
      </c>
      <c r="R4256" s="33" t="s">
        <v>3474</v>
      </c>
      <c r="S4256">
        <v>35</v>
      </c>
      <c r="T4256" s="1" t="s">
        <v>5350</v>
      </c>
      <c r="U4256" s="1" t="str">
        <f>HYPERLINK("http://ictvonline.org/taxonomy/p/taxonomy-history?taxnode_id=202105768","ICTVonline=202105768")</f>
        <v>ICTVonline=202105768</v>
      </c>
    </row>
    <row r="4257" spans="1:21" x14ac:dyDescent="0.2">
      <c r="A4257" s="3">
        <v>4256</v>
      </c>
      <c r="B4257" s="1" t="s">
        <v>5250</v>
      </c>
      <c r="D4257" s="1" t="s">
        <v>5280</v>
      </c>
      <c r="F4257" s="1" t="s">
        <v>5347</v>
      </c>
      <c r="H4257" s="1" t="s">
        <v>5348</v>
      </c>
      <c r="J4257" s="1" t="s">
        <v>5351</v>
      </c>
      <c r="L4257" s="1" t="s">
        <v>717</v>
      </c>
      <c r="N4257" s="1" t="s">
        <v>718</v>
      </c>
      <c r="P4257" s="1" t="s">
        <v>6301</v>
      </c>
      <c r="Q4257" s="30" t="s">
        <v>2891</v>
      </c>
      <c r="R4257" s="33" t="s">
        <v>3472</v>
      </c>
      <c r="S4257">
        <v>36</v>
      </c>
      <c r="T4257" s="1" t="s">
        <v>6296</v>
      </c>
      <c r="U4257" s="1" t="str">
        <f>HYPERLINK("http://ictvonline.org/taxonomy/p/taxonomy-history?taxnode_id=202109253","ICTVonline=202109253")</f>
        <v>ICTVonline=202109253</v>
      </c>
    </row>
    <row r="4258" spans="1:21" x14ac:dyDescent="0.2">
      <c r="A4258" s="3">
        <v>4257</v>
      </c>
      <c r="B4258" s="1" t="s">
        <v>5250</v>
      </c>
      <c r="D4258" s="1" t="s">
        <v>5280</v>
      </c>
      <c r="F4258" s="1" t="s">
        <v>5347</v>
      </c>
      <c r="H4258" s="1" t="s">
        <v>5348</v>
      </c>
      <c r="J4258" s="1" t="s">
        <v>5351</v>
      </c>
      <c r="L4258" s="1" t="s">
        <v>717</v>
      </c>
      <c r="N4258" s="1" t="s">
        <v>718</v>
      </c>
      <c r="P4258" s="1" t="s">
        <v>2897</v>
      </c>
      <c r="Q4258" s="30" t="s">
        <v>2568</v>
      </c>
      <c r="R4258" s="33" t="s">
        <v>3474</v>
      </c>
      <c r="S4258">
        <v>35</v>
      </c>
      <c r="T4258" s="1" t="s">
        <v>5350</v>
      </c>
      <c r="U4258" s="1" t="str">
        <f>HYPERLINK("http://ictvonline.org/taxonomy/p/taxonomy-history?taxnode_id=202102926","ICTVonline=202102926")</f>
        <v>ICTVonline=202102926</v>
      </c>
    </row>
    <row r="4259" spans="1:21" x14ac:dyDescent="0.2">
      <c r="A4259" s="3">
        <v>4258</v>
      </c>
      <c r="B4259" s="1" t="s">
        <v>5250</v>
      </c>
      <c r="D4259" s="1" t="s">
        <v>5280</v>
      </c>
      <c r="F4259" s="1" t="s">
        <v>5347</v>
      </c>
      <c r="H4259" s="1" t="s">
        <v>5348</v>
      </c>
      <c r="J4259" s="1" t="s">
        <v>5351</v>
      </c>
      <c r="L4259" s="1" t="s">
        <v>717</v>
      </c>
      <c r="N4259" s="1" t="s">
        <v>718</v>
      </c>
      <c r="P4259" s="1" t="s">
        <v>4811</v>
      </c>
      <c r="Q4259" s="30" t="s">
        <v>2568</v>
      </c>
      <c r="R4259" s="33" t="s">
        <v>3474</v>
      </c>
      <c r="S4259">
        <v>35</v>
      </c>
      <c r="T4259" s="1" t="s">
        <v>5350</v>
      </c>
      <c r="U4259" s="1" t="str">
        <f>HYPERLINK("http://ictvonline.org/taxonomy/p/taxonomy-history?taxnode_id=202106563","ICTVonline=202106563")</f>
        <v>ICTVonline=202106563</v>
      </c>
    </row>
    <row r="4260" spans="1:21" x14ac:dyDescent="0.2">
      <c r="A4260" s="3">
        <v>4259</v>
      </c>
      <c r="B4260" s="1" t="s">
        <v>5250</v>
      </c>
      <c r="D4260" s="1" t="s">
        <v>5280</v>
      </c>
      <c r="F4260" s="1" t="s">
        <v>5347</v>
      </c>
      <c r="H4260" s="1" t="s">
        <v>5348</v>
      </c>
      <c r="J4260" s="1" t="s">
        <v>5351</v>
      </c>
      <c r="L4260" s="1" t="s">
        <v>717</v>
      </c>
      <c r="N4260" s="1" t="s">
        <v>718</v>
      </c>
      <c r="P4260" s="1" t="s">
        <v>4812</v>
      </c>
      <c r="Q4260" s="30" t="s">
        <v>2568</v>
      </c>
      <c r="R4260" s="33" t="s">
        <v>3474</v>
      </c>
      <c r="S4260">
        <v>35</v>
      </c>
      <c r="T4260" s="1" t="s">
        <v>5350</v>
      </c>
      <c r="U4260" s="1" t="str">
        <f>HYPERLINK("http://ictvonline.org/taxonomy/p/taxonomy-history?taxnode_id=202106564","ICTVonline=202106564")</f>
        <v>ICTVonline=202106564</v>
      </c>
    </row>
    <row r="4261" spans="1:21" x14ac:dyDescent="0.2">
      <c r="A4261" s="3">
        <v>4260</v>
      </c>
      <c r="B4261" s="1" t="s">
        <v>5250</v>
      </c>
      <c r="D4261" s="1" t="s">
        <v>5280</v>
      </c>
      <c r="F4261" s="1" t="s">
        <v>5347</v>
      </c>
      <c r="H4261" s="1" t="s">
        <v>5348</v>
      </c>
      <c r="J4261" s="1" t="s">
        <v>5351</v>
      </c>
      <c r="L4261" s="1" t="s">
        <v>717</v>
      </c>
      <c r="N4261" s="1" t="s">
        <v>718</v>
      </c>
      <c r="P4261" s="1" t="s">
        <v>4813</v>
      </c>
      <c r="Q4261" s="30" t="s">
        <v>2568</v>
      </c>
      <c r="R4261" s="33" t="s">
        <v>3474</v>
      </c>
      <c r="S4261">
        <v>35</v>
      </c>
      <c r="T4261" s="1" t="s">
        <v>5350</v>
      </c>
      <c r="U4261" s="1" t="str">
        <f>HYPERLINK("http://ictvonline.org/taxonomy/p/taxonomy-history?taxnode_id=202106565","ICTVonline=202106565")</f>
        <v>ICTVonline=202106565</v>
      </c>
    </row>
    <row r="4262" spans="1:21" x14ac:dyDescent="0.2">
      <c r="A4262" s="3">
        <v>4261</v>
      </c>
      <c r="B4262" s="1" t="s">
        <v>5250</v>
      </c>
      <c r="D4262" s="1" t="s">
        <v>5280</v>
      </c>
      <c r="F4262" s="1" t="s">
        <v>5347</v>
      </c>
      <c r="H4262" s="1" t="s">
        <v>5348</v>
      </c>
      <c r="J4262" s="1" t="s">
        <v>5351</v>
      </c>
      <c r="L4262" s="1" t="s">
        <v>717</v>
      </c>
      <c r="N4262" s="1" t="s">
        <v>718</v>
      </c>
      <c r="P4262" s="1" t="s">
        <v>4814</v>
      </c>
      <c r="Q4262" s="30" t="s">
        <v>2568</v>
      </c>
      <c r="R4262" s="33" t="s">
        <v>3474</v>
      </c>
      <c r="S4262">
        <v>35</v>
      </c>
      <c r="T4262" s="1" t="s">
        <v>5350</v>
      </c>
      <c r="U4262" s="1" t="str">
        <f>HYPERLINK("http://ictvonline.org/taxonomy/p/taxonomy-history?taxnode_id=202106566","ICTVonline=202106566")</f>
        <v>ICTVonline=202106566</v>
      </c>
    </row>
    <row r="4263" spans="1:21" x14ac:dyDescent="0.2">
      <c r="A4263" s="3">
        <v>4262</v>
      </c>
      <c r="B4263" s="1" t="s">
        <v>5250</v>
      </c>
      <c r="D4263" s="1" t="s">
        <v>5280</v>
      </c>
      <c r="F4263" s="1" t="s">
        <v>5347</v>
      </c>
      <c r="H4263" s="1" t="s">
        <v>5348</v>
      </c>
      <c r="J4263" s="1" t="s">
        <v>5351</v>
      </c>
      <c r="L4263" s="1" t="s">
        <v>717</v>
      </c>
      <c r="N4263" s="1" t="s">
        <v>718</v>
      </c>
      <c r="P4263" s="1" t="s">
        <v>4815</v>
      </c>
      <c r="Q4263" s="30" t="s">
        <v>2568</v>
      </c>
      <c r="R4263" s="33" t="s">
        <v>3474</v>
      </c>
      <c r="S4263">
        <v>35</v>
      </c>
      <c r="T4263" s="1" t="s">
        <v>5350</v>
      </c>
      <c r="U4263" s="1" t="str">
        <f>HYPERLINK("http://ictvonline.org/taxonomy/p/taxonomy-history?taxnode_id=202106567","ICTVonline=202106567")</f>
        <v>ICTVonline=202106567</v>
      </c>
    </row>
    <row r="4264" spans="1:21" x14ac:dyDescent="0.2">
      <c r="A4264" s="3">
        <v>4263</v>
      </c>
      <c r="B4264" s="1" t="s">
        <v>5250</v>
      </c>
      <c r="D4264" s="1" t="s">
        <v>5280</v>
      </c>
      <c r="F4264" s="1" t="s">
        <v>5347</v>
      </c>
      <c r="H4264" s="1" t="s">
        <v>5348</v>
      </c>
      <c r="J4264" s="1" t="s">
        <v>5351</v>
      </c>
      <c r="L4264" s="1" t="s">
        <v>717</v>
      </c>
      <c r="N4264" s="1" t="s">
        <v>718</v>
      </c>
      <c r="P4264" s="1" t="s">
        <v>4816</v>
      </c>
      <c r="Q4264" s="30" t="s">
        <v>2568</v>
      </c>
      <c r="R4264" s="33" t="s">
        <v>3474</v>
      </c>
      <c r="S4264">
        <v>35</v>
      </c>
      <c r="T4264" s="1" t="s">
        <v>5350</v>
      </c>
      <c r="U4264" s="1" t="str">
        <f>HYPERLINK("http://ictvonline.org/taxonomy/p/taxonomy-history?taxnode_id=202106568","ICTVonline=202106568")</f>
        <v>ICTVonline=202106568</v>
      </c>
    </row>
    <row r="4265" spans="1:21" x14ac:dyDescent="0.2">
      <c r="A4265" s="3">
        <v>4264</v>
      </c>
      <c r="B4265" s="1" t="s">
        <v>5250</v>
      </c>
      <c r="D4265" s="1" t="s">
        <v>5280</v>
      </c>
      <c r="F4265" s="1" t="s">
        <v>5347</v>
      </c>
      <c r="H4265" s="1" t="s">
        <v>5348</v>
      </c>
      <c r="J4265" s="1" t="s">
        <v>5351</v>
      </c>
      <c r="L4265" s="1" t="s">
        <v>717</v>
      </c>
      <c r="N4265" s="1" t="s">
        <v>718</v>
      </c>
      <c r="P4265" s="1" t="s">
        <v>5356</v>
      </c>
      <c r="Q4265" s="30" t="s">
        <v>2969</v>
      </c>
      <c r="R4265" s="33" t="s">
        <v>3472</v>
      </c>
      <c r="S4265">
        <v>35</v>
      </c>
      <c r="T4265" s="1" t="s">
        <v>5353</v>
      </c>
      <c r="U4265" s="1" t="str">
        <f>HYPERLINK("http://ictvonline.org/taxonomy/p/taxonomy-history?taxnode_id=202108678","ICTVonline=202108678")</f>
        <v>ICTVonline=202108678</v>
      </c>
    </row>
    <row r="4266" spans="1:21" x14ac:dyDescent="0.2">
      <c r="A4266" s="3">
        <v>4265</v>
      </c>
      <c r="B4266" s="1" t="s">
        <v>5250</v>
      </c>
      <c r="D4266" s="1" t="s">
        <v>5280</v>
      </c>
      <c r="F4266" s="1" t="s">
        <v>5347</v>
      </c>
      <c r="H4266" s="1" t="s">
        <v>5348</v>
      </c>
      <c r="J4266" s="1" t="s">
        <v>5351</v>
      </c>
      <c r="L4266" s="1" t="s">
        <v>717</v>
      </c>
      <c r="N4266" s="1" t="s">
        <v>718</v>
      </c>
      <c r="P4266" s="1" t="s">
        <v>1826</v>
      </c>
      <c r="Q4266" s="30" t="s">
        <v>2568</v>
      </c>
      <c r="R4266" s="33" t="s">
        <v>3474</v>
      </c>
      <c r="S4266">
        <v>35</v>
      </c>
      <c r="T4266" s="1" t="s">
        <v>5350</v>
      </c>
      <c r="U4266" s="1" t="str">
        <f>HYPERLINK("http://ictvonline.org/taxonomy/p/taxonomy-history?taxnode_id=202102927","ICTVonline=202102927")</f>
        <v>ICTVonline=202102927</v>
      </c>
    </row>
    <row r="4267" spans="1:21" x14ac:dyDescent="0.2">
      <c r="A4267" s="3">
        <v>4266</v>
      </c>
      <c r="B4267" s="1" t="s">
        <v>5250</v>
      </c>
      <c r="D4267" s="1" t="s">
        <v>5280</v>
      </c>
      <c r="F4267" s="1" t="s">
        <v>5347</v>
      </c>
      <c r="H4267" s="1" t="s">
        <v>5348</v>
      </c>
      <c r="J4267" s="1" t="s">
        <v>5351</v>
      </c>
      <c r="L4267" s="1" t="s">
        <v>717</v>
      </c>
      <c r="N4267" s="1" t="s">
        <v>718</v>
      </c>
      <c r="P4267" s="1" t="s">
        <v>1715</v>
      </c>
      <c r="Q4267" s="30" t="s">
        <v>2568</v>
      </c>
      <c r="R4267" s="33" t="s">
        <v>3474</v>
      </c>
      <c r="S4267">
        <v>35</v>
      </c>
      <c r="T4267" s="1" t="s">
        <v>5350</v>
      </c>
      <c r="U4267" s="1" t="str">
        <f>HYPERLINK("http://ictvonline.org/taxonomy/p/taxonomy-history?taxnode_id=202102928","ICTVonline=202102928")</f>
        <v>ICTVonline=202102928</v>
      </c>
    </row>
    <row r="4268" spans="1:21" x14ac:dyDescent="0.2">
      <c r="A4268" s="3">
        <v>4267</v>
      </c>
      <c r="B4268" s="1" t="s">
        <v>5250</v>
      </c>
      <c r="D4268" s="1" t="s">
        <v>5280</v>
      </c>
      <c r="F4268" s="1" t="s">
        <v>5347</v>
      </c>
      <c r="H4268" s="1" t="s">
        <v>5348</v>
      </c>
      <c r="J4268" s="1" t="s">
        <v>5351</v>
      </c>
      <c r="L4268" s="1" t="s">
        <v>717</v>
      </c>
      <c r="N4268" s="1" t="s">
        <v>718</v>
      </c>
      <c r="P4268" s="1" t="s">
        <v>4817</v>
      </c>
      <c r="Q4268" s="30" t="s">
        <v>2568</v>
      </c>
      <c r="R4268" s="33" t="s">
        <v>3474</v>
      </c>
      <c r="S4268">
        <v>35</v>
      </c>
      <c r="T4268" s="1" t="s">
        <v>5350</v>
      </c>
      <c r="U4268" s="1" t="str">
        <f>HYPERLINK("http://ictvonline.org/taxonomy/p/taxonomy-history?taxnode_id=202106569","ICTVonline=202106569")</f>
        <v>ICTVonline=202106569</v>
      </c>
    </row>
    <row r="4269" spans="1:21" x14ac:dyDescent="0.2">
      <c r="A4269" s="3">
        <v>4268</v>
      </c>
      <c r="B4269" s="1" t="s">
        <v>5250</v>
      </c>
      <c r="D4269" s="1" t="s">
        <v>5280</v>
      </c>
      <c r="F4269" s="1" t="s">
        <v>5347</v>
      </c>
      <c r="H4269" s="1" t="s">
        <v>5348</v>
      </c>
      <c r="J4269" s="1" t="s">
        <v>5351</v>
      </c>
      <c r="L4269" s="1" t="s">
        <v>717</v>
      </c>
      <c r="N4269" s="1" t="s">
        <v>718</v>
      </c>
      <c r="P4269" s="1" t="s">
        <v>4818</v>
      </c>
      <c r="Q4269" s="30" t="s">
        <v>2568</v>
      </c>
      <c r="R4269" s="33" t="s">
        <v>3474</v>
      </c>
      <c r="S4269">
        <v>35</v>
      </c>
      <c r="T4269" s="1" t="s">
        <v>5350</v>
      </c>
      <c r="U4269" s="1" t="str">
        <f>HYPERLINK("http://ictvonline.org/taxonomy/p/taxonomy-history?taxnode_id=202106570","ICTVonline=202106570")</f>
        <v>ICTVonline=202106570</v>
      </c>
    </row>
    <row r="4270" spans="1:21" x14ac:dyDescent="0.2">
      <c r="A4270" s="3">
        <v>4269</v>
      </c>
      <c r="B4270" s="1" t="s">
        <v>5250</v>
      </c>
      <c r="D4270" s="1" t="s">
        <v>5280</v>
      </c>
      <c r="F4270" s="1" t="s">
        <v>5347</v>
      </c>
      <c r="H4270" s="1" t="s">
        <v>5348</v>
      </c>
      <c r="J4270" s="1" t="s">
        <v>5351</v>
      </c>
      <c r="L4270" s="1" t="s">
        <v>717</v>
      </c>
      <c r="N4270" s="1" t="s">
        <v>718</v>
      </c>
      <c r="P4270" s="1" t="s">
        <v>6302</v>
      </c>
      <c r="Q4270" s="30" t="s">
        <v>2891</v>
      </c>
      <c r="R4270" s="33" t="s">
        <v>3472</v>
      </c>
      <c r="S4270">
        <v>36</v>
      </c>
      <c r="T4270" s="1" t="s">
        <v>6296</v>
      </c>
      <c r="U4270" s="1" t="str">
        <f>HYPERLINK("http://ictvonline.org/taxonomy/p/taxonomy-history?taxnode_id=202109252","ICTVonline=202109252")</f>
        <v>ICTVonline=202109252</v>
      </c>
    </row>
    <row r="4271" spans="1:21" x14ac:dyDescent="0.2">
      <c r="A4271" s="3">
        <v>4270</v>
      </c>
      <c r="B4271" s="1" t="s">
        <v>5250</v>
      </c>
      <c r="D4271" s="1" t="s">
        <v>5280</v>
      </c>
      <c r="F4271" s="1" t="s">
        <v>5347</v>
      </c>
      <c r="H4271" s="1" t="s">
        <v>5348</v>
      </c>
      <c r="J4271" s="1" t="s">
        <v>5351</v>
      </c>
      <c r="L4271" s="1" t="s">
        <v>717</v>
      </c>
      <c r="N4271" s="1" t="s">
        <v>718</v>
      </c>
      <c r="P4271" s="1" t="s">
        <v>2898</v>
      </c>
      <c r="Q4271" s="30" t="s">
        <v>2568</v>
      </c>
      <c r="R4271" s="33" t="s">
        <v>3474</v>
      </c>
      <c r="S4271">
        <v>35</v>
      </c>
      <c r="T4271" s="1" t="s">
        <v>5350</v>
      </c>
      <c r="U4271" s="1" t="str">
        <f>HYPERLINK("http://ictvonline.org/taxonomy/p/taxonomy-history?taxnode_id=202102929","ICTVonline=202102929")</f>
        <v>ICTVonline=202102929</v>
      </c>
    </row>
    <row r="4272" spans="1:21" x14ac:dyDescent="0.2">
      <c r="A4272" s="3">
        <v>4271</v>
      </c>
      <c r="B4272" s="1" t="s">
        <v>5250</v>
      </c>
      <c r="D4272" s="1" t="s">
        <v>5280</v>
      </c>
      <c r="F4272" s="1" t="s">
        <v>5347</v>
      </c>
      <c r="H4272" s="1" t="s">
        <v>5348</v>
      </c>
      <c r="J4272" s="1" t="s">
        <v>5351</v>
      </c>
      <c r="L4272" s="1" t="s">
        <v>717</v>
      </c>
      <c r="N4272" s="1" t="s">
        <v>2899</v>
      </c>
      <c r="P4272" s="1" t="s">
        <v>5357</v>
      </c>
      <c r="Q4272" s="30" t="s">
        <v>2891</v>
      </c>
      <c r="R4272" s="33" t="s">
        <v>3472</v>
      </c>
      <c r="S4272">
        <v>35</v>
      </c>
      <c r="T4272" s="1" t="s">
        <v>5353</v>
      </c>
      <c r="U4272" s="1" t="str">
        <f>HYPERLINK("http://ictvonline.org/taxonomy/p/taxonomy-history?taxnode_id=202108681","ICTVonline=202108681")</f>
        <v>ICTVonline=202108681</v>
      </c>
    </row>
    <row r="4273" spans="1:21" x14ac:dyDescent="0.2">
      <c r="A4273" s="3">
        <v>4272</v>
      </c>
      <c r="B4273" s="1" t="s">
        <v>5250</v>
      </c>
      <c r="D4273" s="1" t="s">
        <v>5280</v>
      </c>
      <c r="F4273" s="1" t="s">
        <v>5347</v>
      </c>
      <c r="H4273" s="1" t="s">
        <v>5348</v>
      </c>
      <c r="J4273" s="1" t="s">
        <v>5351</v>
      </c>
      <c r="L4273" s="1" t="s">
        <v>717</v>
      </c>
      <c r="N4273" s="1" t="s">
        <v>2899</v>
      </c>
      <c r="P4273" s="1" t="s">
        <v>3498</v>
      </c>
      <c r="Q4273" s="30" t="s">
        <v>2568</v>
      </c>
      <c r="R4273" s="33" t="s">
        <v>3474</v>
      </c>
      <c r="S4273">
        <v>35</v>
      </c>
      <c r="T4273" s="1" t="s">
        <v>5350</v>
      </c>
      <c r="U4273" s="1" t="str">
        <f>HYPERLINK("http://ictvonline.org/taxonomy/p/taxonomy-history?taxnode_id=202102931","ICTVonline=202102931")</f>
        <v>ICTVonline=202102931</v>
      </c>
    </row>
    <row r="4274" spans="1:21" x14ac:dyDescent="0.2">
      <c r="A4274" s="3">
        <v>4273</v>
      </c>
      <c r="B4274" s="1" t="s">
        <v>5250</v>
      </c>
      <c r="D4274" s="1" t="s">
        <v>5280</v>
      </c>
      <c r="F4274" s="1" t="s">
        <v>5347</v>
      </c>
      <c r="H4274" s="1" t="s">
        <v>5348</v>
      </c>
      <c r="J4274" s="1" t="s">
        <v>5351</v>
      </c>
      <c r="L4274" s="1" t="s">
        <v>717</v>
      </c>
      <c r="N4274" s="1" t="s">
        <v>2899</v>
      </c>
      <c r="P4274" s="1" t="s">
        <v>3499</v>
      </c>
      <c r="Q4274" s="30" t="s">
        <v>2568</v>
      </c>
      <c r="R4274" s="33" t="s">
        <v>3474</v>
      </c>
      <c r="S4274">
        <v>35</v>
      </c>
      <c r="T4274" s="1" t="s">
        <v>5350</v>
      </c>
      <c r="U4274" s="1" t="str">
        <f>HYPERLINK("http://ictvonline.org/taxonomy/p/taxonomy-history?taxnode_id=202102932","ICTVonline=202102932")</f>
        <v>ICTVonline=202102932</v>
      </c>
    </row>
    <row r="4275" spans="1:21" x14ac:dyDescent="0.2">
      <c r="A4275" s="3">
        <v>4274</v>
      </c>
      <c r="B4275" s="1" t="s">
        <v>5250</v>
      </c>
      <c r="D4275" s="1" t="s">
        <v>5280</v>
      </c>
      <c r="F4275" s="1" t="s">
        <v>5347</v>
      </c>
      <c r="H4275" s="1" t="s">
        <v>5348</v>
      </c>
      <c r="J4275" s="1" t="s">
        <v>5351</v>
      </c>
      <c r="L4275" s="1" t="s">
        <v>717</v>
      </c>
      <c r="N4275" s="1" t="s">
        <v>2899</v>
      </c>
      <c r="P4275" s="1" t="s">
        <v>3500</v>
      </c>
      <c r="Q4275" s="30" t="s">
        <v>2568</v>
      </c>
      <c r="R4275" s="33" t="s">
        <v>3474</v>
      </c>
      <c r="S4275">
        <v>35</v>
      </c>
      <c r="T4275" s="1" t="s">
        <v>5350</v>
      </c>
      <c r="U4275" s="1" t="str">
        <f>HYPERLINK("http://ictvonline.org/taxonomy/p/taxonomy-history?taxnode_id=202102933","ICTVonline=202102933")</f>
        <v>ICTVonline=202102933</v>
      </c>
    </row>
    <row r="4276" spans="1:21" x14ac:dyDescent="0.2">
      <c r="A4276" s="3">
        <v>4275</v>
      </c>
      <c r="B4276" s="1" t="s">
        <v>5250</v>
      </c>
      <c r="D4276" s="1" t="s">
        <v>5280</v>
      </c>
      <c r="F4276" s="1" t="s">
        <v>5347</v>
      </c>
      <c r="H4276" s="1" t="s">
        <v>5348</v>
      </c>
      <c r="J4276" s="1" t="s">
        <v>5351</v>
      </c>
      <c r="L4276" s="1" t="s">
        <v>717</v>
      </c>
      <c r="N4276" s="1" t="s">
        <v>2899</v>
      </c>
      <c r="P4276" s="1" t="s">
        <v>3501</v>
      </c>
      <c r="Q4276" s="30" t="s">
        <v>2568</v>
      </c>
      <c r="R4276" s="33" t="s">
        <v>3474</v>
      </c>
      <c r="S4276">
        <v>35</v>
      </c>
      <c r="T4276" s="1" t="s">
        <v>5350</v>
      </c>
      <c r="U4276" s="1" t="str">
        <f>HYPERLINK("http://ictvonline.org/taxonomy/p/taxonomy-history?taxnode_id=202102934","ICTVonline=202102934")</f>
        <v>ICTVonline=202102934</v>
      </c>
    </row>
    <row r="4277" spans="1:21" x14ac:dyDescent="0.2">
      <c r="A4277" s="3">
        <v>4276</v>
      </c>
      <c r="B4277" s="1" t="s">
        <v>5250</v>
      </c>
      <c r="D4277" s="1" t="s">
        <v>5280</v>
      </c>
      <c r="F4277" s="1" t="s">
        <v>5347</v>
      </c>
      <c r="H4277" s="1" t="s">
        <v>5348</v>
      </c>
      <c r="J4277" s="1" t="s">
        <v>5351</v>
      </c>
      <c r="L4277" s="1" t="s">
        <v>717</v>
      </c>
      <c r="N4277" s="1" t="s">
        <v>2899</v>
      </c>
      <c r="P4277" s="1" t="s">
        <v>3502</v>
      </c>
      <c r="Q4277" s="30" t="s">
        <v>2568</v>
      </c>
      <c r="R4277" s="33" t="s">
        <v>3474</v>
      </c>
      <c r="S4277">
        <v>35</v>
      </c>
      <c r="T4277" s="1" t="s">
        <v>5350</v>
      </c>
      <c r="U4277" s="1" t="str">
        <f>HYPERLINK("http://ictvonline.org/taxonomy/p/taxonomy-history?taxnode_id=202102935","ICTVonline=202102935")</f>
        <v>ICTVonline=202102935</v>
      </c>
    </row>
    <row r="4278" spans="1:21" x14ac:dyDescent="0.2">
      <c r="A4278" s="3">
        <v>4277</v>
      </c>
      <c r="B4278" s="1" t="s">
        <v>5250</v>
      </c>
      <c r="D4278" s="1" t="s">
        <v>5280</v>
      </c>
      <c r="F4278" s="1" t="s">
        <v>5347</v>
      </c>
      <c r="H4278" s="1" t="s">
        <v>5348</v>
      </c>
      <c r="J4278" s="1" t="s">
        <v>5351</v>
      </c>
      <c r="L4278" s="1" t="s">
        <v>717</v>
      </c>
      <c r="N4278" s="1" t="s">
        <v>2899</v>
      </c>
      <c r="P4278" s="1" t="s">
        <v>3302</v>
      </c>
      <c r="Q4278" s="30" t="s">
        <v>2568</v>
      </c>
      <c r="R4278" s="33" t="s">
        <v>3474</v>
      </c>
      <c r="S4278">
        <v>35</v>
      </c>
      <c r="T4278" s="1" t="s">
        <v>5350</v>
      </c>
      <c r="U4278" s="1" t="str">
        <f>HYPERLINK("http://ictvonline.org/taxonomy/p/taxonomy-history?taxnode_id=202102936","ICTVonline=202102936")</f>
        <v>ICTVonline=202102936</v>
      </c>
    </row>
    <row r="4279" spans="1:21" x14ac:dyDescent="0.2">
      <c r="A4279" s="3">
        <v>4278</v>
      </c>
      <c r="B4279" s="1" t="s">
        <v>5250</v>
      </c>
      <c r="D4279" s="1" t="s">
        <v>5280</v>
      </c>
      <c r="F4279" s="1" t="s">
        <v>5347</v>
      </c>
      <c r="H4279" s="1" t="s">
        <v>5348</v>
      </c>
      <c r="J4279" s="1" t="s">
        <v>5351</v>
      </c>
      <c r="L4279" s="1" t="s">
        <v>717</v>
      </c>
      <c r="N4279" s="1" t="s">
        <v>2899</v>
      </c>
      <c r="P4279" s="1" t="s">
        <v>3303</v>
      </c>
      <c r="Q4279" s="30" t="s">
        <v>2568</v>
      </c>
      <c r="R4279" s="33" t="s">
        <v>3474</v>
      </c>
      <c r="S4279">
        <v>35</v>
      </c>
      <c r="T4279" s="1" t="s">
        <v>5350</v>
      </c>
      <c r="U4279" s="1" t="str">
        <f>HYPERLINK("http://ictvonline.org/taxonomy/p/taxonomy-history?taxnode_id=202102937","ICTVonline=202102937")</f>
        <v>ICTVonline=202102937</v>
      </c>
    </row>
    <row r="4280" spans="1:21" x14ac:dyDescent="0.2">
      <c r="A4280" s="3">
        <v>4279</v>
      </c>
      <c r="B4280" s="1" t="s">
        <v>5250</v>
      </c>
      <c r="D4280" s="1" t="s">
        <v>5280</v>
      </c>
      <c r="F4280" s="1" t="s">
        <v>5347</v>
      </c>
      <c r="H4280" s="1" t="s">
        <v>5348</v>
      </c>
      <c r="J4280" s="1" t="s">
        <v>5351</v>
      </c>
      <c r="L4280" s="1" t="s">
        <v>717</v>
      </c>
      <c r="N4280" s="1" t="s">
        <v>2899</v>
      </c>
      <c r="P4280" s="1" t="s">
        <v>3304</v>
      </c>
      <c r="Q4280" s="30" t="s">
        <v>2568</v>
      </c>
      <c r="R4280" s="33" t="s">
        <v>3474</v>
      </c>
      <c r="S4280">
        <v>35</v>
      </c>
      <c r="T4280" s="1" t="s">
        <v>5350</v>
      </c>
      <c r="U4280" s="1" t="str">
        <f>HYPERLINK("http://ictvonline.org/taxonomy/p/taxonomy-history?taxnode_id=202102938","ICTVonline=202102938")</f>
        <v>ICTVonline=202102938</v>
      </c>
    </row>
    <row r="4281" spans="1:21" x14ac:dyDescent="0.2">
      <c r="A4281" s="3">
        <v>4280</v>
      </c>
      <c r="B4281" s="1" t="s">
        <v>5250</v>
      </c>
      <c r="D4281" s="1" t="s">
        <v>5280</v>
      </c>
      <c r="F4281" s="1" t="s">
        <v>5347</v>
      </c>
      <c r="H4281" s="1" t="s">
        <v>5348</v>
      </c>
      <c r="J4281" s="1" t="s">
        <v>5351</v>
      </c>
      <c r="L4281" s="1" t="s">
        <v>717</v>
      </c>
      <c r="N4281" s="1" t="s">
        <v>2899</v>
      </c>
      <c r="P4281" s="1" t="s">
        <v>3305</v>
      </c>
      <c r="Q4281" s="30" t="s">
        <v>2568</v>
      </c>
      <c r="R4281" s="33" t="s">
        <v>3474</v>
      </c>
      <c r="S4281">
        <v>35</v>
      </c>
      <c r="T4281" s="1" t="s">
        <v>5350</v>
      </c>
      <c r="U4281" s="1" t="str">
        <f>HYPERLINK("http://ictvonline.org/taxonomy/p/taxonomy-history?taxnode_id=202102939","ICTVonline=202102939")</f>
        <v>ICTVonline=202102939</v>
      </c>
    </row>
    <row r="4282" spans="1:21" x14ac:dyDescent="0.2">
      <c r="A4282" s="3">
        <v>4281</v>
      </c>
      <c r="B4282" s="1" t="s">
        <v>5250</v>
      </c>
      <c r="D4282" s="1" t="s">
        <v>5280</v>
      </c>
      <c r="F4282" s="1" t="s">
        <v>5347</v>
      </c>
      <c r="H4282" s="1" t="s">
        <v>5348</v>
      </c>
      <c r="J4282" s="1" t="s">
        <v>5351</v>
      </c>
      <c r="L4282" s="1" t="s">
        <v>717</v>
      </c>
      <c r="N4282" s="1" t="s">
        <v>2899</v>
      </c>
      <c r="P4282" s="1" t="s">
        <v>3306</v>
      </c>
      <c r="Q4282" s="30" t="s">
        <v>2568</v>
      </c>
      <c r="R4282" s="33" t="s">
        <v>3474</v>
      </c>
      <c r="S4282">
        <v>35</v>
      </c>
      <c r="T4282" s="1" t="s">
        <v>5350</v>
      </c>
      <c r="U4282" s="1" t="str">
        <f>HYPERLINK("http://ictvonline.org/taxonomy/p/taxonomy-history?taxnode_id=202102940","ICTVonline=202102940")</f>
        <v>ICTVonline=202102940</v>
      </c>
    </row>
    <row r="4283" spans="1:21" x14ac:dyDescent="0.2">
      <c r="A4283" s="3">
        <v>4282</v>
      </c>
      <c r="B4283" s="1" t="s">
        <v>5250</v>
      </c>
      <c r="D4283" s="1" t="s">
        <v>5280</v>
      </c>
      <c r="F4283" s="1" t="s">
        <v>5347</v>
      </c>
      <c r="H4283" s="1" t="s">
        <v>5348</v>
      </c>
      <c r="J4283" s="1" t="s">
        <v>5351</v>
      </c>
      <c r="L4283" s="1" t="s">
        <v>717</v>
      </c>
      <c r="N4283" s="1" t="s">
        <v>2899</v>
      </c>
      <c r="P4283" s="1" t="s">
        <v>3307</v>
      </c>
      <c r="Q4283" s="30" t="s">
        <v>2568</v>
      </c>
      <c r="R4283" s="33" t="s">
        <v>3474</v>
      </c>
      <c r="S4283">
        <v>35</v>
      </c>
      <c r="T4283" s="1" t="s">
        <v>5350</v>
      </c>
      <c r="U4283" s="1" t="str">
        <f>HYPERLINK("http://ictvonline.org/taxonomy/p/taxonomy-history?taxnode_id=202102941","ICTVonline=202102941")</f>
        <v>ICTVonline=202102941</v>
      </c>
    </row>
    <row r="4284" spans="1:21" x14ac:dyDescent="0.2">
      <c r="A4284" s="3">
        <v>4283</v>
      </c>
      <c r="B4284" s="1" t="s">
        <v>5250</v>
      </c>
      <c r="D4284" s="1" t="s">
        <v>5280</v>
      </c>
      <c r="F4284" s="1" t="s">
        <v>5347</v>
      </c>
      <c r="H4284" s="1" t="s">
        <v>5348</v>
      </c>
      <c r="J4284" s="1" t="s">
        <v>5351</v>
      </c>
      <c r="L4284" s="1" t="s">
        <v>717</v>
      </c>
      <c r="N4284" s="1" t="s">
        <v>2899</v>
      </c>
      <c r="P4284" s="1" t="s">
        <v>3308</v>
      </c>
      <c r="Q4284" s="30" t="s">
        <v>2568</v>
      </c>
      <c r="R4284" s="33" t="s">
        <v>3474</v>
      </c>
      <c r="S4284">
        <v>35</v>
      </c>
      <c r="T4284" s="1" t="s">
        <v>5350</v>
      </c>
      <c r="U4284" s="1" t="str">
        <f>HYPERLINK("http://ictvonline.org/taxonomy/p/taxonomy-history?taxnode_id=202102942","ICTVonline=202102942")</f>
        <v>ICTVonline=202102942</v>
      </c>
    </row>
    <row r="4285" spans="1:21" x14ac:dyDescent="0.2">
      <c r="A4285" s="3">
        <v>4284</v>
      </c>
      <c r="B4285" s="1" t="s">
        <v>5250</v>
      </c>
      <c r="D4285" s="1" t="s">
        <v>5280</v>
      </c>
      <c r="F4285" s="1" t="s">
        <v>5347</v>
      </c>
      <c r="H4285" s="1" t="s">
        <v>5348</v>
      </c>
      <c r="J4285" s="1" t="s">
        <v>5351</v>
      </c>
      <c r="L4285" s="1" t="s">
        <v>717</v>
      </c>
      <c r="N4285" s="1" t="s">
        <v>2899</v>
      </c>
      <c r="P4285" s="1" t="s">
        <v>3309</v>
      </c>
      <c r="Q4285" s="30" t="s">
        <v>2568</v>
      </c>
      <c r="R4285" s="33" t="s">
        <v>3474</v>
      </c>
      <c r="S4285">
        <v>35</v>
      </c>
      <c r="T4285" s="1" t="s">
        <v>5350</v>
      </c>
      <c r="U4285" s="1" t="str">
        <f>HYPERLINK("http://ictvonline.org/taxonomy/p/taxonomy-history?taxnode_id=202102943","ICTVonline=202102943")</f>
        <v>ICTVonline=202102943</v>
      </c>
    </row>
    <row r="4286" spans="1:21" x14ac:dyDescent="0.2">
      <c r="A4286" s="3">
        <v>4285</v>
      </c>
      <c r="B4286" s="1" t="s">
        <v>5250</v>
      </c>
      <c r="D4286" s="1" t="s">
        <v>5280</v>
      </c>
      <c r="F4286" s="1" t="s">
        <v>5347</v>
      </c>
      <c r="H4286" s="1" t="s">
        <v>5348</v>
      </c>
      <c r="J4286" s="1" t="s">
        <v>5351</v>
      </c>
      <c r="L4286" s="1" t="s">
        <v>717</v>
      </c>
      <c r="N4286" s="1" t="s">
        <v>2899</v>
      </c>
      <c r="P4286" s="1" t="s">
        <v>3310</v>
      </c>
      <c r="Q4286" s="30" t="s">
        <v>2568</v>
      </c>
      <c r="R4286" s="33" t="s">
        <v>3474</v>
      </c>
      <c r="S4286">
        <v>35</v>
      </c>
      <c r="T4286" s="1" t="s">
        <v>5350</v>
      </c>
      <c r="U4286" s="1" t="str">
        <f>HYPERLINK("http://ictvonline.org/taxonomy/p/taxonomy-history?taxnode_id=202102944","ICTVonline=202102944")</f>
        <v>ICTVonline=202102944</v>
      </c>
    </row>
    <row r="4287" spans="1:21" x14ac:dyDescent="0.2">
      <c r="A4287" s="3">
        <v>4286</v>
      </c>
      <c r="B4287" s="1" t="s">
        <v>5250</v>
      </c>
      <c r="D4287" s="1" t="s">
        <v>5280</v>
      </c>
      <c r="F4287" s="1" t="s">
        <v>5347</v>
      </c>
      <c r="H4287" s="1" t="s">
        <v>5348</v>
      </c>
      <c r="J4287" s="1" t="s">
        <v>5351</v>
      </c>
      <c r="L4287" s="1" t="s">
        <v>717</v>
      </c>
      <c r="N4287" s="1" t="s">
        <v>2899</v>
      </c>
      <c r="P4287" s="1" t="s">
        <v>3311</v>
      </c>
      <c r="Q4287" s="30" t="s">
        <v>2568</v>
      </c>
      <c r="R4287" s="33" t="s">
        <v>3474</v>
      </c>
      <c r="S4287">
        <v>35</v>
      </c>
      <c r="T4287" s="1" t="s">
        <v>5350</v>
      </c>
      <c r="U4287" s="1" t="str">
        <f>HYPERLINK("http://ictvonline.org/taxonomy/p/taxonomy-history?taxnode_id=202102945","ICTVonline=202102945")</f>
        <v>ICTVonline=202102945</v>
      </c>
    </row>
    <row r="4288" spans="1:21" x14ac:dyDescent="0.2">
      <c r="A4288" s="3">
        <v>4287</v>
      </c>
      <c r="B4288" s="1" t="s">
        <v>5250</v>
      </c>
      <c r="D4288" s="1" t="s">
        <v>5280</v>
      </c>
      <c r="F4288" s="1" t="s">
        <v>5347</v>
      </c>
      <c r="H4288" s="1" t="s">
        <v>5348</v>
      </c>
      <c r="J4288" s="1" t="s">
        <v>5351</v>
      </c>
      <c r="L4288" s="1" t="s">
        <v>717</v>
      </c>
      <c r="N4288" s="1" t="s">
        <v>2899</v>
      </c>
      <c r="P4288" s="1" t="s">
        <v>3312</v>
      </c>
      <c r="Q4288" s="30" t="s">
        <v>2568</v>
      </c>
      <c r="R4288" s="33" t="s">
        <v>3474</v>
      </c>
      <c r="S4288">
        <v>35</v>
      </c>
      <c r="T4288" s="1" t="s">
        <v>5350</v>
      </c>
      <c r="U4288" s="1" t="str">
        <f>HYPERLINK("http://ictvonline.org/taxonomy/p/taxonomy-history?taxnode_id=202102946","ICTVonline=202102946")</f>
        <v>ICTVonline=202102946</v>
      </c>
    </row>
    <row r="4289" spans="1:21" x14ac:dyDescent="0.2">
      <c r="A4289" s="3">
        <v>4288</v>
      </c>
      <c r="B4289" s="1" t="s">
        <v>5250</v>
      </c>
      <c r="D4289" s="1" t="s">
        <v>5280</v>
      </c>
      <c r="F4289" s="1" t="s">
        <v>5347</v>
      </c>
      <c r="H4289" s="1" t="s">
        <v>5348</v>
      </c>
      <c r="J4289" s="1" t="s">
        <v>5351</v>
      </c>
      <c r="L4289" s="1" t="s">
        <v>717</v>
      </c>
      <c r="N4289" s="1" t="s">
        <v>2899</v>
      </c>
      <c r="P4289" s="1" t="s">
        <v>3503</v>
      </c>
      <c r="Q4289" s="30" t="s">
        <v>2568</v>
      </c>
      <c r="R4289" s="33" t="s">
        <v>3474</v>
      </c>
      <c r="S4289">
        <v>35</v>
      </c>
      <c r="T4289" s="1" t="s">
        <v>5350</v>
      </c>
      <c r="U4289" s="1" t="str">
        <f>HYPERLINK("http://ictvonline.org/taxonomy/p/taxonomy-history?taxnode_id=202102947","ICTVonline=202102947")</f>
        <v>ICTVonline=202102947</v>
      </c>
    </row>
    <row r="4290" spans="1:21" x14ac:dyDescent="0.2">
      <c r="A4290" s="3">
        <v>4289</v>
      </c>
      <c r="B4290" s="1" t="s">
        <v>5250</v>
      </c>
      <c r="D4290" s="1" t="s">
        <v>5280</v>
      </c>
      <c r="F4290" s="1" t="s">
        <v>5347</v>
      </c>
      <c r="H4290" s="1" t="s">
        <v>5348</v>
      </c>
      <c r="J4290" s="1" t="s">
        <v>5351</v>
      </c>
      <c r="L4290" s="1" t="s">
        <v>717</v>
      </c>
      <c r="N4290" s="1" t="s">
        <v>2899</v>
      </c>
      <c r="P4290" s="1" t="s">
        <v>6303</v>
      </c>
      <c r="Q4290" s="30" t="s">
        <v>2891</v>
      </c>
      <c r="R4290" s="33" t="s">
        <v>3472</v>
      </c>
      <c r="S4290">
        <v>36</v>
      </c>
      <c r="T4290" s="1" t="s">
        <v>6296</v>
      </c>
      <c r="U4290" s="1" t="str">
        <f>HYPERLINK("http://ictvonline.org/taxonomy/p/taxonomy-history?taxnode_id=202109257","ICTVonline=202109257")</f>
        <v>ICTVonline=202109257</v>
      </c>
    </row>
    <row r="4291" spans="1:21" x14ac:dyDescent="0.2">
      <c r="A4291" s="3">
        <v>4290</v>
      </c>
      <c r="B4291" s="1" t="s">
        <v>5250</v>
      </c>
      <c r="D4291" s="1" t="s">
        <v>5280</v>
      </c>
      <c r="F4291" s="1" t="s">
        <v>5347</v>
      </c>
      <c r="H4291" s="1" t="s">
        <v>5348</v>
      </c>
      <c r="J4291" s="1" t="s">
        <v>5351</v>
      </c>
      <c r="L4291" s="1" t="s">
        <v>717</v>
      </c>
      <c r="N4291" s="1" t="s">
        <v>2899</v>
      </c>
      <c r="P4291" s="1" t="s">
        <v>3504</v>
      </c>
      <c r="Q4291" s="30" t="s">
        <v>2568</v>
      </c>
      <c r="R4291" s="33" t="s">
        <v>3474</v>
      </c>
      <c r="S4291">
        <v>35</v>
      </c>
      <c r="T4291" s="1" t="s">
        <v>5350</v>
      </c>
      <c r="U4291" s="1" t="str">
        <f>HYPERLINK("http://ictvonline.org/taxonomy/p/taxonomy-history?taxnode_id=202102948","ICTVonline=202102948")</f>
        <v>ICTVonline=202102948</v>
      </c>
    </row>
    <row r="4292" spans="1:21" x14ac:dyDescent="0.2">
      <c r="A4292" s="3">
        <v>4291</v>
      </c>
      <c r="B4292" s="1" t="s">
        <v>5250</v>
      </c>
      <c r="D4292" s="1" t="s">
        <v>5280</v>
      </c>
      <c r="F4292" s="1" t="s">
        <v>5347</v>
      </c>
      <c r="H4292" s="1" t="s">
        <v>5348</v>
      </c>
      <c r="J4292" s="1" t="s">
        <v>5351</v>
      </c>
      <c r="L4292" s="1" t="s">
        <v>717</v>
      </c>
      <c r="N4292" s="1" t="s">
        <v>2899</v>
      </c>
      <c r="P4292" s="1" t="s">
        <v>5358</v>
      </c>
      <c r="Q4292" s="30" t="s">
        <v>2891</v>
      </c>
      <c r="R4292" s="33" t="s">
        <v>3472</v>
      </c>
      <c r="S4292">
        <v>35</v>
      </c>
      <c r="T4292" s="1" t="s">
        <v>5353</v>
      </c>
      <c r="U4292" s="1" t="str">
        <f>HYPERLINK("http://ictvonline.org/taxonomy/p/taxonomy-history?taxnode_id=202108680","ICTVonline=202108680")</f>
        <v>ICTVonline=202108680</v>
      </c>
    </row>
    <row r="4293" spans="1:21" x14ac:dyDescent="0.2">
      <c r="A4293" s="3">
        <v>4292</v>
      </c>
      <c r="B4293" s="1" t="s">
        <v>5250</v>
      </c>
      <c r="D4293" s="1" t="s">
        <v>5280</v>
      </c>
      <c r="F4293" s="1" t="s">
        <v>5347</v>
      </c>
      <c r="H4293" s="1" t="s">
        <v>5348</v>
      </c>
      <c r="J4293" s="1" t="s">
        <v>5351</v>
      </c>
      <c r="L4293" s="1" t="s">
        <v>717</v>
      </c>
      <c r="N4293" s="1" t="s">
        <v>2899</v>
      </c>
      <c r="P4293" s="1" t="s">
        <v>3505</v>
      </c>
      <c r="Q4293" s="30" t="s">
        <v>2568</v>
      </c>
      <c r="R4293" s="33" t="s">
        <v>3474</v>
      </c>
      <c r="S4293">
        <v>35</v>
      </c>
      <c r="T4293" s="1" t="s">
        <v>5350</v>
      </c>
      <c r="U4293" s="1" t="str">
        <f>HYPERLINK("http://ictvonline.org/taxonomy/p/taxonomy-history?taxnode_id=202102949","ICTVonline=202102949")</f>
        <v>ICTVonline=202102949</v>
      </c>
    </row>
    <row r="4294" spans="1:21" x14ac:dyDescent="0.2">
      <c r="A4294" s="3">
        <v>4293</v>
      </c>
      <c r="B4294" s="1" t="s">
        <v>5250</v>
      </c>
      <c r="D4294" s="1" t="s">
        <v>5280</v>
      </c>
      <c r="F4294" s="1" t="s">
        <v>5347</v>
      </c>
      <c r="H4294" s="1" t="s">
        <v>5348</v>
      </c>
      <c r="J4294" s="1" t="s">
        <v>5351</v>
      </c>
      <c r="L4294" s="1" t="s">
        <v>717</v>
      </c>
      <c r="N4294" s="1" t="s">
        <v>2899</v>
      </c>
      <c r="P4294" s="1" t="s">
        <v>3506</v>
      </c>
      <c r="Q4294" s="30" t="s">
        <v>2568</v>
      </c>
      <c r="R4294" s="33" t="s">
        <v>3474</v>
      </c>
      <c r="S4294">
        <v>35</v>
      </c>
      <c r="T4294" s="1" t="s">
        <v>5350</v>
      </c>
      <c r="U4294" s="1" t="str">
        <f>HYPERLINK("http://ictvonline.org/taxonomy/p/taxonomy-history?taxnode_id=202102950","ICTVonline=202102950")</f>
        <v>ICTVonline=202102950</v>
      </c>
    </row>
    <row r="4295" spans="1:21" x14ac:dyDescent="0.2">
      <c r="A4295" s="3">
        <v>4294</v>
      </c>
      <c r="B4295" s="1" t="s">
        <v>5250</v>
      </c>
      <c r="D4295" s="1" t="s">
        <v>5280</v>
      </c>
      <c r="F4295" s="1" t="s">
        <v>5347</v>
      </c>
      <c r="H4295" s="1" t="s">
        <v>5348</v>
      </c>
      <c r="J4295" s="1" t="s">
        <v>5351</v>
      </c>
      <c r="L4295" s="1" t="s">
        <v>717</v>
      </c>
      <c r="N4295" s="1" t="s">
        <v>2899</v>
      </c>
      <c r="P4295" s="1" t="s">
        <v>3507</v>
      </c>
      <c r="Q4295" s="30" t="s">
        <v>2568</v>
      </c>
      <c r="R4295" s="33" t="s">
        <v>3474</v>
      </c>
      <c r="S4295">
        <v>35</v>
      </c>
      <c r="T4295" s="1" t="s">
        <v>5350</v>
      </c>
      <c r="U4295" s="1" t="str">
        <f>HYPERLINK("http://ictvonline.org/taxonomy/p/taxonomy-history?taxnode_id=202102951","ICTVonline=202102951")</f>
        <v>ICTVonline=202102951</v>
      </c>
    </row>
    <row r="4296" spans="1:21" x14ac:dyDescent="0.2">
      <c r="A4296" s="3">
        <v>4295</v>
      </c>
      <c r="B4296" s="1" t="s">
        <v>5250</v>
      </c>
      <c r="D4296" s="1" t="s">
        <v>5280</v>
      </c>
      <c r="F4296" s="1" t="s">
        <v>5347</v>
      </c>
      <c r="H4296" s="1" t="s">
        <v>5348</v>
      </c>
      <c r="J4296" s="1" t="s">
        <v>5351</v>
      </c>
      <c r="L4296" s="1" t="s">
        <v>717</v>
      </c>
      <c r="N4296" s="1" t="s">
        <v>2899</v>
      </c>
      <c r="P4296" s="1" t="s">
        <v>3508</v>
      </c>
      <c r="Q4296" s="30" t="s">
        <v>2568</v>
      </c>
      <c r="R4296" s="33" t="s">
        <v>3474</v>
      </c>
      <c r="S4296">
        <v>35</v>
      </c>
      <c r="T4296" s="1" t="s">
        <v>5350</v>
      </c>
      <c r="U4296" s="1" t="str">
        <f>HYPERLINK("http://ictvonline.org/taxonomy/p/taxonomy-history?taxnode_id=202102952","ICTVonline=202102952")</f>
        <v>ICTVonline=202102952</v>
      </c>
    </row>
    <row r="4297" spans="1:21" x14ac:dyDescent="0.2">
      <c r="A4297" s="3">
        <v>4296</v>
      </c>
      <c r="B4297" s="1" t="s">
        <v>5250</v>
      </c>
      <c r="D4297" s="1" t="s">
        <v>5280</v>
      </c>
      <c r="F4297" s="1" t="s">
        <v>5347</v>
      </c>
      <c r="H4297" s="1" t="s">
        <v>5348</v>
      </c>
      <c r="J4297" s="1" t="s">
        <v>5351</v>
      </c>
      <c r="L4297" s="1" t="s">
        <v>717</v>
      </c>
      <c r="N4297" s="1" t="s">
        <v>2899</v>
      </c>
      <c r="P4297" s="1" t="s">
        <v>3509</v>
      </c>
      <c r="Q4297" s="30" t="s">
        <v>2568</v>
      </c>
      <c r="R4297" s="33" t="s">
        <v>3474</v>
      </c>
      <c r="S4297">
        <v>35</v>
      </c>
      <c r="T4297" s="1" t="s">
        <v>5350</v>
      </c>
      <c r="U4297" s="1" t="str">
        <f>HYPERLINK("http://ictvonline.org/taxonomy/p/taxonomy-history?taxnode_id=202102953","ICTVonline=202102953")</f>
        <v>ICTVonline=202102953</v>
      </c>
    </row>
    <row r="4298" spans="1:21" x14ac:dyDescent="0.2">
      <c r="A4298" s="3">
        <v>4297</v>
      </c>
      <c r="B4298" s="1" t="s">
        <v>5250</v>
      </c>
      <c r="D4298" s="1" t="s">
        <v>5280</v>
      </c>
      <c r="F4298" s="1" t="s">
        <v>5347</v>
      </c>
      <c r="H4298" s="1" t="s">
        <v>5348</v>
      </c>
      <c r="J4298" s="1" t="s">
        <v>5351</v>
      </c>
      <c r="L4298" s="1" t="s">
        <v>717</v>
      </c>
      <c r="N4298" s="1" t="s">
        <v>2899</v>
      </c>
      <c r="P4298" s="1" t="s">
        <v>3510</v>
      </c>
      <c r="Q4298" s="30" t="s">
        <v>2568</v>
      </c>
      <c r="R4298" s="33" t="s">
        <v>3474</v>
      </c>
      <c r="S4298">
        <v>35</v>
      </c>
      <c r="T4298" s="1" t="s">
        <v>5350</v>
      </c>
      <c r="U4298" s="1" t="str">
        <f>HYPERLINK("http://ictvonline.org/taxonomy/p/taxonomy-history?taxnode_id=202102954","ICTVonline=202102954")</f>
        <v>ICTVonline=202102954</v>
      </c>
    </row>
    <row r="4299" spans="1:21" x14ac:dyDescent="0.2">
      <c r="A4299" s="3">
        <v>4298</v>
      </c>
      <c r="B4299" s="1" t="s">
        <v>5250</v>
      </c>
      <c r="D4299" s="1" t="s">
        <v>5280</v>
      </c>
      <c r="F4299" s="1" t="s">
        <v>5347</v>
      </c>
      <c r="H4299" s="1" t="s">
        <v>5348</v>
      </c>
      <c r="J4299" s="1" t="s">
        <v>5351</v>
      </c>
      <c r="L4299" s="1" t="s">
        <v>717</v>
      </c>
      <c r="N4299" s="1" t="s">
        <v>2899</v>
      </c>
      <c r="P4299" s="1" t="s">
        <v>3511</v>
      </c>
      <c r="Q4299" s="30" t="s">
        <v>2568</v>
      </c>
      <c r="R4299" s="33" t="s">
        <v>3474</v>
      </c>
      <c r="S4299">
        <v>35</v>
      </c>
      <c r="T4299" s="1" t="s">
        <v>5350</v>
      </c>
      <c r="U4299" s="1" t="str">
        <f>HYPERLINK("http://ictvonline.org/taxonomy/p/taxonomy-history?taxnode_id=202102955","ICTVonline=202102955")</f>
        <v>ICTVonline=202102955</v>
      </c>
    </row>
    <row r="4300" spans="1:21" x14ac:dyDescent="0.2">
      <c r="A4300" s="3">
        <v>4299</v>
      </c>
      <c r="B4300" s="1" t="s">
        <v>5250</v>
      </c>
      <c r="D4300" s="1" t="s">
        <v>5280</v>
      </c>
      <c r="F4300" s="1" t="s">
        <v>5347</v>
      </c>
      <c r="H4300" s="1" t="s">
        <v>5348</v>
      </c>
      <c r="J4300" s="1" t="s">
        <v>5351</v>
      </c>
      <c r="L4300" s="1" t="s">
        <v>717</v>
      </c>
      <c r="N4300" s="1" t="s">
        <v>2899</v>
      </c>
      <c r="P4300" s="1" t="s">
        <v>3512</v>
      </c>
      <c r="Q4300" s="30" t="s">
        <v>2568</v>
      </c>
      <c r="R4300" s="33" t="s">
        <v>3474</v>
      </c>
      <c r="S4300">
        <v>35</v>
      </c>
      <c r="T4300" s="1" t="s">
        <v>5350</v>
      </c>
      <c r="U4300" s="1" t="str">
        <f>HYPERLINK("http://ictvonline.org/taxonomy/p/taxonomy-history?taxnode_id=202102956","ICTVonline=202102956")</f>
        <v>ICTVonline=202102956</v>
      </c>
    </row>
    <row r="4301" spans="1:21" x14ac:dyDescent="0.2">
      <c r="A4301" s="3">
        <v>4300</v>
      </c>
      <c r="B4301" s="1" t="s">
        <v>5250</v>
      </c>
      <c r="D4301" s="1" t="s">
        <v>5280</v>
      </c>
      <c r="F4301" s="1" t="s">
        <v>5347</v>
      </c>
      <c r="H4301" s="1" t="s">
        <v>5348</v>
      </c>
      <c r="J4301" s="1" t="s">
        <v>5351</v>
      </c>
      <c r="L4301" s="1" t="s">
        <v>717</v>
      </c>
      <c r="N4301" s="1" t="s">
        <v>2899</v>
      </c>
      <c r="P4301" s="1" t="s">
        <v>3513</v>
      </c>
      <c r="Q4301" s="30" t="s">
        <v>2568</v>
      </c>
      <c r="R4301" s="33" t="s">
        <v>3474</v>
      </c>
      <c r="S4301">
        <v>35</v>
      </c>
      <c r="T4301" s="1" t="s">
        <v>5350</v>
      </c>
      <c r="U4301" s="1" t="str">
        <f>HYPERLINK("http://ictvonline.org/taxonomy/p/taxonomy-history?taxnode_id=202102957","ICTVonline=202102957")</f>
        <v>ICTVonline=202102957</v>
      </c>
    </row>
    <row r="4302" spans="1:21" x14ac:dyDescent="0.2">
      <c r="A4302" s="3">
        <v>4301</v>
      </c>
      <c r="B4302" s="1" t="s">
        <v>5250</v>
      </c>
      <c r="D4302" s="1" t="s">
        <v>5280</v>
      </c>
      <c r="F4302" s="1" t="s">
        <v>5347</v>
      </c>
      <c r="H4302" s="1" t="s">
        <v>5348</v>
      </c>
      <c r="J4302" s="1" t="s">
        <v>5351</v>
      </c>
      <c r="L4302" s="1" t="s">
        <v>717</v>
      </c>
      <c r="N4302" s="1" t="s">
        <v>2899</v>
      </c>
      <c r="P4302" s="1" t="s">
        <v>3514</v>
      </c>
      <c r="Q4302" s="30" t="s">
        <v>2568</v>
      </c>
      <c r="R4302" s="33" t="s">
        <v>3474</v>
      </c>
      <c r="S4302">
        <v>35</v>
      </c>
      <c r="T4302" s="1" t="s">
        <v>5350</v>
      </c>
      <c r="U4302" s="1" t="str">
        <f>HYPERLINK("http://ictvonline.org/taxonomy/p/taxonomy-history?taxnode_id=202102958","ICTVonline=202102958")</f>
        <v>ICTVonline=202102958</v>
      </c>
    </row>
    <row r="4303" spans="1:21" x14ac:dyDescent="0.2">
      <c r="A4303" s="3">
        <v>4302</v>
      </c>
      <c r="B4303" s="1" t="s">
        <v>5250</v>
      </c>
      <c r="D4303" s="1" t="s">
        <v>5280</v>
      </c>
      <c r="F4303" s="1" t="s">
        <v>5347</v>
      </c>
      <c r="H4303" s="1" t="s">
        <v>5348</v>
      </c>
      <c r="J4303" s="1" t="s">
        <v>5351</v>
      </c>
      <c r="L4303" s="1" t="s">
        <v>717</v>
      </c>
      <c r="N4303" s="1" t="s">
        <v>2899</v>
      </c>
      <c r="P4303" s="1" t="s">
        <v>4819</v>
      </c>
      <c r="Q4303" s="30" t="s">
        <v>2568</v>
      </c>
      <c r="R4303" s="33" t="s">
        <v>3474</v>
      </c>
      <c r="S4303">
        <v>35</v>
      </c>
      <c r="T4303" s="1" t="s">
        <v>5350</v>
      </c>
      <c r="U4303" s="1" t="str">
        <f>HYPERLINK("http://ictvonline.org/taxonomy/p/taxonomy-history?taxnode_id=202106318","ICTVonline=202106318")</f>
        <v>ICTVonline=202106318</v>
      </c>
    </row>
    <row r="4304" spans="1:21" x14ac:dyDescent="0.2">
      <c r="A4304" s="3">
        <v>4303</v>
      </c>
      <c r="B4304" s="1" t="s">
        <v>5250</v>
      </c>
      <c r="D4304" s="1" t="s">
        <v>5280</v>
      </c>
      <c r="F4304" s="1" t="s">
        <v>5347</v>
      </c>
      <c r="H4304" s="1" t="s">
        <v>5348</v>
      </c>
      <c r="J4304" s="1" t="s">
        <v>5351</v>
      </c>
      <c r="L4304" s="1" t="s">
        <v>717</v>
      </c>
      <c r="N4304" s="1" t="s">
        <v>2899</v>
      </c>
      <c r="P4304" s="1" t="s">
        <v>3313</v>
      </c>
      <c r="Q4304" s="30" t="s">
        <v>2568</v>
      </c>
      <c r="R4304" s="33" t="s">
        <v>3474</v>
      </c>
      <c r="S4304">
        <v>35</v>
      </c>
      <c r="T4304" s="1" t="s">
        <v>5350</v>
      </c>
      <c r="U4304" s="1" t="str">
        <f>HYPERLINK("http://ictvonline.org/taxonomy/p/taxonomy-history?taxnode_id=202102959","ICTVonline=202102959")</f>
        <v>ICTVonline=202102959</v>
      </c>
    </row>
    <row r="4305" spans="1:21" x14ac:dyDescent="0.2">
      <c r="A4305" s="3">
        <v>4304</v>
      </c>
      <c r="B4305" s="1" t="s">
        <v>5250</v>
      </c>
      <c r="D4305" s="1" t="s">
        <v>5280</v>
      </c>
      <c r="F4305" s="1" t="s">
        <v>5347</v>
      </c>
      <c r="H4305" s="1" t="s">
        <v>5348</v>
      </c>
      <c r="J4305" s="1" t="s">
        <v>5351</v>
      </c>
      <c r="L4305" s="1" t="s">
        <v>717</v>
      </c>
      <c r="N4305" s="1" t="s">
        <v>2899</v>
      </c>
      <c r="P4305" s="1" t="s">
        <v>3515</v>
      </c>
      <c r="Q4305" s="30" t="s">
        <v>2568</v>
      </c>
      <c r="R4305" s="33" t="s">
        <v>3474</v>
      </c>
      <c r="S4305">
        <v>35</v>
      </c>
      <c r="T4305" s="1" t="s">
        <v>5350</v>
      </c>
      <c r="U4305" s="1" t="str">
        <f>HYPERLINK("http://ictvonline.org/taxonomy/p/taxonomy-history?taxnode_id=202102960","ICTVonline=202102960")</f>
        <v>ICTVonline=202102960</v>
      </c>
    </row>
    <row r="4306" spans="1:21" x14ac:dyDescent="0.2">
      <c r="A4306" s="3">
        <v>4305</v>
      </c>
      <c r="B4306" s="1" t="s">
        <v>5250</v>
      </c>
      <c r="D4306" s="1" t="s">
        <v>5280</v>
      </c>
      <c r="F4306" s="1" t="s">
        <v>5347</v>
      </c>
      <c r="H4306" s="1" t="s">
        <v>5348</v>
      </c>
      <c r="J4306" s="1" t="s">
        <v>5351</v>
      </c>
      <c r="L4306" s="1" t="s">
        <v>717</v>
      </c>
      <c r="N4306" s="1" t="s">
        <v>2899</v>
      </c>
      <c r="P4306" s="1" t="s">
        <v>3314</v>
      </c>
      <c r="Q4306" s="30" t="s">
        <v>2568</v>
      </c>
      <c r="R4306" s="33" t="s">
        <v>3474</v>
      </c>
      <c r="S4306">
        <v>35</v>
      </c>
      <c r="T4306" s="1" t="s">
        <v>5350</v>
      </c>
      <c r="U4306" s="1" t="str">
        <f>HYPERLINK("http://ictvonline.org/taxonomy/p/taxonomy-history?taxnode_id=202102961","ICTVonline=202102961")</f>
        <v>ICTVonline=202102961</v>
      </c>
    </row>
    <row r="4307" spans="1:21" x14ac:dyDescent="0.2">
      <c r="A4307" s="3">
        <v>4306</v>
      </c>
      <c r="B4307" s="1" t="s">
        <v>5250</v>
      </c>
      <c r="D4307" s="1" t="s">
        <v>5280</v>
      </c>
      <c r="F4307" s="1" t="s">
        <v>5347</v>
      </c>
      <c r="H4307" s="1" t="s">
        <v>5348</v>
      </c>
      <c r="J4307" s="1" t="s">
        <v>5351</v>
      </c>
      <c r="L4307" s="1" t="s">
        <v>717</v>
      </c>
      <c r="N4307" s="1" t="s">
        <v>2899</v>
      </c>
      <c r="P4307" s="1" t="s">
        <v>3516</v>
      </c>
      <c r="Q4307" s="30" t="s">
        <v>2568</v>
      </c>
      <c r="R4307" s="33" t="s">
        <v>3474</v>
      </c>
      <c r="S4307">
        <v>35</v>
      </c>
      <c r="T4307" s="1" t="s">
        <v>5350</v>
      </c>
      <c r="U4307" s="1" t="str">
        <f>HYPERLINK("http://ictvonline.org/taxonomy/p/taxonomy-history?taxnode_id=202102962","ICTVonline=202102962")</f>
        <v>ICTVonline=202102962</v>
      </c>
    </row>
    <row r="4308" spans="1:21" x14ac:dyDescent="0.2">
      <c r="A4308" s="3">
        <v>4307</v>
      </c>
      <c r="B4308" s="1" t="s">
        <v>5250</v>
      </c>
      <c r="D4308" s="1" t="s">
        <v>5280</v>
      </c>
      <c r="F4308" s="1" t="s">
        <v>5347</v>
      </c>
      <c r="H4308" s="1" t="s">
        <v>5348</v>
      </c>
      <c r="J4308" s="1" t="s">
        <v>5351</v>
      </c>
      <c r="L4308" s="1" t="s">
        <v>717</v>
      </c>
      <c r="N4308" s="1" t="s">
        <v>2899</v>
      </c>
      <c r="P4308" s="1" t="s">
        <v>3517</v>
      </c>
      <c r="Q4308" s="30" t="s">
        <v>2568</v>
      </c>
      <c r="R4308" s="33" t="s">
        <v>3474</v>
      </c>
      <c r="S4308">
        <v>35</v>
      </c>
      <c r="T4308" s="1" t="s">
        <v>5350</v>
      </c>
      <c r="U4308" s="1" t="str">
        <f>HYPERLINK("http://ictvonline.org/taxonomy/p/taxonomy-history?taxnode_id=202102963","ICTVonline=202102963")</f>
        <v>ICTVonline=202102963</v>
      </c>
    </row>
    <row r="4309" spans="1:21" x14ac:dyDescent="0.2">
      <c r="A4309" s="3">
        <v>4308</v>
      </c>
      <c r="B4309" s="1" t="s">
        <v>5250</v>
      </c>
      <c r="D4309" s="1" t="s">
        <v>5280</v>
      </c>
      <c r="F4309" s="1" t="s">
        <v>5347</v>
      </c>
      <c r="H4309" s="1" t="s">
        <v>5348</v>
      </c>
      <c r="J4309" s="1" t="s">
        <v>5351</v>
      </c>
      <c r="L4309" s="1" t="s">
        <v>717</v>
      </c>
      <c r="N4309" s="1" t="s">
        <v>2899</v>
      </c>
      <c r="P4309" s="1" t="s">
        <v>3518</v>
      </c>
      <c r="Q4309" s="30" t="s">
        <v>2568</v>
      </c>
      <c r="R4309" s="33" t="s">
        <v>3474</v>
      </c>
      <c r="S4309">
        <v>35</v>
      </c>
      <c r="T4309" s="1" t="s">
        <v>5350</v>
      </c>
      <c r="U4309" s="1" t="str">
        <f>HYPERLINK("http://ictvonline.org/taxonomy/p/taxonomy-history?taxnode_id=202102964","ICTVonline=202102964")</f>
        <v>ICTVonline=202102964</v>
      </c>
    </row>
    <row r="4310" spans="1:21" x14ac:dyDescent="0.2">
      <c r="A4310" s="3">
        <v>4309</v>
      </c>
      <c r="B4310" s="1" t="s">
        <v>5250</v>
      </c>
      <c r="D4310" s="1" t="s">
        <v>5280</v>
      </c>
      <c r="F4310" s="1" t="s">
        <v>5347</v>
      </c>
      <c r="H4310" s="1" t="s">
        <v>5348</v>
      </c>
      <c r="J4310" s="1" t="s">
        <v>5351</v>
      </c>
      <c r="L4310" s="1" t="s">
        <v>717</v>
      </c>
      <c r="N4310" s="1" t="s">
        <v>2899</v>
      </c>
      <c r="P4310" s="1" t="s">
        <v>3519</v>
      </c>
      <c r="Q4310" s="30" t="s">
        <v>2568</v>
      </c>
      <c r="R4310" s="33" t="s">
        <v>3474</v>
      </c>
      <c r="S4310">
        <v>35</v>
      </c>
      <c r="T4310" s="1" t="s">
        <v>5350</v>
      </c>
      <c r="U4310" s="1" t="str">
        <f>HYPERLINK("http://ictvonline.org/taxonomy/p/taxonomy-history?taxnode_id=202102965","ICTVonline=202102965")</f>
        <v>ICTVonline=202102965</v>
      </c>
    </row>
    <row r="4311" spans="1:21" x14ac:dyDescent="0.2">
      <c r="A4311" s="3">
        <v>4310</v>
      </c>
      <c r="B4311" s="1" t="s">
        <v>5250</v>
      </c>
      <c r="D4311" s="1" t="s">
        <v>5280</v>
      </c>
      <c r="F4311" s="1" t="s">
        <v>5347</v>
      </c>
      <c r="H4311" s="1" t="s">
        <v>5348</v>
      </c>
      <c r="J4311" s="1" t="s">
        <v>5351</v>
      </c>
      <c r="L4311" s="1" t="s">
        <v>717</v>
      </c>
      <c r="N4311" s="1" t="s">
        <v>2899</v>
      </c>
      <c r="P4311" s="1" t="s">
        <v>3520</v>
      </c>
      <c r="Q4311" s="30" t="s">
        <v>2568</v>
      </c>
      <c r="R4311" s="33" t="s">
        <v>3474</v>
      </c>
      <c r="S4311">
        <v>35</v>
      </c>
      <c r="T4311" s="1" t="s">
        <v>5350</v>
      </c>
      <c r="U4311" s="1" t="str">
        <f>HYPERLINK("http://ictvonline.org/taxonomy/p/taxonomy-history?taxnode_id=202102966","ICTVonline=202102966")</f>
        <v>ICTVonline=202102966</v>
      </c>
    </row>
    <row r="4312" spans="1:21" x14ac:dyDescent="0.2">
      <c r="A4312" s="3">
        <v>4311</v>
      </c>
      <c r="B4312" s="1" t="s">
        <v>5250</v>
      </c>
      <c r="D4312" s="1" t="s">
        <v>5280</v>
      </c>
      <c r="F4312" s="1" t="s">
        <v>5347</v>
      </c>
      <c r="H4312" s="1" t="s">
        <v>5348</v>
      </c>
      <c r="J4312" s="1" t="s">
        <v>5351</v>
      </c>
      <c r="L4312" s="1" t="s">
        <v>717</v>
      </c>
      <c r="N4312" s="1" t="s">
        <v>2899</v>
      </c>
      <c r="P4312" s="1" t="s">
        <v>3521</v>
      </c>
      <c r="Q4312" s="30" t="s">
        <v>2568</v>
      </c>
      <c r="R4312" s="33" t="s">
        <v>3474</v>
      </c>
      <c r="S4312">
        <v>35</v>
      </c>
      <c r="T4312" s="1" t="s">
        <v>5350</v>
      </c>
      <c r="U4312" s="1" t="str">
        <f>HYPERLINK("http://ictvonline.org/taxonomy/p/taxonomy-history?taxnode_id=202102967","ICTVonline=202102967")</f>
        <v>ICTVonline=202102967</v>
      </c>
    </row>
    <row r="4313" spans="1:21" x14ac:dyDescent="0.2">
      <c r="A4313" s="3">
        <v>4312</v>
      </c>
      <c r="B4313" s="1" t="s">
        <v>5250</v>
      </c>
      <c r="D4313" s="1" t="s">
        <v>5280</v>
      </c>
      <c r="F4313" s="1" t="s">
        <v>5347</v>
      </c>
      <c r="H4313" s="1" t="s">
        <v>5348</v>
      </c>
      <c r="J4313" s="1" t="s">
        <v>5351</v>
      </c>
      <c r="L4313" s="1" t="s">
        <v>717</v>
      </c>
      <c r="N4313" s="1" t="s">
        <v>2899</v>
      </c>
      <c r="P4313" s="1" t="s">
        <v>3522</v>
      </c>
      <c r="Q4313" s="30" t="s">
        <v>2568</v>
      </c>
      <c r="R4313" s="33" t="s">
        <v>3474</v>
      </c>
      <c r="S4313">
        <v>35</v>
      </c>
      <c r="T4313" s="1" t="s">
        <v>5350</v>
      </c>
      <c r="U4313" s="1" t="str">
        <f>HYPERLINK("http://ictvonline.org/taxonomy/p/taxonomy-history?taxnode_id=202102968","ICTVonline=202102968")</f>
        <v>ICTVonline=202102968</v>
      </c>
    </row>
    <row r="4314" spans="1:21" x14ac:dyDescent="0.2">
      <c r="A4314" s="3">
        <v>4313</v>
      </c>
      <c r="B4314" s="1" t="s">
        <v>5250</v>
      </c>
      <c r="D4314" s="1" t="s">
        <v>5280</v>
      </c>
      <c r="F4314" s="1" t="s">
        <v>5347</v>
      </c>
      <c r="H4314" s="1" t="s">
        <v>5348</v>
      </c>
      <c r="J4314" s="1" t="s">
        <v>5351</v>
      </c>
      <c r="L4314" s="1" t="s">
        <v>717</v>
      </c>
      <c r="N4314" s="1" t="s">
        <v>2899</v>
      </c>
      <c r="P4314" s="1" t="s">
        <v>3523</v>
      </c>
      <c r="Q4314" s="30" t="s">
        <v>2568</v>
      </c>
      <c r="R4314" s="33" t="s">
        <v>8665</v>
      </c>
      <c r="S4314">
        <v>36</v>
      </c>
      <c r="T4314" s="1" t="s">
        <v>8661</v>
      </c>
      <c r="U4314" s="1" t="str">
        <f>HYPERLINK("http://ictvonline.org/taxonomy/p/taxonomy-history?taxnode_id=202102969","ICTVonline=202102969")</f>
        <v>ICTVonline=202102969</v>
      </c>
    </row>
    <row r="4315" spans="1:21" x14ac:dyDescent="0.2">
      <c r="A4315" s="3">
        <v>4314</v>
      </c>
      <c r="B4315" s="1" t="s">
        <v>5250</v>
      </c>
      <c r="D4315" s="1" t="s">
        <v>5280</v>
      </c>
      <c r="F4315" s="1" t="s">
        <v>5347</v>
      </c>
      <c r="H4315" s="1" t="s">
        <v>5348</v>
      </c>
      <c r="J4315" s="1" t="s">
        <v>5351</v>
      </c>
      <c r="L4315" s="1" t="s">
        <v>717</v>
      </c>
      <c r="N4315" s="1" t="s">
        <v>2899</v>
      </c>
      <c r="P4315" s="1" t="s">
        <v>3524</v>
      </c>
      <c r="Q4315" s="30" t="s">
        <v>2568</v>
      </c>
      <c r="R4315" s="33" t="s">
        <v>3474</v>
      </c>
      <c r="S4315">
        <v>35</v>
      </c>
      <c r="T4315" s="1" t="s">
        <v>5350</v>
      </c>
      <c r="U4315" s="1" t="str">
        <f>HYPERLINK("http://ictvonline.org/taxonomy/p/taxonomy-history?taxnode_id=202102970","ICTVonline=202102970")</f>
        <v>ICTVonline=202102970</v>
      </c>
    </row>
    <row r="4316" spans="1:21" x14ac:dyDescent="0.2">
      <c r="A4316" s="3">
        <v>4315</v>
      </c>
      <c r="B4316" s="1" t="s">
        <v>5250</v>
      </c>
      <c r="D4316" s="1" t="s">
        <v>5280</v>
      </c>
      <c r="F4316" s="1" t="s">
        <v>5347</v>
      </c>
      <c r="H4316" s="1" t="s">
        <v>5348</v>
      </c>
      <c r="J4316" s="1" t="s">
        <v>5351</v>
      </c>
      <c r="L4316" s="1" t="s">
        <v>717</v>
      </c>
      <c r="N4316" s="1" t="s">
        <v>2899</v>
      </c>
      <c r="P4316" s="1" t="s">
        <v>3525</v>
      </c>
      <c r="Q4316" s="30" t="s">
        <v>2568</v>
      </c>
      <c r="R4316" s="33" t="s">
        <v>3474</v>
      </c>
      <c r="S4316">
        <v>35</v>
      </c>
      <c r="T4316" s="1" t="s">
        <v>5350</v>
      </c>
      <c r="U4316" s="1" t="str">
        <f>HYPERLINK("http://ictvonline.org/taxonomy/p/taxonomy-history?taxnode_id=202102971","ICTVonline=202102971")</f>
        <v>ICTVonline=202102971</v>
      </c>
    </row>
    <row r="4317" spans="1:21" x14ac:dyDescent="0.2">
      <c r="A4317" s="3">
        <v>4316</v>
      </c>
      <c r="B4317" s="1" t="s">
        <v>5250</v>
      </c>
      <c r="D4317" s="1" t="s">
        <v>5280</v>
      </c>
      <c r="F4317" s="1" t="s">
        <v>5347</v>
      </c>
      <c r="H4317" s="1" t="s">
        <v>5348</v>
      </c>
      <c r="J4317" s="1" t="s">
        <v>5351</v>
      </c>
      <c r="L4317" s="1" t="s">
        <v>717</v>
      </c>
      <c r="N4317" s="1" t="s">
        <v>2899</v>
      </c>
      <c r="P4317" s="1" t="s">
        <v>3315</v>
      </c>
      <c r="Q4317" s="30" t="s">
        <v>2568</v>
      </c>
      <c r="R4317" s="33" t="s">
        <v>3474</v>
      </c>
      <c r="S4317">
        <v>35</v>
      </c>
      <c r="T4317" s="1" t="s">
        <v>5350</v>
      </c>
      <c r="U4317" s="1" t="str">
        <f>HYPERLINK("http://ictvonline.org/taxonomy/p/taxonomy-history?taxnode_id=202102972","ICTVonline=202102972")</f>
        <v>ICTVonline=202102972</v>
      </c>
    </row>
    <row r="4318" spans="1:21" x14ac:dyDescent="0.2">
      <c r="A4318" s="3">
        <v>4317</v>
      </c>
      <c r="B4318" s="1" t="s">
        <v>5250</v>
      </c>
      <c r="D4318" s="1" t="s">
        <v>5280</v>
      </c>
      <c r="F4318" s="1" t="s">
        <v>5347</v>
      </c>
      <c r="H4318" s="1" t="s">
        <v>5348</v>
      </c>
      <c r="J4318" s="1" t="s">
        <v>5351</v>
      </c>
      <c r="L4318" s="1" t="s">
        <v>717</v>
      </c>
      <c r="N4318" s="1" t="s">
        <v>2899</v>
      </c>
      <c r="P4318" s="1" t="s">
        <v>3784</v>
      </c>
      <c r="Q4318" s="30" t="s">
        <v>2568</v>
      </c>
      <c r="R4318" s="33" t="s">
        <v>3474</v>
      </c>
      <c r="S4318">
        <v>35</v>
      </c>
      <c r="T4318" s="1" t="s">
        <v>5350</v>
      </c>
      <c r="U4318" s="1" t="str">
        <f>HYPERLINK("http://ictvonline.org/taxonomy/p/taxonomy-history?taxnode_id=202105769","ICTVonline=202105769")</f>
        <v>ICTVonline=202105769</v>
      </c>
    </row>
    <row r="4319" spans="1:21" x14ac:dyDescent="0.2">
      <c r="A4319" s="3">
        <v>4318</v>
      </c>
      <c r="B4319" s="1" t="s">
        <v>5250</v>
      </c>
      <c r="D4319" s="1" t="s">
        <v>5280</v>
      </c>
      <c r="F4319" s="1" t="s">
        <v>5347</v>
      </c>
      <c r="H4319" s="1" t="s">
        <v>5348</v>
      </c>
      <c r="J4319" s="1" t="s">
        <v>5351</v>
      </c>
      <c r="L4319" s="1" t="s">
        <v>717</v>
      </c>
      <c r="N4319" s="1" t="s">
        <v>2899</v>
      </c>
      <c r="P4319" s="1" t="s">
        <v>3785</v>
      </c>
      <c r="Q4319" s="30" t="s">
        <v>2568</v>
      </c>
      <c r="R4319" s="33" t="s">
        <v>3474</v>
      </c>
      <c r="S4319">
        <v>35</v>
      </c>
      <c r="T4319" s="1" t="s">
        <v>5350</v>
      </c>
      <c r="U4319" s="1" t="str">
        <f>HYPERLINK("http://ictvonline.org/taxonomy/p/taxonomy-history?taxnode_id=202105770","ICTVonline=202105770")</f>
        <v>ICTVonline=202105770</v>
      </c>
    </row>
    <row r="4320" spans="1:21" x14ac:dyDescent="0.2">
      <c r="A4320" s="3">
        <v>4319</v>
      </c>
      <c r="B4320" s="1" t="s">
        <v>5250</v>
      </c>
      <c r="D4320" s="1" t="s">
        <v>5280</v>
      </c>
      <c r="F4320" s="1" t="s">
        <v>5347</v>
      </c>
      <c r="H4320" s="1" t="s">
        <v>5348</v>
      </c>
      <c r="J4320" s="1" t="s">
        <v>5351</v>
      </c>
      <c r="L4320" s="1" t="s">
        <v>717</v>
      </c>
      <c r="N4320" s="1" t="s">
        <v>2899</v>
      </c>
      <c r="P4320" s="1" t="s">
        <v>4820</v>
      </c>
      <c r="Q4320" s="30" t="s">
        <v>2568</v>
      </c>
      <c r="R4320" s="33" t="s">
        <v>3474</v>
      </c>
      <c r="S4320">
        <v>35</v>
      </c>
      <c r="T4320" s="1" t="s">
        <v>5350</v>
      </c>
      <c r="U4320" s="1" t="str">
        <f>HYPERLINK("http://ictvonline.org/taxonomy/p/taxonomy-history?taxnode_id=202106571","ICTVonline=202106571")</f>
        <v>ICTVonline=202106571</v>
      </c>
    </row>
    <row r="4321" spans="1:21" x14ac:dyDescent="0.2">
      <c r="A4321" s="3">
        <v>4320</v>
      </c>
      <c r="B4321" s="1" t="s">
        <v>5250</v>
      </c>
      <c r="D4321" s="1" t="s">
        <v>5280</v>
      </c>
      <c r="F4321" s="1" t="s">
        <v>5347</v>
      </c>
      <c r="H4321" s="1" t="s">
        <v>5348</v>
      </c>
      <c r="J4321" s="1" t="s">
        <v>5351</v>
      </c>
      <c r="L4321" s="1" t="s">
        <v>717</v>
      </c>
      <c r="N4321" s="1" t="s">
        <v>2899</v>
      </c>
      <c r="P4321" s="1" t="s">
        <v>4821</v>
      </c>
      <c r="Q4321" s="30" t="s">
        <v>2568</v>
      </c>
      <c r="R4321" s="33" t="s">
        <v>3474</v>
      </c>
      <c r="S4321">
        <v>35</v>
      </c>
      <c r="T4321" s="1" t="s">
        <v>5350</v>
      </c>
      <c r="U4321" s="1" t="str">
        <f>HYPERLINK("http://ictvonline.org/taxonomy/p/taxonomy-history?taxnode_id=202106572","ICTVonline=202106572")</f>
        <v>ICTVonline=202106572</v>
      </c>
    </row>
    <row r="4322" spans="1:21" x14ac:dyDescent="0.2">
      <c r="A4322" s="3">
        <v>4321</v>
      </c>
      <c r="B4322" s="1" t="s">
        <v>5250</v>
      </c>
      <c r="D4322" s="1" t="s">
        <v>5280</v>
      </c>
      <c r="F4322" s="1" t="s">
        <v>5347</v>
      </c>
      <c r="H4322" s="1" t="s">
        <v>5348</v>
      </c>
      <c r="J4322" s="1" t="s">
        <v>5351</v>
      </c>
      <c r="L4322" s="1" t="s">
        <v>717</v>
      </c>
      <c r="N4322" s="1" t="s">
        <v>2899</v>
      </c>
      <c r="P4322" s="1" t="s">
        <v>5359</v>
      </c>
      <c r="Q4322" s="30" t="s">
        <v>2891</v>
      </c>
      <c r="R4322" s="33" t="s">
        <v>3472</v>
      </c>
      <c r="S4322">
        <v>35</v>
      </c>
      <c r="T4322" s="1" t="s">
        <v>5353</v>
      </c>
      <c r="U4322" s="1" t="str">
        <f>HYPERLINK("http://ictvonline.org/taxonomy/p/taxonomy-history?taxnode_id=202108682","ICTVonline=202108682")</f>
        <v>ICTVonline=202108682</v>
      </c>
    </row>
    <row r="4323" spans="1:21" x14ac:dyDescent="0.2">
      <c r="A4323" s="3">
        <v>4322</v>
      </c>
      <c r="B4323" s="1" t="s">
        <v>5250</v>
      </c>
      <c r="D4323" s="1" t="s">
        <v>5280</v>
      </c>
      <c r="F4323" s="1" t="s">
        <v>5347</v>
      </c>
      <c r="H4323" s="1" t="s">
        <v>5348</v>
      </c>
      <c r="J4323" s="1" t="s">
        <v>5351</v>
      </c>
      <c r="L4323" s="1" t="s">
        <v>717</v>
      </c>
      <c r="N4323" s="1" t="s">
        <v>2899</v>
      </c>
      <c r="P4323" s="1" t="s">
        <v>3316</v>
      </c>
      <c r="Q4323" s="30" t="s">
        <v>2568</v>
      </c>
      <c r="R4323" s="33" t="s">
        <v>3474</v>
      </c>
      <c r="S4323">
        <v>35</v>
      </c>
      <c r="T4323" s="1" t="s">
        <v>5350</v>
      </c>
      <c r="U4323" s="1" t="str">
        <f>HYPERLINK("http://ictvonline.org/taxonomy/p/taxonomy-history?taxnode_id=202102973","ICTVonline=202102973")</f>
        <v>ICTVonline=202102973</v>
      </c>
    </row>
    <row r="4324" spans="1:21" x14ac:dyDescent="0.2">
      <c r="A4324" s="3">
        <v>4323</v>
      </c>
      <c r="B4324" s="1" t="s">
        <v>5250</v>
      </c>
      <c r="D4324" s="1" t="s">
        <v>5280</v>
      </c>
      <c r="F4324" s="1" t="s">
        <v>5347</v>
      </c>
      <c r="H4324" s="1" t="s">
        <v>5348</v>
      </c>
      <c r="J4324" s="1" t="s">
        <v>5351</v>
      </c>
      <c r="L4324" s="1" t="s">
        <v>12706</v>
      </c>
      <c r="N4324" s="1" t="s">
        <v>12707</v>
      </c>
      <c r="P4324" s="1" t="s">
        <v>12708</v>
      </c>
      <c r="Q4324" s="30" t="s">
        <v>2891</v>
      </c>
      <c r="R4324" s="33" t="s">
        <v>3472</v>
      </c>
      <c r="S4324">
        <v>37</v>
      </c>
      <c r="T4324" s="1" t="s">
        <v>13990</v>
      </c>
      <c r="U4324" s="1" t="str">
        <f>HYPERLINK("http://ictvonline.org/taxonomy/p/taxonomy-history?taxnode_id=202113253","ICTVonline=202113253")</f>
        <v>ICTVonline=202113253</v>
      </c>
    </row>
    <row r="4325" spans="1:21" x14ac:dyDescent="0.2">
      <c r="A4325" s="3">
        <v>4324</v>
      </c>
      <c r="B4325" s="1" t="s">
        <v>5250</v>
      </c>
      <c r="D4325" s="1" t="s">
        <v>5280</v>
      </c>
      <c r="F4325" s="1" t="s">
        <v>5347</v>
      </c>
      <c r="H4325" s="1" t="s">
        <v>5348</v>
      </c>
      <c r="J4325" s="1" t="s">
        <v>5351</v>
      </c>
      <c r="L4325" s="1" t="s">
        <v>12706</v>
      </c>
      <c r="N4325" s="1" t="s">
        <v>12707</v>
      </c>
      <c r="P4325" s="1" t="s">
        <v>12709</v>
      </c>
      <c r="Q4325" s="30" t="s">
        <v>2891</v>
      </c>
      <c r="R4325" s="33" t="s">
        <v>3472</v>
      </c>
      <c r="S4325">
        <v>37</v>
      </c>
      <c r="T4325" s="1" t="s">
        <v>13990</v>
      </c>
      <c r="U4325" s="1" t="str">
        <f>HYPERLINK("http://ictvonline.org/taxonomy/p/taxonomy-history?taxnode_id=202113254","ICTVonline=202113254")</f>
        <v>ICTVonline=202113254</v>
      </c>
    </row>
    <row r="4326" spans="1:21" x14ac:dyDescent="0.2">
      <c r="A4326" s="3">
        <v>4325</v>
      </c>
      <c r="B4326" s="1" t="s">
        <v>5250</v>
      </c>
      <c r="D4326" s="1" t="s">
        <v>5280</v>
      </c>
      <c r="F4326" s="1" t="s">
        <v>5347</v>
      </c>
      <c r="H4326" s="1" t="s">
        <v>5348</v>
      </c>
      <c r="J4326" s="1" t="s">
        <v>5351</v>
      </c>
      <c r="L4326" s="1" t="s">
        <v>12706</v>
      </c>
      <c r="N4326" s="1" t="s">
        <v>12710</v>
      </c>
      <c r="P4326" s="1" t="s">
        <v>12711</v>
      </c>
      <c r="Q4326" s="30" t="s">
        <v>2891</v>
      </c>
      <c r="R4326" s="33" t="s">
        <v>3472</v>
      </c>
      <c r="S4326">
        <v>37</v>
      </c>
      <c r="T4326" s="1" t="s">
        <v>13990</v>
      </c>
      <c r="U4326" s="1" t="str">
        <f>HYPERLINK("http://ictvonline.org/taxonomy/p/taxonomy-history?taxnode_id=202113257","ICTVonline=202113257")</f>
        <v>ICTVonline=202113257</v>
      </c>
    </row>
    <row r="4327" spans="1:21" x14ac:dyDescent="0.2">
      <c r="A4327" s="3">
        <v>4326</v>
      </c>
      <c r="B4327" s="1" t="s">
        <v>5250</v>
      </c>
      <c r="D4327" s="1" t="s">
        <v>5280</v>
      </c>
      <c r="F4327" s="1" t="s">
        <v>5347</v>
      </c>
      <c r="H4327" s="1" t="s">
        <v>5348</v>
      </c>
      <c r="J4327" s="1" t="s">
        <v>5351</v>
      </c>
      <c r="L4327" s="1" t="s">
        <v>12706</v>
      </c>
      <c r="N4327" s="1" t="s">
        <v>12710</v>
      </c>
      <c r="P4327" s="1" t="s">
        <v>12712</v>
      </c>
      <c r="Q4327" s="30" t="s">
        <v>2891</v>
      </c>
      <c r="R4327" s="33" t="s">
        <v>3472</v>
      </c>
      <c r="S4327">
        <v>37</v>
      </c>
      <c r="T4327" s="1" t="s">
        <v>13990</v>
      </c>
      <c r="U4327" s="1" t="str">
        <f>HYPERLINK("http://ictvonline.org/taxonomy/p/taxonomy-history?taxnode_id=202113256","ICTVonline=202113256")</f>
        <v>ICTVonline=202113256</v>
      </c>
    </row>
    <row r="4328" spans="1:21" x14ac:dyDescent="0.2">
      <c r="A4328" s="3">
        <v>4327</v>
      </c>
      <c r="B4328" s="1" t="s">
        <v>5250</v>
      </c>
      <c r="D4328" s="1" t="s">
        <v>5280</v>
      </c>
      <c r="F4328" s="1" t="s">
        <v>5347</v>
      </c>
      <c r="H4328" s="1" t="s">
        <v>5348</v>
      </c>
      <c r="J4328" s="1" t="s">
        <v>5351</v>
      </c>
      <c r="L4328" s="1" t="s">
        <v>12706</v>
      </c>
      <c r="N4328" s="1" t="s">
        <v>12713</v>
      </c>
      <c r="P4328" s="1" t="s">
        <v>12714</v>
      </c>
      <c r="Q4328" s="30" t="s">
        <v>2891</v>
      </c>
      <c r="R4328" s="33" t="s">
        <v>3472</v>
      </c>
      <c r="S4328">
        <v>37</v>
      </c>
      <c r="T4328" s="1" t="s">
        <v>13990</v>
      </c>
      <c r="U4328" s="1" t="str">
        <f>HYPERLINK("http://ictvonline.org/taxonomy/p/taxonomy-history?taxnode_id=202113259","ICTVonline=202113259")</f>
        <v>ICTVonline=202113259</v>
      </c>
    </row>
    <row r="4329" spans="1:21" x14ac:dyDescent="0.2">
      <c r="A4329" s="3">
        <v>4328</v>
      </c>
      <c r="B4329" s="1" t="s">
        <v>5250</v>
      </c>
      <c r="D4329" s="1" t="s">
        <v>5280</v>
      </c>
      <c r="F4329" s="1" t="s">
        <v>5347</v>
      </c>
      <c r="H4329" s="1" t="s">
        <v>5348</v>
      </c>
      <c r="J4329" s="1" t="s">
        <v>5351</v>
      </c>
      <c r="L4329" s="1" t="s">
        <v>12706</v>
      </c>
      <c r="N4329" s="1" t="s">
        <v>12715</v>
      </c>
      <c r="P4329" s="1" t="s">
        <v>12716</v>
      </c>
      <c r="Q4329" s="30" t="s">
        <v>2891</v>
      </c>
      <c r="R4329" s="33" t="s">
        <v>3472</v>
      </c>
      <c r="S4329">
        <v>37</v>
      </c>
      <c r="T4329" s="1" t="s">
        <v>13990</v>
      </c>
      <c r="U4329" s="1" t="str">
        <f>HYPERLINK("http://ictvonline.org/taxonomy/p/taxonomy-history?taxnode_id=202113261","ICTVonline=202113261")</f>
        <v>ICTVonline=202113261</v>
      </c>
    </row>
    <row r="4330" spans="1:21" x14ac:dyDescent="0.2">
      <c r="A4330" s="3">
        <v>4329</v>
      </c>
      <c r="B4330" s="1" t="s">
        <v>5250</v>
      </c>
      <c r="D4330" s="1" t="s">
        <v>5280</v>
      </c>
      <c r="F4330" s="1" t="s">
        <v>5347</v>
      </c>
      <c r="H4330" s="1" t="s">
        <v>5348</v>
      </c>
      <c r="J4330" s="1" t="s">
        <v>5351</v>
      </c>
      <c r="L4330" s="1" t="s">
        <v>12706</v>
      </c>
      <c r="N4330" s="1" t="s">
        <v>12717</v>
      </c>
      <c r="P4330" s="1" t="s">
        <v>12718</v>
      </c>
      <c r="Q4330" s="30" t="s">
        <v>2891</v>
      </c>
      <c r="R4330" s="33" t="s">
        <v>3472</v>
      </c>
      <c r="S4330">
        <v>37</v>
      </c>
      <c r="T4330" s="1" t="s">
        <v>13990</v>
      </c>
      <c r="U4330" s="1" t="str">
        <f>HYPERLINK("http://ictvonline.org/taxonomy/p/taxonomy-history?taxnode_id=202113264","ICTVonline=202113264")</f>
        <v>ICTVonline=202113264</v>
      </c>
    </row>
    <row r="4331" spans="1:21" x14ac:dyDescent="0.2">
      <c r="A4331" s="3">
        <v>4330</v>
      </c>
      <c r="B4331" s="1" t="s">
        <v>5250</v>
      </c>
      <c r="D4331" s="1" t="s">
        <v>5280</v>
      </c>
      <c r="F4331" s="1" t="s">
        <v>5347</v>
      </c>
      <c r="H4331" s="1" t="s">
        <v>5348</v>
      </c>
      <c r="J4331" s="1" t="s">
        <v>5351</v>
      </c>
      <c r="L4331" s="1" t="s">
        <v>12706</v>
      </c>
      <c r="N4331" s="1" t="s">
        <v>12717</v>
      </c>
      <c r="P4331" s="1" t="s">
        <v>12719</v>
      </c>
      <c r="Q4331" s="30" t="s">
        <v>2891</v>
      </c>
      <c r="R4331" s="33" t="s">
        <v>3472</v>
      </c>
      <c r="S4331">
        <v>37</v>
      </c>
      <c r="T4331" s="1" t="s">
        <v>13990</v>
      </c>
      <c r="U4331" s="1" t="str">
        <f>HYPERLINK("http://ictvonline.org/taxonomy/p/taxonomy-history?taxnode_id=202113263","ICTVonline=202113263")</f>
        <v>ICTVonline=202113263</v>
      </c>
    </row>
    <row r="4332" spans="1:21" x14ac:dyDescent="0.2">
      <c r="A4332" s="3">
        <v>4331</v>
      </c>
      <c r="B4332" s="1" t="s">
        <v>5250</v>
      </c>
      <c r="D4332" s="1" t="s">
        <v>5280</v>
      </c>
      <c r="F4332" s="1" t="s">
        <v>5347</v>
      </c>
      <c r="H4332" s="1" t="s">
        <v>5348</v>
      </c>
      <c r="J4332" s="1" t="s">
        <v>5351</v>
      </c>
      <c r="L4332" s="1" t="s">
        <v>12706</v>
      </c>
      <c r="N4332" s="1" t="s">
        <v>12720</v>
      </c>
      <c r="P4332" s="1" t="s">
        <v>12721</v>
      </c>
      <c r="Q4332" s="30" t="s">
        <v>2891</v>
      </c>
      <c r="R4332" s="33" t="s">
        <v>3472</v>
      </c>
      <c r="S4332">
        <v>37</v>
      </c>
      <c r="T4332" s="1" t="s">
        <v>13990</v>
      </c>
      <c r="U4332" s="1" t="str">
        <f>HYPERLINK("http://ictvonline.org/taxonomy/p/taxonomy-history?taxnode_id=202113266","ICTVonline=202113266")</f>
        <v>ICTVonline=202113266</v>
      </c>
    </row>
    <row r="4333" spans="1:21" x14ac:dyDescent="0.2">
      <c r="A4333" s="3">
        <v>4332</v>
      </c>
      <c r="B4333" s="1" t="s">
        <v>5250</v>
      </c>
      <c r="D4333" s="1" t="s">
        <v>5280</v>
      </c>
      <c r="F4333" s="1" t="s">
        <v>5347</v>
      </c>
      <c r="H4333" s="1" t="s">
        <v>5348</v>
      </c>
      <c r="J4333" s="1" t="s">
        <v>5351</v>
      </c>
      <c r="L4333" s="1" t="s">
        <v>12706</v>
      </c>
      <c r="N4333" s="1" t="s">
        <v>12722</v>
      </c>
      <c r="P4333" s="1" t="s">
        <v>12723</v>
      </c>
      <c r="Q4333" s="30" t="s">
        <v>2891</v>
      </c>
      <c r="R4333" s="33" t="s">
        <v>3472</v>
      </c>
      <c r="S4333">
        <v>37</v>
      </c>
      <c r="T4333" s="1" t="s">
        <v>13990</v>
      </c>
      <c r="U4333" s="1" t="str">
        <f>HYPERLINK("http://ictvonline.org/taxonomy/p/taxonomy-history?taxnode_id=202113268","ICTVonline=202113268")</f>
        <v>ICTVonline=202113268</v>
      </c>
    </row>
    <row r="4334" spans="1:21" x14ac:dyDescent="0.2">
      <c r="A4334" s="3">
        <v>4333</v>
      </c>
      <c r="B4334" s="1" t="s">
        <v>5250</v>
      </c>
      <c r="D4334" s="1" t="s">
        <v>5280</v>
      </c>
      <c r="F4334" s="1" t="s">
        <v>5347</v>
      </c>
      <c r="H4334" s="1" t="s">
        <v>5348</v>
      </c>
      <c r="J4334" s="1" t="s">
        <v>5351</v>
      </c>
      <c r="L4334" s="1" t="s">
        <v>12706</v>
      </c>
      <c r="N4334" s="1" t="s">
        <v>12724</v>
      </c>
      <c r="P4334" s="1" t="s">
        <v>12725</v>
      </c>
      <c r="Q4334" s="30" t="s">
        <v>2891</v>
      </c>
      <c r="R4334" s="33" t="s">
        <v>3472</v>
      </c>
      <c r="S4334">
        <v>37</v>
      </c>
      <c r="T4334" s="1" t="s">
        <v>13990</v>
      </c>
      <c r="U4334" s="1" t="str">
        <f>HYPERLINK("http://ictvonline.org/taxonomy/p/taxonomy-history?taxnode_id=202113270","ICTVonline=202113270")</f>
        <v>ICTVonline=202113270</v>
      </c>
    </row>
    <row r="4335" spans="1:21" x14ac:dyDescent="0.2">
      <c r="A4335" s="3">
        <v>4334</v>
      </c>
      <c r="B4335" s="1" t="s">
        <v>5250</v>
      </c>
      <c r="D4335" s="1" t="s">
        <v>5280</v>
      </c>
      <c r="F4335" s="1" t="s">
        <v>5347</v>
      </c>
      <c r="H4335" s="1" t="s">
        <v>5348</v>
      </c>
      <c r="J4335" s="1" t="s">
        <v>5351</v>
      </c>
      <c r="L4335" s="1" t="s">
        <v>12706</v>
      </c>
      <c r="N4335" s="1" t="s">
        <v>12726</v>
      </c>
      <c r="P4335" s="1" t="s">
        <v>12727</v>
      </c>
      <c r="Q4335" s="30" t="s">
        <v>2891</v>
      </c>
      <c r="R4335" s="33" t="s">
        <v>3472</v>
      </c>
      <c r="S4335">
        <v>37</v>
      </c>
      <c r="T4335" s="1" t="s">
        <v>13990</v>
      </c>
      <c r="U4335" s="1" t="str">
        <f>HYPERLINK("http://ictvonline.org/taxonomy/p/taxonomy-history?taxnode_id=202113272","ICTVonline=202113272")</f>
        <v>ICTVonline=202113272</v>
      </c>
    </row>
    <row r="4336" spans="1:21" x14ac:dyDescent="0.2">
      <c r="A4336" s="3">
        <v>4335</v>
      </c>
      <c r="B4336" s="1" t="s">
        <v>5250</v>
      </c>
      <c r="D4336" s="1" t="s">
        <v>5280</v>
      </c>
      <c r="F4336" s="1" t="s">
        <v>5347</v>
      </c>
      <c r="H4336" s="1" t="s">
        <v>5348</v>
      </c>
      <c r="J4336" s="1" t="s">
        <v>5351</v>
      </c>
      <c r="L4336" s="1" t="s">
        <v>12706</v>
      </c>
      <c r="N4336" s="1" t="s">
        <v>12728</v>
      </c>
      <c r="P4336" s="1" t="s">
        <v>12729</v>
      </c>
      <c r="Q4336" s="30" t="s">
        <v>2891</v>
      </c>
      <c r="R4336" s="33" t="s">
        <v>3472</v>
      </c>
      <c r="S4336">
        <v>37</v>
      </c>
      <c r="T4336" s="1" t="s">
        <v>13990</v>
      </c>
      <c r="U4336" s="1" t="str">
        <f>HYPERLINK("http://ictvonline.org/taxonomy/p/taxonomy-history?taxnode_id=202113274","ICTVonline=202113274")</f>
        <v>ICTVonline=202113274</v>
      </c>
    </row>
    <row r="4337" spans="1:21" x14ac:dyDescent="0.2">
      <c r="A4337" s="3">
        <v>4336</v>
      </c>
      <c r="B4337" s="1" t="s">
        <v>5250</v>
      </c>
      <c r="D4337" s="1" t="s">
        <v>5280</v>
      </c>
      <c r="F4337" s="1" t="s">
        <v>5347</v>
      </c>
      <c r="H4337" s="1" t="s">
        <v>5348</v>
      </c>
      <c r="J4337" s="1" t="s">
        <v>5351</v>
      </c>
      <c r="L4337" s="1" t="s">
        <v>12706</v>
      </c>
      <c r="N4337" s="1" t="s">
        <v>12730</v>
      </c>
      <c r="P4337" s="1" t="s">
        <v>12731</v>
      </c>
      <c r="Q4337" s="30" t="s">
        <v>2891</v>
      </c>
      <c r="R4337" s="33" t="s">
        <v>3472</v>
      </c>
      <c r="S4337">
        <v>37</v>
      </c>
      <c r="T4337" s="1" t="s">
        <v>13990</v>
      </c>
      <c r="U4337" s="1" t="str">
        <f>HYPERLINK("http://ictvonline.org/taxonomy/p/taxonomy-history?taxnode_id=202113277","ICTVonline=202113277")</f>
        <v>ICTVonline=202113277</v>
      </c>
    </row>
    <row r="4338" spans="1:21" x14ac:dyDescent="0.2">
      <c r="A4338" s="3">
        <v>4337</v>
      </c>
      <c r="B4338" s="1" t="s">
        <v>5250</v>
      </c>
      <c r="D4338" s="1" t="s">
        <v>5280</v>
      </c>
      <c r="F4338" s="1" t="s">
        <v>5347</v>
      </c>
      <c r="H4338" s="1" t="s">
        <v>5348</v>
      </c>
      <c r="J4338" s="1" t="s">
        <v>5351</v>
      </c>
      <c r="L4338" s="1" t="s">
        <v>12706</v>
      </c>
      <c r="N4338" s="1" t="s">
        <v>12730</v>
      </c>
      <c r="P4338" s="1" t="s">
        <v>12732</v>
      </c>
      <c r="Q4338" s="30" t="s">
        <v>2891</v>
      </c>
      <c r="R4338" s="33" t="s">
        <v>3472</v>
      </c>
      <c r="S4338">
        <v>37</v>
      </c>
      <c r="T4338" s="1" t="s">
        <v>13990</v>
      </c>
      <c r="U4338" s="1" t="str">
        <f>HYPERLINK("http://ictvonline.org/taxonomy/p/taxonomy-history?taxnode_id=202113276","ICTVonline=202113276")</f>
        <v>ICTVonline=202113276</v>
      </c>
    </row>
    <row r="4339" spans="1:21" x14ac:dyDescent="0.2">
      <c r="A4339" s="3">
        <v>4338</v>
      </c>
      <c r="B4339" s="1" t="s">
        <v>5250</v>
      </c>
      <c r="D4339" s="1" t="s">
        <v>5280</v>
      </c>
      <c r="F4339" s="1" t="s">
        <v>5347</v>
      </c>
      <c r="H4339" s="1" t="s">
        <v>5348</v>
      </c>
      <c r="J4339" s="1" t="s">
        <v>5351</v>
      </c>
      <c r="L4339" s="1" t="s">
        <v>12706</v>
      </c>
      <c r="N4339" s="1" t="s">
        <v>12730</v>
      </c>
      <c r="P4339" s="1" t="s">
        <v>12733</v>
      </c>
      <c r="Q4339" s="30" t="s">
        <v>2891</v>
      </c>
      <c r="R4339" s="33" t="s">
        <v>3472</v>
      </c>
      <c r="S4339">
        <v>37</v>
      </c>
      <c r="T4339" s="1" t="s">
        <v>13990</v>
      </c>
      <c r="U4339" s="1" t="str">
        <f>HYPERLINK("http://ictvonline.org/taxonomy/p/taxonomy-history?taxnode_id=202113278","ICTVonline=202113278")</f>
        <v>ICTVonline=202113278</v>
      </c>
    </row>
    <row r="4340" spans="1:21" x14ac:dyDescent="0.2">
      <c r="A4340" s="3">
        <v>4339</v>
      </c>
      <c r="B4340" s="1" t="s">
        <v>5250</v>
      </c>
      <c r="D4340" s="1" t="s">
        <v>5280</v>
      </c>
      <c r="F4340" s="1" t="s">
        <v>5347</v>
      </c>
      <c r="H4340" s="1" t="s">
        <v>5348</v>
      </c>
      <c r="J4340" s="1" t="s">
        <v>5351</v>
      </c>
      <c r="L4340" s="1" t="s">
        <v>12706</v>
      </c>
      <c r="N4340" s="1" t="s">
        <v>12734</v>
      </c>
      <c r="P4340" s="1" t="s">
        <v>12735</v>
      </c>
      <c r="Q4340" s="30" t="s">
        <v>2891</v>
      </c>
      <c r="R4340" s="33" t="s">
        <v>3472</v>
      </c>
      <c r="S4340">
        <v>37</v>
      </c>
      <c r="T4340" s="1" t="s">
        <v>13990</v>
      </c>
      <c r="U4340" s="1" t="str">
        <f>HYPERLINK("http://ictvonline.org/taxonomy/p/taxonomy-history?taxnode_id=202113281","ICTVonline=202113281")</f>
        <v>ICTVonline=202113281</v>
      </c>
    </row>
    <row r="4341" spans="1:21" x14ac:dyDescent="0.2">
      <c r="A4341" s="3">
        <v>4340</v>
      </c>
      <c r="B4341" s="1" t="s">
        <v>5250</v>
      </c>
      <c r="D4341" s="1" t="s">
        <v>5280</v>
      </c>
      <c r="F4341" s="1" t="s">
        <v>5347</v>
      </c>
      <c r="H4341" s="1" t="s">
        <v>5348</v>
      </c>
      <c r="J4341" s="1" t="s">
        <v>5351</v>
      </c>
      <c r="L4341" s="1" t="s">
        <v>12706</v>
      </c>
      <c r="N4341" s="1" t="s">
        <v>12734</v>
      </c>
      <c r="P4341" s="1" t="s">
        <v>12736</v>
      </c>
      <c r="Q4341" s="30" t="s">
        <v>2891</v>
      </c>
      <c r="R4341" s="33" t="s">
        <v>3472</v>
      </c>
      <c r="S4341">
        <v>37</v>
      </c>
      <c r="T4341" s="1" t="s">
        <v>13990</v>
      </c>
      <c r="U4341" s="1" t="str">
        <f>HYPERLINK("http://ictvonline.org/taxonomy/p/taxonomy-history?taxnode_id=202113280","ICTVonline=202113280")</f>
        <v>ICTVonline=202113280</v>
      </c>
    </row>
    <row r="4342" spans="1:21" x14ac:dyDescent="0.2">
      <c r="A4342" s="3">
        <v>4341</v>
      </c>
      <c r="B4342" s="1" t="s">
        <v>5250</v>
      </c>
      <c r="D4342" s="1" t="s">
        <v>5280</v>
      </c>
      <c r="F4342" s="1" t="s">
        <v>5347</v>
      </c>
      <c r="H4342" s="1" t="s">
        <v>5348</v>
      </c>
      <c r="J4342" s="1" t="s">
        <v>5360</v>
      </c>
      <c r="L4342" s="1" t="s">
        <v>3956</v>
      </c>
      <c r="N4342" s="1" t="s">
        <v>6304</v>
      </c>
      <c r="P4342" s="1" t="s">
        <v>6305</v>
      </c>
      <c r="Q4342" s="30" t="s">
        <v>2891</v>
      </c>
      <c r="R4342" s="33" t="s">
        <v>3472</v>
      </c>
      <c r="S4342">
        <v>36</v>
      </c>
      <c r="T4342" s="1" t="s">
        <v>6306</v>
      </c>
      <c r="U4342" s="1" t="str">
        <f>HYPERLINK("http://ictvonline.org/taxonomy/p/taxonomy-history?taxnode_id=202109507","ICTVonline=202109507")</f>
        <v>ICTVonline=202109507</v>
      </c>
    </row>
    <row r="4343" spans="1:21" x14ac:dyDescent="0.2">
      <c r="A4343" s="3">
        <v>4342</v>
      </c>
      <c r="B4343" s="1" t="s">
        <v>5250</v>
      </c>
      <c r="D4343" s="1" t="s">
        <v>5280</v>
      </c>
      <c r="F4343" s="1" t="s">
        <v>5347</v>
      </c>
      <c r="H4343" s="1" t="s">
        <v>5348</v>
      </c>
      <c r="J4343" s="1" t="s">
        <v>5360</v>
      </c>
      <c r="L4343" s="1" t="s">
        <v>3956</v>
      </c>
      <c r="N4343" s="1" t="s">
        <v>6307</v>
      </c>
      <c r="P4343" s="1" t="s">
        <v>6308</v>
      </c>
      <c r="Q4343" s="30" t="s">
        <v>2891</v>
      </c>
      <c r="R4343" s="33" t="s">
        <v>3473</v>
      </c>
      <c r="S4343">
        <v>36</v>
      </c>
      <c r="T4343" s="1" t="s">
        <v>6306</v>
      </c>
      <c r="U4343" s="1" t="str">
        <f>HYPERLINK("http://ictvonline.org/taxonomy/p/taxonomy-history?taxnode_id=202105957","ICTVonline=202105957")</f>
        <v>ICTVonline=202105957</v>
      </c>
    </row>
    <row r="4344" spans="1:21" x14ac:dyDescent="0.2">
      <c r="A4344" s="3">
        <v>4343</v>
      </c>
      <c r="B4344" s="1" t="s">
        <v>5250</v>
      </c>
      <c r="D4344" s="1" t="s">
        <v>5280</v>
      </c>
      <c r="F4344" s="1" t="s">
        <v>5347</v>
      </c>
      <c r="H4344" s="1" t="s">
        <v>5348</v>
      </c>
      <c r="J4344" s="1" t="s">
        <v>5360</v>
      </c>
      <c r="L4344" s="1" t="s">
        <v>3956</v>
      </c>
      <c r="N4344" s="1" t="s">
        <v>6309</v>
      </c>
      <c r="P4344" s="1" t="s">
        <v>6310</v>
      </c>
      <c r="Q4344" s="30" t="s">
        <v>2891</v>
      </c>
      <c r="R4344" s="33" t="s">
        <v>3473</v>
      </c>
      <c r="S4344">
        <v>36</v>
      </c>
      <c r="T4344" s="1" t="s">
        <v>6306</v>
      </c>
      <c r="U4344" s="1" t="str">
        <f>HYPERLINK("http://ictvonline.org/taxonomy/p/taxonomy-history?taxnode_id=202105958","ICTVonline=202105958")</f>
        <v>ICTVonline=202105958</v>
      </c>
    </row>
    <row r="4345" spans="1:21" x14ac:dyDescent="0.2">
      <c r="A4345" s="3">
        <v>4344</v>
      </c>
      <c r="B4345" s="1" t="s">
        <v>5250</v>
      </c>
      <c r="D4345" s="1" t="s">
        <v>5280</v>
      </c>
      <c r="F4345" s="1" t="s">
        <v>5347</v>
      </c>
      <c r="H4345" s="1" t="s">
        <v>5348</v>
      </c>
      <c r="J4345" s="1" t="s">
        <v>5360</v>
      </c>
      <c r="L4345" s="1" t="s">
        <v>3956</v>
      </c>
      <c r="N4345" s="1" t="s">
        <v>3957</v>
      </c>
      <c r="P4345" s="1" t="s">
        <v>6311</v>
      </c>
      <c r="Q4345" s="30" t="s">
        <v>2891</v>
      </c>
      <c r="R4345" s="33" t="s">
        <v>8666</v>
      </c>
      <c r="S4345">
        <v>36</v>
      </c>
      <c r="T4345" s="1" t="s">
        <v>8667</v>
      </c>
      <c r="U4345" s="1" t="str">
        <f>HYPERLINK("http://ictvonline.org/taxonomy/p/taxonomy-history?taxnode_id=202105945","ICTVonline=202105945")</f>
        <v>ICTVonline=202105945</v>
      </c>
    </row>
    <row r="4346" spans="1:21" x14ac:dyDescent="0.2">
      <c r="A4346" s="3">
        <v>4345</v>
      </c>
      <c r="B4346" s="1" t="s">
        <v>5250</v>
      </c>
      <c r="D4346" s="1" t="s">
        <v>5280</v>
      </c>
      <c r="F4346" s="1" t="s">
        <v>5347</v>
      </c>
      <c r="H4346" s="1" t="s">
        <v>5348</v>
      </c>
      <c r="J4346" s="1" t="s">
        <v>5360</v>
      </c>
      <c r="L4346" s="1" t="s">
        <v>3956</v>
      </c>
      <c r="N4346" s="1" t="s">
        <v>3957</v>
      </c>
      <c r="P4346" s="1" t="s">
        <v>6312</v>
      </c>
      <c r="Q4346" s="30" t="s">
        <v>2891</v>
      </c>
      <c r="R4346" s="33" t="s">
        <v>3475</v>
      </c>
      <c r="S4346">
        <v>36</v>
      </c>
      <c r="T4346" s="1" t="s">
        <v>6306</v>
      </c>
      <c r="U4346" s="1" t="str">
        <f>HYPERLINK("http://ictvonline.org/taxonomy/p/taxonomy-history?taxnode_id=202105946","ICTVonline=202105946")</f>
        <v>ICTVonline=202105946</v>
      </c>
    </row>
    <row r="4347" spans="1:21" x14ac:dyDescent="0.2">
      <c r="A4347" s="3">
        <v>4346</v>
      </c>
      <c r="B4347" s="1" t="s">
        <v>5250</v>
      </c>
      <c r="D4347" s="1" t="s">
        <v>5280</v>
      </c>
      <c r="F4347" s="1" t="s">
        <v>5347</v>
      </c>
      <c r="H4347" s="1" t="s">
        <v>5348</v>
      </c>
      <c r="J4347" s="1" t="s">
        <v>5360</v>
      </c>
      <c r="L4347" s="1" t="s">
        <v>3956</v>
      </c>
      <c r="N4347" s="1" t="s">
        <v>3957</v>
      </c>
      <c r="P4347" s="1" t="s">
        <v>6313</v>
      </c>
      <c r="Q4347" s="30" t="s">
        <v>2891</v>
      </c>
      <c r="R4347" s="33" t="s">
        <v>3475</v>
      </c>
      <c r="S4347">
        <v>36</v>
      </c>
      <c r="T4347" s="1" t="s">
        <v>6306</v>
      </c>
      <c r="U4347" s="1" t="str">
        <f>HYPERLINK("http://ictvonline.org/taxonomy/p/taxonomy-history?taxnode_id=202105947","ICTVonline=202105947")</f>
        <v>ICTVonline=202105947</v>
      </c>
    </row>
    <row r="4348" spans="1:21" x14ac:dyDescent="0.2">
      <c r="A4348" s="3">
        <v>4347</v>
      </c>
      <c r="B4348" s="1" t="s">
        <v>5250</v>
      </c>
      <c r="D4348" s="1" t="s">
        <v>5280</v>
      </c>
      <c r="F4348" s="1" t="s">
        <v>5347</v>
      </c>
      <c r="H4348" s="1" t="s">
        <v>5348</v>
      </c>
      <c r="J4348" s="1" t="s">
        <v>5360</v>
      </c>
      <c r="L4348" s="1" t="s">
        <v>3956</v>
      </c>
      <c r="N4348" s="1" t="s">
        <v>3958</v>
      </c>
      <c r="P4348" s="1" t="s">
        <v>6314</v>
      </c>
      <c r="Q4348" s="30" t="s">
        <v>2891</v>
      </c>
      <c r="R4348" s="33" t="s">
        <v>8666</v>
      </c>
      <c r="S4348">
        <v>36</v>
      </c>
      <c r="T4348" s="1" t="s">
        <v>8667</v>
      </c>
      <c r="U4348" s="1" t="str">
        <f>HYPERLINK("http://ictvonline.org/taxonomy/p/taxonomy-history?taxnode_id=202105949","ICTVonline=202105949")</f>
        <v>ICTVonline=202105949</v>
      </c>
    </row>
    <row r="4349" spans="1:21" x14ac:dyDescent="0.2">
      <c r="A4349" s="3">
        <v>4348</v>
      </c>
      <c r="B4349" s="1" t="s">
        <v>5250</v>
      </c>
      <c r="D4349" s="1" t="s">
        <v>5280</v>
      </c>
      <c r="F4349" s="1" t="s">
        <v>5347</v>
      </c>
      <c r="H4349" s="1" t="s">
        <v>5348</v>
      </c>
      <c r="J4349" s="1" t="s">
        <v>5360</v>
      </c>
      <c r="L4349" s="1" t="s">
        <v>3956</v>
      </c>
      <c r="N4349" s="1" t="s">
        <v>3959</v>
      </c>
      <c r="P4349" s="1" t="s">
        <v>6315</v>
      </c>
      <c r="Q4349" s="30" t="s">
        <v>2891</v>
      </c>
      <c r="R4349" s="33" t="s">
        <v>8666</v>
      </c>
      <c r="S4349">
        <v>36</v>
      </c>
      <c r="T4349" s="1" t="s">
        <v>8667</v>
      </c>
      <c r="U4349" s="1" t="str">
        <f>HYPERLINK("http://ictvonline.org/taxonomy/p/taxonomy-history?taxnode_id=202105951","ICTVonline=202105951")</f>
        <v>ICTVonline=202105951</v>
      </c>
    </row>
    <row r="4350" spans="1:21" x14ac:dyDescent="0.2">
      <c r="A4350" s="3">
        <v>4349</v>
      </c>
      <c r="B4350" s="1" t="s">
        <v>5250</v>
      </c>
      <c r="D4350" s="1" t="s">
        <v>5280</v>
      </c>
      <c r="F4350" s="1" t="s">
        <v>5347</v>
      </c>
      <c r="H4350" s="1" t="s">
        <v>5348</v>
      </c>
      <c r="J4350" s="1" t="s">
        <v>5360</v>
      </c>
      <c r="L4350" s="1" t="s">
        <v>3956</v>
      </c>
      <c r="N4350" s="1" t="s">
        <v>3960</v>
      </c>
      <c r="P4350" s="1" t="s">
        <v>6316</v>
      </c>
      <c r="Q4350" s="30" t="s">
        <v>2891</v>
      </c>
      <c r="R4350" s="33" t="s">
        <v>3475</v>
      </c>
      <c r="S4350">
        <v>36</v>
      </c>
      <c r="T4350" s="1" t="s">
        <v>6306</v>
      </c>
      <c r="U4350" s="1" t="str">
        <f>HYPERLINK("http://ictvonline.org/taxonomy/p/taxonomy-history?taxnode_id=202105953","ICTVonline=202105953")</f>
        <v>ICTVonline=202105953</v>
      </c>
    </row>
    <row r="4351" spans="1:21" x14ac:dyDescent="0.2">
      <c r="A4351" s="3">
        <v>4350</v>
      </c>
      <c r="B4351" s="1" t="s">
        <v>5250</v>
      </c>
      <c r="D4351" s="1" t="s">
        <v>5280</v>
      </c>
      <c r="F4351" s="1" t="s">
        <v>5347</v>
      </c>
      <c r="H4351" s="1" t="s">
        <v>5348</v>
      </c>
      <c r="J4351" s="1" t="s">
        <v>5360</v>
      </c>
      <c r="L4351" s="1" t="s">
        <v>3956</v>
      </c>
      <c r="N4351" s="1" t="s">
        <v>3960</v>
      </c>
      <c r="P4351" s="1" t="s">
        <v>6317</v>
      </c>
      <c r="Q4351" s="30" t="s">
        <v>2891</v>
      </c>
      <c r="R4351" s="33" t="s">
        <v>8666</v>
      </c>
      <c r="S4351">
        <v>36</v>
      </c>
      <c r="T4351" s="1" t="s">
        <v>8667</v>
      </c>
      <c r="U4351" s="1" t="str">
        <f>HYPERLINK("http://ictvonline.org/taxonomy/p/taxonomy-history?taxnode_id=202105954","ICTVonline=202105954")</f>
        <v>ICTVonline=202105954</v>
      </c>
    </row>
    <row r="4352" spans="1:21" x14ac:dyDescent="0.2">
      <c r="A4352" s="3">
        <v>4351</v>
      </c>
      <c r="B4352" s="1" t="s">
        <v>5250</v>
      </c>
      <c r="D4352" s="1" t="s">
        <v>5280</v>
      </c>
      <c r="F4352" s="1" t="s">
        <v>5347</v>
      </c>
      <c r="H4352" s="1" t="s">
        <v>5348</v>
      </c>
      <c r="J4352" s="1" t="s">
        <v>5360</v>
      </c>
      <c r="L4352" s="1" t="s">
        <v>3956</v>
      </c>
      <c r="N4352" s="1" t="s">
        <v>3960</v>
      </c>
      <c r="P4352" s="1" t="s">
        <v>6318</v>
      </c>
      <c r="Q4352" s="30" t="s">
        <v>2891</v>
      </c>
      <c r="R4352" s="33" t="s">
        <v>3475</v>
      </c>
      <c r="S4352">
        <v>36</v>
      </c>
      <c r="T4352" s="1" t="s">
        <v>6306</v>
      </c>
      <c r="U4352" s="1" t="str">
        <f>HYPERLINK("http://ictvonline.org/taxonomy/p/taxonomy-history?taxnode_id=202105955","ICTVonline=202105955")</f>
        <v>ICTVonline=202105955</v>
      </c>
    </row>
    <row r="4353" spans="1:21" x14ac:dyDescent="0.2">
      <c r="A4353" s="3">
        <v>4352</v>
      </c>
      <c r="B4353" s="1" t="s">
        <v>5250</v>
      </c>
      <c r="D4353" s="1" t="s">
        <v>5280</v>
      </c>
      <c r="F4353" s="1" t="s">
        <v>5347</v>
      </c>
      <c r="H4353" s="1" t="s">
        <v>5348</v>
      </c>
      <c r="J4353" s="1" t="s">
        <v>5360</v>
      </c>
      <c r="L4353" s="1" t="s">
        <v>3956</v>
      </c>
      <c r="N4353" s="1" t="s">
        <v>6319</v>
      </c>
      <c r="P4353" s="1" t="s">
        <v>6320</v>
      </c>
      <c r="Q4353" s="30" t="s">
        <v>2891</v>
      </c>
      <c r="R4353" s="33" t="s">
        <v>3472</v>
      </c>
      <c r="S4353">
        <v>36</v>
      </c>
      <c r="T4353" s="1" t="s">
        <v>6306</v>
      </c>
      <c r="U4353" s="1" t="str">
        <f>HYPERLINK("http://ictvonline.org/taxonomy/p/taxonomy-history?taxnode_id=202109509","ICTVonline=202109509")</f>
        <v>ICTVonline=202109509</v>
      </c>
    </row>
    <row r="4354" spans="1:21" x14ac:dyDescent="0.2">
      <c r="A4354" s="3">
        <v>4353</v>
      </c>
      <c r="B4354" s="1" t="s">
        <v>5250</v>
      </c>
      <c r="D4354" s="1" t="s">
        <v>5280</v>
      </c>
      <c r="F4354" s="1" t="s">
        <v>5347</v>
      </c>
      <c r="H4354" s="1" t="s">
        <v>5348</v>
      </c>
      <c r="J4354" s="1" t="s">
        <v>5360</v>
      </c>
      <c r="L4354" s="1" t="s">
        <v>3956</v>
      </c>
      <c r="N4354" s="1" t="s">
        <v>3961</v>
      </c>
      <c r="P4354" s="1" t="s">
        <v>6321</v>
      </c>
      <c r="Q4354" s="30" t="s">
        <v>2891</v>
      </c>
      <c r="R4354" s="33" t="s">
        <v>3475</v>
      </c>
      <c r="S4354">
        <v>36</v>
      </c>
      <c r="T4354" s="1" t="s">
        <v>6306</v>
      </c>
      <c r="U4354" s="1" t="str">
        <f>HYPERLINK("http://ictvonline.org/taxonomy/p/taxonomy-history?taxnode_id=202105959","ICTVonline=202105959")</f>
        <v>ICTVonline=202105959</v>
      </c>
    </row>
    <row r="4355" spans="1:21" x14ac:dyDescent="0.2">
      <c r="A4355" s="3">
        <v>4354</v>
      </c>
      <c r="B4355" s="1" t="s">
        <v>5250</v>
      </c>
      <c r="D4355" s="1" t="s">
        <v>5280</v>
      </c>
      <c r="F4355" s="1" t="s">
        <v>5347</v>
      </c>
      <c r="H4355" s="1" t="s">
        <v>5348</v>
      </c>
      <c r="J4355" s="1" t="s">
        <v>5360</v>
      </c>
      <c r="L4355" s="1" t="s">
        <v>3956</v>
      </c>
      <c r="N4355" s="1" t="s">
        <v>3961</v>
      </c>
      <c r="P4355" s="1" t="s">
        <v>6322</v>
      </c>
      <c r="Q4355" s="30" t="s">
        <v>2891</v>
      </c>
      <c r="R4355" s="33" t="s">
        <v>3475</v>
      </c>
      <c r="S4355">
        <v>36</v>
      </c>
      <c r="T4355" s="1" t="s">
        <v>6306</v>
      </c>
      <c r="U4355" s="1" t="str">
        <f>HYPERLINK("http://ictvonline.org/taxonomy/p/taxonomy-history?taxnode_id=202105960","ICTVonline=202105960")</f>
        <v>ICTVonline=202105960</v>
      </c>
    </row>
    <row r="4356" spans="1:21" x14ac:dyDescent="0.2">
      <c r="A4356" s="3">
        <v>4355</v>
      </c>
      <c r="B4356" s="1" t="s">
        <v>5250</v>
      </c>
      <c r="D4356" s="1" t="s">
        <v>5280</v>
      </c>
      <c r="F4356" s="1" t="s">
        <v>5347</v>
      </c>
      <c r="H4356" s="1" t="s">
        <v>5348</v>
      </c>
      <c r="J4356" s="1" t="s">
        <v>5360</v>
      </c>
      <c r="L4356" s="1" t="s">
        <v>3956</v>
      </c>
      <c r="N4356" s="1" t="s">
        <v>3961</v>
      </c>
      <c r="P4356" s="1" t="s">
        <v>6323</v>
      </c>
      <c r="Q4356" s="30" t="s">
        <v>2891</v>
      </c>
      <c r="R4356" s="33" t="s">
        <v>8666</v>
      </c>
      <c r="S4356">
        <v>36</v>
      </c>
      <c r="T4356" s="1" t="s">
        <v>8667</v>
      </c>
      <c r="U4356" s="1" t="str">
        <f>HYPERLINK("http://ictvonline.org/taxonomy/p/taxonomy-history?taxnode_id=202105961","ICTVonline=202105961")</f>
        <v>ICTVonline=202105961</v>
      </c>
    </row>
    <row r="4357" spans="1:21" x14ac:dyDescent="0.2">
      <c r="A4357" s="3">
        <v>4356</v>
      </c>
      <c r="B4357" s="1" t="s">
        <v>5250</v>
      </c>
      <c r="D4357" s="1" t="s">
        <v>5280</v>
      </c>
      <c r="F4357" s="1" t="s">
        <v>5347</v>
      </c>
      <c r="H4357" s="1" t="s">
        <v>5348</v>
      </c>
      <c r="J4357" s="1" t="s">
        <v>5360</v>
      </c>
      <c r="L4357" s="1" t="s">
        <v>3956</v>
      </c>
      <c r="N4357" s="1" t="s">
        <v>3961</v>
      </c>
      <c r="P4357" s="1" t="s">
        <v>6324</v>
      </c>
      <c r="Q4357" s="30" t="s">
        <v>2891</v>
      </c>
      <c r="R4357" s="33" t="s">
        <v>3475</v>
      </c>
      <c r="S4357">
        <v>36</v>
      </c>
      <c r="T4357" s="1" t="s">
        <v>6306</v>
      </c>
      <c r="U4357" s="1" t="str">
        <f>HYPERLINK("http://ictvonline.org/taxonomy/p/taxonomy-history?taxnode_id=202105962","ICTVonline=202105962")</f>
        <v>ICTVonline=202105962</v>
      </c>
    </row>
    <row r="4358" spans="1:21" x14ac:dyDescent="0.2">
      <c r="A4358" s="3">
        <v>4357</v>
      </c>
      <c r="B4358" s="1" t="s">
        <v>5250</v>
      </c>
      <c r="D4358" s="1" t="s">
        <v>5280</v>
      </c>
      <c r="F4358" s="1" t="s">
        <v>5347</v>
      </c>
      <c r="H4358" s="1" t="s">
        <v>5348</v>
      </c>
      <c r="J4358" s="1" t="s">
        <v>5360</v>
      </c>
      <c r="L4358" s="1" t="s">
        <v>3956</v>
      </c>
      <c r="N4358" s="1" t="s">
        <v>3961</v>
      </c>
      <c r="P4358" s="1" t="s">
        <v>6325</v>
      </c>
      <c r="Q4358" s="30" t="s">
        <v>2891</v>
      </c>
      <c r="R4358" s="33" t="s">
        <v>3475</v>
      </c>
      <c r="S4358">
        <v>36</v>
      </c>
      <c r="T4358" s="1" t="s">
        <v>6306</v>
      </c>
      <c r="U4358" s="1" t="str">
        <f>HYPERLINK("http://ictvonline.org/taxonomy/p/taxonomy-history?taxnode_id=202105963","ICTVonline=202105963")</f>
        <v>ICTVonline=202105963</v>
      </c>
    </row>
    <row r="4359" spans="1:21" x14ac:dyDescent="0.2">
      <c r="A4359" s="3">
        <v>4358</v>
      </c>
      <c r="B4359" s="1" t="s">
        <v>5250</v>
      </c>
      <c r="D4359" s="1" t="s">
        <v>5280</v>
      </c>
      <c r="F4359" s="1" t="s">
        <v>5347</v>
      </c>
      <c r="H4359" s="1" t="s">
        <v>5348</v>
      </c>
      <c r="J4359" s="1" t="s">
        <v>5360</v>
      </c>
      <c r="L4359" s="1" t="s">
        <v>3956</v>
      </c>
      <c r="N4359" s="1" t="s">
        <v>6326</v>
      </c>
      <c r="P4359" s="1" t="s">
        <v>6327</v>
      </c>
      <c r="Q4359" s="30" t="s">
        <v>2891</v>
      </c>
      <c r="R4359" s="33" t="s">
        <v>3472</v>
      </c>
      <c r="S4359">
        <v>36</v>
      </c>
      <c r="T4359" s="1" t="s">
        <v>6306</v>
      </c>
      <c r="U4359" s="1" t="str">
        <f>HYPERLINK("http://ictvonline.org/taxonomy/p/taxonomy-history?taxnode_id=202109505","ICTVonline=202109505")</f>
        <v>ICTVonline=202109505</v>
      </c>
    </row>
    <row r="4360" spans="1:21" x14ac:dyDescent="0.2">
      <c r="A4360" s="3">
        <v>4359</v>
      </c>
      <c r="B4360" s="1" t="s">
        <v>5250</v>
      </c>
      <c r="D4360" s="1" t="s">
        <v>5280</v>
      </c>
      <c r="F4360" s="1" t="s">
        <v>5347</v>
      </c>
      <c r="H4360" s="1" t="s">
        <v>5348</v>
      </c>
      <c r="J4360" s="1" t="s">
        <v>5360</v>
      </c>
      <c r="L4360" s="1" t="s">
        <v>3956</v>
      </c>
      <c r="N4360" s="1" t="s">
        <v>6326</v>
      </c>
      <c r="P4360" s="1" t="s">
        <v>6328</v>
      </c>
      <c r="Q4360" s="30" t="s">
        <v>2891</v>
      </c>
      <c r="R4360" s="33" t="s">
        <v>3472</v>
      </c>
      <c r="S4360">
        <v>36</v>
      </c>
      <c r="T4360" s="1" t="s">
        <v>6306</v>
      </c>
      <c r="U4360" s="1" t="str">
        <f>HYPERLINK("http://ictvonline.org/taxonomy/p/taxonomy-history?taxnode_id=202109504","ICTVonline=202109504")</f>
        <v>ICTVonline=202109504</v>
      </c>
    </row>
    <row r="4361" spans="1:21" x14ac:dyDescent="0.2">
      <c r="A4361" s="3">
        <v>4360</v>
      </c>
      <c r="B4361" s="1" t="s">
        <v>5250</v>
      </c>
      <c r="D4361" s="1" t="s">
        <v>5280</v>
      </c>
      <c r="F4361" s="1" t="s">
        <v>5347</v>
      </c>
      <c r="H4361" s="1" t="s">
        <v>5348</v>
      </c>
      <c r="J4361" s="1" t="s">
        <v>5360</v>
      </c>
      <c r="L4361" s="1" t="s">
        <v>3956</v>
      </c>
      <c r="N4361" s="1" t="s">
        <v>3962</v>
      </c>
      <c r="P4361" s="1" t="s">
        <v>6329</v>
      </c>
      <c r="Q4361" s="30" t="s">
        <v>2891</v>
      </c>
      <c r="R4361" s="33" t="s">
        <v>3472</v>
      </c>
      <c r="S4361">
        <v>36</v>
      </c>
      <c r="T4361" s="1" t="s">
        <v>6306</v>
      </c>
      <c r="U4361" s="1" t="str">
        <f>HYPERLINK("http://ictvonline.org/taxonomy/p/taxonomy-history?taxnode_id=202109510","ICTVonline=202109510")</f>
        <v>ICTVonline=202109510</v>
      </c>
    </row>
    <row r="4362" spans="1:21" x14ac:dyDescent="0.2">
      <c r="A4362" s="3">
        <v>4361</v>
      </c>
      <c r="B4362" s="1" t="s">
        <v>5250</v>
      </c>
      <c r="D4362" s="1" t="s">
        <v>5280</v>
      </c>
      <c r="F4362" s="1" t="s">
        <v>5347</v>
      </c>
      <c r="H4362" s="1" t="s">
        <v>5348</v>
      </c>
      <c r="J4362" s="1" t="s">
        <v>5360</v>
      </c>
      <c r="L4362" s="1" t="s">
        <v>3956</v>
      </c>
      <c r="N4362" s="1" t="s">
        <v>3962</v>
      </c>
      <c r="P4362" s="1" t="s">
        <v>6330</v>
      </c>
      <c r="Q4362" s="30" t="s">
        <v>2891</v>
      </c>
      <c r="R4362" s="33" t="s">
        <v>3472</v>
      </c>
      <c r="S4362">
        <v>36</v>
      </c>
      <c r="T4362" s="1" t="s">
        <v>6306</v>
      </c>
      <c r="U4362" s="1" t="str">
        <f>HYPERLINK("http://ictvonline.org/taxonomy/p/taxonomy-history?taxnode_id=202109511","ICTVonline=202109511")</f>
        <v>ICTVonline=202109511</v>
      </c>
    </row>
    <row r="4363" spans="1:21" x14ac:dyDescent="0.2">
      <c r="A4363" s="3">
        <v>4362</v>
      </c>
      <c r="B4363" s="1" t="s">
        <v>5250</v>
      </c>
      <c r="D4363" s="1" t="s">
        <v>5280</v>
      </c>
      <c r="F4363" s="1" t="s">
        <v>5347</v>
      </c>
      <c r="H4363" s="1" t="s">
        <v>5348</v>
      </c>
      <c r="J4363" s="1" t="s">
        <v>5360</v>
      </c>
      <c r="L4363" s="1" t="s">
        <v>3956</v>
      </c>
      <c r="N4363" s="1" t="s">
        <v>3962</v>
      </c>
      <c r="P4363" s="1" t="s">
        <v>6331</v>
      </c>
      <c r="Q4363" s="30" t="s">
        <v>2891</v>
      </c>
      <c r="R4363" s="33" t="s">
        <v>3472</v>
      </c>
      <c r="S4363">
        <v>36</v>
      </c>
      <c r="T4363" s="1" t="s">
        <v>6306</v>
      </c>
      <c r="U4363" s="1" t="str">
        <f>HYPERLINK("http://ictvonline.org/taxonomy/p/taxonomy-history?taxnode_id=202109512","ICTVonline=202109512")</f>
        <v>ICTVonline=202109512</v>
      </c>
    </row>
    <row r="4364" spans="1:21" x14ac:dyDescent="0.2">
      <c r="A4364" s="3">
        <v>4363</v>
      </c>
      <c r="B4364" s="1" t="s">
        <v>5250</v>
      </c>
      <c r="D4364" s="1" t="s">
        <v>5280</v>
      </c>
      <c r="F4364" s="1" t="s">
        <v>5347</v>
      </c>
      <c r="H4364" s="1" t="s">
        <v>5348</v>
      </c>
      <c r="J4364" s="1" t="s">
        <v>5360</v>
      </c>
      <c r="L4364" s="1" t="s">
        <v>3956</v>
      </c>
      <c r="N4364" s="1" t="s">
        <v>3962</v>
      </c>
      <c r="P4364" s="1" t="s">
        <v>6332</v>
      </c>
      <c r="Q4364" s="30" t="s">
        <v>2891</v>
      </c>
      <c r="R4364" s="33" t="s">
        <v>3475</v>
      </c>
      <c r="S4364">
        <v>36</v>
      </c>
      <c r="T4364" s="1" t="s">
        <v>6306</v>
      </c>
      <c r="U4364" s="1" t="str">
        <f>HYPERLINK("http://ictvonline.org/taxonomy/p/taxonomy-history?taxnode_id=202105965","ICTVonline=202105965")</f>
        <v>ICTVonline=202105965</v>
      </c>
    </row>
    <row r="4365" spans="1:21" x14ac:dyDescent="0.2">
      <c r="A4365" s="3">
        <v>4364</v>
      </c>
      <c r="B4365" s="1" t="s">
        <v>5250</v>
      </c>
      <c r="D4365" s="1" t="s">
        <v>5280</v>
      </c>
      <c r="F4365" s="1" t="s">
        <v>5347</v>
      </c>
      <c r="H4365" s="1" t="s">
        <v>5348</v>
      </c>
      <c r="J4365" s="1" t="s">
        <v>5360</v>
      </c>
      <c r="L4365" s="1" t="s">
        <v>3956</v>
      </c>
      <c r="N4365" s="1" t="s">
        <v>3962</v>
      </c>
      <c r="P4365" s="1" t="s">
        <v>6333</v>
      </c>
      <c r="Q4365" s="30" t="s">
        <v>2891</v>
      </c>
      <c r="R4365" s="33" t="s">
        <v>3472</v>
      </c>
      <c r="S4365">
        <v>36</v>
      </c>
      <c r="T4365" s="1" t="s">
        <v>6306</v>
      </c>
      <c r="U4365" s="1" t="str">
        <f>HYPERLINK("http://ictvonline.org/taxonomy/p/taxonomy-history?taxnode_id=202109513","ICTVonline=202109513")</f>
        <v>ICTVonline=202109513</v>
      </c>
    </row>
    <row r="4366" spans="1:21" x14ac:dyDescent="0.2">
      <c r="A4366" s="3">
        <v>4365</v>
      </c>
      <c r="B4366" s="1" t="s">
        <v>5250</v>
      </c>
      <c r="D4366" s="1" t="s">
        <v>5280</v>
      </c>
      <c r="F4366" s="1" t="s">
        <v>5347</v>
      </c>
      <c r="H4366" s="1" t="s">
        <v>5348</v>
      </c>
      <c r="J4366" s="1" t="s">
        <v>5360</v>
      </c>
      <c r="L4366" s="1" t="s">
        <v>3956</v>
      </c>
      <c r="N4366" s="1" t="s">
        <v>3962</v>
      </c>
      <c r="P4366" s="1" t="s">
        <v>6334</v>
      </c>
      <c r="Q4366" s="30" t="s">
        <v>2891</v>
      </c>
      <c r="R4366" s="33" t="s">
        <v>3475</v>
      </c>
      <c r="S4366">
        <v>36</v>
      </c>
      <c r="T4366" s="1" t="s">
        <v>6306</v>
      </c>
      <c r="U4366" s="1" t="str">
        <f>HYPERLINK("http://ictvonline.org/taxonomy/p/taxonomy-history?taxnode_id=202105966","ICTVonline=202105966")</f>
        <v>ICTVonline=202105966</v>
      </c>
    </row>
    <row r="4367" spans="1:21" x14ac:dyDescent="0.2">
      <c r="A4367" s="3">
        <v>4366</v>
      </c>
      <c r="B4367" s="1" t="s">
        <v>5250</v>
      </c>
      <c r="D4367" s="1" t="s">
        <v>5280</v>
      </c>
      <c r="F4367" s="1" t="s">
        <v>5347</v>
      </c>
      <c r="H4367" s="1" t="s">
        <v>5348</v>
      </c>
      <c r="J4367" s="1" t="s">
        <v>5360</v>
      </c>
      <c r="L4367" s="1" t="s">
        <v>3956</v>
      </c>
      <c r="N4367" s="1" t="s">
        <v>3962</v>
      </c>
      <c r="P4367" s="1" t="s">
        <v>6335</v>
      </c>
      <c r="Q4367" s="30" t="s">
        <v>2891</v>
      </c>
      <c r="R4367" s="33" t="s">
        <v>3475</v>
      </c>
      <c r="S4367">
        <v>36</v>
      </c>
      <c r="T4367" s="1" t="s">
        <v>6306</v>
      </c>
      <c r="U4367" s="1" t="str">
        <f>HYPERLINK("http://ictvonline.org/taxonomy/p/taxonomy-history?taxnode_id=202105967","ICTVonline=202105967")</f>
        <v>ICTVonline=202105967</v>
      </c>
    </row>
    <row r="4368" spans="1:21" x14ac:dyDescent="0.2">
      <c r="A4368" s="3">
        <v>4367</v>
      </c>
      <c r="B4368" s="1" t="s">
        <v>5250</v>
      </c>
      <c r="D4368" s="1" t="s">
        <v>5280</v>
      </c>
      <c r="F4368" s="1" t="s">
        <v>5347</v>
      </c>
      <c r="H4368" s="1" t="s">
        <v>5348</v>
      </c>
      <c r="J4368" s="1" t="s">
        <v>5360</v>
      </c>
      <c r="L4368" s="1" t="s">
        <v>3956</v>
      </c>
      <c r="N4368" s="1" t="s">
        <v>3962</v>
      </c>
      <c r="P4368" s="1" t="s">
        <v>6336</v>
      </c>
      <c r="Q4368" s="30" t="s">
        <v>2891</v>
      </c>
      <c r="R4368" s="33" t="s">
        <v>3475</v>
      </c>
      <c r="S4368">
        <v>36</v>
      </c>
      <c r="T4368" s="1" t="s">
        <v>6306</v>
      </c>
      <c r="U4368" s="1" t="str">
        <f>HYPERLINK("http://ictvonline.org/taxonomy/p/taxonomy-history?taxnode_id=202105968","ICTVonline=202105968")</f>
        <v>ICTVonline=202105968</v>
      </c>
    </row>
    <row r="4369" spans="1:21" x14ac:dyDescent="0.2">
      <c r="A4369" s="3">
        <v>4368</v>
      </c>
      <c r="B4369" s="1" t="s">
        <v>5250</v>
      </c>
      <c r="D4369" s="1" t="s">
        <v>5280</v>
      </c>
      <c r="F4369" s="1" t="s">
        <v>5347</v>
      </c>
      <c r="H4369" s="1" t="s">
        <v>5348</v>
      </c>
      <c r="J4369" s="1" t="s">
        <v>5360</v>
      </c>
      <c r="L4369" s="1" t="s">
        <v>3956</v>
      </c>
      <c r="N4369" s="1" t="s">
        <v>3962</v>
      </c>
      <c r="P4369" s="1" t="s">
        <v>6337</v>
      </c>
      <c r="Q4369" s="30" t="s">
        <v>2891</v>
      </c>
      <c r="R4369" s="33" t="s">
        <v>3475</v>
      </c>
      <c r="S4369">
        <v>36</v>
      </c>
      <c r="T4369" s="1" t="s">
        <v>6306</v>
      </c>
      <c r="U4369" s="1" t="str">
        <f>HYPERLINK("http://ictvonline.org/taxonomy/p/taxonomy-history?taxnode_id=202105969","ICTVonline=202105969")</f>
        <v>ICTVonline=202105969</v>
      </c>
    </row>
    <row r="4370" spans="1:21" x14ac:dyDescent="0.2">
      <c r="A4370" s="3">
        <v>4369</v>
      </c>
      <c r="B4370" s="1" t="s">
        <v>5250</v>
      </c>
      <c r="D4370" s="1" t="s">
        <v>5280</v>
      </c>
      <c r="F4370" s="1" t="s">
        <v>5347</v>
      </c>
      <c r="H4370" s="1" t="s">
        <v>5348</v>
      </c>
      <c r="J4370" s="1" t="s">
        <v>5360</v>
      </c>
      <c r="L4370" s="1" t="s">
        <v>3956</v>
      </c>
      <c r="N4370" s="1" t="s">
        <v>3962</v>
      </c>
      <c r="P4370" s="1" t="s">
        <v>6338</v>
      </c>
      <c r="Q4370" s="30" t="s">
        <v>2891</v>
      </c>
      <c r="R4370" s="33" t="s">
        <v>3472</v>
      </c>
      <c r="S4370">
        <v>36</v>
      </c>
      <c r="T4370" s="1" t="s">
        <v>6306</v>
      </c>
      <c r="U4370" s="1" t="str">
        <f>HYPERLINK("http://ictvonline.org/taxonomy/p/taxonomy-history?taxnode_id=202109514","ICTVonline=202109514")</f>
        <v>ICTVonline=202109514</v>
      </c>
    </row>
    <row r="4371" spans="1:21" x14ac:dyDescent="0.2">
      <c r="A4371" s="3">
        <v>4370</v>
      </c>
      <c r="B4371" s="1" t="s">
        <v>5250</v>
      </c>
      <c r="D4371" s="1" t="s">
        <v>5280</v>
      </c>
      <c r="F4371" s="1" t="s">
        <v>5347</v>
      </c>
      <c r="H4371" s="1" t="s">
        <v>5348</v>
      </c>
      <c r="J4371" s="1" t="s">
        <v>5360</v>
      </c>
      <c r="L4371" s="1" t="s">
        <v>3956</v>
      </c>
      <c r="N4371" s="1" t="s">
        <v>3962</v>
      </c>
      <c r="P4371" s="1" t="s">
        <v>6339</v>
      </c>
      <c r="Q4371" s="30" t="s">
        <v>2891</v>
      </c>
      <c r="R4371" s="33" t="s">
        <v>3472</v>
      </c>
      <c r="S4371">
        <v>36</v>
      </c>
      <c r="T4371" s="1" t="s">
        <v>6306</v>
      </c>
      <c r="U4371" s="1" t="str">
        <f>HYPERLINK("http://ictvonline.org/taxonomy/p/taxonomy-history?taxnode_id=202109515","ICTVonline=202109515")</f>
        <v>ICTVonline=202109515</v>
      </c>
    </row>
    <row r="4372" spans="1:21" x14ac:dyDescent="0.2">
      <c r="A4372" s="3">
        <v>4371</v>
      </c>
      <c r="B4372" s="1" t="s">
        <v>5250</v>
      </c>
      <c r="D4372" s="1" t="s">
        <v>5280</v>
      </c>
      <c r="F4372" s="1" t="s">
        <v>5347</v>
      </c>
      <c r="H4372" s="1" t="s">
        <v>5348</v>
      </c>
      <c r="J4372" s="1" t="s">
        <v>5360</v>
      </c>
      <c r="L4372" s="1" t="s">
        <v>3956</v>
      </c>
      <c r="N4372" s="1" t="s">
        <v>3962</v>
      </c>
      <c r="P4372" s="1" t="s">
        <v>6340</v>
      </c>
      <c r="Q4372" s="30" t="s">
        <v>2891</v>
      </c>
      <c r="R4372" s="33" t="s">
        <v>3472</v>
      </c>
      <c r="S4372">
        <v>36</v>
      </c>
      <c r="T4372" s="1" t="s">
        <v>6306</v>
      </c>
      <c r="U4372" s="1" t="str">
        <f>HYPERLINK("http://ictvonline.org/taxonomy/p/taxonomy-history?taxnode_id=202109516","ICTVonline=202109516")</f>
        <v>ICTVonline=202109516</v>
      </c>
    </row>
    <row r="4373" spans="1:21" x14ac:dyDescent="0.2">
      <c r="A4373" s="3">
        <v>4372</v>
      </c>
      <c r="B4373" s="1" t="s">
        <v>5250</v>
      </c>
      <c r="D4373" s="1" t="s">
        <v>5280</v>
      </c>
      <c r="F4373" s="1" t="s">
        <v>5347</v>
      </c>
      <c r="H4373" s="1" t="s">
        <v>5348</v>
      </c>
      <c r="J4373" s="1" t="s">
        <v>5360</v>
      </c>
      <c r="L4373" s="1" t="s">
        <v>3956</v>
      </c>
      <c r="N4373" s="1" t="s">
        <v>3962</v>
      </c>
      <c r="P4373" s="1" t="s">
        <v>6341</v>
      </c>
      <c r="Q4373" s="30" t="s">
        <v>2891</v>
      </c>
      <c r="R4373" s="33" t="s">
        <v>3472</v>
      </c>
      <c r="S4373">
        <v>36</v>
      </c>
      <c r="T4373" s="1" t="s">
        <v>6306</v>
      </c>
      <c r="U4373" s="1" t="str">
        <f>HYPERLINK("http://ictvonline.org/taxonomy/p/taxonomy-history?taxnode_id=202109517","ICTVonline=202109517")</f>
        <v>ICTVonline=202109517</v>
      </c>
    </row>
    <row r="4374" spans="1:21" x14ac:dyDescent="0.2">
      <c r="A4374" s="3">
        <v>4373</v>
      </c>
      <c r="B4374" s="1" t="s">
        <v>5250</v>
      </c>
      <c r="D4374" s="1" t="s">
        <v>5280</v>
      </c>
      <c r="F4374" s="1" t="s">
        <v>5347</v>
      </c>
      <c r="H4374" s="1" t="s">
        <v>5348</v>
      </c>
      <c r="J4374" s="1" t="s">
        <v>5360</v>
      </c>
      <c r="L4374" s="1" t="s">
        <v>3956</v>
      </c>
      <c r="N4374" s="1" t="s">
        <v>3962</v>
      </c>
      <c r="P4374" s="1" t="s">
        <v>6342</v>
      </c>
      <c r="Q4374" s="30" t="s">
        <v>2891</v>
      </c>
      <c r="R4374" s="33" t="s">
        <v>3472</v>
      </c>
      <c r="S4374">
        <v>36</v>
      </c>
      <c r="T4374" s="1" t="s">
        <v>6306</v>
      </c>
      <c r="U4374" s="1" t="str">
        <f>HYPERLINK("http://ictvonline.org/taxonomy/p/taxonomy-history?taxnode_id=202109518","ICTVonline=202109518")</f>
        <v>ICTVonline=202109518</v>
      </c>
    </row>
    <row r="4375" spans="1:21" x14ac:dyDescent="0.2">
      <c r="A4375" s="3">
        <v>4374</v>
      </c>
      <c r="B4375" s="1" t="s">
        <v>5250</v>
      </c>
      <c r="D4375" s="1" t="s">
        <v>5280</v>
      </c>
      <c r="F4375" s="1" t="s">
        <v>5347</v>
      </c>
      <c r="H4375" s="1" t="s">
        <v>5348</v>
      </c>
      <c r="J4375" s="1" t="s">
        <v>5360</v>
      </c>
      <c r="L4375" s="1" t="s">
        <v>3956</v>
      </c>
      <c r="N4375" s="1" t="s">
        <v>3962</v>
      </c>
      <c r="P4375" s="1" t="s">
        <v>6343</v>
      </c>
      <c r="Q4375" s="30" t="s">
        <v>2891</v>
      </c>
      <c r="R4375" s="33" t="s">
        <v>3472</v>
      </c>
      <c r="S4375">
        <v>36</v>
      </c>
      <c r="T4375" s="1" t="s">
        <v>6306</v>
      </c>
      <c r="U4375" s="1" t="str">
        <f>HYPERLINK("http://ictvonline.org/taxonomy/p/taxonomy-history?taxnode_id=202109519","ICTVonline=202109519")</f>
        <v>ICTVonline=202109519</v>
      </c>
    </row>
    <row r="4376" spans="1:21" x14ac:dyDescent="0.2">
      <c r="A4376" s="3">
        <v>4375</v>
      </c>
      <c r="B4376" s="1" t="s">
        <v>5250</v>
      </c>
      <c r="D4376" s="1" t="s">
        <v>5280</v>
      </c>
      <c r="F4376" s="1" t="s">
        <v>5347</v>
      </c>
      <c r="H4376" s="1" t="s">
        <v>5348</v>
      </c>
      <c r="J4376" s="1" t="s">
        <v>5360</v>
      </c>
      <c r="L4376" s="1" t="s">
        <v>3956</v>
      </c>
      <c r="N4376" s="1" t="s">
        <v>3962</v>
      </c>
      <c r="P4376" s="1" t="s">
        <v>6344</v>
      </c>
      <c r="Q4376" s="30" t="s">
        <v>2891</v>
      </c>
      <c r="R4376" s="33" t="s">
        <v>3472</v>
      </c>
      <c r="S4376">
        <v>36</v>
      </c>
      <c r="T4376" s="1" t="s">
        <v>6306</v>
      </c>
      <c r="U4376" s="1" t="str">
        <f>HYPERLINK("http://ictvonline.org/taxonomy/p/taxonomy-history?taxnode_id=202109520","ICTVonline=202109520")</f>
        <v>ICTVonline=202109520</v>
      </c>
    </row>
    <row r="4377" spans="1:21" x14ac:dyDescent="0.2">
      <c r="A4377" s="3">
        <v>4376</v>
      </c>
      <c r="B4377" s="1" t="s">
        <v>5250</v>
      </c>
      <c r="D4377" s="1" t="s">
        <v>5280</v>
      </c>
      <c r="F4377" s="1" t="s">
        <v>5347</v>
      </c>
      <c r="H4377" s="1" t="s">
        <v>5348</v>
      </c>
      <c r="J4377" s="1" t="s">
        <v>5360</v>
      </c>
      <c r="L4377" s="1" t="s">
        <v>3956</v>
      </c>
      <c r="N4377" s="1" t="s">
        <v>3962</v>
      </c>
      <c r="P4377" s="1" t="s">
        <v>6345</v>
      </c>
      <c r="Q4377" s="30" t="s">
        <v>2891</v>
      </c>
      <c r="R4377" s="33" t="s">
        <v>3472</v>
      </c>
      <c r="S4377">
        <v>36</v>
      </c>
      <c r="T4377" s="1" t="s">
        <v>6306</v>
      </c>
      <c r="U4377" s="1" t="str">
        <f>HYPERLINK("http://ictvonline.org/taxonomy/p/taxonomy-history?taxnode_id=202109521","ICTVonline=202109521")</f>
        <v>ICTVonline=202109521</v>
      </c>
    </row>
    <row r="4378" spans="1:21" x14ac:dyDescent="0.2">
      <c r="A4378" s="3">
        <v>4377</v>
      </c>
      <c r="B4378" s="1" t="s">
        <v>5250</v>
      </c>
      <c r="D4378" s="1" t="s">
        <v>5280</v>
      </c>
      <c r="F4378" s="1" t="s">
        <v>5347</v>
      </c>
      <c r="H4378" s="1" t="s">
        <v>5348</v>
      </c>
      <c r="J4378" s="1" t="s">
        <v>5360</v>
      </c>
      <c r="L4378" s="1" t="s">
        <v>3956</v>
      </c>
      <c r="N4378" s="1" t="s">
        <v>3962</v>
      </c>
      <c r="P4378" s="1" t="s">
        <v>6346</v>
      </c>
      <c r="Q4378" s="30" t="s">
        <v>2891</v>
      </c>
      <c r="R4378" s="33" t="s">
        <v>8666</v>
      </c>
      <c r="S4378">
        <v>36</v>
      </c>
      <c r="T4378" s="1" t="s">
        <v>8667</v>
      </c>
      <c r="U4378" s="1" t="str">
        <f>HYPERLINK("http://ictvonline.org/taxonomy/p/taxonomy-history?taxnode_id=202105970","ICTVonline=202105970")</f>
        <v>ICTVonline=202105970</v>
      </c>
    </row>
    <row r="4379" spans="1:21" x14ac:dyDescent="0.2">
      <c r="A4379" s="3">
        <v>4378</v>
      </c>
      <c r="B4379" s="1" t="s">
        <v>5250</v>
      </c>
      <c r="D4379" s="1" t="s">
        <v>5280</v>
      </c>
      <c r="F4379" s="1" t="s">
        <v>5347</v>
      </c>
      <c r="H4379" s="1" t="s">
        <v>5348</v>
      </c>
      <c r="J4379" s="1" t="s">
        <v>5360</v>
      </c>
      <c r="L4379" s="1" t="s">
        <v>3956</v>
      </c>
      <c r="N4379" s="1" t="s">
        <v>3962</v>
      </c>
      <c r="P4379" s="1" t="s">
        <v>6347</v>
      </c>
      <c r="Q4379" s="30" t="s">
        <v>2891</v>
      </c>
      <c r="R4379" s="33" t="s">
        <v>3475</v>
      </c>
      <c r="S4379">
        <v>36</v>
      </c>
      <c r="T4379" s="1" t="s">
        <v>6306</v>
      </c>
      <c r="U4379" s="1" t="str">
        <f>HYPERLINK("http://ictvonline.org/taxonomy/p/taxonomy-history?taxnode_id=202105971","ICTVonline=202105971")</f>
        <v>ICTVonline=202105971</v>
      </c>
    </row>
    <row r="4380" spans="1:21" x14ac:dyDescent="0.2">
      <c r="A4380" s="3">
        <v>4379</v>
      </c>
      <c r="B4380" s="1" t="s">
        <v>5250</v>
      </c>
      <c r="D4380" s="1" t="s">
        <v>5280</v>
      </c>
      <c r="F4380" s="1" t="s">
        <v>5347</v>
      </c>
      <c r="H4380" s="1" t="s">
        <v>5348</v>
      </c>
      <c r="J4380" s="1" t="s">
        <v>5360</v>
      </c>
      <c r="L4380" s="1" t="s">
        <v>3956</v>
      </c>
      <c r="N4380" s="1" t="s">
        <v>3962</v>
      </c>
      <c r="P4380" s="1" t="s">
        <v>6348</v>
      </c>
      <c r="Q4380" s="30" t="s">
        <v>2891</v>
      </c>
      <c r="R4380" s="33" t="s">
        <v>3472</v>
      </c>
      <c r="S4380">
        <v>36</v>
      </c>
      <c r="T4380" s="1" t="s">
        <v>6306</v>
      </c>
      <c r="U4380" s="1" t="str">
        <f>HYPERLINK("http://ictvonline.org/taxonomy/p/taxonomy-history?taxnode_id=202109522","ICTVonline=202109522")</f>
        <v>ICTVonline=202109522</v>
      </c>
    </row>
    <row r="4381" spans="1:21" x14ac:dyDescent="0.2">
      <c r="A4381" s="3">
        <v>4380</v>
      </c>
      <c r="B4381" s="1" t="s">
        <v>5250</v>
      </c>
      <c r="D4381" s="1" t="s">
        <v>5280</v>
      </c>
      <c r="F4381" s="1" t="s">
        <v>5347</v>
      </c>
      <c r="H4381" s="1" t="s">
        <v>5348</v>
      </c>
      <c r="J4381" s="1" t="s">
        <v>5360</v>
      </c>
      <c r="L4381" s="1" t="s">
        <v>3956</v>
      </c>
      <c r="N4381" s="1" t="s">
        <v>3962</v>
      </c>
      <c r="P4381" s="1" t="s">
        <v>6349</v>
      </c>
      <c r="Q4381" s="30" t="s">
        <v>2891</v>
      </c>
      <c r="R4381" s="33" t="s">
        <v>3472</v>
      </c>
      <c r="S4381">
        <v>36</v>
      </c>
      <c r="T4381" s="1" t="s">
        <v>6306</v>
      </c>
      <c r="U4381" s="1" t="str">
        <f>HYPERLINK("http://ictvonline.org/taxonomy/p/taxonomy-history?taxnode_id=202109523","ICTVonline=202109523")</f>
        <v>ICTVonline=202109523</v>
      </c>
    </row>
    <row r="4382" spans="1:21" x14ac:dyDescent="0.2">
      <c r="A4382" s="3">
        <v>4381</v>
      </c>
      <c r="B4382" s="1" t="s">
        <v>5250</v>
      </c>
      <c r="D4382" s="1" t="s">
        <v>5280</v>
      </c>
      <c r="F4382" s="1" t="s">
        <v>5347</v>
      </c>
      <c r="H4382" s="1" t="s">
        <v>5348</v>
      </c>
      <c r="J4382" s="1" t="s">
        <v>5360</v>
      </c>
      <c r="L4382" s="1" t="s">
        <v>3956</v>
      </c>
      <c r="N4382" s="1" t="s">
        <v>3962</v>
      </c>
      <c r="P4382" s="1" t="s">
        <v>6350</v>
      </c>
      <c r="Q4382" s="30" t="s">
        <v>2891</v>
      </c>
      <c r="R4382" s="33" t="s">
        <v>3475</v>
      </c>
      <c r="S4382">
        <v>36</v>
      </c>
      <c r="T4382" s="1" t="s">
        <v>6306</v>
      </c>
      <c r="U4382" s="1" t="str">
        <f>HYPERLINK("http://ictvonline.org/taxonomy/p/taxonomy-history?taxnode_id=202105972","ICTVonline=202105972")</f>
        <v>ICTVonline=202105972</v>
      </c>
    </row>
    <row r="4383" spans="1:21" x14ac:dyDescent="0.2">
      <c r="A4383" s="3">
        <v>4382</v>
      </c>
      <c r="B4383" s="1" t="s">
        <v>5250</v>
      </c>
      <c r="D4383" s="1" t="s">
        <v>5280</v>
      </c>
      <c r="F4383" s="1" t="s">
        <v>5347</v>
      </c>
      <c r="H4383" s="1" t="s">
        <v>5348</v>
      </c>
      <c r="J4383" s="1" t="s">
        <v>5360</v>
      </c>
      <c r="L4383" s="1" t="s">
        <v>3956</v>
      </c>
      <c r="N4383" s="1" t="s">
        <v>3962</v>
      </c>
      <c r="P4383" s="1" t="s">
        <v>6351</v>
      </c>
      <c r="Q4383" s="30" t="s">
        <v>2891</v>
      </c>
      <c r="R4383" s="33" t="s">
        <v>3475</v>
      </c>
      <c r="S4383">
        <v>36</v>
      </c>
      <c r="T4383" s="1" t="s">
        <v>6306</v>
      </c>
      <c r="U4383" s="1" t="str">
        <f>HYPERLINK("http://ictvonline.org/taxonomy/p/taxonomy-history?taxnode_id=202105973","ICTVonline=202105973")</f>
        <v>ICTVonline=202105973</v>
      </c>
    </row>
    <row r="4384" spans="1:21" x14ac:dyDescent="0.2">
      <c r="A4384" s="3">
        <v>4383</v>
      </c>
      <c r="B4384" s="1" t="s">
        <v>5250</v>
      </c>
      <c r="D4384" s="1" t="s">
        <v>5280</v>
      </c>
      <c r="F4384" s="1" t="s">
        <v>5347</v>
      </c>
      <c r="H4384" s="1" t="s">
        <v>5348</v>
      </c>
      <c r="J4384" s="1" t="s">
        <v>5360</v>
      </c>
      <c r="L4384" s="1" t="s">
        <v>3956</v>
      </c>
      <c r="N4384" s="1" t="s">
        <v>3962</v>
      </c>
      <c r="P4384" s="1" t="s">
        <v>6352</v>
      </c>
      <c r="Q4384" s="30" t="s">
        <v>2891</v>
      </c>
      <c r="R4384" s="33" t="s">
        <v>3475</v>
      </c>
      <c r="S4384">
        <v>36</v>
      </c>
      <c r="T4384" s="1" t="s">
        <v>6306</v>
      </c>
      <c r="U4384" s="1" t="str">
        <f>HYPERLINK("http://ictvonline.org/taxonomy/p/taxonomy-history?taxnode_id=202105974","ICTVonline=202105974")</f>
        <v>ICTVonline=202105974</v>
      </c>
    </row>
    <row r="4385" spans="1:21" x14ac:dyDescent="0.2">
      <c r="A4385" s="3">
        <v>4384</v>
      </c>
      <c r="B4385" s="1" t="s">
        <v>5250</v>
      </c>
      <c r="D4385" s="1" t="s">
        <v>5280</v>
      </c>
      <c r="F4385" s="1" t="s">
        <v>5347</v>
      </c>
      <c r="H4385" s="1" t="s">
        <v>5348</v>
      </c>
      <c r="J4385" s="1" t="s">
        <v>5360</v>
      </c>
      <c r="L4385" s="1" t="s">
        <v>3956</v>
      </c>
      <c r="N4385" s="1" t="s">
        <v>3962</v>
      </c>
      <c r="P4385" s="1" t="s">
        <v>6353</v>
      </c>
      <c r="Q4385" s="30" t="s">
        <v>2891</v>
      </c>
      <c r="R4385" s="33" t="s">
        <v>3475</v>
      </c>
      <c r="S4385">
        <v>36</v>
      </c>
      <c r="T4385" s="1" t="s">
        <v>6306</v>
      </c>
      <c r="U4385" s="1" t="str">
        <f>HYPERLINK("http://ictvonline.org/taxonomy/p/taxonomy-history?taxnode_id=202105975","ICTVonline=202105975")</f>
        <v>ICTVonline=202105975</v>
      </c>
    </row>
    <row r="4386" spans="1:21" x14ac:dyDescent="0.2">
      <c r="A4386" s="3">
        <v>4385</v>
      </c>
      <c r="B4386" s="1" t="s">
        <v>5250</v>
      </c>
      <c r="D4386" s="1" t="s">
        <v>5280</v>
      </c>
      <c r="F4386" s="1" t="s">
        <v>5347</v>
      </c>
      <c r="H4386" s="1" t="s">
        <v>5348</v>
      </c>
      <c r="J4386" s="1" t="s">
        <v>5360</v>
      </c>
      <c r="L4386" s="1" t="s">
        <v>3956</v>
      </c>
      <c r="N4386" s="1" t="s">
        <v>3962</v>
      </c>
      <c r="P4386" s="1" t="s">
        <v>6354</v>
      </c>
      <c r="Q4386" s="30" t="s">
        <v>2891</v>
      </c>
      <c r="R4386" s="33" t="s">
        <v>3472</v>
      </c>
      <c r="S4386">
        <v>36</v>
      </c>
      <c r="T4386" s="1" t="s">
        <v>6306</v>
      </c>
      <c r="U4386" s="1" t="str">
        <f>HYPERLINK("http://ictvonline.org/taxonomy/p/taxonomy-history?taxnode_id=202109524","ICTVonline=202109524")</f>
        <v>ICTVonline=202109524</v>
      </c>
    </row>
    <row r="4387" spans="1:21" x14ac:dyDescent="0.2">
      <c r="A4387" s="3">
        <v>4386</v>
      </c>
      <c r="B4387" s="1" t="s">
        <v>5250</v>
      </c>
      <c r="D4387" s="1" t="s">
        <v>5280</v>
      </c>
      <c r="F4387" s="1" t="s">
        <v>5347</v>
      </c>
      <c r="H4387" s="1" t="s">
        <v>5348</v>
      </c>
      <c r="J4387" s="1" t="s">
        <v>5360</v>
      </c>
      <c r="L4387" s="1" t="s">
        <v>3956</v>
      </c>
      <c r="N4387" s="1" t="s">
        <v>3962</v>
      </c>
      <c r="P4387" s="1" t="s">
        <v>6355</v>
      </c>
      <c r="Q4387" s="30" t="s">
        <v>2891</v>
      </c>
      <c r="R4387" s="33" t="s">
        <v>3472</v>
      </c>
      <c r="S4387">
        <v>36</v>
      </c>
      <c r="T4387" s="1" t="s">
        <v>6306</v>
      </c>
      <c r="U4387" s="1" t="str">
        <f>HYPERLINK("http://ictvonline.org/taxonomy/p/taxonomy-history?taxnode_id=202109525","ICTVonline=202109525")</f>
        <v>ICTVonline=202109525</v>
      </c>
    </row>
    <row r="4388" spans="1:21" x14ac:dyDescent="0.2">
      <c r="A4388" s="3">
        <v>4387</v>
      </c>
      <c r="B4388" s="1" t="s">
        <v>5250</v>
      </c>
      <c r="D4388" s="1" t="s">
        <v>5280</v>
      </c>
      <c r="F4388" s="1" t="s">
        <v>5347</v>
      </c>
      <c r="H4388" s="1" t="s">
        <v>5348</v>
      </c>
      <c r="J4388" s="1" t="s">
        <v>5360</v>
      </c>
      <c r="L4388" s="1" t="s">
        <v>3956</v>
      </c>
      <c r="N4388" s="1" t="s">
        <v>3962</v>
      </c>
      <c r="P4388" s="1" t="s">
        <v>6356</v>
      </c>
      <c r="Q4388" s="30" t="s">
        <v>2891</v>
      </c>
      <c r="R4388" s="33" t="s">
        <v>3475</v>
      </c>
      <c r="S4388">
        <v>36</v>
      </c>
      <c r="T4388" s="1" t="s">
        <v>6306</v>
      </c>
      <c r="U4388" s="1" t="str">
        <f>HYPERLINK("http://ictvonline.org/taxonomy/p/taxonomy-history?taxnode_id=202105976","ICTVonline=202105976")</f>
        <v>ICTVonline=202105976</v>
      </c>
    </row>
    <row r="4389" spans="1:21" x14ac:dyDescent="0.2">
      <c r="A4389" s="3">
        <v>4388</v>
      </c>
      <c r="B4389" s="1" t="s">
        <v>5250</v>
      </c>
      <c r="D4389" s="1" t="s">
        <v>5280</v>
      </c>
      <c r="F4389" s="1" t="s">
        <v>5347</v>
      </c>
      <c r="H4389" s="1" t="s">
        <v>5348</v>
      </c>
      <c r="J4389" s="1" t="s">
        <v>5360</v>
      </c>
      <c r="L4389" s="1" t="s">
        <v>3956</v>
      </c>
      <c r="N4389" s="1" t="s">
        <v>3962</v>
      </c>
      <c r="P4389" s="1" t="s">
        <v>6357</v>
      </c>
      <c r="Q4389" s="30" t="s">
        <v>2891</v>
      </c>
      <c r="R4389" s="33" t="s">
        <v>3472</v>
      </c>
      <c r="S4389">
        <v>36</v>
      </c>
      <c r="T4389" s="1" t="s">
        <v>6306</v>
      </c>
      <c r="U4389" s="1" t="str">
        <f>HYPERLINK("http://ictvonline.org/taxonomy/p/taxonomy-history?taxnode_id=202109526","ICTVonline=202109526")</f>
        <v>ICTVonline=202109526</v>
      </c>
    </row>
    <row r="4390" spans="1:21" x14ac:dyDescent="0.2">
      <c r="A4390" s="3">
        <v>4389</v>
      </c>
      <c r="B4390" s="1" t="s">
        <v>5250</v>
      </c>
      <c r="D4390" s="1" t="s">
        <v>5280</v>
      </c>
      <c r="F4390" s="1" t="s">
        <v>5347</v>
      </c>
      <c r="H4390" s="1" t="s">
        <v>5348</v>
      </c>
      <c r="J4390" s="1" t="s">
        <v>5360</v>
      </c>
      <c r="L4390" s="1" t="s">
        <v>3956</v>
      </c>
      <c r="N4390" s="1" t="s">
        <v>3962</v>
      </c>
      <c r="P4390" s="1" t="s">
        <v>6358</v>
      </c>
      <c r="Q4390" s="30" t="s">
        <v>2891</v>
      </c>
      <c r="R4390" s="33" t="s">
        <v>3472</v>
      </c>
      <c r="S4390">
        <v>36</v>
      </c>
      <c r="T4390" s="1" t="s">
        <v>6306</v>
      </c>
      <c r="U4390" s="1" t="str">
        <f>HYPERLINK("http://ictvonline.org/taxonomy/p/taxonomy-history?taxnode_id=202109527","ICTVonline=202109527")</f>
        <v>ICTVonline=202109527</v>
      </c>
    </row>
    <row r="4391" spans="1:21" x14ac:dyDescent="0.2">
      <c r="A4391" s="3">
        <v>4390</v>
      </c>
      <c r="B4391" s="1" t="s">
        <v>5250</v>
      </c>
      <c r="D4391" s="1" t="s">
        <v>5280</v>
      </c>
      <c r="F4391" s="1" t="s">
        <v>5347</v>
      </c>
      <c r="H4391" s="1" t="s">
        <v>5348</v>
      </c>
      <c r="J4391" s="1" t="s">
        <v>5360</v>
      </c>
      <c r="L4391" s="1" t="s">
        <v>3956</v>
      </c>
      <c r="N4391" s="1" t="s">
        <v>3962</v>
      </c>
      <c r="P4391" s="1" t="s">
        <v>6359</v>
      </c>
      <c r="Q4391" s="30" t="s">
        <v>2891</v>
      </c>
      <c r="R4391" s="33" t="s">
        <v>3472</v>
      </c>
      <c r="S4391">
        <v>36</v>
      </c>
      <c r="T4391" s="1" t="s">
        <v>6306</v>
      </c>
      <c r="U4391" s="1" t="str">
        <f>HYPERLINK("http://ictvonline.org/taxonomy/p/taxonomy-history?taxnode_id=202109528","ICTVonline=202109528")</f>
        <v>ICTVonline=202109528</v>
      </c>
    </row>
    <row r="4392" spans="1:21" x14ac:dyDescent="0.2">
      <c r="A4392" s="3">
        <v>4391</v>
      </c>
      <c r="B4392" s="1" t="s">
        <v>5250</v>
      </c>
      <c r="D4392" s="1" t="s">
        <v>5280</v>
      </c>
      <c r="F4392" s="1" t="s">
        <v>5347</v>
      </c>
      <c r="H4392" s="1" t="s">
        <v>5348</v>
      </c>
      <c r="J4392" s="1" t="s">
        <v>5360</v>
      </c>
      <c r="L4392" s="1" t="s">
        <v>3956</v>
      </c>
      <c r="N4392" s="1" t="s">
        <v>3962</v>
      </c>
      <c r="P4392" s="1" t="s">
        <v>6360</v>
      </c>
      <c r="Q4392" s="30" t="s">
        <v>2891</v>
      </c>
      <c r="R4392" s="33" t="s">
        <v>3472</v>
      </c>
      <c r="S4392">
        <v>36</v>
      </c>
      <c r="T4392" s="1" t="s">
        <v>6306</v>
      </c>
      <c r="U4392" s="1" t="str">
        <f>HYPERLINK("http://ictvonline.org/taxonomy/p/taxonomy-history?taxnode_id=202109529","ICTVonline=202109529")</f>
        <v>ICTVonline=202109529</v>
      </c>
    </row>
    <row r="4393" spans="1:21" x14ac:dyDescent="0.2">
      <c r="A4393" s="3">
        <v>4392</v>
      </c>
      <c r="B4393" s="1" t="s">
        <v>5250</v>
      </c>
      <c r="D4393" s="1" t="s">
        <v>5280</v>
      </c>
      <c r="F4393" s="1" t="s">
        <v>5347</v>
      </c>
      <c r="H4393" s="1" t="s">
        <v>5348</v>
      </c>
      <c r="J4393" s="1" t="s">
        <v>5360</v>
      </c>
      <c r="L4393" s="1" t="s">
        <v>3956</v>
      </c>
      <c r="N4393" s="1" t="s">
        <v>3962</v>
      </c>
      <c r="P4393" s="1" t="s">
        <v>6361</v>
      </c>
      <c r="Q4393" s="30" t="s">
        <v>2891</v>
      </c>
      <c r="R4393" s="33" t="s">
        <v>3472</v>
      </c>
      <c r="S4393">
        <v>36</v>
      </c>
      <c r="T4393" s="1" t="s">
        <v>6306</v>
      </c>
      <c r="U4393" s="1" t="str">
        <f>HYPERLINK("http://ictvonline.org/taxonomy/p/taxonomy-history?taxnode_id=202109530","ICTVonline=202109530")</f>
        <v>ICTVonline=202109530</v>
      </c>
    </row>
    <row r="4394" spans="1:21" x14ac:dyDescent="0.2">
      <c r="A4394" s="3">
        <v>4393</v>
      </c>
      <c r="B4394" s="1" t="s">
        <v>5250</v>
      </c>
      <c r="D4394" s="1" t="s">
        <v>5280</v>
      </c>
      <c r="F4394" s="1" t="s">
        <v>5347</v>
      </c>
      <c r="H4394" s="1" t="s">
        <v>5348</v>
      </c>
      <c r="J4394" s="1" t="s">
        <v>5360</v>
      </c>
      <c r="L4394" s="1" t="s">
        <v>3956</v>
      </c>
      <c r="N4394" s="1" t="s">
        <v>3962</v>
      </c>
      <c r="P4394" s="1" t="s">
        <v>6362</v>
      </c>
      <c r="Q4394" s="30" t="s">
        <v>2891</v>
      </c>
      <c r="R4394" s="33" t="s">
        <v>3472</v>
      </c>
      <c r="S4394">
        <v>36</v>
      </c>
      <c r="T4394" s="1" t="s">
        <v>6306</v>
      </c>
      <c r="U4394" s="1" t="str">
        <f>HYPERLINK("http://ictvonline.org/taxonomy/p/taxonomy-history?taxnode_id=202109531","ICTVonline=202109531")</f>
        <v>ICTVonline=202109531</v>
      </c>
    </row>
    <row r="4395" spans="1:21" x14ac:dyDescent="0.2">
      <c r="A4395" s="3">
        <v>4394</v>
      </c>
      <c r="B4395" s="1" t="s">
        <v>5250</v>
      </c>
      <c r="D4395" s="1" t="s">
        <v>5280</v>
      </c>
      <c r="F4395" s="1" t="s">
        <v>5347</v>
      </c>
      <c r="H4395" s="1" t="s">
        <v>5348</v>
      </c>
      <c r="J4395" s="1" t="s">
        <v>5360</v>
      </c>
      <c r="L4395" s="1" t="s">
        <v>3956</v>
      </c>
      <c r="N4395" s="1" t="s">
        <v>3962</v>
      </c>
      <c r="P4395" s="1" t="s">
        <v>6363</v>
      </c>
      <c r="Q4395" s="30" t="s">
        <v>2891</v>
      </c>
      <c r="R4395" s="33" t="s">
        <v>3472</v>
      </c>
      <c r="S4395">
        <v>36</v>
      </c>
      <c r="T4395" s="1" t="s">
        <v>6306</v>
      </c>
      <c r="U4395" s="1" t="str">
        <f>HYPERLINK("http://ictvonline.org/taxonomy/p/taxonomy-history?taxnode_id=202109532","ICTVonline=202109532")</f>
        <v>ICTVonline=202109532</v>
      </c>
    </row>
    <row r="4396" spans="1:21" x14ac:dyDescent="0.2">
      <c r="A4396" s="3">
        <v>4395</v>
      </c>
      <c r="B4396" s="1" t="s">
        <v>5250</v>
      </c>
      <c r="D4396" s="1" t="s">
        <v>5280</v>
      </c>
      <c r="F4396" s="1" t="s">
        <v>5347</v>
      </c>
      <c r="H4396" s="1" t="s">
        <v>5348</v>
      </c>
      <c r="J4396" s="1" t="s">
        <v>5360</v>
      </c>
      <c r="L4396" s="1" t="s">
        <v>3956</v>
      </c>
      <c r="N4396" s="1" t="s">
        <v>3962</v>
      </c>
      <c r="P4396" s="1" t="s">
        <v>6364</v>
      </c>
      <c r="Q4396" s="30" t="s">
        <v>2891</v>
      </c>
      <c r="R4396" s="33" t="s">
        <v>3472</v>
      </c>
      <c r="S4396">
        <v>36</v>
      </c>
      <c r="T4396" s="1" t="s">
        <v>6306</v>
      </c>
      <c r="U4396" s="1" t="str">
        <f>HYPERLINK("http://ictvonline.org/taxonomy/p/taxonomy-history?taxnode_id=202109533","ICTVonline=202109533")</f>
        <v>ICTVonline=202109533</v>
      </c>
    </row>
    <row r="4397" spans="1:21" x14ac:dyDescent="0.2">
      <c r="A4397" s="3">
        <v>4396</v>
      </c>
      <c r="B4397" s="1" t="s">
        <v>5250</v>
      </c>
      <c r="D4397" s="1" t="s">
        <v>5280</v>
      </c>
      <c r="F4397" s="1" t="s">
        <v>5347</v>
      </c>
      <c r="H4397" s="1" t="s">
        <v>5348</v>
      </c>
      <c r="J4397" s="1" t="s">
        <v>5360</v>
      </c>
      <c r="L4397" s="1" t="s">
        <v>3956</v>
      </c>
      <c r="N4397" s="1" t="s">
        <v>3962</v>
      </c>
      <c r="P4397" s="1" t="s">
        <v>6365</v>
      </c>
      <c r="Q4397" s="30" t="s">
        <v>2891</v>
      </c>
      <c r="R4397" s="33" t="s">
        <v>3472</v>
      </c>
      <c r="S4397">
        <v>36</v>
      </c>
      <c r="T4397" s="1" t="s">
        <v>6306</v>
      </c>
      <c r="U4397" s="1" t="str">
        <f>HYPERLINK("http://ictvonline.org/taxonomy/p/taxonomy-history?taxnode_id=202109534","ICTVonline=202109534")</f>
        <v>ICTVonline=202109534</v>
      </c>
    </row>
    <row r="4398" spans="1:21" x14ac:dyDescent="0.2">
      <c r="A4398" s="3">
        <v>4397</v>
      </c>
      <c r="B4398" s="1" t="s">
        <v>5250</v>
      </c>
      <c r="D4398" s="1" t="s">
        <v>5280</v>
      </c>
      <c r="F4398" s="1" t="s">
        <v>5347</v>
      </c>
      <c r="H4398" s="1" t="s">
        <v>5348</v>
      </c>
      <c r="J4398" s="1" t="s">
        <v>5360</v>
      </c>
      <c r="L4398" s="1" t="s">
        <v>3956</v>
      </c>
      <c r="N4398" s="1" t="s">
        <v>3962</v>
      </c>
      <c r="P4398" s="1" t="s">
        <v>6366</v>
      </c>
      <c r="Q4398" s="30" t="s">
        <v>2891</v>
      </c>
      <c r="R4398" s="33" t="s">
        <v>3472</v>
      </c>
      <c r="S4398">
        <v>36</v>
      </c>
      <c r="T4398" s="1" t="s">
        <v>6306</v>
      </c>
      <c r="U4398" s="1" t="str">
        <f>HYPERLINK("http://ictvonline.org/taxonomy/p/taxonomy-history?taxnode_id=202109535","ICTVonline=202109535")</f>
        <v>ICTVonline=202109535</v>
      </c>
    </row>
    <row r="4399" spans="1:21" x14ac:dyDescent="0.2">
      <c r="A4399" s="3">
        <v>4398</v>
      </c>
      <c r="B4399" s="1" t="s">
        <v>5250</v>
      </c>
      <c r="D4399" s="1" t="s">
        <v>5280</v>
      </c>
      <c r="F4399" s="1" t="s">
        <v>5347</v>
      </c>
      <c r="H4399" s="1" t="s">
        <v>5348</v>
      </c>
      <c r="J4399" s="1" t="s">
        <v>5360</v>
      </c>
      <c r="L4399" s="1" t="s">
        <v>3956</v>
      </c>
      <c r="N4399" s="1" t="s">
        <v>3962</v>
      </c>
      <c r="P4399" s="1" t="s">
        <v>6367</v>
      </c>
      <c r="Q4399" s="30" t="s">
        <v>2891</v>
      </c>
      <c r="R4399" s="33" t="s">
        <v>3475</v>
      </c>
      <c r="S4399">
        <v>36</v>
      </c>
      <c r="T4399" s="1" t="s">
        <v>6306</v>
      </c>
      <c r="U4399" s="1" t="str">
        <f>HYPERLINK("http://ictvonline.org/taxonomy/p/taxonomy-history?taxnode_id=202105977","ICTVonline=202105977")</f>
        <v>ICTVonline=202105977</v>
      </c>
    </row>
    <row r="4400" spans="1:21" x14ac:dyDescent="0.2">
      <c r="A4400" s="3">
        <v>4399</v>
      </c>
      <c r="B4400" s="1" t="s">
        <v>5250</v>
      </c>
      <c r="D4400" s="1" t="s">
        <v>5280</v>
      </c>
      <c r="F4400" s="1" t="s">
        <v>5347</v>
      </c>
      <c r="H4400" s="1" t="s">
        <v>5348</v>
      </c>
      <c r="J4400" s="1" t="s">
        <v>5360</v>
      </c>
      <c r="L4400" s="1" t="s">
        <v>3956</v>
      </c>
      <c r="N4400" s="1" t="s">
        <v>3962</v>
      </c>
      <c r="P4400" s="1" t="s">
        <v>6368</v>
      </c>
      <c r="Q4400" s="30" t="s">
        <v>2891</v>
      </c>
      <c r="R4400" s="33" t="s">
        <v>3475</v>
      </c>
      <c r="S4400">
        <v>36</v>
      </c>
      <c r="T4400" s="1" t="s">
        <v>6306</v>
      </c>
      <c r="U4400" s="1" t="str">
        <f>HYPERLINK("http://ictvonline.org/taxonomy/p/taxonomy-history?taxnode_id=202105979","ICTVonline=202105979")</f>
        <v>ICTVonline=202105979</v>
      </c>
    </row>
    <row r="4401" spans="1:21" x14ac:dyDescent="0.2">
      <c r="A4401" s="3">
        <v>4400</v>
      </c>
      <c r="B4401" s="1" t="s">
        <v>5250</v>
      </c>
      <c r="D4401" s="1" t="s">
        <v>5280</v>
      </c>
      <c r="F4401" s="1" t="s">
        <v>5347</v>
      </c>
      <c r="H4401" s="1" t="s">
        <v>5348</v>
      </c>
      <c r="J4401" s="1" t="s">
        <v>5360</v>
      </c>
      <c r="L4401" s="1" t="s">
        <v>3956</v>
      </c>
      <c r="N4401" s="1" t="s">
        <v>3962</v>
      </c>
      <c r="P4401" s="1" t="s">
        <v>6369</v>
      </c>
      <c r="Q4401" s="30" t="s">
        <v>2891</v>
      </c>
      <c r="R4401" s="33" t="s">
        <v>3475</v>
      </c>
      <c r="S4401">
        <v>36</v>
      </c>
      <c r="T4401" s="1" t="s">
        <v>6306</v>
      </c>
      <c r="U4401" s="1" t="str">
        <f>HYPERLINK("http://ictvonline.org/taxonomy/p/taxonomy-history?taxnode_id=202105980","ICTVonline=202105980")</f>
        <v>ICTVonline=202105980</v>
      </c>
    </row>
    <row r="4402" spans="1:21" x14ac:dyDescent="0.2">
      <c r="A4402" s="3">
        <v>4401</v>
      </c>
      <c r="B4402" s="1" t="s">
        <v>5250</v>
      </c>
      <c r="D4402" s="1" t="s">
        <v>5280</v>
      </c>
      <c r="F4402" s="1" t="s">
        <v>5347</v>
      </c>
      <c r="H4402" s="1" t="s">
        <v>5348</v>
      </c>
      <c r="J4402" s="1" t="s">
        <v>5360</v>
      </c>
      <c r="L4402" s="1" t="s">
        <v>3956</v>
      </c>
      <c r="N4402" s="1" t="s">
        <v>3962</v>
      </c>
      <c r="P4402" s="1" t="s">
        <v>6370</v>
      </c>
      <c r="Q4402" s="30" t="s">
        <v>2891</v>
      </c>
      <c r="R4402" s="33" t="s">
        <v>3475</v>
      </c>
      <c r="S4402">
        <v>36</v>
      </c>
      <c r="T4402" s="1" t="s">
        <v>6306</v>
      </c>
      <c r="U4402" s="1" t="str">
        <f>HYPERLINK("http://ictvonline.org/taxonomy/p/taxonomy-history?taxnode_id=202105981","ICTVonline=202105981")</f>
        <v>ICTVonline=202105981</v>
      </c>
    </row>
    <row r="4403" spans="1:21" x14ac:dyDescent="0.2">
      <c r="A4403" s="3">
        <v>4402</v>
      </c>
      <c r="B4403" s="1" t="s">
        <v>5250</v>
      </c>
      <c r="D4403" s="1" t="s">
        <v>5280</v>
      </c>
      <c r="F4403" s="1" t="s">
        <v>5347</v>
      </c>
      <c r="H4403" s="1" t="s">
        <v>5348</v>
      </c>
      <c r="J4403" s="1" t="s">
        <v>5360</v>
      </c>
      <c r="L4403" s="1" t="s">
        <v>3956</v>
      </c>
      <c r="N4403" s="1" t="s">
        <v>3962</v>
      </c>
      <c r="P4403" s="1" t="s">
        <v>6371</v>
      </c>
      <c r="Q4403" s="30" t="s">
        <v>2891</v>
      </c>
      <c r="R4403" s="33" t="s">
        <v>3475</v>
      </c>
      <c r="S4403">
        <v>36</v>
      </c>
      <c r="T4403" s="1" t="s">
        <v>6306</v>
      </c>
      <c r="U4403" s="1" t="str">
        <f>HYPERLINK("http://ictvonline.org/taxonomy/p/taxonomy-history?taxnode_id=202105982","ICTVonline=202105982")</f>
        <v>ICTVonline=202105982</v>
      </c>
    </row>
    <row r="4404" spans="1:21" x14ac:dyDescent="0.2">
      <c r="A4404" s="3">
        <v>4403</v>
      </c>
      <c r="B4404" s="1" t="s">
        <v>5250</v>
      </c>
      <c r="D4404" s="1" t="s">
        <v>5280</v>
      </c>
      <c r="F4404" s="1" t="s">
        <v>5347</v>
      </c>
      <c r="H4404" s="1" t="s">
        <v>5348</v>
      </c>
      <c r="J4404" s="1" t="s">
        <v>5360</v>
      </c>
      <c r="L4404" s="1" t="s">
        <v>3956</v>
      </c>
      <c r="N4404" s="1" t="s">
        <v>3962</v>
      </c>
      <c r="P4404" s="1" t="s">
        <v>6372</v>
      </c>
      <c r="Q4404" s="30" t="s">
        <v>2891</v>
      </c>
      <c r="R4404" s="33" t="s">
        <v>3475</v>
      </c>
      <c r="S4404">
        <v>36</v>
      </c>
      <c r="T4404" s="1" t="s">
        <v>6306</v>
      </c>
      <c r="U4404" s="1" t="str">
        <f>HYPERLINK("http://ictvonline.org/taxonomy/p/taxonomy-history?taxnode_id=202105983","ICTVonline=202105983")</f>
        <v>ICTVonline=202105983</v>
      </c>
    </row>
    <row r="4405" spans="1:21" x14ac:dyDescent="0.2">
      <c r="A4405" s="3">
        <v>4404</v>
      </c>
      <c r="B4405" s="1" t="s">
        <v>5250</v>
      </c>
      <c r="D4405" s="1" t="s">
        <v>5280</v>
      </c>
      <c r="F4405" s="1" t="s">
        <v>5347</v>
      </c>
      <c r="H4405" s="1" t="s">
        <v>5348</v>
      </c>
      <c r="J4405" s="1" t="s">
        <v>5360</v>
      </c>
      <c r="L4405" s="1" t="s">
        <v>3956</v>
      </c>
      <c r="N4405" s="1" t="s">
        <v>3962</v>
      </c>
      <c r="P4405" s="1" t="s">
        <v>6373</v>
      </c>
      <c r="Q4405" s="30" t="s">
        <v>2891</v>
      </c>
      <c r="R4405" s="33" t="s">
        <v>3475</v>
      </c>
      <c r="S4405">
        <v>36</v>
      </c>
      <c r="T4405" s="1" t="s">
        <v>6306</v>
      </c>
      <c r="U4405" s="1" t="str">
        <f>HYPERLINK("http://ictvonline.org/taxonomy/p/taxonomy-history?taxnode_id=202105984","ICTVonline=202105984")</f>
        <v>ICTVonline=202105984</v>
      </c>
    </row>
    <row r="4406" spans="1:21" x14ac:dyDescent="0.2">
      <c r="A4406" s="3">
        <v>4405</v>
      </c>
      <c r="B4406" s="1" t="s">
        <v>5250</v>
      </c>
      <c r="D4406" s="1" t="s">
        <v>5280</v>
      </c>
      <c r="F4406" s="1" t="s">
        <v>5347</v>
      </c>
      <c r="H4406" s="1" t="s">
        <v>5348</v>
      </c>
      <c r="J4406" s="1" t="s">
        <v>5360</v>
      </c>
      <c r="L4406" s="1" t="s">
        <v>3956</v>
      </c>
      <c r="N4406" s="1" t="s">
        <v>3962</v>
      </c>
      <c r="P4406" s="1" t="s">
        <v>6374</v>
      </c>
      <c r="Q4406" s="30" t="s">
        <v>2891</v>
      </c>
      <c r="R4406" s="33" t="s">
        <v>3475</v>
      </c>
      <c r="S4406">
        <v>36</v>
      </c>
      <c r="T4406" s="1" t="s">
        <v>6306</v>
      </c>
      <c r="U4406" s="1" t="str">
        <f>HYPERLINK("http://ictvonline.org/taxonomy/p/taxonomy-history?taxnode_id=202105985","ICTVonline=202105985")</f>
        <v>ICTVonline=202105985</v>
      </c>
    </row>
    <row r="4407" spans="1:21" x14ac:dyDescent="0.2">
      <c r="A4407" s="3">
        <v>4406</v>
      </c>
      <c r="B4407" s="1" t="s">
        <v>5250</v>
      </c>
      <c r="D4407" s="1" t="s">
        <v>5280</v>
      </c>
      <c r="F4407" s="1" t="s">
        <v>5347</v>
      </c>
      <c r="H4407" s="1" t="s">
        <v>5348</v>
      </c>
      <c r="J4407" s="1" t="s">
        <v>5360</v>
      </c>
      <c r="L4407" s="1" t="s">
        <v>3956</v>
      </c>
      <c r="N4407" s="1" t="s">
        <v>3962</v>
      </c>
      <c r="P4407" s="1" t="s">
        <v>6375</v>
      </c>
      <c r="Q4407" s="30" t="s">
        <v>2891</v>
      </c>
      <c r="R4407" s="33" t="s">
        <v>3475</v>
      </c>
      <c r="S4407">
        <v>36</v>
      </c>
      <c r="T4407" s="1" t="s">
        <v>6306</v>
      </c>
      <c r="U4407" s="1" t="str">
        <f>HYPERLINK("http://ictvonline.org/taxonomy/p/taxonomy-history?taxnode_id=202105986","ICTVonline=202105986")</f>
        <v>ICTVonline=202105986</v>
      </c>
    </row>
    <row r="4408" spans="1:21" x14ac:dyDescent="0.2">
      <c r="A4408" s="3">
        <v>4407</v>
      </c>
      <c r="B4408" s="1" t="s">
        <v>5250</v>
      </c>
      <c r="D4408" s="1" t="s">
        <v>5280</v>
      </c>
      <c r="F4408" s="1" t="s">
        <v>5347</v>
      </c>
      <c r="H4408" s="1" t="s">
        <v>5348</v>
      </c>
      <c r="J4408" s="1" t="s">
        <v>5360</v>
      </c>
      <c r="L4408" s="1" t="s">
        <v>3956</v>
      </c>
      <c r="N4408" s="1" t="s">
        <v>3962</v>
      </c>
      <c r="P4408" s="1" t="s">
        <v>6376</v>
      </c>
      <c r="Q4408" s="30" t="s">
        <v>2891</v>
      </c>
      <c r="R4408" s="33" t="s">
        <v>3475</v>
      </c>
      <c r="S4408">
        <v>36</v>
      </c>
      <c r="T4408" s="1" t="s">
        <v>6306</v>
      </c>
      <c r="U4408" s="1" t="str">
        <f>HYPERLINK("http://ictvonline.org/taxonomy/p/taxonomy-history?taxnode_id=202105978","ICTVonline=202105978")</f>
        <v>ICTVonline=202105978</v>
      </c>
    </row>
    <row r="4409" spans="1:21" x14ac:dyDescent="0.2">
      <c r="A4409" s="3">
        <v>4408</v>
      </c>
      <c r="B4409" s="1" t="s">
        <v>5250</v>
      </c>
      <c r="D4409" s="1" t="s">
        <v>5280</v>
      </c>
      <c r="F4409" s="1" t="s">
        <v>5347</v>
      </c>
      <c r="H4409" s="1" t="s">
        <v>5348</v>
      </c>
      <c r="J4409" s="1" t="s">
        <v>5360</v>
      </c>
      <c r="L4409" s="1" t="s">
        <v>3956</v>
      </c>
      <c r="N4409" s="1" t="s">
        <v>3962</v>
      </c>
      <c r="P4409" s="1" t="s">
        <v>6377</v>
      </c>
      <c r="Q4409" s="30" t="s">
        <v>2891</v>
      </c>
      <c r="R4409" s="33" t="s">
        <v>3472</v>
      </c>
      <c r="S4409">
        <v>36</v>
      </c>
      <c r="T4409" s="1" t="s">
        <v>6306</v>
      </c>
      <c r="U4409" s="1" t="str">
        <f>HYPERLINK("http://ictvonline.org/taxonomy/p/taxonomy-history?taxnode_id=202109536","ICTVonline=202109536")</f>
        <v>ICTVonline=202109536</v>
      </c>
    </row>
    <row r="4410" spans="1:21" x14ac:dyDescent="0.2">
      <c r="A4410" s="3">
        <v>4409</v>
      </c>
      <c r="B4410" s="1" t="s">
        <v>5250</v>
      </c>
      <c r="D4410" s="1" t="s">
        <v>5280</v>
      </c>
      <c r="F4410" s="1" t="s">
        <v>5347</v>
      </c>
      <c r="H4410" s="1" t="s">
        <v>5348</v>
      </c>
      <c r="J4410" s="1" t="s">
        <v>5360</v>
      </c>
      <c r="L4410" s="1" t="s">
        <v>3956</v>
      </c>
      <c r="N4410" s="1" t="s">
        <v>3962</v>
      </c>
      <c r="P4410" s="1" t="s">
        <v>6378</v>
      </c>
      <c r="Q4410" s="30" t="s">
        <v>2891</v>
      </c>
      <c r="R4410" s="33" t="s">
        <v>3472</v>
      </c>
      <c r="S4410">
        <v>36</v>
      </c>
      <c r="T4410" s="1" t="s">
        <v>6306</v>
      </c>
      <c r="U4410" s="1" t="str">
        <f>HYPERLINK("http://ictvonline.org/taxonomy/p/taxonomy-history?taxnode_id=202109537","ICTVonline=202109537")</f>
        <v>ICTVonline=202109537</v>
      </c>
    </row>
    <row r="4411" spans="1:21" x14ac:dyDescent="0.2">
      <c r="A4411" s="3">
        <v>4410</v>
      </c>
      <c r="B4411" s="1" t="s">
        <v>5250</v>
      </c>
      <c r="D4411" s="1" t="s">
        <v>5280</v>
      </c>
      <c r="F4411" s="1" t="s">
        <v>5347</v>
      </c>
      <c r="H4411" s="1" t="s">
        <v>5348</v>
      </c>
      <c r="J4411" s="1" t="s">
        <v>5360</v>
      </c>
      <c r="L4411" s="1" t="s">
        <v>3956</v>
      </c>
      <c r="N4411" s="1" t="s">
        <v>3962</v>
      </c>
      <c r="P4411" s="1" t="s">
        <v>6379</v>
      </c>
      <c r="Q4411" s="30" t="s">
        <v>2891</v>
      </c>
      <c r="R4411" s="33" t="s">
        <v>3472</v>
      </c>
      <c r="S4411">
        <v>36</v>
      </c>
      <c r="T4411" s="1" t="s">
        <v>6306</v>
      </c>
      <c r="U4411" s="1" t="str">
        <f>HYPERLINK("http://ictvonline.org/taxonomy/p/taxonomy-history?taxnode_id=202109538","ICTVonline=202109538")</f>
        <v>ICTVonline=202109538</v>
      </c>
    </row>
    <row r="4412" spans="1:21" x14ac:dyDescent="0.2">
      <c r="A4412" s="3">
        <v>4411</v>
      </c>
      <c r="B4412" s="1" t="s">
        <v>5250</v>
      </c>
      <c r="D4412" s="1" t="s">
        <v>5280</v>
      </c>
      <c r="F4412" s="1" t="s">
        <v>5347</v>
      </c>
      <c r="H4412" s="1" t="s">
        <v>5348</v>
      </c>
      <c r="J4412" s="1" t="s">
        <v>5360</v>
      </c>
      <c r="L4412" s="1" t="s">
        <v>3956</v>
      </c>
      <c r="N4412" s="1" t="s">
        <v>3962</v>
      </c>
      <c r="P4412" s="1" t="s">
        <v>6380</v>
      </c>
      <c r="Q4412" s="30" t="s">
        <v>2891</v>
      </c>
      <c r="R4412" s="33" t="s">
        <v>3472</v>
      </c>
      <c r="S4412">
        <v>36</v>
      </c>
      <c r="T4412" s="1" t="s">
        <v>6306</v>
      </c>
      <c r="U4412" s="1" t="str">
        <f>HYPERLINK("http://ictvonline.org/taxonomy/p/taxonomy-history?taxnode_id=202109539","ICTVonline=202109539")</f>
        <v>ICTVonline=202109539</v>
      </c>
    </row>
    <row r="4413" spans="1:21" x14ac:dyDescent="0.2">
      <c r="A4413" s="3">
        <v>4412</v>
      </c>
      <c r="B4413" s="1" t="s">
        <v>5250</v>
      </c>
      <c r="D4413" s="1" t="s">
        <v>5280</v>
      </c>
      <c r="F4413" s="1" t="s">
        <v>5347</v>
      </c>
      <c r="H4413" s="1" t="s">
        <v>5348</v>
      </c>
      <c r="J4413" s="1" t="s">
        <v>5360</v>
      </c>
      <c r="L4413" s="1" t="s">
        <v>3956</v>
      </c>
      <c r="N4413" s="1" t="s">
        <v>3962</v>
      </c>
      <c r="P4413" s="1" t="s">
        <v>6381</v>
      </c>
      <c r="Q4413" s="30" t="s">
        <v>2891</v>
      </c>
      <c r="R4413" s="33" t="s">
        <v>3472</v>
      </c>
      <c r="S4413">
        <v>36</v>
      </c>
      <c r="T4413" s="1" t="s">
        <v>6306</v>
      </c>
      <c r="U4413" s="1" t="str">
        <f>HYPERLINK("http://ictvonline.org/taxonomy/p/taxonomy-history?taxnode_id=202109540","ICTVonline=202109540")</f>
        <v>ICTVonline=202109540</v>
      </c>
    </row>
    <row r="4414" spans="1:21" x14ac:dyDescent="0.2">
      <c r="A4414" s="3">
        <v>4413</v>
      </c>
      <c r="B4414" s="1" t="s">
        <v>5250</v>
      </c>
      <c r="D4414" s="1" t="s">
        <v>5280</v>
      </c>
      <c r="F4414" s="1" t="s">
        <v>5347</v>
      </c>
      <c r="H4414" s="1" t="s">
        <v>5348</v>
      </c>
      <c r="J4414" s="1" t="s">
        <v>5360</v>
      </c>
      <c r="L4414" s="1" t="s">
        <v>3956</v>
      </c>
      <c r="N4414" s="1" t="s">
        <v>3962</v>
      </c>
      <c r="P4414" s="1" t="s">
        <v>6382</v>
      </c>
      <c r="Q4414" s="30" t="s">
        <v>2891</v>
      </c>
      <c r="R4414" s="33" t="s">
        <v>3472</v>
      </c>
      <c r="S4414">
        <v>36</v>
      </c>
      <c r="T4414" s="1" t="s">
        <v>6306</v>
      </c>
      <c r="U4414" s="1" t="str">
        <f>HYPERLINK("http://ictvonline.org/taxonomy/p/taxonomy-history?taxnode_id=202109541","ICTVonline=202109541")</f>
        <v>ICTVonline=202109541</v>
      </c>
    </row>
    <row r="4415" spans="1:21" x14ac:dyDescent="0.2">
      <c r="A4415" s="3">
        <v>4414</v>
      </c>
      <c r="B4415" s="1" t="s">
        <v>5250</v>
      </c>
      <c r="D4415" s="1" t="s">
        <v>5280</v>
      </c>
      <c r="F4415" s="1" t="s">
        <v>5347</v>
      </c>
      <c r="H4415" s="1" t="s">
        <v>5348</v>
      </c>
      <c r="J4415" s="1" t="s">
        <v>5360</v>
      </c>
      <c r="L4415" s="1" t="s">
        <v>3956</v>
      </c>
      <c r="N4415" s="1" t="s">
        <v>3962</v>
      </c>
      <c r="P4415" s="1" t="s">
        <v>6383</v>
      </c>
      <c r="Q4415" s="30" t="s">
        <v>2891</v>
      </c>
      <c r="R4415" s="33" t="s">
        <v>3472</v>
      </c>
      <c r="S4415">
        <v>36</v>
      </c>
      <c r="T4415" s="1" t="s">
        <v>6306</v>
      </c>
      <c r="U4415" s="1" t="str">
        <f>HYPERLINK("http://ictvonline.org/taxonomy/p/taxonomy-history?taxnode_id=202109542","ICTVonline=202109542")</f>
        <v>ICTVonline=202109542</v>
      </c>
    </row>
    <row r="4416" spans="1:21" x14ac:dyDescent="0.2">
      <c r="A4416" s="3">
        <v>4415</v>
      </c>
      <c r="B4416" s="1" t="s">
        <v>5250</v>
      </c>
      <c r="D4416" s="1" t="s">
        <v>5280</v>
      </c>
      <c r="F4416" s="1" t="s">
        <v>5347</v>
      </c>
      <c r="H4416" s="1" t="s">
        <v>5348</v>
      </c>
      <c r="J4416" s="1" t="s">
        <v>5360</v>
      </c>
      <c r="L4416" s="1" t="s">
        <v>3956</v>
      </c>
      <c r="N4416" s="1" t="s">
        <v>3962</v>
      </c>
      <c r="P4416" s="1" t="s">
        <v>6384</v>
      </c>
      <c r="Q4416" s="30" t="s">
        <v>2891</v>
      </c>
      <c r="R4416" s="33" t="s">
        <v>3472</v>
      </c>
      <c r="S4416">
        <v>36</v>
      </c>
      <c r="T4416" s="1" t="s">
        <v>6306</v>
      </c>
      <c r="U4416" s="1" t="str">
        <f>HYPERLINK("http://ictvonline.org/taxonomy/p/taxonomy-history?taxnode_id=202109543","ICTVonline=202109543")</f>
        <v>ICTVonline=202109543</v>
      </c>
    </row>
    <row r="4417" spans="1:21" x14ac:dyDescent="0.2">
      <c r="A4417" s="3">
        <v>4416</v>
      </c>
      <c r="B4417" s="1" t="s">
        <v>5250</v>
      </c>
      <c r="D4417" s="1" t="s">
        <v>5280</v>
      </c>
      <c r="F4417" s="1" t="s">
        <v>5347</v>
      </c>
      <c r="H4417" s="1" t="s">
        <v>5348</v>
      </c>
      <c r="J4417" s="1" t="s">
        <v>5360</v>
      </c>
      <c r="L4417" s="1" t="s">
        <v>3956</v>
      </c>
      <c r="N4417" s="1" t="s">
        <v>3962</v>
      </c>
      <c r="P4417" s="1" t="s">
        <v>6385</v>
      </c>
      <c r="Q4417" s="30" t="s">
        <v>2891</v>
      </c>
      <c r="R4417" s="33" t="s">
        <v>3472</v>
      </c>
      <c r="S4417">
        <v>36</v>
      </c>
      <c r="T4417" s="1" t="s">
        <v>6306</v>
      </c>
      <c r="U4417" s="1" t="str">
        <f>HYPERLINK("http://ictvonline.org/taxonomy/p/taxonomy-history?taxnode_id=202109544","ICTVonline=202109544")</f>
        <v>ICTVonline=202109544</v>
      </c>
    </row>
    <row r="4418" spans="1:21" x14ac:dyDescent="0.2">
      <c r="A4418" s="3">
        <v>4417</v>
      </c>
      <c r="B4418" s="1" t="s">
        <v>5250</v>
      </c>
      <c r="D4418" s="1" t="s">
        <v>5280</v>
      </c>
      <c r="F4418" s="1" t="s">
        <v>5347</v>
      </c>
      <c r="H4418" s="1" t="s">
        <v>5348</v>
      </c>
      <c r="J4418" s="1" t="s">
        <v>5360</v>
      </c>
      <c r="L4418" s="1" t="s">
        <v>3956</v>
      </c>
      <c r="N4418" s="1" t="s">
        <v>3962</v>
      </c>
      <c r="P4418" s="1" t="s">
        <v>6386</v>
      </c>
      <c r="Q4418" s="30" t="s">
        <v>2891</v>
      </c>
      <c r="R4418" s="33" t="s">
        <v>3472</v>
      </c>
      <c r="S4418">
        <v>36</v>
      </c>
      <c r="T4418" s="1" t="s">
        <v>6306</v>
      </c>
      <c r="U4418" s="1" t="str">
        <f>HYPERLINK("http://ictvonline.org/taxonomy/p/taxonomy-history?taxnode_id=202109545","ICTVonline=202109545")</f>
        <v>ICTVonline=202109545</v>
      </c>
    </row>
    <row r="4419" spans="1:21" x14ac:dyDescent="0.2">
      <c r="A4419" s="3">
        <v>4418</v>
      </c>
      <c r="B4419" s="1" t="s">
        <v>5250</v>
      </c>
      <c r="D4419" s="1" t="s">
        <v>5280</v>
      </c>
      <c r="F4419" s="1" t="s">
        <v>5347</v>
      </c>
      <c r="H4419" s="1" t="s">
        <v>5348</v>
      </c>
      <c r="J4419" s="1" t="s">
        <v>5360</v>
      </c>
      <c r="L4419" s="1" t="s">
        <v>3956</v>
      </c>
      <c r="N4419" s="1" t="s">
        <v>3962</v>
      </c>
      <c r="P4419" s="1" t="s">
        <v>6387</v>
      </c>
      <c r="Q4419" s="30" t="s">
        <v>2891</v>
      </c>
      <c r="R4419" s="33" t="s">
        <v>3475</v>
      </c>
      <c r="S4419">
        <v>36</v>
      </c>
      <c r="T4419" s="1" t="s">
        <v>6306</v>
      </c>
      <c r="U4419" s="1" t="str">
        <f>HYPERLINK("http://ictvonline.org/taxonomy/p/taxonomy-history?taxnode_id=202105987","ICTVonline=202105987")</f>
        <v>ICTVonline=202105987</v>
      </c>
    </row>
    <row r="4420" spans="1:21" x14ac:dyDescent="0.2">
      <c r="A4420" s="3">
        <v>4419</v>
      </c>
      <c r="B4420" s="1" t="s">
        <v>5250</v>
      </c>
      <c r="D4420" s="1" t="s">
        <v>5280</v>
      </c>
      <c r="F4420" s="1" t="s">
        <v>5347</v>
      </c>
      <c r="H4420" s="1" t="s">
        <v>5348</v>
      </c>
      <c r="J4420" s="1" t="s">
        <v>5360</v>
      </c>
      <c r="L4420" s="1" t="s">
        <v>3956</v>
      </c>
      <c r="N4420" s="1" t="s">
        <v>3962</v>
      </c>
      <c r="P4420" s="1" t="s">
        <v>6388</v>
      </c>
      <c r="Q4420" s="30" t="s">
        <v>2891</v>
      </c>
      <c r="R4420" s="33" t="s">
        <v>3475</v>
      </c>
      <c r="S4420">
        <v>36</v>
      </c>
      <c r="T4420" s="1" t="s">
        <v>6306</v>
      </c>
      <c r="U4420" s="1" t="str">
        <f>HYPERLINK("http://ictvonline.org/taxonomy/p/taxonomy-history?taxnode_id=202105988","ICTVonline=202105988")</f>
        <v>ICTVonline=202105988</v>
      </c>
    </row>
    <row r="4421" spans="1:21" x14ac:dyDescent="0.2">
      <c r="A4421" s="3">
        <v>4420</v>
      </c>
      <c r="B4421" s="1" t="s">
        <v>5250</v>
      </c>
      <c r="D4421" s="1" t="s">
        <v>5280</v>
      </c>
      <c r="F4421" s="1" t="s">
        <v>5347</v>
      </c>
      <c r="H4421" s="1" t="s">
        <v>5348</v>
      </c>
      <c r="J4421" s="1" t="s">
        <v>5360</v>
      </c>
      <c r="L4421" s="1" t="s">
        <v>3956</v>
      </c>
      <c r="N4421" s="1" t="s">
        <v>3962</v>
      </c>
      <c r="P4421" s="1" t="s">
        <v>6389</v>
      </c>
      <c r="Q4421" s="30" t="s">
        <v>2891</v>
      </c>
      <c r="R4421" s="33" t="s">
        <v>3475</v>
      </c>
      <c r="S4421">
        <v>36</v>
      </c>
      <c r="T4421" s="1" t="s">
        <v>6306</v>
      </c>
      <c r="U4421" s="1" t="str">
        <f>HYPERLINK("http://ictvonline.org/taxonomy/p/taxonomy-history?taxnode_id=202105989","ICTVonline=202105989")</f>
        <v>ICTVonline=202105989</v>
      </c>
    </row>
    <row r="4422" spans="1:21" x14ac:dyDescent="0.2">
      <c r="A4422" s="3">
        <v>4421</v>
      </c>
      <c r="B4422" s="1" t="s">
        <v>5250</v>
      </c>
      <c r="D4422" s="1" t="s">
        <v>5280</v>
      </c>
      <c r="F4422" s="1" t="s">
        <v>5347</v>
      </c>
      <c r="H4422" s="1" t="s">
        <v>5348</v>
      </c>
      <c r="J4422" s="1" t="s">
        <v>5360</v>
      </c>
      <c r="L4422" s="1" t="s">
        <v>3956</v>
      </c>
      <c r="N4422" s="1" t="s">
        <v>3962</v>
      </c>
      <c r="P4422" s="1" t="s">
        <v>6390</v>
      </c>
      <c r="Q4422" s="30" t="s">
        <v>2891</v>
      </c>
      <c r="R4422" s="33" t="s">
        <v>3475</v>
      </c>
      <c r="S4422">
        <v>36</v>
      </c>
      <c r="T4422" s="1" t="s">
        <v>6306</v>
      </c>
      <c r="U4422" s="1" t="str">
        <f>HYPERLINK("http://ictvonline.org/taxonomy/p/taxonomy-history?taxnode_id=202105990","ICTVonline=202105990")</f>
        <v>ICTVonline=202105990</v>
      </c>
    </row>
    <row r="4423" spans="1:21" x14ac:dyDescent="0.2">
      <c r="A4423" s="3">
        <v>4422</v>
      </c>
      <c r="B4423" s="1" t="s">
        <v>5250</v>
      </c>
      <c r="D4423" s="1" t="s">
        <v>5280</v>
      </c>
      <c r="F4423" s="1" t="s">
        <v>5347</v>
      </c>
      <c r="H4423" s="1" t="s">
        <v>5348</v>
      </c>
      <c r="J4423" s="1" t="s">
        <v>5360</v>
      </c>
      <c r="L4423" s="1" t="s">
        <v>3956</v>
      </c>
      <c r="N4423" s="1" t="s">
        <v>3962</v>
      </c>
      <c r="P4423" s="1" t="s">
        <v>6391</v>
      </c>
      <c r="Q4423" s="30" t="s">
        <v>2891</v>
      </c>
      <c r="R4423" s="33" t="s">
        <v>3475</v>
      </c>
      <c r="S4423">
        <v>36</v>
      </c>
      <c r="T4423" s="1" t="s">
        <v>6306</v>
      </c>
      <c r="U4423" s="1" t="str">
        <f>HYPERLINK("http://ictvonline.org/taxonomy/p/taxonomy-history?taxnode_id=202105991","ICTVonline=202105991")</f>
        <v>ICTVonline=202105991</v>
      </c>
    </row>
    <row r="4424" spans="1:21" x14ac:dyDescent="0.2">
      <c r="A4424" s="3">
        <v>4423</v>
      </c>
      <c r="B4424" s="1" t="s">
        <v>5250</v>
      </c>
      <c r="D4424" s="1" t="s">
        <v>5280</v>
      </c>
      <c r="F4424" s="1" t="s">
        <v>5347</v>
      </c>
      <c r="H4424" s="1" t="s">
        <v>5348</v>
      </c>
      <c r="J4424" s="1" t="s">
        <v>5360</v>
      </c>
      <c r="L4424" s="1" t="s">
        <v>3956</v>
      </c>
      <c r="N4424" s="1" t="s">
        <v>6392</v>
      </c>
      <c r="P4424" s="1" t="s">
        <v>6393</v>
      </c>
      <c r="Q4424" s="30" t="s">
        <v>2891</v>
      </c>
      <c r="R4424" s="33" t="s">
        <v>3472</v>
      </c>
      <c r="S4424">
        <v>36</v>
      </c>
      <c r="T4424" s="1" t="s">
        <v>6306</v>
      </c>
      <c r="U4424" s="1" t="str">
        <f>HYPERLINK("http://ictvonline.org/taxonomy/p/taxonomy-history?taxnode_id=202109501","ICTVonline=202109501")</f>
        <v>ICTVonline=202109501</v>
      </c>
    </row>
    <row r="4425" spans="1:21" x14ac:dyDescent="0.2">
      <c r="A4425" s="3">
        <v>4424</v>
      </c>
      <c r="B4425" s="1" t="s">
        <v>5250</v>
      </c>
      <c r="D4425" s="1" t="s">
        <v>5280</v>
      </c>
      <c r="F4425" s="1" t="s">
        <v>5347</v>
      </c>
      <c r="H4425" s="1" t="s">
        <v>5348</v>
      </c>
      <c r="J4425" s="1" t="s">
        <v>5360</v>
      </c>
      <c r="L4425" s="1" t="s">
        <v>3956</v>
      </c>
      <c r="N4425" s="1" t="s">
        <v>6392</v>
      </c>
      <c r="P4425" s="1" t="s">
        <v>6394</v>
      </c>
      <c r="Q4425" s="30" t="s">
        <v>2891</v>
      </c>
      <c r="R4425" s="33" t="s">
        <v>3472</v>
      </c>
      <c r="S4425">
        <v>36</v>
      </c>
      <c r="T4425" s="1" t="s">
        <v>6306</v>
      </c>
      <c r="U4425" s="1" t="str">
        <f>HYPERLINK("http://ictvonline.org/taxonomy/p/taxonomy-history?taxnode_id=202109502","ICTVonline=202109502")</f>
        <v>ICTVonline=202109502</v>
      </c>
    </row>
    <row r="4426" spans="1:21" x14ac:dyDescent="0.2">
      <c r="A4426" s="3">
        <v>4425</v>
      </c>
      <c r="B4426" s="1" t="s">
        <v>5250</v>
      </c>
      <c r="D4426" s="1" t="s">
        <v>5280</v>
      </c>
      <c r="F4426" s="1" t="s">
        <v>5347</v>
      </c>
      <c r="H4426" s="1" t="s">
        <v>5348</v>
      </c>
      <c r="J4426" s="1" t="s">
        <v>5361</v>
      </c>
      <c r="L4426" s="1" t="s">
        <v>6395</v>
      </c>
      <c r="N4426" s="1" t="s">
        <v>6396</v>
      </c>
      <c r="P4426" s="1" t="s">
        <v>996</v>
      </c>
      <c r="Q4426" s="30" t="s">
        <v>2969</v>
      </c>
      <c r="R4426" s="33" t="s">
        <v>3474</v>
      </c>
      <c r="S4426">
        <v>36</v>
      </c>
      <c r="T4426" s="1" t="s">
        <v>6397</v>
      </c>
      <c r="U4426" s="1" t="str">
        <f>HYPERLINK("http://ictvonline.org/taxonomy/p/taxonomy-history?taxnode_id=202103907","ICTVonline=202103907")</f>
        <v>ICTVonline=202103907</v>
      </c>
    </row>
    <row r="4427" spans="1:21" x14ac:dyDescent="0.2">
      <c r="A4427" s="3">
        <v>4426</v>
      </c>
      <c r="B4427" s="1" t="s">
        <v>5250</v>
      </c>
      <c r="D4427" s="1" t="s">
        <v>5280</v>
      </c>
      <c r="F4427" s="1" t="s">
        <v>5347</v>
      </c>
      <c r="H4427" s="1" t="s">
        <v>5348</v>
      </c>
      <c r="J4427" s="1" t="s">
        <v>5361</v>
      </c>
      <c r="L4427" s="1" t="s">
        <v>1897</v>
      </c>
      <c r="N4427" s="1" t="s">
        <v>1898</v>
      </c>
      <c r="P4427" s="1" t="s">
        <v>522</v>
      </c>
      <c r="Q4427" s="30" t="s">
        <v>2568</v>
      </c>
      <c r="R4427" s="33" t="s">
        <v>3474</v>
      </c>
      <c r="S4427">
        <v>35</v>
      </c>
      <c r="T4427" s="1" t="s">
        <v>5350</v>
      </c>
      <c r="U4427" s="1" t="str">
        <f>HYPERLINK("http://ictvonline.org/taxonomy/p/taxonomy-history?taxnode_id=202103894","ICTVonline=202103894")</f>
        <v>ICTVonline=202103894</v>
      </c>
    </row>
    <row r="4428" spans="1:21" x14ac:dyDescent="0.2">
      <c r="A4428" s="3">
        <v>4427</v>
      </c>
      <c r="B4428" s="1" t="s">
        <v>5250</v>
      </c>
      <c r="D4428" s="1" t="s">
        <v>5280</v>
      </c>
      <c r="F4428" s="1" t="s">
        <v>5347</v>
      </c>
      <c r="H4428" s="1" t="s">
        <v>5348</v>
      </c>
      <c r="J4428" s="1" t="s">
        <v>5361</v>
      </c>
      <c r="L4428" s="1" t="s">
        <v>1897</v>
      </c>
      <c r="N4428" s="1" t="s">
        <v>1898</v>
      </c>
      <c r="P4428" s="1" t="s">
        <v>1899</v>
      </c>
      <c r="Q4428" s="30" t="s">
        <v>2568</v>
      </c>
      <c r="R4428" s="33" t="s">
        <v>8665</v>
      </c>
      <c r="S4428">
        <v>36</v>
      </c>
      <c r="T4428" s="1" t="s">
        <v>8661</v>
      </c>
      <c r="U4428" s="1" t="str">
        <f>HYPERLINK("http://ictvonline.org/taxonomy/p/taxonomy-history?taxnode_id=202103895","ICTVonline=202103895")</f>
        <v>ICTVonline=202103895</v>
      </c>
    </row>
    <row r="4429" spans="1:21" x14ac:dyDescent="0.2">
      <c r="A4429" s="3">
        <v>4428</v>
      </c>
      <c r="B4429" s="1" t="s">
        <v>5250</v>
      </c>
      <c r="D4429" s="1" t="s">
        <v>5280</v>
      </c>
      <c r="F4429" s="1" t="s">
        <v>5347</v>
      </c>
      <c r="H4429" s="1" t="s">
        <v>5348</v>
      </c>
      <c r="J4429" s="1" t="s">
        <v>5361</v>
      </c>
      <c r="L4429" s="1" t="s">
        <v>1897</v>
      </c>
      <c r="N4429" s="1" t="s">
        <v>1898</v>
      </c>
      <c r="P4429" s="1" t="s">
        <v>523</v>
      </c>
      <c r="Q4429" s="30" t="s">
        <v>2568</v>
      </c>
      <c r="R4429" s="33" t="s">
        <v>3474</v>
      </c>
      <c r="S4429">
        <v>35</v>
      </c>
      <c r="T4429" s="1" t="s">
        <v>5350</v>
      </c>
      <c r="U4429" s="1" t="str">
        <f>HYPERLINK("http://ictvonline.org/taxonomy/p/taxonomy-history?taxnode_id=202103896","ICTVonline=202103896")</f>
        <v>ICTVonline=202103896</v>
      </c>
    </row>
    <row r="4430" spans="1:21" x14ac:dyDescent="0.2">
      <c r="A4430" s="3">
        <v>4429</v>
      </c>
      <c r="B4430" s="1" t="s">
        <v>5250</v>
      </c>
      <c r="D4430" s="1" t="s">
        <v>5280</v>
      </c>
      <c r="F4430" s="1" t="s">
        <v>5347</v>
      </c>
      <c r="H4430" s="1" t="s">
        <v>5348</v>
      </c>
      <c r="J4430" s="1" t="s">
        <v>5361</v>
      </c>
      <c r="L4430" s="1" t="s">
        <v>1897</v>
      </c>
      <c r="N4430" s="1" t="s">
        <v>1900</v>
      </c>
      <c r="P4430" s="1" t="s">
        <v>2978</v>
      </c>
      <c r="Q4430" s="30" t="s">
        <v>2568</v>
      </c>
      <c r="R4430" s="33" t="s">
        <v>3474</v>
      </c>
      <c r="S4430">
        <v>35</v>
      </c>
      <c r="T4430" s="1" t="s">
        <v>5350</v>
      </c>
      <c r="U4430" s="1" t="str">
        <f>HYPERLINK("http://ictvonline.org/taxonomy/p/taxonomy-history?taxnode_id=202103898","ICTVonline=202103898")</f>
        <v>ICTVonline=202103898</v>
      </c>
    </row>
    <row r="4431" spans="1:21" x14ac:dyDescent="0.2">
      <c r="A4431" s="3">
        <v>4430</v>
      </c>
      <c r="B4431" s="1" t="s">
        <v>5250</v>
      </c>
      <c r="D4431" s="1" t="s">
        <v>5280</v>
      </c>
      <c r="F4431" s="1" t="s">
        <v>5347</v>
      </c>
      <c r="H4431" s="1" t="s">
        <v>5348</v>
      </c>
      <c r="J4431" s="1" t="s">
        <v>5361</v>
      </c>
      <c r="L4431" s="1" t="s">
        <v>1897</v>
      </c>
      <c r="N4431" s="1" t="s">
        <v>1900</v>
      </c>
      <c r="P4431" s="1" t="s">
        <v>6398</v>
      </c>
      <c r="Q4431" s="30" t="s">
        <v>2969</v>
      </c>
      <c r="R4431" s="33" t="s">
        <v>3472</v>
      </c>
      <c r="S4431">
        <v>36</v>
      </c>
      <c r="T4431" s="1" t="s">
        <v>6399</v>
      </c>
      <c r="U4431" s="1" t="str">
        <f>HYPERLINK("http://ictvonline.org/taxonomy/p/taxonomy-history?taxnode_id=202109658","ICTVonline=202109658")</f>
        <v>ICTVonline=202109658</v>
      </c>
    </row>
    <row r="4432" spans="1:21" x14ac:dyDescent="0.2">
      <c r="A4432" s="3">
        <v>4431</v>
      </c>
      <c r="B4432" s="1" t="s">
        <v>5250</v>
      </c>
      <c r="D4432" s="1" t="s">
        <v>5280</v>
      </c>
      <c r="F4432" s="1" t="s">
        <v>5347</v>
      </c>
      <c r="H4432" s="1" t="s">
        <v>5348</v>
      </c>
      <c r="J4432" s="1" t="s">
        <v>5361</v>
      </c>
      <c r="L4432" s="1" t="s">
        <v>1897</v>
      </c>
      <c r="N4432" s="1" t="s">
        <v>1900</v>
      </c>
      <c r="P4432" s="1" t="s">
        <v>99</v>
      </c>
      <c r="Q4432" s="30" t="s">
        <v>2568</v>
      </c>
      <c r="R4432" s="33" t="s">
        <v>3474</v>
      </c>
      <c r="S4432">
        <v>35</v>
      </c>
      <c r="T4432" s="1" t="s">
        <v>5350</v>
      </c>
      <c r="U4432" s="1" t="str">
        <f>HYPERLINK("http://ictvonline.org/taxonomy/p/taxonomy-history?taxnode_id=202103899","ICTVonline=202103899")</f>
        <v>ICTVonline=202103899</v>
      </c>
    </row>
    <row r="4433" spans="1:21" x14ac:dyDescent="0.2">
      <c r="A4433" s="3">
        <v>4432</v>
      </c>
      <c r="B4433" s="1" t="s">
        <v>5250</v>
      </c>
      <c r="D4433" s="1" t="s">
        <v>5280</v>
      </c>
      <c r="F4433" s="1" t="s">
        <v>5347</v>
      </c>
      <c r="H4433" s="1" t="s">
        <v>5348</v>
      </c>
      <c r="J4433" s="1" t="s">
        <v>5361</v>
      </c>
      <c r="L4433" s="1" t="s">
        <v>1897</v>
      </c>
      <c r="N4433" s="1" t="s">
        <v>1900</v>
      </c>
      <c r="P4433" s="1" t="s">
        <v>1501</v>
      </c>
      <c r="Q4433" s="30" t="s">
        <v>2568</v>
      </c>
      <c r="R4433" s="33" t="s">
        <v>3474</v>
      </c>
      <c r="S4433">
        <v>35</v>
      </c>
      <c r="T4433" s="1" t="s">
        <v>5350</v>
      </c>
      <c r="U4433" s="1" t="str">
        <f>HYPERLINK("http://ictvonline.org/taxonomy/p/taxonomy-history?taxnode_id=202103900","ICTVonline=202103900")</f>
        <v>ICTVonline=202103900</v>
      </c>
    </row>
    <row r="4434" spans="1:21" x14ac:dyDescent="0.2">
      <c r="A4434" s="3">
        <v>4433</v>
      </c>
      <c r="B4434" s="1" t="s">
        <v>5250</v>
      </c>
      <c r="D4434" s="1" t="s">
        <v>5280</v>
      </c>
      <c r="F4434" s="1" t="s">
        <v>5347</v>
      </c>
      <c r="H4434" s="1" t="s">
        <v>5348</v>
      </c>
      <c r="J4434" s="1" t="s">
        <v>5361</v>
      </c>
      <c r="L4434" s="1" t="s">
        <v>1897</v>
      </c>
      <c r="N4434" s="1" t="s">
        <v>1900</v>
      </c>
      <c r="P4434" s="1" t="s">
        <v>2118</v>
      </c>
      <c r="Q4434" s="30" t="s">
        <v>2568</v>
      </c>
      <c r="R4434" s="33" t="s">
        <v>3474</v>
      </c>
      <c r="S4434">
        <v>35</v>
      </c>
      <c r="T4434" s="1" t="s">
        <v>5350</v>
      </c>
      <c r="U4434" s="1" t="str">
        <f>HYPERLINK("http://ictvonline.org/taxonomy/p/taxonomy-history?taxnode_id=202103901","ICTVonline=202103901")</f>
        <v>ICTVonline=202103901</v>
      </c>
    </row>
    <row r="4435" spans="1:21" x14ac:dyDescent="0.2">
      <c r="A4435" s="3">
        <v>4434</v>
      </c>
      <c r="B4435" s="1" t="s">
        <v>5250</v>
      </c>
      <c r="D4435" s="1" t="s">
        <v>5280</v>
      </c>
      <c r="F4435" s="1" t="s">
        <v>5347</v>
      </c>
      <c r="H4435" s="1" t="s">
        <v>5348</v>
      </c>
      <c r="J4435" s="1" t="s">
        <v>5361</v>
      </c>
      <c r="L4435" s="1" t="s">
        <v>1897</v>
      </c>
      <c r="N4435" s="1" t="s">
        <v>1900</v>
      </c>
      <c r="P4435" s="1" t="s">
        <v>994</v>
      </c>
      <c r="Q4435" s="30" t="s">
        <v>2568</v>
      </c>
      <c r="R4435" s="33" t="s">
        <v>3474</v>
      </c>
      <c r="S4435">
        <v>35</v>
      </c>
      <c r="T4435" s="1" t="s">
        <v>5350</v>
      </c>
      <c r="U4435" s="1" t="str">
        <f>HYPERLINK("http://ictvonline.org/taxonomy/p/taxonomy-history?taxnode_id=202103902","ICTVonline=202103902")</f>
        <v>ICTVonline=202103902</v>
      </c>
    </row>
    <row r="4436" spans="1:21" x14ac:dyDescent="0.2">
      <c r="A4436" s="3">
        <v>4435</v>
      </c>
      <c r="B4436" s="1" t="s">
        <v>5250</v>
      </c>
      <c r="D4436" s="1" t="s">
        <v>5280</v>
      </c>
      <c r="F4436" s="1" t="s">
        <v>5347</v>
      </c>
      <c r="H4436" s="1" t="s">
        <v>5348</v>
      </c>
      <c r="J4436" s="1" t="s">
        <v>5361</v>
      </c>
      <c r="L4436" s="1" t="s">
        <v>1897</v>
      </c>
      <c r="N4436" s="1" t="s">
        <v>1900</v>
      </c>
      <c r="P4436" s="1" t="s">
        <v>6400</v>
      </c>
      <c r="Q4436" s="30" t="s">
        <v>2969</v>
      </c>
      <c r="R4436" s="33" t="s">
        <v>3472</v>
      </c>
      <c r="S4436">
        <v>36</v>
      </c>
      <c r="T4436" s="1" t="s">
        <v>6399</v>
      </c>
      <c r="U4436" s="1" t="str">
        <f>HYPERLINK("http://ictvonline.org/taxonomy/p/taxonomy-history?taxnode_id=202109659","ICTVonline=202109659")</f>
        <v>ICTVonline=202109659</v>
      </c>
    </row>
    <row r="4437" spans="1:21" x14ac:dyDescent="0.2">
      <c r="A4437" s="3">
        <v>4436</v>
      </c>
      <c r="B4437" s="1" t="s">
        <v>5250</v>
      </c>
      <c r="D4437" s="1" t="s">
        <v>5280</v>
      </c>
      <c r="F4437" s="1" t="s">
        <v>5347</v>
      </c>
      <c r="H4437" s="1" t="s">
        <v>5348</v>
      </c>
      <c r="J4437" s="1" t="s">
        <v>5361</v>
      </c>
      <c r="L4437" s="1" t="s">
        <v>1897</v>
      </c>
      <c r="N4437" s="1" t="s">
        <v>1900</v>
      </c>
      <c r="P4437" s="1" t="s">
        <v>100</v>
      </c>
      <c r="Q4437" s="30" t="s">
        <v>2568</v>
      </c>
      <c r="R4437" s="33" t="s">
        <v>3474</v>
      </c>
      <c r="S4437">
        <v>35</v>
      </c>
      <c r="T4437" s="1" t="s">
        <v>5350</v>
      </c>
      <c r="U4437" s="1" t="str">
        <f>HYPERLINK("http://ictvonline.org/taxonomy/p/taxonomy-history?taxnode_id=202103903","ICTVonline=202103903")</f>
        <v>ICTVonline=202103903</v>
      </c>
    </row>
    <row r="4438" spans="1:21" x14ac:dyDescent="0.2">
      <c r="A4438" s="3">
        <v>4437</v>
      </c>
      <c r="B4438" s="1" t="s">
        <v>5250</v>
      </c>
      <c r="D4438" s="1" t="s">
        <v>5280</v>
      </c>
      <c r="F4438" s="1" t="s">
        <v>5347</v>
      </c>
      <c r="H4438" s="1" t="s">
        <v>5348</v>
      </c>
      <c r="J4438" s="1" t="s">
        <v>5361</v>
      </c>
      <c r="L4438" s="1" t="s">
        <v>1897</v>
      </c>
      <c r="N4438" s="1" t="s">
        <v>1900</v>
      </c>
      <c r="P4438" s="1" t="s">
        <v>2979</v>
      </c>
      <c r="Q4438" s="30" t="s">
        <v>2568</v>
      </c>
      <c r="R4438" s="33" t="s">
        <v>3474</v>
      </c>
      <c r="S4438">
        <v>35</v>
      </c>
      <c r="T4438" s="1" t="s">
        <v>5350</v>
      </c>
      <c r="U4438" s="1" t="str">
        <f>HYPERLINK("http://ictvonline.org/taxonomy/p/taxonomy-history?taxnode_id=202103904","ICTVonline=202103904")</f>
        <v>ICTVonline=202103904</v>
      </c>
    </row>
    <row r="4439" spans="1:21" x14ac:dyDescent="0.2">
      <c r="A4439" s="3">
        <v>4438</v>
      </c>
      <c r="B4439" s="1" t="s">
        <v>5250</v>
      </c>
      <c r="D4439" s="1" t="s">
        <v>5280</v>
      </c>
      <c r="F4439" s="1" t="s">
        <v>5347</v>
      </c>
      <c r="H4439" s="1" t="s">
        <v>5348</v>
      </c>
      <c r="J4439" s="1" t="s">
        <v>5361</v>
      </c>
      <c r="L4439" s="1" t="s">
        <v>1897</v>
      </c>
      <c r="N4439" s="1" t="s">
        <v>1900</v>
      </c>
      <c r="P4439" s="1" t="s">
        <v>6401</v>
      </c>
      <c r="Q4439" s="30" t="s">
        <v>2969</v>
      </c>
      <c r="R4439" s="33" t="s">
        <v>3472</v>
      </c>
      <c r="S4439">
        <v>36</v>
      </c>
      <c r="T4439" s="1" t="s">
        <v>6399</v>
      </c>
      <c r="U4439" s="1" t="str">
        <f>HYPERLINK("http://ictvonline.org/taxonomy/p/taxonomy-history?taxnode_id=202109660","ICTVonline=202109660")</f>
        <v>ICTVonline=202109660</v>
      </c>
    </row>
    <row r="4440" spans="1:21" x14ac:dyDescent="0.2">
      <c r="A4440" s="3">
        <v>4439</v>
      </c>
      <c r="B4440" s="1" t="s">
        <v>5250</v>
      </c>
      <c r="D4440" s="1" t="s">
        <v>5280</v>
      </c>
      <c r="F4440" s="1" t="s">
        <v>5347</v>
      </c>
      <c r="H4440" s="1" t="s">
        <v>5348</v>
      </c>
      <c r="J4440" s="1" t="s">
        <v>5361</v>
      </c>
      <c r="L4440" s="1" t="s">
        <v>1897</v>
      </c>
      <c r="N4440" s="1" t="s">
        <v>1900</v>
      </c>
      <c r="P4440" s="1" t="s">
        <v>995</v>
      </c>
      <c r="Q4440" s="30" t="s">
        <v>2568</v>
      </c>
      <c r="R4440" s="33" t="s">
        <v>8665</v>
      </c>
      <c r="S4440">
        <v>36</v>
      </c>
      <c r="T4440" s="1" t="s">
        <v>8661</v>
      </c>
      <c r="U4440" s="1" t="str">
        <f>HYPERLINK("http://ictvonline.org/taxonomy/p/taxonomy-history?taxnode_id=202103905","ICTVonline=202103905")</f>
        <v>ICTVonline=202103905</v>
      </c>
    </row>
    <row r="4441" spans="1:21" x14ac:dyDescent="0.2">
      <c r="A4441" s="3">
        <v>4440</v>
      </c>
      <c r="B4441" s="1" t="s">
        <v>5250</v>
      </c>
      <c r="D4441" s="1" t="s">
        <v>5280</v>
      </c>
      <c r="F4441" s="1" t="s">
        <v>5347</v>
      </c>
      <c r="H4441" s="1" t="s">
        <v>5348</v>
      </c>
      <c r="J4441" s="1" t="s">
        <v>5362</v>
      </c>
      <c r="L4441" s="1" t="s">
        <v>5363</v>
      </c>
      <c r="N4441" s="1" t="s">
        <v>5364</v>
      </c>
      <c r="P4441" s="1" t="s">
        <v>5365</v>
      </c>
      <c r="Q4441" s="30" t="s">
        <v>2568</v>
      </c>
      <c r="R4441" s="33" t="s">
        <v>8665</v>
      </c>
      <c r="S4441">
        <v>36</v>
      </c>
      <c r="T4441" s="1" t="s">
        <v>8661</v>
      </c>
      <c r="U4441" s="1" t="str">
        <f>HYPERLINK("http://ictvonline.org/taxonomy/p/taxonomy-history?taxnode_id=202107364","ICTVonline=202107364")</f>
        <v>ICTVonline=202107364</v>
      </c>
    </row>
    <row r="4442" spans="1:21" x14ac:dyDescent="0.2">
      <c r="A4442" s="3">
        <v>4441</v>
      </c>
      <c r="B4442" s="1" t="s">
        <v>5250</v>
      </c>
      <c r="D4442" s="1" t="s">
        <v>5280</v>
      </c>
      <c r="F4442" s="1" t="s">
        <v>5347</v>
      </c>
      <c r="H4442" s="1" t="s">
        <v>5348</v>
      </c>
      <c r="J4442" s="1" t="s">
        <v>5362</v>
      </c>
      <c r="L4442" s="1" t="s">
        <v>5363</v>
      </c>
      <c r="N4442" s="1" t="s">
        <v>5364</v>
      </c>
      <c r="P4442" s="1" t="s">
        <v>5367</v>
      </c>
      <c r="Q4442" s="30" t="s">
        <v>2568</v>
      </c>
      <c r="R4442" s="33" t="s">
        <v>3472</v>
      </c>
      <c r="S4442">
        <v>35</v>
      </c>
      <c r="T4442" s="1" t="s">
        <v>5366</v>
      </c>
      <c r="U4442" s="1" t="str">
        <f>HYPERLINK("http://ictvonline.org/taxonomy/p/taxonomy-history?taxnode_id=202107365","ICTVonline=202107365")</f>
        <v>ICTVonline=202107365</v>
      </c>
    </row>
    <row r="4443" spans="1:21" x14ac:dyDescent="0.2">
      <c r="A4443" s="3">
        <v>4442</v>
      </c>
      <c r="B4443" s="1" t="s">
        <v>5250</v>
      </c>
      <c r="D4443" s="1" t="s">
        <v>5280</v>
      </c>
      <c r="F4443" s="1" t="s">
        <v>5347</v>
      </c>
      <c r="H4443" s="1" t="s">
        <v>5348</v>
      </c>
      <c r="J4443" s="1" t="s">
        <v>12737</v>
      </c>
      <c r="L4443" s="1" t="s">
        <v>12738</v>
      </c>
      <c r="N4443" s="1" t="s">
        <v>12739</v>
      </c>
      <c r="P4443" s="1" t="s">
        <v>12740</v>
      </c>
      <c r="Q4443" s="30" t="s">
        <v>2891</v>
      </c>
      <c r="R4443" s="33" t="s">
        <v>3472</v>
      </c>
      <c r="S4443">
        <v>37</v>
      </c>
      <c r="T4443" s="1" t="s">
        <v>13990</v>
      </c>
      <c r="U4443" s="1" t="str">
        <f>HYPERLINK("http://ictvonline.org/taxonomy/p/taxonomy-history?taxnode_id=202113285","ICTVonline=202113285")</f>
        <v>ICTVonline=202113285</v>
      </c>
    </row>
    <row r="4444" spans="1:21" x14ac:dyDescent="0.2">
      <c r="A4444" s="3">
        <v>4443</v>
      </c>
      <c r="B4444" s="1" t="s">
        <v>5250</v>
      </c>
      <c r="D4444" s="1" t="s">
        <v>5280</v>
      </c>
      <c r="F4444" s="1" t="s">
        <v>5347</v>
      </c>
      <c r="H4444" s="1" t="s">
        <v>5348</v>
      </c>
      <c r="J4444" s="1" t="s">
        <v>12737</v>
      </c>
      <c r="L4444" s="1" t="s">
        <v>12738</v>
      </c>
      <c r="N4444" s="1" t="s">
        <v>12741</v>
      </c>
      <c r="P4444" s="1" t="s">
        <v>12742</v>
      </c>
      <c r="Q4444" s="30" t="s">
        <v>2891</v>
      </c>
      <c r="R4444" s="33" t="s">
        <v>3472</v>
      </c>
      <c r="S4444">
        <v>37</v>
      </c>
      <c r="T4444" s="1" t="s">
        <v>13990</v>
      </c>
      <c r="U4444" s="1" t="str">
        <f>HYPERLINK("http://ictvonline.org/taxonomy/p/taxonomy-history?taxnode_id=202113287","ICTVonline=202113287")</f>
        <v>ICTVonline=202113287</v>
      </c>
    </row>
    <row r="4445" spans="1:21" x14ac:dyDescent="0.2">
      <c r="A4445" s="3">
        <v>4444</v>
      </c>
      <c r="B4445" s="1" t="s">
        <v>5250</v>
      </c>
      <c r="D4445" s="1" t="s">
        <v>5280</v>
      </c>
      <c r="F4445" s="1" t="s">
        <v>5347</v>
      </c>
      <c r="H4445" s="1" t="s">
        <v>5348</v>
      </c>
      <c r="J4445" s="1" t="s">
        <v>12737</v>
      </c>
      <c r="L4445" s="1" t="s">
        <v>12738</v>
      </c>
      <c r="N4445" s="1" t="s">
        <v>12743</v>
      </c>
      <c r="P4445" s="1" t="s">
        <v>12744</v>
      </c>
      <c r="Q4445" s="30" t="s">
        <v>2891</v>
      </c>
      <c r="R4445" s="33" t="s">
        <v>3472</v>
      </c>
      <c r="S4445">
        <v>37</v>
      </c>
      <c r="T4445" s="1" t="s">
        <v>13990</v>
      </c>
      <c r="U4445" s="1" t="str">
        <f>HYPERLINK("http://ictvonline.org/taxonomy/p/taxonomy-history?taxnode_id=202113290","ICTVonline=202113290")</f>
        <v>ICTVonline=202113290</v>
      </c>
    </row>
    <row r="4446" spans="1:21" x14ac:dyDescent="0.2">
      <c r="A4446" s="3">
        <v>4445</v>
      </c>
      <c r="B4446" s="1" t="s">
        <v>5250</v>
      </c>
      <c r="D4446" s="1" t="s">
        <v>5280</v>
      </c>
      <c r="F4446" s="1" t="s">
        <v>5347</v>
      </c>
      <c r="H4446" s="1" t="s">
        <v>5348</v>
      </c>
      <c r="J4446" s="1" t="s">
        <v>12737</v>
      </c>
      <c r="L4446" s="1" t="s">
        <v>12738</v>
      </c>
      <c r="N4446" s="1" t="s">
        <v>12743</v>
      </c>
      <c r="P4446" s="1" t="s">
        <v>12745</v>
      </c>
      <c r="Q4446" s="30" t="s">
        <v>2891</v>
      </c>
      <c r="R4446" s="33" t="s">
        <v>3472</v>
      </c>
      <c r="S4446">
        <v>37</v>
      </c>
      <c r="T4446" s="1" t="s">
        <v>13990</v>
      </c>
      <c r="U4446" s="1" t="str">
        <f>HYPERLINK("http://ictvonline.org/taxonomy/p/taxonomy-history?taxnode_id=202113289","ICTVonline=202113289")</f>
        <v>ICTVonline=202113289</v>
      </c>
    </row>
    <row r="4447" spans="1:21" x14ac:dyDescent="0.2">
      <c r="A4447" s="3">
        <v>4446</v>
      </c>
      <c r="B4447" s="1" t="s">
        <v>5250</v>
      </c>
      <c r="D4447" s="1" t="s">
        <v>5280</v>
      </c>
      <c r="F4447" s="1" t="s">
        <v>5347</v>
      </c>
      <c r="H4447" s="1" t="s">
        <v>5348</v>
      </c>
      <c r="J4447" s="1" t="s">
        <v>12737</v>
      </c>
      <c r="L4447" s="1" t="s">
        <v>12738</v>
      </c>
      <c r="N4447" s="1" t="s">
        <v>12746</v>
      </c>
      <c r="P4447" s="1" t="s">
        <v>12747</v>
      </c>
      <c r="Q4447" s="30" t="s">
        <v>2891</v>
      </c>
      <c r="R4447" s="33" t="s">
        <v>3472</v>
      </c>
      <c r="S4447">
        <v>37</v>
      </c>
      <c r="T4447" s="1" t="s">
        <v>13990</v>
      </c>
      <c r="U4447" s="1" t="str">
        <f>HYPERLINK("http://ictvonline.org/taxonomy/p/taxonomy-history?taxnode_id=202113292","ICTVonline=202113292")</f>
        <v>ICTVonline=202113292</v>
      </c>
    </row>
    <row r="4448" spans="1:21" x14ac:dyDescent="0.2">
      <c r="A4448" s="3">
        <v>4447</v>
      </c>
      <c r="B4448" s="1" t="s">
        <v>5250</v>
      </c>
      <c r="D4448" s="1" t="s">
        <v>5280</v>
      </c>
      <c r="F4448" s="1" t="s">
        <v>5347</v>
      </c>
      <c r="H4448" s="1" t="s">
        <v>5348</v>
      </c>
      <c r="J4448" s="1" t="s">
        <v>12748</v>
      </c>
      <c r="L4448" s="1" t="s">
        <v>12749</v>
      </c>
      <c r="N4448" s="1" t="s">
        <v>12750</v>
      </c>
      <c r="P4448" s="1" t="s">
        <v>12751</v>
      </c>
      <c r="Q4448" s="30" t="s">
        <v>2891</v>
      </c>
      <c r="R4448" s="33" t="s">
        <v>3472</v>
      </c>
      <c r="S4448">
        <v>37</v>
      </c>
      <c r="T4448" s="1" t="s">
        <v>13990</v>
      </c>
      <c r="U4448" s="1" t="str">
        <f>HYPERLINK("http://ictvonline.org/taxonomy/p/taxonomy-history?taxnode_id=202113296","ICTVonline=202113296")</f>
        <v>ICTVonline=202113296</v>
      </c>
    </row>
    <row r="4449" spans="1:21" x14ac:dyDescent="0.2">
      <c r="A4449" s="3">
        <v>4448</v>
      </c>
      <c r="B4449" s="1" t="s">
        <v>5250</v>
      </c>
      <c r="D4449" s="1" t="s">
        <v>5280</v>
      </c>
      <c r="F4449" s="1" t="s">
        <v>5347</v>
      </c>
      <c r="H4449" s="1" t="s">
        <v>5348</v>
      </c>
      <c r="J4449" s="1" t="s">
        <v>12748</v>
      </c>
      <c r="L4449" s="1" t="s">
        <v>12749</v>
      </c>
      <c r="N4449" s="1" t="s">
        <v>12752</v>
      </c>
      <c r="P4449" s="1" t="s">
        <v>12753</v>
      </c>
      <c r="Q4449" s="30" t="s">
        <v>2891</v>
      </c>
      <c r="R4449" s="33" t="s">
        <v>3472</v>
      </c>
      <c r="S4449">
        <v>37</v>
      </c>
      <c r="T4449" s="1" t="s">
        <v>13990</v>
      </c>
      <c r="U4449" s="1" t="str">
        <f>HYPERLINK("http://ictvonline.org/taxonomy/p/taxonomy-history?taxnode_id=202113298","ICTVonline=202113298")</f>
        <v>ICTVonline=202113298</v>
      </c>
    </row>
    <row r="4450" spans="1:21" x14ac:dyDescent="0.2">
      <c r="A4450" s="3">
        <v>4449</v>
      </c>
      <c r="B4450" s="1" t="s">
        <v>5250</v>
      </c>
      <c r="D4450" s="1" t="s">
        <v>5280</v>
      </c>
      <c r="F4450" s="1" t="s">
        <v>5347</v>
      </c>
      <c r="H4450" s="1" t="s">
        <v>5348</v>
      </c>
      <c r="J4450" s="1" t="s">
        <v>12748</v>
      </c>
      <c r="L4450" s="1" t="s">
        <v>12749</v>
      </c>
      <c r="N4450" s="1" t="s">
        <v>12754</v>
      </c>
      <c r="P4450" s="1" t="s">
        <v>12755</v>
      </c>
      <c r="Q4450" s="30" t="s">
        <v>2891</v>
      </c>
      <c r="R4450" s="33" t="s">
        <v>3472</v>
      </c>
      <c r="S4450">
        <v>37</v>
      </c>
      <c r="T4450" s="1" t="s">
        <v>13990</v>
      </c>
      <c r="U4450" s="1" t="str">
        <f>HYPERLINK("http://ictvonline.org/taxonomy/p/taxonomy-history?taxnode_id=202113300","ICTVonline=202113300")</f>
        <v>ICTVonline=202113300</v>
      </c>
    </row>
    <row r="4451" spans="1:21" x14ac:dyDescent="0.2">
      <c r="A4451" s="3">
        <v>4450</v>
      </c>
      <c r="B4451" s="1" t="s">
        <v>5250</v>
      </c>
      <c r="D4451" s="1" t="s">
        <v>5280</v>
      </c>
      <c r="F4451" s="1" t="s">
        <v>5347</v>
      </c>
      <c r="H4451" s="1" t="s">
        <v>5348</v>
      </c>
      <c r="J4451" s="1" t="s">
        <v>12748</v>
      </c>
      <c r="L4451" s="1" t="s">
        <v>12749</v>
      </c>
      <c r="N4451" s="1" t="s">
        <v>12756</v>
      </c>
      <c r="P4451" s="1" t="s">
        <v>12757</v>
      </c>
      <c r="Q4451" s="30" t="s">
        <v>2891</v>
      </c>
      <c r="R4451" s="33" t="s">
        <v>3472</v>
      </c>
      <c r="S4451">
        <v>37</v>
      </c>
      <c r="T4451" s="1" t="s">
        <v>13990</v>
      </c>
      <c r="U4451" s="1" t="str">
        <f>HYPERLINK("http://ictvonline.org/taxonomy/p/taxonomy-history?taxnode_id=202113302","ICTVonline=202113302")</f>
        <v>ICTVonline=202113302</v>
      </c>
    </row>
    <row r="4452" spans="1:21" x14ac:dyDescent="0.2">
      <c r="A4452" s="3">
        <v>4451</v>
      </c>
      <c r="B4452" s="1" t="s">
        <v>5250</v>
      </c>
      <c r="D4452" s="1" t="s">
        <v>5280</v>
      </c>
      <c r="F4452" s="1" t="s">
        <v>5347</v>
      </c>
      <c r="H4452" s="1" t="s">
        <v>5348</v>
      </c>
      <c r="J4452" s="1" t="s">
        <v>12748</v>
      </c>
      <c r="L4452" s="1" t="s">
        <v>12749</v>
      </c>
      <c r="N4452" s="1" t="s">
        <v>12758</v>
      </c>
      <c r="P4452" s="1" t="s">
        <v>12759</v>
      </c>
      <c r="Q4452" s="30" t="s">
        <v>2891</v>
      </c>
      <c r="R4452" s="33" t="s">
        <v>3472</v>
      </c>
      <c r="S4452">
        <v>37</v>
      </c>
      <c r="T4452" s="1" t="s">
        <v>13990</v>
      </c>
      <c r="U4452" s="1" t="str">
        <f>HYPERLINK("http://ictvonline.org/taxonomy/p/taxonomy-history?taxnode_id=202113304","ICTVonline=202113304")</f>
        <v>ICTVonline=202113304</v>
      </c>
    </row>
    <row r="4453" spans="1:21" x14ac:dyDescent="0.2">
      <c r="A4453" s="3">
        <v>4452</v>
      </c>
      <c r="B4453" s="1" t="s">
        <v>5250</v>
      </c>
      <c r="D4453" s="1" t="s">
        <v>5280</v>
      </c>
      <c r="F4453" s="1" t="s">
        <v>5347</v>
      </c>
      <c r="H4453" s="1" t="s">
        <v>5348</v>
      </c>
      <c r="J4453" s="1" t="s">
        <v>12748</v>
      </c>
      <c r="L4453" s="1" t="s">
        <v>12749</v>
      </c>
      <c r="N4453" s="1" t="s">
        <v>12758</v>
      </c>
      <c r="P4453" s="1" t="s">
        <v>12760</v>
      </c>
      <c r="Q4453" s="30" t="s">
        <v>2891</v>
      </c>
      <c r="R4453" s="33" t="s">
        <v>3472</v>
      </c>
      <c r="S4453">
        <v>37</v>
      </c>
      <c r="T4453" s="1" t="s">
        <v>13990</v>
      </c>
      <c r="U4453" s="1" t="str">
        <f>HYPERLINK("http://ictvonline.org/taxonomy/p/taxonomy-history?taxnode_id=202113305","ICTVonline=202113305")</f>
        <v>ICTVonline=202113305</v>
      </c>
    </row>
    <row r="4454" spans="1:21" x14ac:dyDescent="0.2">
      <c r="A4454" s="3">
        <v>4453</v>
      </c>
      <c r="B4454" s="1" t="s">
        <v>5250</v>
      </c>
      <c r="D4454" s="1" t="s">
        <v>5280</v>
      </c>
      <c r="F4454" s="1" t="s">
        <v>5347</v>
      </c>
      <c r="H4454" s="1" t="s">
        <v>5368</v>
      </c>
      <c r="J4454" s="1" t="s">
        <v>5369</v>
      </c>
      <c r="L4454" s="1" t="s">
        <v>1955</v>
      </c>
      <c r="N4454" s="1" t="s">
        <v>2092</v>
      </c>
      <c r="P4454" s="1" t="s">
        <v>2012</v>
      </c>
      <c r="Q4454" s="30" t="s">
        <v>2568</v>
      </c>
      <c r="R4454" s="33" t="s">
        <v>8665</v>
      </c>
      <c r="S4454">
        <v>36</v>
      </c>
      <c r="T4454" s="1" t="s">
        <v>8661</v>
      </c>
      <c r="U4454" s="1" t="str">
        <f>HYPERLINK("http://ictvonline.org/taxonomy/p/taxonomy-history?taxnode_id=202103172","ICTVonline=202103172")</f>
        <v>ICTVonline=202103172</v>
      </c>
    </row>
    <row r="4455" spans="1:21" x14ac:dyDescent="0.2">
      <c r="A4455" s="3">
        <v>4454</v>
      </c>
      <c r="B4455" s="1" t="s">
        <v>5250</v>
      </c>
      <c r="D4455" s="1" t="s">
        <v>5280</v>
      </c>
      <c r="F4455" s="1" t="s">
        <v>5347</v>
      </c>
      <c r="H4455" s="1" t="s">
        <v>5368</v>
      </c>
      <c r="J4455" s="1" t="s">
        <v>5369</v>
      </c>
      <c r="L4455" s="1" t="s">
        <v>1955</v>
      </c>
      <c r="N4455" s="1" t="s">
        <v>2092</v>
      </c>
      <c r="P4455" s="1" t="s">
        <v>4822</v>
      </c>
      <c r="Q4455" s="30" t="s">
        <v>2568</v>
      </c>
      <c r="R4455" s="33" t="s">
        <v>3474</v>
      </c>
      <c r="S4455">
        <v>35</v>
      </c>
      <c r="T4455" s="1" t="s">
        <v>5350</v>
      </c>
      <c r="U4455" s="1" t="str">
        <f>HYPERLINK("http://ictvonline.org/taxonomy/p/taxonomy-history?taxnode_id=202106688","ICTVonline=202106688")</f>
        <v>ICTVonline=202106688</v>
      </c>
    </row>
    <row r="4456" spans="1:21" x14ac:dyDescent="0.2">
      <c r="A4456" s="3">
        <v>4455</v>
      </c>
      <c r="B4456" s="1" t="s">
        <v>5250</v>
      </c>
      <c r="D4456" s="1" t="s">
        <v>5280</v>
      </c>
      <c r="F4456" s="1" t="s">
        <v>5347</v>
      </c>
      <c r="H4456" s="1" t="s">
        <v>5368</v>
      </c>
      <c r="J4456" s="1" t="s">
        <v>5369</v>
      </c>
      <c r="L4456" s="1" t="s">
        <v>1955</v>
      </c>
      <c r="N4456" s="1" t="s">
        <v>2092</v>
      </c>
      <c r="P4456" s="1" t="s">
        <v>2093</v>
      </c>
      <c r="Q4456" s="30" t="s">
        <v>2568</v>
      </c>
      <c r="R4456" s="33" t="s">
        <v>3474</v>
      </c>
      <c r="S4456">
        <v>35</v>
      </c>
      <c r="T4456" s="1" t="s">
        <v>5350</v>
      </c>
      <c r="U4456" s="1" t="str">
        <f>HYPERLINK("http://ictvonline.org/taxonomy/p/taxonomy-history?taxnode_id=202103173","ICTVonline=202103173")</f>
        <v>ICTVonline=202103173</v>
      </c>
    </row>
    <row r="4457" spans="1:21" x14ac:dyDescent="0.2">
      <c r="A4457" s="3">
        <v>4456</v>
      </c>
      <c r="B4457" s="1" t="s">
        <v>5250</v>
      </c>
      <c r="D4457" s="1" t="s">
        <v>5280</v>
      </c>
      <c r="F4457" s="1" t="s">
        <v>5347</v>
      </c>
      <c r="H4457" s="1" t="s">
        <v>5368</v>
      </c>
      <c r="J4457" s="1" t="s">
        <v>5369</v>
      </c>
      <c r="L4457" s="1" t="s">
        <v>1955</v>
      </c>
      <c r="N4457" s="1" t="s">
        <v>1956</v>
      </c>
      <c r="P4457" s="1" t="s">
        <v>2905</v>
      </c>
      <c r="Q4457" s="30" t="s">
        <v>2568</v>
      </c>
      <c r="R4457" s="33" t="s">
        <v>3474</v>
      </c>
      <c r="S4457">
        <v>35</v>
      </c>
      <c r="T4457" s="1" t="s">
        <v>5350</v>
      </c>
      <c r="U4457" s="1" t="str">
        <f>HYPERLINK("http://ictvonline.org/taxonomy/p/taxonomy-history?taxnode_id=202103175","ICTVonline=202103175")</f>
        <v>ICTVonline=202103175</v>
      </c>
    </row>
    <row r="4458" spans="1:21" x14ac:dyDescent="0.2">
      <c r="A4458" s="3">
        <v>4457</v>
      </c>
      <c r="B4458" s="1" t="s">
        <v>5250</v>
      </c>
      <c r="D4458" s="1" t="s">
        <v>5280</v>
      </c>
      <c r="F4458" s="1" t="s">
        <v>5347</v>
      </c>
      <c r="H4458" s="1" t="s">
        <v>5368</v>
      </c>
      <c r="J4458" s="1" t="s">
        <v>5369</v>
      </c>
      <c r="L4458" s="1" t="s">
        <v>1955</v>
      </c>
      <c r="N4458" s="1" t="s">
        <v>1956</v>
      </c>
      <c r="P4458" s="1" t="s">
        <v>2228</v>
      </c>
      <c r="Q4458" s="30" t="s">
        <v>2568</v>
      </c>
      <c r="R4458" s="33" t="s">
        <v>3474</v>
      </c>
      <c r="S4458">
        <v>35</v>
      </c>
      <c r="T4458" s="1" t="s">
        <v>5350</v>
      </c>
      <c r="U4458" s="1" t="str">
        <f>HYPERLINK("http://ictvonline.org/taxonomy/p/taxonomy-history?taxnode_id=202103176","ICTVonline=202103176")</f>
        <v>ICTVonline=202103176</v>
      </c>
    </row>
    <row r="4459" spans="1:21" x14ac:dyDescent="0.2">
      <c r="A4459" s="3">
        <v>4458</v>
      </c>
      <c r="B4459" s="1" t="s">
        <v>5250</v>
      </c>
      <c r="D4459" s="1" t="s">
        <v>5280</v>
      </c>
      <c r="F4459" s="1" t="s">
        <v>5347</v>
      </c>
      <c r="H4459" s="1" t="s">
        <v>5368</v>
      </c>
      <c r="J4459" s="1" t="s">
        <v>5369</v>
      </c>
      <c r="L4459" s="1" t="s">
        <v>1955</v>
      </c>
      <c r="N4459" s="1" t="s">
        <v>1956</v>
      </c>
      <c r="P4459" s="1" t="s">
        <v>2229</v>
      </c>
      <c r="Q4459" s="30" t="s">
        <v>2568</v>
      </c>
      <c r="R4459" s="33" t="s">
        <v>3474</v>
      </c>
      <c r="S4459">
        <v>35</v>
      </c>
      <c r="T4459" s="1" t="s">
        <v>5350</v>
      </c>
      <c r="U4459" s="1" t="str">
        <f>HYPERLINK("http://ictvonline.org/taxonomy/p/taxonomy-history?taxnode_id=202103177","ICTVonline=202103177")</f>
        <v>ICTVonline=202103177</v>
      </c>
    </row>
    <row r="4460" spans="1:21" x14ac:dyDescent="0.2">
      <c r="A4460" s="3">
        <v>4459</v>
      </c>
      <c r="B4460" s="1" t="s">
        <v>5250</v>
      </c>
      <c r="D4460" s="1" t="s">
        <v>5280</v>
      </c>
      <c r="F4460" s="1" t="s">
        <v>5347</v>
      </c>
      <c r="H4460" s="1" t="s">
        <v>5368</v>
      </c>
      <c r="J4460" s="1" t="s">
        <v>5369</v>
      </c>
      <c r="L4460" s="1" t="s">
        <v>1955</v>
      </c>
      <c r="N4460" s="1" t="s">
        <v>1956</v>
      </c>
      <c r="P4460" s="1" t="s">
        <v>1957</v>
      </c>
      <c r="Q4460" s="30" t="s">
        <v>2568</v>
      </c>
      <c r="R4460" s="33" t="s">
        <v>3474</v>
      </c>
      <c r="S4460">
        <v>35</v>
      </c>
      <c r="T4460" s="1" t="s">
        <v>5350</v>
      </c>
      <c r="U4460" s="1" t="str">
        <f>HYPERLINK("http://ictvonline.org/taxonomy/p/taxonomy-history?taxnode_id=202103178","ICTVonline=202103178")</f>
        <v>ICTVonline=202103178</v>
      </c>
    </row>
    <row r="4461" spans="1:21" x14ac:dyDescent="0.2">
      <c r="A4461" s="3">
        <v>4460</v>
      </c>
      <c r="B4461" s="1" t="s">
        <v>5250</v>
      </c>
      <c r="D4461" s="1" t="s">
        <v>5280</v>
      </c>
      <c r="F4461" s="1" t="s">
        <v>5347</v>
      </c>
      <c r="H4461" s="1" t="s">
        <v>5368</v>
      </c>
      <c r="J4461" s="1" t="s">
        <v>5369</v>
      </c>
      <c r="L4461" s="1" t="s">
        <v>1955</v>
      </c>
      <c r="N4461" s="1" t="s">
        <v>1956</v>
      </c>
      <c r="P4461" s="1" t="s">
        <v>4823</v>
      </c>
      <c r="Q4461" s="30" t="s">
        <v>2568</v>
      </c>
      <c r="R4461" s="33" t="s">
        <v>3474</v>
      </c>
      <c r="S4461">
        <v>35</v>
      </c>
      <c r="T4461" s="1" t="s">
        <v>5350</v>
      </c>
      <c r="U4461" s="1" t="str">
        <f>HYPERLINK("http://ictvonline.org/taxonomy/p/taxonomy-history?taxnode_id=202106693","ICTVonline=202106693")</f>
        <v>ICTVonline=202106693</v>
      </c>
    </row>
    <row r="4462" spans="1:21" x14ac:dyDescent="0.2">
      <c r="A4462" s="3">
        <v>4461</v>
      </c>
      <c r="B4462" s="1" t="s">
        <v>5250</v>
      </c>
      <c r="D4462" s="1" t="s">
        <v>5280</v>
      </c>
      <c r="F4462" s="1" t="s">
        <v>5347</v>
      </c>
      <c r="H4462" s="1" t="s">
        <v>5368</v>
      </c>
      <c r="J4462" s="1" t="s">
        <v>5369</v>
      </c>
      <c r="L4462" s="1" t="s">
        <v>1955</v>
      </c>
      <c r="N4462" s="1" t="s">
        <v>1956</v>
      </c>
      <c r="P4462" s="1" t="s">
        <v>1849</v>
      </c>
      <c r="Q4462" s="30" t="s">
        <v>2568</v>
      </c>
      <c r="R4462" s="33" t="s">
        <v>3474</v>
      </c>
      <c r="S4462">
        <v>35</v>
      </c>
      <c r="T4462" s="1" t="s">
        <v>5350</v>
      </c>
      <c r="U4462" s="1" t="str">
        <f>HYPERLINK("http://ictvonline.org/taxonomy/p/taxonomy-history?taxnode_id=202103179","ICTVonline=202103179")</f>
        <v>ICTVonline=202103179</v>
      </c>
    </row>
    <row r="4463" spans="1:21" x14ac:dyDescent="0.2">
      <c r="A4463" s="3">
        <v>4462</v>
      </c>
      <c r="B4463" s="1" t="s">
        <v>5250</v>
      </c>
      <c r="D4463" s="1" t="s">
        <v>5280</v>
      </c>
      <c r="F4463" s="1" t="s">
        <v>5347</v>
      </c>
      <c r="H4463" s="1" t="s">
        <v>5368</v>
      </c>
      <c r="J4463" s="1" t="s">
        <v>5369</v>
      </c>
      <c r="L4463" s="1" t="s">
        <v>1955</v>
      </c>
      <c r="N4463" s="1" t="s">
        <v>1956</v>
      </c>
      <c r="P4463" s="1" t="s">
        <v>1850</v>
      </c>
      <c r="Q4463" s="30" t="s">
        <v>2568</v>
      </c>
      <c r="R4463" s="33" t="s">
        <v>3474</v>
      </c>
      <c r="S4463">
        <v>35</v>
      </c>
      <c r="T4463" s="1" t="s">
        <v>5350</v>
      </c>
      <c r="U4463" s="1" t="str">
        <f>HYPERLINK("http://ictvonline.org/taxonomy/p/taxonomy-history?taxnode_id=202103180","ICTVonline=202103180")</f>
        <v>ICTVonline=202103180</v>
      </c>
    </row>
    <row r="4464" spans="1:21" x14ac:dyDescent="0.2">
      <c r="A4464" s="3">
        <v>4463</v>
      </c>
      <c r="B4464" s="1" t="s">
        <v>5250</v>
      </c>
      <c r="D4464" s="1" t="s">
        <v>5280</v>
      </c>
      <c r="F4464" s="1" t="s">
        <v>5347</v>
      </c>
      <c r="H4464" s="1" t="s">
        <v>5368</v>
      </c>
      <c r="J4464" s="1" t="s">
        <v>5369</v>
      </c>
      <c r="L4464" s="1" t="s">
        <v>1955</v>
      </c>
      <c r="N4464" s="1" t="s">
        <v>1956</v>
      </c>
      <c r="P4464" s="1" t="s">
        <v>5370</v>
      </c>
      <c r="Q4464" s="30" t="s">
        <v>2969</v>
      </c>
      <c r="R4464" s="33" t="s">
        <v>3472</v>
      </c>
      <c r="S4464">
        <v>35</v>
      </c>
      <c r="T4464" s="1" t="s">
        <v>5371</v>
      </c>
      <c r="U4464" s="1" t="str">
        <f>HYPERLINK("http://ictvonline.org/taxonomy/p/taxonomy-history?taxnode_id=202107518","ICTVonline=202107518")</f>
        <v>ICTVonline=202107518</v>
      </c>
    </row>
    <row r="4465" spans="1:21" x14ac:dyDescent="0.2">
      <c r="A4465" s="3">
        <v>4464</v>
      </c>
      <c r="B4465" s="1" t="s">
        <v>5250</v>
      </c>
      <c r="D4465" s="1" t="s">
        <v>5280</v>
      </c>
      <c r="F4465" s="1" t="s">
        <v>5347</v>
      </c>
      <c r="H4465" s="1" t="s">
        <v>5368</v>
      </c>
      <c r="J4465" s="1" t="s">
        <v>5369</v>
      </c>
      <c r="L4465" s="1" t="s">
        <v>1955</v>
      </c>
      <c r="N4465" s="1" t="s">
        <v>1956</v>
      </c>
      <c r="P4465" s="1" t="s">
        <v>1851</v>
      </c>
      <c r="Q4465" s="30" t="s">
        <v>2568</v>
      </c>
      <c r="R4465" s="33" t="s">
        <v>3474</v>
      </c>
      <c r="S4465">
        <v>35</v>
      </c>
      <c r="T4465" s="1" t="s">
        <v>5350</v>
      </c>
      <c r="U4465" s="1" t="str">
        <f>HYPERLINK("http://ictvonline.org/taxonomy/p/taxonomy-history?taxnode_id=202103181","ICTVonline=202103181")</f>
        <v>ICTVonline=202103181</v>
      </c>
    </row>
    <row r="4466" spans="1:21" x14ac:dyDescent="0.2">
      <c r="A4466" s="3">
        <v>4465</v>
      </c>
      <c r="B4466" s="1" t="s">
        <v>5250</v>
      </c>
      <c r="D4466" s="1" t="s">
        <v>5280</v>
      </c>
      <c r="F4466" s="1" t="s">
        <v>5347</v>
      </c>
      <c r="H4466" s="1" t="s">
        <v>5368</v>
      </c>
      <c r="J4466" s="1" t="s">
        <v>5369</v>
      </c>
      <c r="L4466" s="1" t="s">
        <v>1955</v>
      </c>
      <c r="N4466" s="1" t="s">
        <v>1956</v>
      </c>
      <c r="P4466" s="1" t="s">
        <v>1852</v>
      </c>
      <c r="Q4466" s="30" t="s">
        <v>2568</v>
      </c>
      <c r="R4466" s="33" t="s">
        <v>3474</v>
      </c>
      <c r="S4466">
        <v>35</v>
      </c>
      <c r="T4466" s="1" t="s">
        <v>5350</v>
      </c>
      <c r="U4466" s="1" t="str">
        <f>HYPERLINK("http://ictvonline.org/taxonomy/p/taxonomy-history?taxnode_id=202103182","ICTVonline=202103182")</f>
        <v>ICTVonline=202103182</v>
      </c>
    </row>
    <row r="4467" spans="1:21" x14ac:dyDescent="0.2">
      <c r="A4467" s="3">
        <v>4466</v>
      </c>
      <c r="B4467" s="1" t="s">
        <v>5250</v>
      </c>
      <c r="D4467" s="1" t="s">
        <v>5280</v>
      </c>
      <c r="F4467" s="1" t="s">
        <v>5347</v>
      </c>
      <c r="H4467" s="1" t="s">
        <v>5368</v>
      </c>
      <c r="J4467" s="1" t="s">
        <v>5369</v>
      </c>
      <c r="L4467" s="1" t="s">
        <v>1955</v>
      </c>
      <c r="N4467" s="1" t="s">
        <v>1956</v>
      </c>
      <c r="P4467" s="1" t="s">
        <v>1853</v>
      </c>
      <c r="Q4467" s="30" t="s">
        <v>2568</v>
      </c>
      <c r="R4467" s="33" t="s">
        <v>3474</v>
      </c>
      <c r="S4467">
        <v>35</v>
      </c>
      <c r="T4467" s="1" t="s">
        <v>5350</v>
      </c>
      <c r="U4467" s="1" t="str">
        <f>HYPERLINK("http://ictvonline.org/taxonomy/p/taxonomy-history?taxnode_id=202103183","ICTVonline=202103183")</f>
        <v>ICTVonline=202103183</v>
      </c>
    </row>
    <row r="4468" spans="1:21" x14ac:dyDescent="0.2">
      <c r="A4468" s="3">
        <v>4467</v>
      </c>
      <c r="B4468" s="1" t="s">
        <v>5250</v>
      </c>
      <c r="D4468" s="1" t="s">
        <v>5280</v>
      </c>
      <c r="F4468" s="1" t="s">
        <v>5347</v>
      </c>
      <c r="H4468" s="1" t="s">
        <v>5368</v>
      </c>
      <c r="J4468" s="1" t="s">
        <v>5369</v>
      </c>
      <c r="L4468" s="1" t="s">
        <v>1955</v>
      </c>
      <c r="N4468" s="1" t="s">
        <v>1956</v>
      </c>
      <c r="P4468" s="1" t="s">
        <v>1854</v>
      </c>
      <c r="Q4468" s="30" t="s">
        <v>2568</v>
      </c>
      <c r="R4468" s="33" t="s">
        <v>3474</v>
      </c>
      <c r="S4468">
        <v>35</v>
      </c>
      <c r="T4468" s="1" t="s">
        <v>5350</v>
      </c>
      <c r="U4468" s="1" t="str">
        <f>HYPERLINK("http://ictvonline.org/taxonomy/p/taxonomy-history?taxnode_id=202103184","ICTVonline=202103184")</f>
        <v>ICTVonline=202103184</v>
      </c>
    </row>
    <row r="4469" spans="1:21" x14ac:dyDescent="0.2">
      <c r="A4469" s="3">
        <v>4468</v>
      </c>
      <c r="B4469" s="1" t="s">
        <v>5250</v>
      </c>
      <c r="D4469" s="1" t="s">
        <v>5280</v>
      </c>
      <c r="F4469" s="1" t="s">
        <v>5347</v>
      </c>
      <c r="H4469" s="1" t="s">
        <v>5368</v>
      </c>
      <c r="J4469" s="1" t="s">
        <v>5369</v>
      </c>
      <c r="L4469" s="1" t="s">
        <v>1955</v>
      </c>
      <c r="N4469" s="1" t="s">
        <v>1956</v>
      </c>
      <c r="P4469" s="1" t="s">
        <v>2230</v>
      </c>
      <c r="Q4469" s="30" t="s">
        <v>2568</v>
      </c>
      <c r="R4469" s="33" t="s">
        <v>3474</v>
      </c>
      <c r="S4469">
        <v>35</v>
      </c>
      <c r="T4469" s="1" t="s">
        <v>5350</v>
      </c>
      <c r="U4469" s="1" t="str">
        <f>HYPERLINK("http://ictvonline.org/taxonomy/p/taxonomy-history?taxnode_id=202103185","ICTVonline=202103185")</f>
        <v>ICTVonline=202103185</v>
      </c>
    </row>
    <row r="4470" spans="1:21" x14ac:dyDescent="0.2">
      <c r="A4470" s="3">
        <v>4469</v>
      </c>
      <c r="B4470" s="1" t="s">
        <v>5250</v>
      </c>
      <c r="D4470" s="1" t="s">
        <v>5280</v>
      </c>
      <c r="F4470" s="1" t="s">
        <v>5347</v>
      </c>
      <c r="H4470" s="1" t="s">
        <v>5368</v>
      </c>
      <c r="J4470" s="1" t="s">
        <v>5369</v>
      </c>
      <c r="L4470" s="1" t="s">
        <v>1955</v>
      </c>
      <c r="N4470" s="1" t="s">
        <v>1956</v>
      </c>
      <c r="P4470" s="1" t="s">
        <v>3802</v>
      </c>
      <c r="Q4470" s="30" t="s">
        <v>2568</v>
      </c>
      <c r="R4470" s="33" t="s">
        <v>3474</v>
      </c>
      <c r="S4470">
        <v>35</v>
      </c>
      <c r="T4470" s="1" t="s">
        <v>5350</v>
      </c>
      <c r="U4470" s="1" t="str">
        <f>HYPERLINK("http://ictvonline.org/taxonomy/p/taxonomy-history?taxnode_id=202105787","ICTVonline=202105787")</f>
        <v>ICTVonline=202105787</v>
      </c>
    </row>
    <row r="4471" spans="1:21" x14ac:dyDescent="0.2">
      <c r="A4471" s="3">
        <v>4470</v>
      </c>
      <c r="B4471" s="1" t="s">
        <v>5250</v>
      </c>
      <c r="D4471" s="1" t="s">
        <v>5280</v>
      </c>
      <c r="F4471" s="1" t="s">
        <v>5347</v>
      </c>
      <c r="H4471" s="1" t="s">
        <v>5368</v>
      </c>
      <c r="J4471" s="1" t="s">
        <v>5369</v>
      </c>
      <c r="L4471" s="1" t="s">
        <v>1955</v>
      </c>
      <c r="N4471" s="1" t="s">
        <v>1956</v>
      </c>
      <c r="P4471" s="1" t="s">
        <v>1855</v>
      </c>
      <c r="Q4471" s="30" t="s">
        <v>2568</v>
      </c>
      <c r="R4471" s="33" t="s">
        <v>3474</v>
      </c>
      <c r="S4471">
        <v>35</v>
      </c>
      <c r="T4471" s="1" t="s">
        <v>5350</v>
      </c>
      <c r="U4471" s="1" t="str">
        <f>HYPERLINK("http://ictvonline.org/taxonomy/p/taxonomy-history?taxnode_id=202103186","ICTVonline=202103186")</f>
        <v>ICTVonline=202103186</v>
      </c>
    </row>
    <row r="4472" spans="1:21" x14ac:dyDescent="0.2">
      <c r="A4472" s="3">
        <v>4471</v>
      </c>
      <c r="B4472" s="1" t="s">
        <v>5250</v>
      </c>
      <c r="D4472" s="1" t="s">
        <v>5280</v>
      </c>
      <c r="F4472" s="1" t="s">
        <v>5347</v>
      </c>
      <c r="H4472" s="1" t="s">
        <v>5368</v>
      </c>
      <c r="J4472" s="1" t="s">
        <v>5369</v>
      </c>
      <c r="L4472" s="1" t="s">
        <v>1955</v>
      </c>
      <c r="N4472" s="1" t="s">
        <v>1956</v>
      </c>
      <c r="P4472" s="1" t="s">
        <v>3803</v>
      </c>
      <c r="Q4472" s="30" t="s">
        <v>2568</v>
      </c>
      <c r="R4472" s="33" t="s">
        <v>3474</v>
      </c>
      <c r="S4472">
        <v>35</v>
      </c>
      <c r="T4472" s="1" t="s">
        <v>5350</v>
      </c>
      <c r="U4472" s="1" t="str">
        <f>HYPERLINK("http://ictvonline.org/taxonomy/p/taxonomy-history?taxnode_id=202105788","ICTVonline=202105788")</f>
        <v>ICTVonline=202105788</v>
      </c>
    </row>
    <row r="4473" spans="1:21" x14ac:dyDescent="0.2">
      <c r="A4473" s="3">
        <v>4472</v>
      </c>
      <c r="B4473" s="1" t="s">
        <v>5250</v>
      </c>
      <c r="D4473" s="1" t="s">
        <v>5280</v>
      </c>
      <c r="F4473" s="1" t="s">
        <v>5347</v>
      </c>
      <c r="H4473" s="1" t="s">
        <v>5368</v>
      </c>
      <c r="J4473" s="1" t="s">
        <v>5369</v>
      </c>
      <c r="L4473" s="1" t="s">
        <v>1955</v>
      </c>
      <c r="N4473" s="1" t="s">
        <v>1956</v>
      </c>
      <c r="P4473" s="1" t="s">
        <v>3804</v>
      </c>
      <c r="Q4473" s="30" t="s">
        <v>2568</v>
      </c>
      <c r="R4473" s="33" t="s">
        <v>3474</v>
      </c>
      <c r="S4473">
        <v>35</v>
      </c>
      <c r="T4473" s="1" t="s">
        <v>5350</v>
      </c>
      <c r="U4473" s="1" t="str">
        <f>HYPERLINK("http://ictvonline.org/taxonomy/p/taxonomy-history?taxnode_id=202105789","ICTVonline=202105789")</f>
        <v>ICTVonline=202105789</v>
      </c>
    </row>
    <row r="4474" spans="1:21" x14ac:dyDescent="0.2">
      <c r="A4474" s="3">
        <v>4473</v>
      </c>
      <c r="B4474" s="1" t="s">
        <v>5250</v>
      </c>
      <c r="D4474" s="1" t="s">
        <v>5280</v>
      </c>
      <c r="F4474" s="1" t="s">
        <v>5347</v>
      </c>
      <c r="H4474" s="1" t="s">
        <v>5368</v>
      </c>
      <c r="J4474" s="1" t="s">
        <v>5369</v>
      </c>
      <c r="L4474" s="1" t="s">
        <v>1955</v>
      </c>
      <c r="N4474" s="1" t="s">
        <v>1956</v>
      </c>
      <c r="P4474" s="1" t="s">
        <v>6402</v>
      </c>
      <c r="Q4474" s="30" t="s">
        <v>2969</v>
      </c>
      <c r="R4474" s="33" t="s">
        <v>3472</v>
      </c>
      <c r="S4474">
        <v>36</v>
      </c>
      <c r="T4474" s="1" t="s">
        <v>6403</v>
      </c>
      <c r="U4474" s="1" t="str">
        <f>HYPERLINK("http://ictvonline.org/taxonomy/p/taxonomy-history?taxnode_id=202109117","ICTVonline=202109117")</f>
        <v>ICTVonline=202109117</v>
      </c>
    </row>
    <row r="4475" spans="1:21" x14ac:dyDescent="0.2">
      <c r="A4475" s="3">
        <v>4474</v>
      </c>
      <c r="B4475" s="1" t="s">
        <v>5250</v>
      </c>
      <c r="D4475" s="1" t="s">
        <v>5280</v>
      </c>
      <c r="F4475" s="1" t="s">
        <v>5347</v>
      </c>
      <c r="H4475" s="1" t="s">
        <v>5368</v>
      </c>
      <c r="J4475" s="1" t="s">
        <v>5369</v>
      </c>
      <c r="L4475" s="1" t="s">
        <v>1955</v>
      </c>
      <c r="N4475" s="1" t="s">
        <v>1956</v>
      </c>
      <c r="P4475" s="1" t="s">
        <v>1856</v>
      </c>
      <c r="Q4475" s="30" t="s">
        <v>2568</v>
      </c>
      <c r="R4475" s="33" t="s">
        <v>3474</v>
      </c>
      <c r="S4475">
        <v>35</v>
      </c>
      <c r="T4475" s="1" t="s">
        <v>5350</v>
      </c>
      <c r="U4475" s="1" t="str">
        <f>HYPERLINK("http://ictvonline.org/taxonomy/p/taxonomy-history?taxnode_id=202103187","ICTVonline=202103187")</f>
        <v>ICTVonline=202103187</v>
      </c>
    </row>
    <row r="4476" spans="1:21" x14ac:dyDescent="0.2">
      <c r="A4476" s="3">
        <v>4475</v>
      </c>
      <c r="B4476" s="1" t="s">
        <v>5250</v>
      </c>
      <c r="D4476" s="1" t="s">
        <v>5280</v>
      </c>
      <c r="F4476" s="1" t="s">
        <v>5347</v>
      </c>
      <c r="H4476" s="1" t="s">
        <v>5368</v>
      </c>
      <c r="J4476" s="1" t="s">
        <v>5369</v>
      </c>
      <c r="L4476" s="1" t="s">
        <v>1955</v>
      </c>
      <c r="N4476" s="1" t="s">
        <v>1956</v>
      </c>
      <c r="P4476" s="1" t="s">
        <v>2231</v>
      </c>
      <c r="Q4476" s="30" t="s">
        <v>2568</v>
      </c>
      <c r="R4476" s="33" t="s">
        <v>3474</v>
      </c>
      <c r="S4476">
        <v>35</v>
      </c>
      <c r="T4476" s="1" t="s">
        <v>5350</v>
      </c>
      <c r="U4476" s="1" t="str">
        <f>HYPERLINK("http://ictvonline.org/taxonomy/p/taxonomy-history?taxnode_id=202103188","ICTVonline=202103188")</f>
        <v>ICTVonline=202103188</v>
      </c>
    </row>
    <row r="4477" spans="1:21" x14ac:dyDescent="0.2">
      <c r="A4477" s="3">
        <v>4476</v>
      </c>
      <c r="B4477" s="1" t="s">
        <v>5250</v>
      </c>
      <c r="D4477" s="1" t="s">
        <v>5280</v>
      </c>
      <c r="F4477" s="1" t="s">
        <v>5347</v>
      </c>
      <c r="H4477" s="1" t="s">
        <v>5368</v>
      </c>
      <c r="J4477" s="1" t="s">
        <v>5369</v>
      </c>
      <c r="L4477" s="1" t="s">
        <v>1955</v>
      </c>
      <c r="N4477" s="1" t="s">
        <v>1956</v>
      </c>
      <c r="P4477" s="1" t="s">
        <v>1857</v>
      </c>
      <c r="Q4477" s="30" t="s">
        <v>2568</v>
      </c>
      <c r="R4477" s="33" t="s">
        <v>3474</v>
      </c>
      <c r="S4477">
        <v>35</v>
      </c>
      <c r="T4477" s="1" t="s">
        <v>5350</v>
      </c>
      <c r="U4477" s="1" t="str">
        <f>HYPERLINK("http://ictvonline.org/taxonomy/p/taxonomy-history?taxnode_id=202103189","ICTVonline=202103189")</f>
        <v>ICTVonline=202103189</v>
      </c>
    </row>
    <row r="4478" spans="1:21" x14ac:dyDescent="0.2">
      <c r="A4478" s="3">
        <v>4477</v>
      </c>
      <c r="B4478" s="1" t="s">
        <v>5250</v>
      </c>
      <c r="D4478" s="1" t="s">
        <v>5280</v>
      </c>
      <c r="F4478" s="1" t="s">
        <v>5347</v>
      </c>
      <c r="H4478" s="1" t="s">
        <v>5368</v>
      </c>
      <c r="J4478" s="1" t="s">
        <v>5369</v>
      </c>
      <c r="L4478" s="1" t="s">
        <v>1955</v>
      </c>
      <c r="N4478" s="1" t="s">
        <v>1956</v>
      </c>
      <c r="P4478" s="1" t="s">
        <v>264</v>
      </c>
      <c r="Q4478" s="30" t="s">
        <v>2568</v>
      </c>
      <c r="R4478" s="33" t="s">
        <v>8665</v>
      </c>
      <c r="S4478">
        <v>36</v>
      </c>
      <c r="T4478" s="1" t="s">
        <v>8661</v>
      </c>
      <c r="U4478" s="1" t="str">
        <f>HYPERLINK("http://ictvonline.org/taxonomy/p/taxonomy-history?taxnode_id=202103190","ICTVonline=202103190")</f>
        <v>ICTVonline=202103190</v>
      </c>
    </row>
    <row r="4479" spans="1:21" x14ac:dyDescent="0.2">
      <c r="A4479" s="3">
        <v>4478</v>
      </c>
      <c r="B4479" s="1" t="s">
        <v>5250</v>
      </c>
      <c r="D4479" s="1" t="s">
        <v>5280</v>
      </c>
      <c r="F4479" s="1" t="s">
        <v>5347</v>
      </c>
      <c r="H4479" s="1" t="s">
        <v>5368</v>
      </c>
      <c r="J4479" s="1" t="s">
        <v>5369</v>
      </c>
      <c r="L4479" s="1" t="s">
        <v>1955</v>
      </c>
      <c r="N4479" s="1" t="s">
        <v>1956</v>
      </c>
      <c r="P4479" s="1" t="s">
        <v>265</v>
      </c>
      <c r="Q4479" s="30" t="s">
        <v>2568</v>
      </c>
      <c r="R4479" s="33" t="s">
        <v>8665</v>
      </c>
      <c r="S4479">
        <v>36</v>
      </c>
      <c r="T4479" s="1" t="s">
        <v>8661</v>
      </c>
      <c r="U4479" s="1" t="str">
        <f>HYPERLINK("http://ictvonline.org/taxonomy/p/taxonomy-history?taxnode_id=202103191","ICTVonline=202103191")</f>
        <v>ICTVonline=202103191</v>
      </c>
    </row>
    <row r="4480" spans="1:21" x14ac:dyDescent="0.2">
      <c r="A4480" s="3">
        <v>4479</v>
      </c>
      <c r="B4480" s="1" t="s">
        <v>5250</v>
      </c>
      <c r="D4480" s="1" t="s">
        <v>5280</v>
      </c>
      <c r="F4480" s="1" t="s">
        <v>5347</v>
      </c>
      <c r="H4480" s="1" t="s">
        <v>5368</v>
      </c>
      <c r="J4480" s="1" t="s">
        <v>5369</v>
      </c>
      <c r="L4480" s="1" t="s">
        <v>1955</v>
      </c>
      <c r="N4480" s="1" t="s">
        <v>1956</v>
      </c>
      <c r="P4480" s="1" t="s">
        <v>6404</v>
      </c>
      <c r="Q4480" s="30" t="s">
        <v>2969</v>
      </c>
      <c r="R4480" s="33" t="s">
        <v>3472</v>
      </c>
      <c r="S4480">
        <v>36</v>
      </c>
      <c r="T4480" s="1" t="s">
        <v>6403</v>
      </c>
      <c r="U4480" s="1" t="str">
        <f>HYPERLINK("http://ictvonline.org/taxonomy/p/taxonomy-history?taxnode_id=202109118","ICTVonline=202109118")</f>
        <v>ICTVonline=202109118</v>
      </c>
    </row>
    <row r="4481" spans="1:21" x14ac:dyDescent="0.2">
      <c r="A4481" s="3">
        <v>4480</v>
      </c>
      <c r="B4481" s="1" t="s">
        <v>5250</v>
      </c>
      <c r="D4481" s="1" t="s">
        <v>5280</v>
      </c>
      <c r="F4481" s="1" t="s">
        <v>5347</v>
      </c>
      <c r="H4481" s="1" t="s">
        <v>5368</v>
      </c>
      <c r="J4481" s="1" t="s">
        <v>5369</v>
      </c>
      <c r="L4481" s="1" t="s">
        <v>1955</v>
      </c>
      <c r="N4481" s="1" t="s">
        <v>1956</v>
      </c>
      <c r="P4481" s="1" t="s">
        <v>4824</v>
      </c>
      <c r="Q4481" s="30" t="s">
        <v>2568</v>
      </c>
      <c r="R4481" s="33" t="s">
        <v>3474</v>
      </c>
      <c r="S4481">
        <v>35</v>
      </c>
      <c r="T4481" s="1" t="s">
        <v>5350</v>
      </c>
      <c r="U4481" s="1" t="str">
        <f>HYPERLINK("http://ictvonline.org/taxonomy/p/taxonomy-history?taxnode_id=202106694","ICTVonline=202106694")</f>
        <v>ICTVonline=202106694</v>
      </c>
    </row>
    <row r="4482" spans="1:21" x14ac:dyDescent="0.2">
      <c r="A4482" s="3">
        <v>4481</v>
      </c>
      <c r="B4482" s="1" t="s">
        <v>5250</v>
      </c>
      <c r="D4482" s="1" t="s">
        <v>5280</v>
      </c>
      <c r="F4482" s="1" t="s">
        <v>5347</v>
      </c>
      <c r="H4482" s="1" t="s">
        <v>5368</v>
      </c>
      <c r="J4482" s="1" t="s">
        <v>5369</v>
      </c>
      <c r="L4482" s="1" t="s">
        <v>1955</v>
      </c>
      <c r="N4482" s="1" t="s">
        <v>1956</v>
      </c>
      <c r="P4482" s="1" t="s">
        <v>3805</v>
      </c>
      <c r="Q4482" s="30" t="s">
        <v>2568</v>
      </c>
      <c r="R4482" s="33" t="s">
        <v>3474</v>
      </c>
      <c r="S4482">
        <v>35</v>
      </c>
      <c r="T4482" s="1" t="s">
        <v>5350</v>
      </c>
      <c r="U4482" s="1" t="str">
        <f>HYPERLINK("http://ictvonline.org/taxonomy/p/taxonomy-history?taxnode_id=202105790","ICTVonline=202105790")</f>
        <v>ICTVonline=202105790</v>
      </c>
    </row>
    <row r="4483" spans="1:21" x14ac:dyDescent="0.2">
      <c r="A4483" s="3">
        <v>4482</v>
      </c>
      <c r="B4483" s="1" t="s">
        <v>5250</v>
      </c>
      <c r="D4483" s="1" t="s">
        <v>5280</v>
      </c>
      <c r="F4483" s="1" t="s">
        <v>5347</v>
      </c>
      <c r="H4483" s="1" t="s">
        <v>5368</v>
      </c>
      <c r="J4483" s="1" t="s">
        <v>5369</v>
      </c>
      <c r="L4483" s="1" t="s">
        <v>1955</v>
      </c>
      <c r="N4483" s="1" t="s">
        <v>1956</v>
      </c>
      <c r="P4483" s="1" t="s">
        <v>2232</v>
      </c>
      <c r="Q4483" s="30" t="s">
        <v>2568</v>
      </c>
      <c r="R4483" s="33" t="s">
        <v>3474</v>
      </c>
      <c r="S4483">
        <v>35</v>
      </c>
      <c r="T4483" s="1" t="s">
        <v>5350</v>
      </c>
      <c r="U4483" s="1" t="str">
        <f>HYPERLINK("http://ictvonline.org/taxonomy/p/taxonomy-history?taxnode_id=202103192","ICTVonline=202103192")</f>
        <v>ICTVonline=202103192</v>
      </c>
    </row>
    <row r="4484" spans="1:21" x14ac:dyDescent="0.2">
      <c r="A4484" s="3">
        <v>4483</v>
      </c>
      <c r="B4484" s="1" t="s">
        <v>5250</v>
      </c>
      <c r="D4484" s="1" t="s">
        <v>5280</v>
      </c>
      <c r="F4484" s="1" t="s">
        <v>5347</v>
      </c>
      <c r="H4484" s="1" t="s">
        <v>5368</v>
      </c>
      <c r="J4484" s="1" t="s">
        <v>5369</v>
      </c>
      <c r="L4484" s="1" t="s">
        <v>1955</v>
      </c>
      <c r="N4484" s="1" t="s">
        <v>1956</v>
      </c>
      <c r="P4484" s="1" t="s">
        <v>2233</v>
      </c>
      <c r="Q4484" s="30" t="s">
        <v>2568</v>
      </c>
      <c r="R4484" s="33" t="s">
        <v>3474</v>
      </c>
      <c r="S4484">
        <v>35</v>
      </c>
      <c r="T4484" s="1" t="s">
        <v>5350</v>
      </c>
      <c r="U4484" s="1" t="str">
        <f>HYPERLINK("http://ictvonline.org/taxonomy/p/taxonomy-history?taxnode_id=202103193","ICTVonline=202103193")</f>
        <v>ICTVonline=202103193</v>
      </c>
    </row>
    <row r="4485" spans="1:21" x14ac:dyDescent="0.2">
      <c r="A4485" s="3">
        <v>4484</v>
      </c>
      <c r="B4485" s="1" t="s">
        <v>5250</v>
      </c>
      <c r="D4485" s="1" t="s">
        <v>5280</v>
      </c>
      <c r="F4485" s="1" t="s">
        <v>5347</v>
      </c>
      <c r="H4485" s="1" t="s">
        <v>5368</v>
      </c>
      <c r="J4485" s="1" t="s">
        <v>5369</v>
      </c>
      <c r="L4485" s="1" t="s">
        <v>1955</v>
      </c>
      <c r="N4485" s="1" t="s">
        <v>1956</v>
      </c>
      <c r="P4485" s="1" t="s">
        <v>2234</v>
      </c>
      <c r="Q4485" s="30" t="s">
        <v>2568</v>
      </c>
      <c r="R4485" s="33" t="s">
        <v>3474</v>
      </c>
      <c r="S4485">
        <v>35</v>
      </c>
      <c r="T4485" s="1" t="s">
        <v>5350</v>
      </c>
      <c r="U4485" s="1" t="str">
        <f>HYPERLINK("http://ictvonline.org/taxonomy/p/taxonomy-history?taxnode_id=202103194","ICTVonline=202103194")</f>
        <v>ICTVonline=202103194</v>
      </c>
    </row>
    <row r="4486" spans="1:21" x14ac:dyDescent="0.2">
      <c r="A4486" s="3">
        <v>4485</v>
      </c>
      <c r="B4486" s="1" t="s">
        <v>5250</v>
      </c>
      <c r="D4486" s="1" t="s">
        <v>5280</v>
      </c>
      <c r="F4486" s="1" t="s">
        <v>5347</v>
      </c>
      <c r="H4486" s="1" t="s">
        <v>5368</v>
      </c>
      <c r="J4486" s="1" t="s">
        <v>5369</v>
      </c>
      <c r="L4486" s="1" t="s">
        <v>1955</v>
      </c>
      <c r="N4486" s="1" t="s">
        <v>1956</v>
      </c>
      <c r="P4486" s="1" t="s">
        <v>4825</v>
      </c>
      <c r="Q4486" s="30" t="s">
        <v>2568</v>
      </c>
      <c r="R4486" s="33" t="s">
        <v>3474</v>
      </c>
      <c r="S4486">
        <v>35</v>
      </c>
      <c r="T4486" s="1" t="s">
        <v>5350</v>
      </c>
      <c r="U4486" s="1" t="str">
        <f>HYPERLINK("http://ictvonline.org/taxonomy/p/taxonomy-history?taxnode_id=202106703","ICTVonline=202106703")</f>
        <v>ICTVonline=202106703</v>
      </c>
    </row>
    <row r="4487" spans="1:21" x14ac:dyDescent="0.2">
      <c r="A4487" s="3">
        <v>4486</v>
      </c>
      <c r="B4487" s="1" t="s">
        <v>5250</v>
      </c>
      <c r="D4487" s="1" t="s">
        <v>5280</v>
      </c>
      <c r="F4487" s="1" t="s">
        <v>5347</v>
      </c>
      <c r="H4487" s="1" t="s">
        <v>5368</v>
      </c>
      <c r="J4487" s="1" t="s">
        <v>5369</v>
      </c>
      <c r="L4487" s="1" t="s">
        <v>1955</v>
      </c>
      <c r="N4487" s="1" t="s">
        <v>1956</v>
      </c>
      <c r="P4487" s="1" t="s">
        <v>266</v>
      </c>
      <c r="Q4487" s="30" t="s">
        <v>2568</v>
      </c>
      <c r="R4487" s="33" t="s">
        <v>3474</v>
      </c>
      <c r="S4487">
        <v>35</v>
      </c>
      <c r="T4487" s="1" t="s">
        <v>5350</v>
      </c>
      <c r="U4487" s="1" t="str">
        <f>HYPERLINK("http://ictvonline.org/taxonomy/p/taxonomy-history?taxnode_id=202103195","ICTVonline=202103195")</f>
        <v>ICTVonline=202103195</v>
      </c>
    </row>
    <row r="4488" spans="1:21" x14ac:dyDescent="0.2">
      <c r="A4488" s="3">
        <v>4487</v>
      </c>
      <c r="B4488" s="1" t="s">
        <v>5250</v>
      </c>
      <c r="D4488" s="1" t="s">
        <v>5280</v>
      </c>
      <c r="F4488" s="1" t="s">
        <v>5347</v>
      </c>
      <c r="H4488" s="1" t="s">
        <v>5368</v>
      </c>
      <c r="J4488" s="1" t="s">
        <v>5369</v>
      </c>
      <c r="L4488" s="1" t="s">
        <v>1955</v>
      </c>
      <c r="N4488" s="1" t="s">
        <v>1956</v>
      </c>
      <c r="P4488" s="1" t="s">
        <v>5372</v>
      </c>
      <c r="Q4488" s="30" t="s">
        <v>2969</v>
      </c>
      <c r="R4488" s="33" t="s">
        <v>3472</v>
      </c>
      <c r="S4488">
        <v>35</v>
      </c>
      <c r="T4488" s="1" t="s">
        <v>5371</v>
      </c>
      <c r="U4488" s="1" t="str">
        <f>HYPERLINK("http://ictvonline.org/taxonomy/p/taxonomy-history?taxnode_id=202107519","ICTVonline=202107519")</f>
        <v>ICTVonline=202107519</v>
      </c>
    </row>
    <row r="4489" spans="1:21" x14ac:dyDescent="0.2">
      <c r="A4489" s="3">
        <v>4488</v>
      </c>
      <c r="B4489" s="1" t="s">
        <v>5250</v>
      </c>
      <c r="D4489" s="1" t="s">
        <v>5280</v>
      </c>
      <c r="F4489" s="1" t="s">
        <v>5347</v>
      </c>
      <c r="H4489" s="1" t="s">
        <v>5368</v>
      </c>
      <c r="J4489" s="1" t="s">
        <v>5369</v>
      </c>
      <c r="L4489" s="1" t="s">
        <v>1955</v>
      </c>
      <c r="N4489" s="1" t="s">
        <v>1956</v>
      </c>
      <c r="P4489" s="1" t="s">
        <v>2235</v>
      </c>
      <c r="Q4489" s="30" t="s">
        <v>2568</v>
      </c>
      <c r="R4489" s="33" t="s">
        <v>3474</v>
      </c>
      <c r="S4489">
        <v>35</v>
      </c>
      <c r="T4489" s="1" t="s">
        <v>5350</v>
      </c>
      <c r="U4489" s="1" t="str">
        <f>HYPERLINK("http://ictvonline.org/taxonomy/p/taxonomy-history?taxnode_id=202103196","ICTVonline=202103196")</f>
        <v>ICTVonline=202103196</v>
      </c>
    </row>
    <row r="4490" spans="1:21" x14ac:dyDescent="0.2">
      <c r="A4490" s="3">
        <v>4489</v>
      </c>
      <c r="B4490" s="1" t="s">
        <v>5250</v>
      </c>
      <c r="D4490" s="1" t="s">
        <v>5280</v>
      </c>
      <c r="F4490" s="1" t="s">
        <v>5347</v>
      </c>
      <c r="H4490" s="1" t="s">
        <v>5368</v>
      </c>
      <c r="J4490" s="1" t="s">
        <v>5369</v>
      </c>
      <c r="L4490" s="1" t="s">
        <v>1955</v>
      </c>
      <c r="N4490" s="1" t="s">
        <v>1956</v>
      </c>
      <c r="P4490" s="1" t="s">
        <v>2236</v>
      </c>
      <c r="Q4490" s="30" t="s">
        <v>2568</v>
      </c>
      <c r="R4490" s="33" t="s">
        <v>3474</v>
      </c>
      <c r="S4490">
        <v>35</v>
      </c>
      <c r="T4490" s="1" t="s">
        <v>5350</v>
      </c>
      <c r="U4490" s="1" t="str">
        <f>HYPERLINK("http://ictvonline.org/taxonomy/p/taxonomy-history?taxnode_id=202103197","ICTVonline=202103197")</f>
        <v>ICTVonline=202103197</v>
      </c>
    </row>
    <row r="4491" spans="1:21" x14ac:dyDescent="0.2">
      <c r="A4491" s="3">
        <v>4490</v>
      </c>
      <c r="B4491" s="1" t="s">
        <v>5250</v>
      </c>
      <c r="D4491" s="1" t="s">
        <v>5280</v>
      </c>
      <c r="F4491" s="1" t="s">
        <v>5347</v>
      </c>
      <c r="H4491" s="1" t="s">
        <v>5368</v>
      </c>
      <c r="J4491" s="1" t="s">
        <v>5369</v>
      </c>
      <c r="L4491" s="1" t="s">
        <v>1955</v>
      </c>
      <c r="N4491" s="1" t="s">
        <v>1956</v>
      </c>
      <c r="P4491" s="1" t="s">
        <v>4826</v>
      </c>
      <c r="Q4491" s="30" t="s">
        <v>2568</v>
      </c>
      <c r="R4491" s="33" t="s">
        <v>3474</v>
      </c>
      <c r="S4491">
        <v>35</v>
      </c>
      <c r="T4491" s="1" t="s">
        <v>5350</v>
      </c>
      <c r="U4491" s="1" t="str">
        <f>HYPERLINK("http://ictvonline.org/taxonomy/p/taxonomy-history?taxnode_id=202106695","ICTVonline=202106695")</f>
        <v>ICTVonline=202106695</v>
      </c>
    </row>
    <row r="4492" spans="1:21" x14ac:dyDescent="0.2">
      <c r="A4492" s="3">
        <v>4491</v>
      </c>
      <c r="B4492" s="1" t="s">
        <v>5250</v>
      </c>
      <c r="D4492" s="1" t="s">
        <v>5280</v>
      </c>
      <c r="F4492" s="1" t="s">
        <v>5347</v>
      </c>
      <c r="H4492" s="1" t="s">
        <v>5368</v>
      </c>
      <c r="J4492" s="1" t="s">
        <v>5369</v>
      </c>
      <c r="L4492" s="1" t="s">
        <v>1955</v>
      </c>
      <c r="N4492" s="1" t="s">
        <v>1956</v>
      </c>
      <c r="P4492" s="1" t="s">
        <v>267</v>
      </c>
      <c r="Q4492" s="30" t="s">
        <v>2568</v>
      </c>
      <c r="R4492" s="33" t="s">
        <v>3474</v>
      </c>
      <c r="S4492">
        <v>35</v>
      </c>
      <c r="T4492" s="1" t="s">
        <v>5350</v>
      </c>
      <c r="U4492" s="1" t="str">
        <f>HYPERLINK("http://ictvonline.org/taxonomy/p/taxonomy-history?taxnode_id=202103198","ICTVonline=202103198")</f>
        <v>ICTVonline=202103198</v>
      </c>
    </row>
    <row r="4493" spans="1:21" x14ac:dyDescent="0.2">
      <c r="A4493" s="3">
        <v>4492</v>
      </c>
      <c r="B4493" s="1" t="s">
        <v>5250</v>
      </c>
      <c r="D4493" s="1" t="s">
        <v>5280</v>
      </c>
      <c r="F4493" s="1" t="s">
        <v>5347</v>
      </c>
      <c r="H4493" s="1" t="s">
        <v>5368</v>
      </c>
      <c r="J4493" s="1" t="s">
        <v>5369</v>
      </c>
      <c r="L4493" s="1" t="s">
        <v>1955</v>
      </c>
      <c r="N4493" s="1" t="s">
        <v>1956</v>
      </c>
      <c r="P4493" s="1" t="s">
        <v>268</v>
      </c>
      <c r="Q4493" s="30" t="s">
        <v>2568</v>
      </c>
      <c r="R4493" s="33" t="s">
        <v>3474</v>
      </c>
      <c r="S4493">
        <v>35</v>
      </c>
      <c r="T4493" s="1" t="s">
        <v>5350</v>
      </c>
      <c r="U4493" s="1" t="str">
        <f>HYPERLINK("http://ictvonline.org/taxonomy/p/taxonomy-history?taxnode_id=202103199","ICTVonline=202103199")</f>
        <v>ICTVonline=202103199</v>
      </c>
    </row>
    <row r="4494" spans="1:21" x14ac:dyDescent="0.2">
      <c r="A4494" s="3">
        <v>4493</v>
      </c>
      <c r="B4494" s="1" t="s">
        <v>5250</v>
      </c>
      <c r="D4494" s="1" t="s">
        <v>5280</v>
      </c>
      <c r="F4494" s="1" t="s">
        <v>5347</v>
      </c>
      <c r="H4494" s="1" t="s">
        <v>5368</v>
      </c>
      <c r="J4494" s="1" t="s">
        <v>5369</v>
      </c>
      <c r="L4494" s="1" t="s">
        <v>1955</v>
      </c>
      <c r="N4494" s="1" t="s">
        <v>1956</v>
      </c>
      <c r="P4494" s="1" t="s">
        <v>269</v>
      </c>
      <c r="Q4494" s="30" t="s">
        <v>2568</v>
      </c>
      <c r="R4494" s="33" t="s">
        <v>3474</v>
      </c>
      <c r="S4494">
        <v>35</v>
      </c>
      <c r="T4494" s="1" t="s">
        <v>5350</v>
      </c>
      <c r="U4494" s="1" t="str">
        <f>HYPERLINK("http://ictvonline.org/taxonomy/p/taxonomy-history?taxnode_id=202103200","ICTVonline=202103200")</f>
        <v>ICTVonline=202103200</v>
      </c>
    </row>
    <row r="4495" spans="1:21" x14ac:dyDescent="0.2">
      <c r="A4495" s="3">
        <v>4494</v>
      </c>
      <c r="B4495" s="1" t="s">
        <v>5250</v>
      </c>
      <c r="D4495" s="1" t="s">
        <v>5280</v>
      </c>
      <c r="F4495" s="1" t="s">
        <v>5347</v>
      </c>
      <c r="H4495" s="1" t="s">
        <v>5368</v>
      </c>
      <c r="J4495" s="1" t="s">
        <v>5369</v>
      </c>
      <c r="L4495" s="1" t="s">
        <v>1955</v>
      </c>
      <c r="N4495" s="1" t="s">
        <v>1956</v>
      </c>
      <c r="P4495" s="1" t="s">
        <v>2906</v>
      </c>
      <c r="Q4495" s="30" t="s">
        <v>2568</v>
      </c>
      <c r="R4495" s="33" t="s">
        <v>3474</v>
      </c>
      <c r="S4495">
        <v>35</v>
      </c>
      <c r="T4495" s="1" t="s">
        <v>5350</v>
      </c>
      <c r="U4495" s="1" t="str">
        <f>HYPERLINK("http://ictvonline.org/taxonomy/p/taxonomy-history?taxnode_id=202103201","ICTVonline=202103201")</f>
        <v>ICTVonline=202103201</v>
      </c>
    </row>
    <row r="4496" spans="1:21" x14ac:dyDescent="0.2">
      <c r="A4496" s="3">
        <v>4495</v>
      </c>
      <c r="B4496" s="1" t="s">
        <v>5250</v>
      </c>
      <c r="D4496" s="1" t="s">
        <v>5280</v>
      </c>
      <c r="F4496" s="1" t="s">
        <v>5347</v>
      </c>
      <c r="H4496" s="1" t="s">
        <v>5368</v>
      </c>
      <c r="J4496" s="1" t="s">
        <v>5369</v>
      </c>
      <c r="L4496" s="1" t="s">
        <v>1955</v>
      </c>
      <c r="N4496" s="1" t="s">
        <v>1956</v>
      </c>
      <c r="P4496" s="1" t="s">
        <v>2907</v>
      </c>
      <c r="Q4496" s="30" t="s">
        <v>2568</v>
      </c>
      <c r="R4496" s="33" t="s">
        <v>3474</v>
      </c>
      <c r="S4496">
        <v>35</v>
      </c>
      <c r="T4496" s="1" t="s">
        <v>5350</v>
      </c>
      <c r="U4496" s="1" t="str">
        <f>HYPERLINK("http://ictvonline.org/taxonomy/p/taxonomy-history?taxnode_id=202103202","ICTVonline=202103202")</f>
        <v>ICTVonline=202103202</v>
      </c>
    </row>
    <row r="4497" spans="1:21" x14ac:dyDescent="0.2">
      <c r="A4497" s="3">
        <v>4496</v>
      </c>
      <c r="B4497" s="1" t="s">
        <v>5250</v>
      </c>
      <c r="D4497" s="1" t="s">
        <v>5280</v>
      </c>
      <c r="F4497" s="1" t="s">
        <v>5347</v>
      </c>
      <c r="H4497" s="1" t="s">
        <v>5368</v>
      </c>
      <c r="J4497" s="1" t="s">
        <v>5369</v>
      </c>
      <c r="L4497" s="1" t="s">
        <v>1955</v>
      </c>
      <c r="N4497" s="1" t="s">
        <v>1956</v>
      </c>
      <c r="P4497" s="1" t="s">
        <v>2908</v>
      </c>
      <c r="Q4497" s="30" t="s">
        <v>2568</v>
      </c>
      <c r="R4497" s="33" t="s">
        <v>3474</v>
      </c>
      <c r="S4497">
        <v>35</v>
      </c>
      <c r="T4497" s="1" t="s">
        <v>5350</v>
      </c>
      <c r="U4497" s="1" t="str">
        <f>HYPERLINK("http://ictvonline.org/taxonomy/p/taxonomy-history?taxnode_id=202103203","ICTVonline=202103203")</f>
        <v>ICTVonline=202103203</v>
      </c>
    </row>
    <row r="4498" spans="1:21" x14ac:dyDescent="0.2">
      <c r="A4498" s="3">
        <v>4497</v>
      </c>
      <c r="B4498" s="1" t="s">
        <v>5250</v>
      </c>
      <c r="D4498" s="1" t="s">
        <v>5280</v>
      </c>
      <c r="F4498" s="1" t="s">
        <v>5347</v>
      </c>
      <c r="H4498" s="1" t="s">
        <v>5368</v>
      </c>
      <c r="J4498" s="1" t="s">
        <v>5369</v>
      </c>
      <c r="L4498" s="1" t="s">
        <v>1955</v>
      </c>
      <c r="N4498" s="1" t="s">
        <v>1956</v>
      </c>
      <c r="P4498" s="1" t="s">
        <v>2237</v>
      </c>
      <c r="Q4498" s="30" t="s">
        <v>2568</v>
      </c>
      <c r="R4498" s="33" t="s">
        <v>3474</v>
      </c>
      <c r="S4498">
        <v>35</v>
      </c>
      <c r="T4498" s="1" t="s">
        <v>5350</v>
      </c>
      <c r="U4498" s="1" t="str">
        <f>HYPERLINK("http://ictvonline.org/taxonomy/p/taxonomy-history?taxnode_id=202103204","ICTVonline=202103204")</f>
        <v>ICTVonline=202103204</v>
      </c>
    </row>
    <row r="4499" spans="1:21" x14ac:dyDescent="0.2">
      <c r="A4499" s="3">
        <v>4498</v>
      </c>
      <c r="B4499" s="1" t="s">
        <v>5250</v>
      </c>
      <c r="D4499" s="1" t="s">
        <v>5280</v>
      </c>
      <c r="F4499" s="1" t="s">
        <v>5347</v>
      </c>
      <c r="H4499" s="1" t="s">
        <v>5368</v>
      </c>
      <c r="J4499" s="1" t="s">
        <v>5369</v>
      </c>
      <c r="L4499" s="1" t="s">
        <v>1955</v>
      </c>
      <c r="N4499" s="1" t="s">
        <v>1956</v>
      </c>
      <c r="P4499" s="1" t="s">
        <v>270</v>
      </c>
      <c r="Q4499" s="30" t="s">
        <v>2568</v>
      </c>
      <c r="R4499" s="33" t="s">
        <v>3474</v>
      </c>
      <c r="S4499">
        <v>35</v>
      </c>
      <c r="T4499" s="1" t="s">
        <v>5350</v>
      </c>
      <c r="U4499" s="1" t="str">
        <f>HYPERLINK("http://ictvonline.org/taxonomy/p/taxonomy-history?taxnode_id=202103205","ICTVonline=202103205")</f>
        <v>ICTVonline=202103205</v>
      </c>
    </row>
    <row r="4500" spans="1:21" x14ac:dyDescent="0.2">
      <c r="A4500" s="3">
        <v>4499</v>
      </c>
      <c r="B4500" s="1" t="s">
        <v>5250</v>
      </c>
      <c r="D4500" s="1" t="s">
        <v>5280</v>
      </c>
      <c r="F4500" s="1" t="s">
        <v>5347</v>
      </c>
      <c r="H4500" s="1" t="s">
        <v>5368</v>
      </c>
      <c r="J4500" s="1" t="s">
        <v>5369</v>
      </c>
      <c r="L4500" s="1" t="s">
        <v>1955</v>
      </c>
      <c r="N4500" s="1" t="s">
        <v>1956</v>
      </c>
      <c r="P4500" s="1" t="s">
        <v>2909</v>
      </c>
      <c r="Q4500" s="30" t="s">
        <v>2568</v>
      </c>
      <c r="R4500" s="33" t="s">
        <v>3474</v>
      </c>
      <c r="S4500">
        <v>35</v>
      </c>
      <c r="T4500" s="1" t="s">
        <v>5350</v>
      </c>
      <c r="U4500" s="1" t="str">
        <f>HYPERLINK("http://ictvonline.org/taxonomy/p/taxonomy-history?taxnode_id=202103206","ICTVonline=202103206")</f>
        <v>ICTVonline=202103206</v>
      </c>
    </row>
    <row r="4501" spans="1:21" x14ac:dyDescent="0.2">
      <c r="A4501" s="3">
        <v>4500</v>
      </c>
      <c r="B4501" s="1" t="s">
        <v>5250</v>
      </c>
      <c r="D4501" s="1" t="s">
        <v>5280</v>
      </c>
      <c r="F4501" s="1" t="s">
        <v>5347</v>
      </c>
      <c r="H4501" s="1" t="s">
        <v>5368</v>
      </c>
      <c r="J4501" s="1" t="s">
        <v>5369</v>
      </c>
      <c r="L4501" s="1" t="s">
        <v>1955</v>
      </c>
      <c r="N4501" s="1" t="s">
        <v>1956</v>
      </c>
      <c r="P4501" s="1" t="s">
        <v>4827</v>
      </c>
      <c r="Q4501" s="30" t="s">
        <v>2568</v>
      </c>
      <c r="R4501" s="33" t="s">
        <v>3474</v>
      </c>
      <c r="S4501">
        <v>35</v>
      </c>
      <c r="T4501" s="1" t="s">
        <v>5350</v>
      </c>
      <c r="U4501" s="1" t="str">
        <f>HYPERLINK("http://ictvonline.org/taxonomy/p/taxonomy-history?taxnode_id=202106696","ICTVonline=202106696")</f>
        <v>ICTVonline=202106696</v>
      </c>
    </row>
    <row r="4502" spans="1:21" x14ac:dyDescent="0.2">
      <c r="A4502" s="3">
        <v>4501</v>
      </c>
      <c r="B4502" s="1" t="s">
        <v>5250</v>
      </c>
      <c r="D4502" s="1" t="s">
        <v>5280</v>
      </c>
      <c r="F4502" s="1" t="s">
        <v>5347</v>
      </c>
      <c r="H4502" s="1" t="s">
        <v>5368</v>
      </c>
      <c r="J4502" s="1" t="s">
        <v>5369</v>
      </c>
      <c r="L4502" s="1" t="s">
        <v>1955</v>
      </c>
      <c r="N4502" s="1" t="s">
        <v>1956</v>
      </c>
      <c r="P4502" s="1" t="s">
        <v>4828</v>
      </c>
      <c r="Q4502" s="30" t="s">
        <v>2568</v>
      </c>
      <c r="R4502" s="33" t="s">
        <v>3474</v>
      </c>
      <c r="S4502">
        <v>35</v>
      </c>
      <c r="T4502" s="1" t="s">
        <v>5350</v>
      </c>
      <c r="U4502" s="1" t="str">
        <f>HYPERLINK("http://ictvonline.org/taxonomy/p/taxonomy-history?taxnode_id=202106697","ICTVonline=202106697")</f>
        <v>ICTVonline=202106697</v>
      </c>
    </row>
    <row r="4503" spans="1:21" x14ac:dyDescent="0.2">
      <c r="A4503" s="3">
        <v>4502</v>
      </c>
      <c r="B4503" s="1" t="s">
        <v>5250</v>
      </c>
      <c r="D4503" s="1" t="s">
        <v>5280</v>
      </c>
      <c r="F4503" s="1" t="s">
        <v>5347</v>
      </c>
      <c r="H4503" s="1" t="s">
        <v>5368</v>
      </c>
      <c r="J4503" s="1" t="s">
        <v>5369</v>
      </c>
      <c r="L4503" s="1" t="s">
        <v>1955</v>
      </c>
      <c r="N4503" s="1" t="s">
        <v>1956</v>
      </c>
      <c r="P4503" s="1" t="s">
        <v>4829</v>
      </c>
      <c r="Q4503" s="30" t="s">
        <v>2568</v>
      </c>
      <c r="R4503" s="33" t="s">
        <v>3474</v>
      </c>
      <c r="S4503">
        <v>35</v>
      </c>
      <c r="T4503" s="1" t="s">
        <v>5350</v>
      </c>
      <c r="U4503" s="1" t="str">
        <f>HYPERLINK("http://ictvonline.org/taxonomy/p/taxonomy-history?taxnode_id=202106698","ICTVonline=202106698")</f>
        <v>ICTVonline=202106698</v>
      </c>
    </row>
    <row r="4504" spans="1:21" x14ac:dyDescent="0.2">
      <c r="A4504" s="3">
        <v>4503</v>
      </c>
      <c r="B4504" s="1" t="s">
        <v>5250</v>
      </c>
      <c r="D4504" s="1" t="s">
        <v>5280</v>
      </c>
      <c r="F4504" s="1" t="s">
        <v>5347</v>
      </c>
      <c r="H4504" s="1" t="s">
        <v>5368</v>
      </c>
      <c r="J4504" s="1" t="s">
        <v>5369</v>
      </c>
      <c r="L4504" s="1" t="s">
        <v>1955</v>
      </c>
      <c r="N4504" s="1" t="s">
        <v>1956</v>
      </c>
      <c r="P4504" s="1" t="s">
        <v>2910</v>
      </c>
      <c r="Q4504" s="30" t="s">
        <v>2568</v>
      </c>
      <c r="R4504" s="33" t="s">
        <v>3474</v>
      </c>
      <c r="S4504">
        <v>35</v>
      </c>
      <c r="T4504" s="1" t="s">
        <v>5350</v>
      </c>
      <c r="U4504" s="1" t="str">
        <f>HYPERLINK("http://ictvonline.org/taxonomy/p/taxonomy-history?taxnode_id=202103207","ICTVonline=202103207")</f>
        <v>ICTVonline=202103207</v>
      </c>
    </row>
    <row r="4505" spans="1:21" x14ac:dyDescent="0.2">
      <c r="A4505" s="3">
        <v>4504</v>
      </c>
      <c r="B4505" s="1" t="s">
        <v>5250</v>
      </c>
      <c r="D4505" s="1" t="s">
        <v>5280</v>
      </c>
      <c r="F4505" s="1" t="s">
        <v>5347</v>
      </c>
      <c r="H4505" s="1" t="s">
        <v>5368</v>
      </c>
      <c r="J4505" s="1" t="s">
        <v>5369</v>
      </c>
      <c r="L4505" s="1" t="s">
        <v>1955</v>
      </c>
      <c r="N4505" s="1" t="s">
        <v>1956</v>
      </c>
      <c r="P4505" s="1" t="s">
        <v>2911</v>
      </c>
      <c r="Q4505" s="30" t="s">
        <v>2568</v>
      </c>
      <c r="R4505" s="33" t="s">
        <v>3474</v>
      </c>
      <c r="S4505">
        <v>35</v>
      </c>
      <c r="T4505" s="1" t="s">
        <v>5350</v>
      </c>
      <c r="U4505" s="1" t="str">
        <f>HYPERLINK("http://ictvonline.org/taxonomy/p/taxonomy-history?taxnode_id=202103208","ICTVonline=202103208")</f>
        <v>ICTVonline=202103208</v>
      </c>
    </row>
    <row r="4506" spans="1:21" x14ac:dyDescent="0.2">
      <c r="A4506" s="3">
        <v>4505</v>
      </c>
      <c r="B4506" s="1" t="s">
        <v>5250</v>
      </c>
      <c r="D4506" s="1" t="s">
        <v>5280</v>
      </c>
      <c r="F4506" s="1" t="s">
        <v>5347</v>
      </c>
      <c r="H4506" s="1" t="s">
        <v>5368</v>
      </c>
      <c r="J4506" s="1" t="s">
        <v>5369</v>
      </c>
      <c r="L4506" s="1" t="s">
        <v>1955</v>
      </c>
      <c r="N4506" s="1" t="s">
        <v>1956</v>
      </c>
      <c r="P4506" s="1" t="s">
        <v>4830</v>
      </c>
      <c r="Q4506" s="30" t="s">
        <v>2568</v>
      </c>
      <c r="R4506" s="33" t="s">
        <v>3474</v>
      </c>
      <c r="S4506">
        <v>35</v>
      </c>
      <c r="T4506" s="1" t="s">
        <v>5350</v>
      </c>
      <c r="U4506" s="1" t="str">
        <f>HYPERLINK("http://ictvonline.org/taxonomy/p/taxonomy-history?taxnode_id=202106699","ICTVonline=202106699")</f>
        <v>ICTVonline=202106699</v>
      </c>
    </row>
    <row r="4507" spans="1:21" x14ac:dyDescent="0.2">
      <c r="A4507" s="3">
        <v>4506</v>
      </c>
      <c r="B4507" s="1" t="s">
        <v>5250</v>
      </c>
      <c r="D4507" s="1" t="s">
        <v>5280</v>
      </c>
      <c r="F4507" s="1" t="s">
        <v>5347</v>
      </c>
      <c r="H4507" s="1" t="s">
        <v>5368</v>
      </c>
      <c r="J4507" s="1" t="s">
        <v>5369</v>
      </c>
      <c r="L4507" s="1" t="s">
        <v>1955</v>
      </c>
      <c r="N4507" s="1" t="s">
        <v>1956</v>
      </c>
      <c r="P4507" s="1" t="s">
        <v>2912</v>
      </c>
      <c r="Q4507" s="30" t="s">
        <v>2568</v>
      </c>
      <c r="R4507" s="33" t="s">
        <v>3474</v>
      </c>
      <c r="S4507">
        <v>35</v>
      </c>
      <c r="T4507" s="1" t="s">
        <v>5350</v>
      </c>
      <c r="U4507" s="1" t="str">
        <f>HYPERLINK("http://ictvonline.org/taxonomy/p/taxonomy-history?taxnode_id=202103209","ICTVonline=202103209")</f>
        <v>ICTVonline=202103209</v>
      </c>
    </row>
    <row r="4508" spans="1:21" x14ac:dyDescent="0.2">
      <c r="A4508" s="3">
        <v>4507</v>
      </c>
      <c r="B4508" s="1" t="s">
        <v>5250</v>
      </c>
      <c r="D4508" s="1" t="s">
        <v>5280</v>
      </c>
      <c r="F4508" s="1" t="s">
        <v>5347</v>
      </c>
      <c r="H4508" s="1" t="s">
        <v>5368</v>
      </c>
      <c r="J4508" s="1" t="s">
        <v>5369</v>
      </c>
      <c r="L4508" s="1" t="s">
        <v>1955</v>
      </c>
      <c r="N4508" s="1" t="s">
        <v>1956</v>
      </c>
      <c r="P4508" s="1" t="s">
        <v>271</v>
      </c>
      <c r="Q4508" s="30" t="s">
        <v>2568</v>
      </c>
      <c r="R4508" s="33" t="s">
        <v>3474</v>
      </c>
      <c r="S4508">
        <v>35</v>
      </c>
      <c r="T4508" s="1" t="s">
        <v>5350</v>
      </c>
      <c r="U4508" s="1" t="str">
        <f>HYPERLINK("http://ictvonline.org/taxonomy/p/taxonomy-history?taxnode_id=202103210","ICTVonline=202103210")</f>
        <v>ICTVonline=202103210</v>
      </c>
    </row>
    <row r="4509" spans="1:21" x14ac:dyDescent="0.2">
      <c r="A4509" s="3">
        <v>4508</v>
      </c>
      <c r="B4509" s="1" t="s">
        <v>5250</v>
      </c>
      <c r="D4509" s="1" t="s">
        <v>5280</v>
      </c>
      <c r="F4509" s="1" t="s">
        <v>5347</v>
      </c>
      <c r="H4509" s="1" t="s">
        <v>5368</v>
      </c>
      <c r="J4509" s="1" t="s">
        <v>5369</v>
      </c>
      <c r="L4509" s="1" t="s">
        <v>1955</v>
      </c>
      <c r="N4509" s="1" t="s">
        <v>1956</v>
      </c>
      <c r="P4509" s="1" t="s">
        <v>2238</v>
      </c>
      <c r="Q4509" s="30" t="s">
        <v>2568</v>
      </c>
      <c r="R4509" s="33" t="s">
        <v>3474</v>
      </c>
      <c r="S4509">
        <v>35</v>
      </c>
      <c r="T4509" s="1" t="s">
        <v>5350</v>
      </c>
      <c r="U4509" s="1" t="str">
        <f>HYPERLINK("http://ictvonline.org/taxonomy/p/taxonomy-history?taxnode_id=202103211","ICTVonline=202103211")</f>
        <v>ICTVonline=202103211</v>
      </c>
    </row>
    <row r="4510" spans="1:21" x14ac:dyDescent="0.2">
      <c r="A4510" s="3">
        <v>4509</v>
      </c>
      <c r="B4510" s="1" t="s">
        <v>5250</v>
      </c>
      <c r="D4510" s="1" t="s">
        <v>5280</v>
      </c>
      <c r="F4510" s="1" t="s">
        <v>5347</v>
      </c>
      <c r="H4510" s="1" t="s">
        <v>5368</v>
      </c>
      <c r="J4510" s="1" t="s">
        <v>5369</v>
      </c>
      <c r="L4510" s="1" t="s">
        <v>1955</v>
      </c>
      <c r="N4510" s="1" t="s">
        <v>1956</v>
      </c>
      <c r="P4510" s="1" t="s">
        <v>272</v>
      </c>
      <c r="Q4510" s="30" t="s">
        <v>2568</v>
      </c>
      <c r="R4510" s="33" t="s">
        <v>3474</v>
      </c>
      <c r="S4510">
        <v>35</v>
      </c>
      <c r="T4510" s="1" t="s">
        <v>5350</v>
      </c>
      <c r="U4510" s="1" t="str">
        <f>HYPERLINK("http://ictvonline.org/taxonomy/p/taxonomy-history?taxnode_id=202103212","ICTVonline=202103212")</f>
        <v>ICTVonline=202103212</v>
      </c>
    </row>
    <row r="4511" spans="1:21" x14ac:dyDescent="0.2">
      <c r="A4511" s="3">
        <v>4510</v>
      </c>
      <c r="B4511" s="1" t="s">
        <v>5250</v>
      </c>
      <c r="D4511" s="1" t="s">
        <v>5280</v>
      </c>
      <c r="F4511" s="1" t="s">
        <v>5347</v>
      </c>
      <c r="H4511" s="1" t="s">
        <v>5368</v>
      </c>
      <c r="J4511" s="1" t="s">
        <v>5369</v>
      </c>
      <c r="L4511" s="1" t="s">
        <v>1955</v>
      </c>
      <c r="N4511" s="1" t="s">
        <v>1956</v>
      </c>
      <c r="P4511" s="1" t="s">
        <v>2239</v>
      </c>
      <c r="Q4511" s="30" t="s">
        <v>2568</v>
      </c>
      <c r="R4511" s="33" t="s">
        <v>3474</v>
      </c>
      <c r="S4511">
        <v>35</v>
      </c>
      <c r="T4511" s="1" t="s">
        <v>5350</v>
      </c>
      <c r="U4511" s="1" t="str">
        <f>HYPERLINK("http://ictvonline.org/taxonomy/p/taxonomy-history?taxnode_id=202103213","ICTVonline=202103213")</f>
        <v>ICTVonline=202103213</v>
      </c>
    </row>
    <row r="4512" spans="1:21" x14ac:dyDescent="0.2">
      <c r="A4512" s="3">
        <v>4511</v>
      </c>
      <c r="B4512" s="1" t="s">
        <v>5250</v>
      </c>
      <c r="D4512" s="1" t="s">
        <v>5280</v>
      </c>
      <c r="F4512" s="1" t="s">
        <v>5347</v>
      </c>
      <c r="H4512" s="1" t="s">
        <v>5368</v>
      </c>
      <c r="J4512" s="1" t="s">
        <v>5369</v>
      </c>
      <c r="L4512" s="1" t="s">
        <v>1955</v>
      </c>
      <c r="N4512" s="1" t="s">
        <v>1956</v>
      </c>
      <c r="P4512" s="1" t="s">
        <v>2240</v>
      </c>
      <c r="Q4512" s="30" t="s">
        <v>2568</v>
      </c>
      <c r="R4512" s="33" t="s">
        <v>3474</v>
      </c>
      <c r="S4512">
        <v>35</v>
      </c>
      <c r="T4512" s="1" t="s">
        <v>5350</v>
      </c>
      <c r="U4512" s="1" t="str">
        <f>HYPERLINK("http://ictvonline.org/taxonomy/p/taxonomy-history?taxnode_id=202103214","ICTVonline=202103214")</f>
        <v>ICTVonline=202103214</v>
      </c>
    </row>
    <row r="4513" spans="1:21" x14ac:dyDescent="0.2">
      <c r="A4513" s="3">
        <v>4512</v>
      </c>
      <c r="B4513" s="1" t="s">
        <v>5250</v>
      </c>
      <c r="D4513" s="1" t="s">
        <v>5280</v>
      </c>
      <c r="F4513" s="1" t="s">
        <v>5347</v>
      </c>
      <c r="H4513" s="1" t="s">
        <v>5368</v>
      </c>
      <c r="J4513" s="1" t="s">
        <v>5369</v>
      </c>
      <c r="L4513" s="1" t="s">
        <v>1955</v>
      </c>
      <c r="N4513" s="1" t="s">
        <v>1956</v>
      </c>
      <c r="P4513" s="1" t="s">
        <v>273</v>
      </c>
      <c r="Q4513" s="30" t="s">
        <v>2568</v>
      </c>
      <c r="R4513" s="33" t="s">
        <v>3474</v>
      </c>
      <c r="S4513">
        <v>35</v>
      </c>
      <c r="T4513" s="1" t="s">
        <v>5350</v>
      </c>
      <c r="U4513" s="1" t="str">
        <f>HYPERLINK("http://ictvonline.org/taxonomy/p/taxonomy-history?taxnode_id=202103215","ICTVonline=202103215")</f>
        <v>ICTVonline=202103215</v>
      </c>
    </row>
    <row r="4514" spans="1:21" x14ac:dyDescent="0.2">
      <c r="A4514" s="3">
        <v>4513</v>
      </c>
      <c r="B4514" s="1" t="s">
        <v>5250</v>
      </c>
      <c r="D4514" s="1" t="s">
        <v>5280</v>
      </c>
      <c r="F4514" s="1" t="s">
        <v>5347</v>
      </c>
      <c r="H4514" s="1" t="s">
        <v>5368</v>
      </c>
      <c r="J4514" s="1" t="s">
        <v>5369</v>
      </c>
      <c r="L4514" s="1" t="s">
        <v>1955</v>
      </c>
      <c r="N4514" s="1" t="s">
        <v>1956</v>
      </c>
      <c r="P4514" s="1" t="s">
        <v>2913</v>
      </c>
      <c r="Q4514" s="30" t="s">
        <v>2568</v>
      </c>
      <c r="R4514" s="33" t="s">
        <v>3474</v>
      </c>
      <c r="S4514">
        <v>35</v>
      </c>
      <c r="T4514" s="1" t="s">
        <v>5350</v>
      </c>
      <c r="U4514" s="1" t="str">
        <f>HYPERLINK("http://ictvonline.org/taxonomy/p/taxonomy-history?taxnode_id=202103216","ICTVonline=202103216")</f>
        <v>ICTVonline=202103216</v>
      </c>
    </row>
    <row r="4515" spans="1:21" x14ac:dyDescent="0.2">
      <c r="A4515" s="3">
        <v>4514</v>
      </c>
      <c r="B4515" s="1" t="s">
        <v>5250</v>
      </c>
      <c r="D4515" s="1" t="s">
        <v>5280</v>
      </c>
      <c r="F4515" s="1" t="s">
        <v>5347</v>
      </c>
      <c r="H4515" s="1" t="s">
        <v>5368</v>
      </c>
      <c r="J4515" s="1" t="s">
        <v>5369</v>
      </c>
      <c r="L4515" s="1" t="s">
        <v>1955</v>
      </c>
      <c r="N4515" s="1" t="s">
        <v>1956</v>
      </c>
      <c r="P4515" s="1" t="s">
        <v>2914</v>
      </c>
      <c r="Q4515" s="30" t="s">
        <v>2568</v>
      </c>
      <c r="R4515" s="33" t="s">
        <v>3474</v>
      </c>
      <c r="S4515">
        <v>35</v>
      </c>
      <c r="T4515" s="1" t="s">
        <v>5350</v>
      </c>
      <c r="U4515" s="1" t="str">
        <f>HYPERLINK("http://ictvonline.org/taxonomy/p/taxonomy-history?taxnode_id=202103217","ICTVonline=202103217")</f>
        <v>ICTVonline=202103217</v>
      </c>
    </row>
    <row r="4516" spans="1:21" x14ac:dyDescent="0.2">
      <c r="A4516" s="3">
        <v>4515</v>
      </c>
      <c r="B4516" s="1" t="s">
        <v>5250</v>
      </c>
      <c r="D4516" s="1" t="s">
        <v>5280</v>
      </c>
      <c r="F4516" s="1" t="s">
        <v>5347</v>
      </c>
      <c r="H4516" s="1" t="s">
        <v>5368</v>
      </c>
      <c r="J4516" s="1" t="s">
        <v>5369</v>
      </c>
      <c r="L4516" s="1" t="s">
        <v>1955</v>
      </c>
      <c r="N4516" s="1" t="s">
        <v>1956</v>
      </c>
      <c r="P4516" s="1" t="s">
        <v>2915</v>
      </c>
      <c r="Q4516" s="30" t="s">
        <v>2568</v>
      </c>
      <c r="R4516" s="33" t="s">
        <v>3474</v>
      </c>
      <c r="S4516">
        <v>35</v>
      </c>
      <c r="T4516" s="1" t="s">
        <v>5350</v>
      </c>
      <c r="U4516" s="1" t="str">
        <f>HYPERLINK("http://ictvonline.org/taxonomy/p/taxonomy-history?taxnode_id=202103218","ICTVonline=202103218")</f>
        <v>ICTVonline=202103218</v>
      </c>
    </row>
    <row r="4517" spans="1:21" x14ac:dyDescent="0.2">
      <c r="A4517" s="3">
        <v>4516</v>
      </c>
      <c r="B4517" s="1" t="s">
        <v>5250</v>
      </c>
      <c r="D4517" s="1" t="s">
        <v>5280</v>
      </c>
      <c r="F4517" s="1" t="s">
        <v>5347</v>
      </c>
      <c r="H4517" s="1" t="s">
        <v>5368</v>
      </c>
      <c r="J4517" s="1" t="s">
        <v>5369</v>
      </c>
      <c r="L4517" s="1" t="s">
        <v>1955</v>
      </c>
      <c r="N4517" s="1" t="s">
        <v>1956</v>
      </c>
      <c r="P4517" s="1" t="s">
        <v>3806</v>
      </c>
      <c r="Q4517" s="30" t="s">
        <v>2568</v>
      </c>
      <c r="R4517" s="33" t="s">
        <v>3474</v>
      </c>
      <c r="S4517">
        <v>35</v>
      </c>
      <c r="T4517" s="1" t="s">
        <v>5350</v>
      </c>
      <c r="U4517" s="1" t="str">
        <f>HYPERLINK("http://ictvonline.org/taxonomy/p/taxonomy-history?taxnode_id=202105791","ICTVonline=202105791")</f>
        <v>ICTVonline=202105791</v>
      </c>
    </row>
    <row r="4518" spans="1:21" x14ac:dyDescent="0.2">
      <c r="A4518" s="3">
        <v>4517</v>
      </c>
      <c r="B4518" s="1" t="s">
        <v>5250</v>
      </c>
      <c r="D4518" s="1" t="s">
        <v>5280</v>
      </c>
      <c r="F4518" s="1" t="s">
        <v>5347</v>
      </c>
      <c r="H4518" s="1" t="s">
        <v>5368</v>
      </c>
      <c r="J4518" s="1" t="s">
        <v>5369</v>
      </c>
      <c r="L4518" s="1" t="s">
        <v>1955</v>
      </c>
      <c r="N4518" s="1" t="s">
        <v>1956</v>
      </c>
      <c r="P4518" s="1" t="s">
        <v>3807</v>
      </c>
      <c r="Q4518" s="30" t="s">
        <v>2568</v>
      </c>
      <c r="R4518" s="33" t="s">
        <v>3474</v>
      </c>
      <c r="S4518">
        <v>35</v>
      </c>
      <c r="T4518" s="1" t="s">
        <v>5350</v>
      </c>
      <c r="U4518" s="1" t="str">
        <f>HYPERLINK("http://ictvonline.org/taxonomy/p/taxonomy-history?taxnode_id=202105792","ICTVonline=202105792")</f>
        <v>ICTVonline=202105792</v>
      </c>
    </row>
    <row r="4519" spans="1:21" x14ac:dyDescent="0.2">
      <c r="A4519" s="3">
        <v>4518</v>
      </c>
      <c r="B4519" s="1" t="s">
        <v>5250</v>
      </c>
      <c r="D4519" s="1" t="s">
        <v>5280</v>
      </c>
      <c r="F4519" s="1" t="s">
        <v>5347</v>
      </c>
      <c r="H4519" s="1" t="s">
        <v>5368</v>
      </c>
      <c r="J4519" s="1" t="s">
        <v>5369</v>
      </c>
      <c r="L4519" s="1" t="s">
        <v>1955</v>
      </c>
      <c r="N4519" s="1" t="s">
        <v>1956</v>
      </c>
      <c r="P4519" s="1" t="s">
        <v>3808</v>
      </c>
      <c r="Q4519" s="30" t="s">
        <v>2568</v>
      </c>
      <c r="R4519" s="33" t="s">
        <v>3474</v>
      </c>
      <c r="S4519">
        <v>35</v>
      </c>
      <c r="T4519" s="1" t="s">
        <v>5350</v>
      </c>
      <c r="U4519" s="1" t="str">
        <f>HYPERLINK("http://ictvonline.org/taxonomy/p/taxonomy-history?taxnode_id=202105793","ICTVonline=202105793")</f>
        <v>ICTVonline=202105793</v>
      </c>
    </row>
    <row r="4520" spans="1:21" x14ac:dyDescent="0.2">
      <c r="A4520" s="3">
        <v>4519</v>
      </c>
      <c r="B4520" s="1" t="s">
        <v>5250</v>
      </c>
      <c r="D4520" s="1" t="s">
        <v>5280</v>
      </c>
      <c r="F4520" s="1" t="s">
        <v>5347</v>
      </c>
      <c r="H4520" s="1" t="s">
        <v>5368</v>
      </c>
      <c r="J4520" s="1" t="s">
        <v>5369</v>
      </c>
      <c r="L4520" s="1" t="s">
        <v>1955</v>
      </c>
      <c r="N4520" s="1" t="s">
        <v>1956</v>
      </c>
      <c r="P4520" s="1" t="s">
        <v>3809</v>
      </c>
      <c r="Q4520" s="30" t="s">
        <v>2568</v>
      </c>
      <c r="R4520" s="33" t="s">
        <v>3474</v>
      </c>
      <c r="S4520">
        <v>35</v>
      </c>
      <c r="T4520" s="1" t="s">
        <v>5350</v>
      </c>
      <c r="U4520" s="1" t="str">
        <f>HYPERLINK("http://ictvonline.org/taxonomy/p/taxonomy-history?taxnode_id=202105794","ICTVonline=202105794")</f>
        <v>ICTVonline=202105794</v>
      </c>
    </row>
    <row r="4521" spans="1:21" x14ac:dyDescent="0.2">
      <c r="A4521" s="3">
        <v>4520</v>
      </c>
      <c r="B4521" s="1" t="s">
        <v>5250</v>
      </c>
      <c r="D4521" s="1" t="s">
        <v>5280</v>
      </c>
      <c r="F4521" s="1" t="s">
        <v>5347</v>
      </c>
      <c r="H4521" s="1" t="s">
        <v>5368</v>
      </c>
      <c r="J4521" s="1" t="s">
        <v>5369</v>
      </c>
      <c r="L4521" s="1" t="s">
        <v>1955</v>
      </c>
      <c r="N4521" s="1" t="s">
        <v>1956</v>
      </c>
      <c r="P4521" s="1" t="s">
        <v>274</v>
      </c>
      <c r="Q4521" s="30" t="s">
        <v>2568</v>
      </c>
      <c r="R4521" s="33" t="s">
        <v>3474</v>
      </c>
      <c r="S4521">
        <v>35</v>
      </c>
      <c r="T4521" s="1" t="s">
        <v>5350</v>
      </c>
      <c r="U4521" s="1" t="str">
        <f>HYPERLINK("http://ictvonline.org/taxonomy/p/taxonomy-history?taxnode_id=202103219","ICTVonline=202103219")</f>
        <v>ICTVonline=202103219</v>
      </c>
    </row>
    <row r="4522" spans="1:21" x14ac:dyDescent="0.2">
      <c r="A4522" s="3">
        <v>4521</v>
      </c>
      <c r="B4522" s="1" t="s">
        <v>5250</v>
      </c>
      <c r="D4522" s="1" t="s">
        <v>5280</v>
      </c>
      <c r="F4522" s="1" t="s">
        <v>5347</v>
      </c>
      <c r="H4522" s="1" t="s">
        <v>5368</v>
      </c>
      <c r="J4522" s="1" t="s">
        <v>5369</v>
      </c>
      <c r="L4522" s="1" t="s">
        <v>1955</v>
      </c>
      <c r="N4522" s="1" t="s">
        <v>1956</v>
      </c>
      <c r="P4522" s="1" t="s">
        <v>275</v>
      </c>
      <c r="Q4522" s="30" t="s">
        <v>2568</v>
      </c>
      <c r="R4522" s="33" t="s">
        <v>3474</v>
      </c>
      <c r="S4522">
        <v>35</v>
      </c>
      <c r="T4522" s="1" t="s">
        <v>5350</v>
      </c>
      <c r="U4522" s="1" t="str">
        <f>HYPERLINK("http://ictvonline.org/taxonomy/p/taxonomy-history?taxnode_id=202103220","ICTVonline=202103220")</f>
        <v>ICTVonline=202103220</v>
      </c>
    </row>
    <row r="4523" spans="1:21" x14ac:dyDescent="0.2">
      <c r="A4523" s="3">
        <v>4522</v>
      </c>
      <c r="B4523" s="1" t="s">
        <v>5250</v>
      </c>
      <c r="D4523" s="1" t="s">
        <v>5280</v>
      </c>
      <c r="F4523" s="1" t="s">
        <v>5347</v>
      </c>
      <c r="H4523" s="1" t="s">
        <v>5368</v>
      </c>
      <c r="J4523" s="1" t="s">
        <v>5369</v>
      </c>
      <c r="L4523" s="1" t="s">
        <v>1955</v>
      </c>
      <c r="N4523" s="1" t="s">
        <v>1956</v>
      </c>
      <c r="P4523" s="1" t="s">
        <v>6405</v>
      </c>
      <c r="Q4523" s="30" t="s">
        <v>2969</v>
      </c>
      <c r="R4523" s="33" t="s">
        <v>3472</v>
      </c>
      <c r="S4523">
        <v>36</v>
      </c>
      <c r="T4523" s="1" t="s">
        <v>6403</v>
      </c>
      <c r="U4523" s="1" t="str">
        <f>HYPERLINK("http://ictvonline.org/taxonomy/p/taxonomy-history?taxnode_id=202109119","ICTVonline=202109119")</f>
        <v>ICTVonline=202109119</v>
      </c>
    </row>
    <row r="4524" spans="1:21" x14ac:dyDescent="0.2">
      <c r="A4524" s="3">
        <v>4523</v>
      </c>
      <c r="B4524" s="1" t="s">
        <v>5250</v>
      </c>
      <c r="D4524" s="1" t="s">
        <v>5280</v>
      </c>
      <c r="F4524" s="1" t="s">
        <v>5347</v>
      </c>
      <c r="H4524" s="1" t="s">
        <v>5368</v>
      </c>
      <c r="J4524" s="1" t="s">
        <v>5369</v>
      </c>
      <c r="L4524" s="1" t="s">
        <v>1955</v>
      </c>
      <c r="N4524" s="1" t="s">
        <v>1956</v>
      </c>
      <c r="P4524" s="1" t="s">
        <v>2916</v>
      </c>
      <c r="Q4524" s="30" t="s">
        <v>2568</v>
      </c>
      <c r="R4524" s="33" t="s">
        <v>3474</v>
      </c>
      <c r="S4524">
        <v>35</v>
      </c>
      <c r="T4524" s="1" t="s">
        <v>5350</v>
      </c>
      <c r="U4524" s="1" t="str">
        <f>HYPERLINK("http://ictvonline.org/taxonomy/p/taxonomy-history?taxnode_id=202103221","ICTVonline=202103221")</f>
        <v>ICTVonline=202103221</v>
      </c>
    </row>
    <row r="4525" spans="1:21" x14ac:dyDescent="0.2">
      <c r="A4525" s="3">
        <v>4524</v>
      </c>
      <c r="B4525" s="1" t="s">
        <v>5250</v>
      </c>
      <c r="D4525" s="1" t="s">
        <v>5280</v>
      </c>
      <c r="F4525" s="1" t="s">
        <v>5347</v>
      </c>
      <c r="H4525" s="1" t="s">
        <v>5368</v>
      </c>
      <c r="J4525" s="1" t="s">
        <v>5369</v>
      </c>
      <c r="L4525" s="1" t="s">
        <v>1955</v>
      </c>
      <c r="N4525" s="1" t="s">
        <v>1956</v>
      </c>
      <c r="P4525" s="1" t="s">
        <v>91</v>
      </c>
      <c r="Q4525" s="30" t="s">
        <v>2568</v>
      </c>
      <c r="R4525" s="33" t="s">
        <v>3474</v>
      </c>
      <c r="S4525">
        <v>35</v>
      </c>
      <c r="T4525" s="1" t="s">
        <v>5350</v>
      </c>
      <c r="U4525" s="1" t="str">
        <f>HYPERLINK("http://ictvonline.org/taxonomy/p/taxonomy-history?taxnode_id=202103222","ICTVonline=202103222")</f>
        <v>ICTVonline=202103222</v>
      </c>
    </row>
    <row r="4526" spans="1:21" x14ac:dyDescent="0.2">
      <c r="A4526" s="3">
        <v>4525</v>
      </c>
      <c r="B4526" s="1" t="s">
        <v>5250</v>
      </c>
      <c r="D4526" s="1" t="s">
        <v>5280</v>
      </c>
      <c r="F4526" s="1" t="s">
        <v>5347</v>
      </c>
      <c r="H4526" s="1" t="s">
        <v>5368</v>
      </c>
      <c r="J4526" s="1" t="s">
        <v>5369</v>
      </c>
      <c r="L4526" s="1" t="s">
        <v>1955</v>
      </c>
      <c r="N4526" s="1" t="s">
        <v>1956</v>
      </c>
      <c r="P4526" s="1" t="s">
        <v>2917</v>
      </c>
      <c r="Q4526" s="30" t="s">
        <v>2568</v>
      </c>
      <c r="R4526" s="33" t="s">
        <v>3474</v>
      </c>
      <c r="S4526">
        <v>35</v>
      </c>
      <c r="T4526" s="1" t="s">
        <v>5350</v>
      </c>
      <c r="U4526" s="1" t="str">
        <f>HYPERLINK("http://ictvonline.org/taxonomy/p/taxonomy-history?taxnode_id=202103223","ICTVonline=202103223")</f>
        <v>ICTVonline=202103223</v>
      </c>
    </row>
    <row r="4527" spans="1:21" x14ac:dyDescent="0.2">
      <c r="A4527" s="3">
        <v>4526</v>
      </c>
      <c r="B4527" s="1" t="s">
        <v>5250</v>
      </c>
      <c r="D4527" s="1" t="s">
        <v>5280</v>
      </c>
      <c r="F4527" s="1" t="s">
        <v>5347</v>
      </c>
      <c r="H4527" s="1" t="s">
        <v>5368</v>
      </c>
      <c r="J4527" s="1" t="s">
        <v>5369</v>
      </c>
      <c r="L4527" s="1" t="s">
        <v>1955</v>
      </c>
      <c r="N4527" s="1" t="s">
        <v>1956</v>
      </c>
      <c r="P4527" s="1" t="s">
        <v>393</v>
      </c>
      <c r="Q4527" s="30" t="s">
        <v>2568</v>
      </c>
      <c r="R4527" s="33" t="s">
        <v>3474</v>
      </c>
      <c r="S4527">
        <v>35</v>
      </c>
      <c r="T4527" s="1" t="s">
        <v>5350</v>
      </c>
      <c r="U4527" s="1" t="str">
        <f>HYPERLINK("http://ictvonline.org/taxonomy/p/taxonomy-history?taxnode_id=202103224","ICTVonline=202103224")</f>
        <v>ICTVonline=202103224</v>
      </c>
    </row>
    <row r="4528" spans="1:21" x14ac:dyDescent="0.2">
      <c r="A4528" s="3">
        <v>4527</v>
      </c>
      <c r="B4528" s="1" t="s">
        <v>5250</v>
      </c>
      <c r="D4528" s="1" t="s">
        <v>5280</v>
      </c>
      <c r="F4528" s="1" t="s">
        <v>5347</v>
      </c>
      <c r="H4528" s="1" t="s">
        <v>5368</v>
      </c>
      <c r="J4528" s="1" t="s">
        <v>5369</v>
      </c>
      <c r="L4528" s="1" t="s">
        <v>1955</v>
      </c>
      <c r="N4528" s="1" t="s">
        <v>1956</v>
      </c>
      <c r="P4528" s="1" t="s">
        <v>278</v>
      </c>
      <c r="Q4528" s="30" t="s">
        <v>2568</v>
      </c>
      <c r="R4528" s="33" t="s">
        <v>3474</v>
      </c>
      <c r="S4528">
        <v>35</v>
      </c>
      <c r="T4528" s="1" t="s">
        <v>5350</v>
      </c>
      <c r="U4528" s="1" t="str">
        <f>HYPERLINK("http://ictvonline.org/taxonomy/p/taxonomy-history?taxnode_id=202103225","ICTVonline=202103225")</f>
        <v>ICTVonline=202103225</v>
      </c>
    </row>
    <row r="4529" spans="1:21" x14ac:dyDescent="0.2">
      <c r="A4529" s="3">
        <v>4528</v>
      </c>
      <c r="B4529" s="1" t="s">
        <v>5250</v>
      </c>
      <c r="D4529" s="1" t="s">
        <v>5280</v>
      </c>
      <c r="F4529" s="1" t="s">
        <v>5347</v>
      </c>
      <c r="H4529" s="1" t="s">
        <v>5368</v>
      </c>
      <c r="J4529" s="1" t="s">
        <v>5369</v>
      </c>
      <c r="L4529" s="1" t="s">
        <v>1955</v>
      </c>
      <c r="N4529" s="1" t="s">
        <v>1956</v>
      </c>
      <c r="P4529" s="1" t="s">
        <v>1185</v>
      </c>
      <c r="Q4529" s="30" t="s">
        <v>2568</v>
      </c>
      <c r="R4529" s="33" t="s">
        <v>3474</v>
      </c>
      <c r="S4529">
        <v>35</v>
      </c>
      <c r="T4529" s="1" t="s">
        <v>5350</v>
      </c>
      <c r="U4529" s="1" t="str">
        <f>HYPERLINK("http://ictvonline.org/taxonomy/p/taxonomy-history?taxnode_id=202103226","ICTVonline=202103226")</f>
        <v>ICTVonline=202103226</v>
      </c>
    </row>
    <row r="4530" spans="1:21" x14ac:dyDescent="0.2">
      <c r="A4530" s="3">
        <v>4529</v>
      </c>
      <c r="B4530" s="1" t="s">
        <v>5250</v>
      </c>
      <c r="D4530" s="1" t="s">
        <v>5280</v>
      </c>
      <c r="F4530" s="1" t="s">
        <v>5347</v>
      </c>
      <c r="H4530" s="1" t="s">
        <v>5368</v>
      </c>
      <c r="J4530" s="1" t="s">
        <v>5369</v>
      </c>
      <c r="L4530" s="1" t="s">
        <v>1955</v>
      </c>
      <c r="N4530" s="1" t="s">
        <v>1956</v>
      </c>
      <c r="P4530" s="1" t="s">
        <v>3810</v>
      </c>
      <c r="Q4530" s="30" t="s">
        <v>2568</v>
      </c>
      <c r="R4530" s="33" t="s">
        <v>3474</v>
      </c>
      <c r="S4530">
        <v>35</v>
      </c>
      <c r="T4530" s="1" t="s">
        <v>5350</v>
      </c>
      <c r="U4530" s="1" t="str">
        <f>HYPERLINK("http://ictvonline.org/taxonomy/p/taxonomy-history?taxnode_id=202105795","ICTVonline=202105795")</f>
        <v>ICTVonline=202105795</v>
      </c>
    </row>
    <row r="4531" spans="1:21" x14ac:dyDescent="0.2">
      <c r="A4531" s="3">
        <v>4530</v>
      </c>
      <c r="B4531" s="1" t="s">
        <v>5250</v>
      </c>
      <c r="D4531" s="1" t="s">
        <v>5280</v>
      </c>
      <c r="F4531" s="1" t="s">
        <v>5347</v>
      </c>
      <c r="H4531" s="1" t="s">
        <v>5368</v>
      </c>
      <c r="J4531" s="1" t="s">
        <v>5369</v>
      </c>
      <c r="L4531" s="1" t="s">
        <v>1955</v>
      </c>
      <c r="N4531" s="1" t="s">
        <v>1956</v>
      </c>
      <c r="P4531" s="1" t="s">
        <v>280</v>
      </c>
      <c r="Q4531" s="30" t="s">
        <v>2568</v>
      </c>
      <c r="R4531" s="33" t="s">
        <v>3474</v>
      </c>
      <c r="S4531">
        <v>35</v>
      </c>
      <c r="T4531" s="1" t="s">
        <v>5350</v>
      </c>
      <c r="U4531" s="1" t="str">
        <f>HYPERLINK("http://ictvonline.org/taxonomy/p/taxonomy-history?taxnode_id=202103227","ICTVonline=202103227")</f>
        <v>ICTVonline=202103227</v>
      </c>
    </row>
    <row r="4532" spans="1:21" x14ac:dyDescent="0.2">
      <c r="A4532" s="3">
        <v>4531</v>
      </c>
      <c r="B4532" s="1" t="s">
        <v>5250</v>
      </c>
      <c r="D4532" s="1" t="s">
        <v>5280</v>
      </c>
      <c r="F4532" s="1" t="s">
        <v>5347</v>
      </c>
      <c r="H4532" s="1" t="s">
        <v>5368</v>
      </c>
      <c r="J4532" s="1" t="s">
        <v>5369</v>
      </c>
      <c r="L4532" s="1" t="s">
        <v>1955</v>
      </c>
      <c r="N4532" s="1" t="s">
        <v>1956</v>
      </c>
      <c r="P4532" s="1" t="s">
        <v>281</v>
      </c>
      <c r="Q4532" s="30" t="s">
        <v>2568</v>
      </c>
      <c r="R4532" s="33" t="s">
        <v>3474</v>
      </c>
      <c r="S4532">
        <v>35</v>
      </c>
      <c r="T4532" s="1" t="s">
        <v>5350</v>
      </c>
      <c r="U4532" s="1" t="str">
        <f>HYPERLINK("http://ictvonline.org/taxonomy/p/taxonomy-history?taxnode_id=202103228","ICTVonline=202103228")</f>
        <v>ICTVonline=202103228</v>
      </c>
    </row>
    <row r="4533" spans="1:21" x14ac:dyDescent="0.2">
      <c r="A4533" s="3">
        <v>4532</v>
      </c>
      <c r="B4533" s="1" t="s">
        <v>5250</v>
      </c>
      <c r="D4533" s="1" t="s">
        <v>5280</v>
      </c>
      <c r="F4533" s="1" t="s">
        <v>5347</v>
      </c>
      <c r="H4533" s="1" t="s">
        <v>5368</v>
      </c>
      <c r="J4533" s="1" t="s">
        <v>5369</v>
      </c>
      <c r="L4533" s="1" t="s">
        <v>1955</v>
      </c>
      <c r="N4533" s="1" t="s">
        <v>1956</v>
      </c>
      <c r="P4533" s="1" t="s">
        <v>389</v>
      </c>
      <c r="Q4533" s="30" t="s">
        <v>2568</v>
      </c>
      <c r="R4533" s="33" t="s">
        <v>3474</v>
      </c>
      <c r="S4533">
        <v>35</v>
      </c>
      <c r="T4533" s="1" t="s">
        <v>5350</v>
      </c>
      <c r="U4533" s="1" t="str">
        <f>HYPERLINK("http://ictvonline.org/taxonomy/p/taxonomy-history?taxnode_id=202103229","ICTVonline=202103229")</f>
        <v>ICTVonline=202103229</v>
      </c>
    </row>
    <row r="4534" spans="1:21" x14ac:dyDescent="0.2">
      <c r="A4534" s="3">
        <v>4533</v>
      </c>
      <c r="B4534" s="1" t="s">
        <v>5250</v>
      </c>
      <c r="D4534" s="1" t="s">
        <v>5280</v>
      </c>
      <c r="F4534" s="1" t="s">
        <v>5347</v>
      </c>
      <c r="H4534" s="1" t="s">
        <v>5368</v>
      </c>
      <c r="J4534" s="1" t="s">
        <v>5369</v>
      </c>
      <c r="L4534" s="1" t="s">
        <v>1955</v>
      </c>
      <c r="N4534" s="1" t="s">
        <v>1956</v>
      </c>
      <c r="P4534" s="1" t="s">
        <v>3811</v>
      </c>
      <c r="Q4534" s="30" t="s">
        <v>2568</v>
      </c>
      <c r="R4534" s="33" t="s">
        <v>3474</v>
      </c>
      <c r="S4534">
        <v>35</v>
      </c>
      <c r="T4534" s="1" t="s">
        <v>5350</v>
      </c>
      <c r="U4534" s="1" t="str">
        <f>HYPERLINK("http://ictvonline.org/taxonomy/p/taxonomy-history?taxnode_id=202105796","ICTVonline=202105796")</f>
        <v>ICTVonline=202105796</v>
      </c>
    </row>
    <row r="4535" spans="1:21" x14ac:dyDescent="0.2">
      <c r="A4535" s="3">
        <v>4534</v>
      </c>
      <c r="B4535" s="1" t="s">
        <v>5250</v>
      </c>
      <c r="D4535" s="1" t="s">
        <v>5280</v>
      </c>
      <c r="F4535" s="1" t="s">
        <v>5347</v>
      </c>
      <c r="H4535" s="1" t="s">
        <v>5368</v>
      </c>
      <c r="J4535" s="1" t="s">
        <v>5369</v>
      </c>
      <c r="L4535" s="1" t="s">
        <v>1955</v>
      </c>
      <c r="N4535" s="1" t="s">
        <v>1956</v>
      </c>
      <c r="P4535" s="1" t="s">
        <v>5373</v>
      </c>
      <c r="Q4535" s="30" t="s">
        <v>2969</v>
      </c>
      <c r="R4535" s="33" t="s">
        <v>3472</v>
      </c>
      <c r="S4535">
        <v>35</v>
      </c>
      <c r="T4535" s="1" t="s">
        <v>5371</v>
      </c>
      <c r="U4535" s="1" t="str">
        <f>HYPERLINK("http://ictvonline.org/taxonomy/p/taxonomy-history?taxnode_id=202107520","ICTVonline=202107520")</f>
        <v>ICTVonline=202107520</v>
      </c>
    </row>
    <row r="4536" spans="1:21" x14ac:dyDescent="0.2">
      <c r="A4536" s="3">
        <v>4535</v>
      </c>
      <c r="B4536" s="1" t="s">
        <v>5250</v>
      </c>
      <c r="D4536" s="1" t="s">
        <v>5280</v>
      </c>
      <c r="F4536" s="1" t="s">
        <v>5347</v>
      </c>
      <c r="H4536" s="1" t="s">
        <v>5368</v>
      </c>
      <c r="J4536" s="1" t="s">
        <v>5369</v>
      </c>
      <c r="L4536" s="1" t="s">
        <v>1955</v>
      </c>
      <c r="N4536" s="1" t="s">
        <v>1956</v>
      </c>
      <c r="P4536" s="1" t="s">
        <v>390</v>
      </c>
      <c r="Q4536" s="30" t="s">
        <v>2568</v>
      </c>
      <c r="R4536" s="33" t="s">
        <v>3474</v>
      </c>
      <c r="S4536">
        <v>35</v>
      </c>
      <c r="T4536" s="1" t="s">
        <v>5350</v>
      </c>
      <c r="U4536" s="1" t="str">
        <f>HYPERLINK("http://ictvonline.org/taxonomy/p/taxonomy-history?taxnode_id=202103230","ICTVonline=202103230")</f>
        <v>ICTVonline=202103230</v>
      </c>
    </row>
    <row r="4537" spans="1:21" x14ac:dyDescent="0.2">
      <c r="A4537" s="3">
        <v>4536</v>
      </c>
      <c r="B4537" s="1" t="s">
        <v>5250</v>
      </c>
      <c r="D4537" s="1" t="s">
        <v>5280</v>
      </c>
      <c r="F4537" s="1" t="s">
        <v>5347</v>
      </c>
      <c r="H4537" s="1" t="s">
        <v>5368</v>
      </c>
      <c r="J4537" s="1" t="s">
        <v>5369</v>
      </c>
      <c r="L4537" s="1" t="s">
        <v>1955</v>
      </c>
      <c r="N4537" s="1" t="s">
        <v>1956</v>
      </c>
      <c r="P4537" s="1" t="s">
        <v>2918</v>
      </c>
      <c r="Q4537" s="30" t="s">
        <v>2568</v>
      </c>
      <c r="R4537" s="33" t="s">
        <v>3474</v>
      </c>
      <c r="S4537">
        <v>35</v>
      </c>
      <c r="T4537" s="1" t="s">
        <v>5350</v>
      </c>
      <c r="U4537" s="1" t="str">
        <f>HYPERLINK("http://ictvonline.org/taxonomy/p/taxonomy-history?taxnode_id=202103231","ICTVonline=202103231")</f>
        <v>ICTVonline=202103231</v>
      </c>
    </row>
    <row r="4538" spans="1:21" x14ac:dyDescent="0.2">
      <c r="A4538" s="3">
        <v>4537</v>
      </c>
      <c r="B4538" s="1" t="s">
        <v>5250</v>
      </c>
      <c r="D4538" s="1" t="s">
        <v>5280</v>
      </c>
      <c r="F4538" s="1" t="s">
        <v>5347</v>
      </c>
      <c r="H4538" s="1" t="s">
        <v>5368</v>
      </c>
      <c r="J4538" s="1" t="s">
        <v>5369</v>
      </c>
      <c r="L4538" s="1" t="s">
        <v>1955</v>
      </c>
      <c r="N4538" s="1" t="s">
        <v>1956</v>
      </c>
      <c r="P4538" s="1" t="s">
        <v>5374</v>
      </c>
      <c r="Q4538" s="30" t="s">
        <v>2969</v>
      </c>
      <c r="R4538" s="33" t="s">
        <v>3472</v>
      </c>
      <c r="S4538">
        <v>35</v>
      </c>
      <c r="T4538" s="1" t="s">
        <v>5371</v>
      </c>
      <c r="U4538" s="1" t="str">
        <f>HYPERLINK("http://ictvonline.org/taxonomy/p/taxonomy-history?taxnode_id=202107521","ICTVonline=202107521")</f>
        <v>ICTVonline=202107521</v>
      </c>
    </row>
    <row r="4539" spans="1:21" x14ac:dyDescent="0.2">
      <c r="A4539" s="3">
        <v>4538</v>
      </c>
      <c r="B4539" s="1" t="s">
        <v>5250</v>
      </c>
      <c r="D4539" s="1" t="s">
        <v>5280</v>
      </c>
      <c r="F4539" s="1" t="s">
        <v>5347</v>
      </c>
      <c r="H4539" s="1" t="s">
        <v>5368</v>
      </c>
      <c r="J4539" s="1" t="s">
        <v>5369</v>
      </c>
      <c r="L4539" s="1" t="s">
        <v>1955</v>
      </c>
      <c r="N4539" s="1" t="s">
        <v>1956</v>
      </c>
      <c r="P4539" s="1" t="s">
        <v>1393</v>
      </c>
      <c r="Q4539" s="30" t="s">
        <v>2568</v>
      </c>
      <c r="R4539" s="33" t="s">
        <v>3474</v>
      </c>
      <c r="S4539">
        <v>35</v>
      </c>
      <c r="T4539" s="1" t="s">
        <v>5350</v>
      </c>
      <c r="U4539" s="1" t="str">
        <f>HYPERLINK("http://ictvonline.org/taxonomy/p/taxonomy-history?taxnode_id=202103232","ICTVonline=202103232")</f>
        <v>ICTVonline=202103232</v>
      </c>
    </row>
    <row r="4540" spans="1:21" x14ac:dyDescent="0.2">
      <c r="A4540" s="3">
        <v>4539</v>
      </c>
      <c r="B4540" s="1" t="s">
        <v>5250</v>
      </c>
      <c r="D4540" s="1" t="s">
        <v>5280</v>
      </c>
      <c r="F4540" s="1" t="s">
        <v>5347</v>
      </c>
      <c r="H4540" s="1" t="s">
        <v>5368</v>
      </c>
      <c r="J4540" s="1" t="s">
        <v>5369</v>
      </c>
      <c r="L4540" s="1" t="s">
        <v>1955</v>
      </c>
      <c r="N4540" s="1" t="s">
        <v>1956</v>
      </c>
      <c r="P4540" s="1" t="s">
        <v>6406</v>
      </c>
      <c r="Q4540" s="30" t="s">
        <v>2969</v>
      </c>
      <c r="R4540" s="33" t="s">
        <v>3472</v>
      </c>
      <c r="S4540">
        <v>36</v>
      </c>
      <c r="T4540" s="1" t="s">
        <v>6403</v>
      </c>
      <c r="U4540" s="1" t="str">
        <f>HYPERLINK("http://ictvonline.org/taxonomy/p/taxonomy-history?taxnode_id=202109120","ICTVonline=202109120")</f>
        <v>ICTVonline=202109120</v>
      </c>
    </row>
    <row r="4541" spans="1:21" x14ac:dyDescent="0.2">
      <c r="A4541" s="3">
        <v>4540</v>
      </c>
      <c r="B4541" s="1" t="s">
        <v>5250</v>
      </c>
      <c r="D4541" s="1" t="s">
        <v>5280</v>
      </c>
      <c r="F4541" s="1" t="s">
        <v>5347</v>
      </c>
      <c r="H4541" s="1" t="s">
        <v>5368</v>
      </c>
      <c r="J4541" s="1" t="s">
        <v>5369</v>
      </c>
      <c r="L4541" s="1" t="s">
        <v>1955</v>
      </c>
      <c r="N4541" s="1" t="s">
        <v>1956</v>
      </c>
      <c r="P4541" s="1" t="s">
        <v>1607</v>
      </c>
      <c r="Q4541" s="30" t="s">
        <v>2568</v>
      </c>
      <c r="R4541" s="33" t="s">
        <v>3474</v>
      </c>
      <c r="S4541">
        <v>35</v>
      </c>
      <c r="T4541" s="1" t="s">
        <v>5350</v>
      </c>
      <c r="U4541" s="1" t="str">
        <f>HYPERLINK("http://ictvonline.org/taxonomy/p/taxonomy-history?taxnode_id=202103233","ICTVonline=202103233")</f>
        <v>ICTVonline=202103233</v>
      </c>
    </row>
    <row r="4542" spans="1:21" x14ac:dyDescent="0.2">
      <c r="A4542" s="3">
        <v>4541</v>
      </c>
      <c r="B4542" s="1" t="s">
        <v>5250</v>
      </c>
      <c r="D4542" s="1" t="s">
        <v>5280</v>
      </c>
      <c r="F4542" s="1" t="s">
        <v>5347</v>
      </c>
      <c r="H4542" s="1" t="s">
        <v>5368</v>
      </c>
      <c r="J4542" s="1" t="s">
        <v>5369</v>
      </c>
      <c r="L4542" s="1" t="s">
        <v>1955</v>
      </c>
      <c r="N4542" s="1" t="s">
        <v>1956</v>
      </c>
      <c r="P4542" s="1" t="s">
        <v>2241</v>
      </c>
      <c r="Q4542" s="30" t="s">
        <v>2568</v>
      </c>
      <c r="R4542" s="33" t="s">
        <v>3474</v>
      </c>
      <c r="S4542">
        <v>35</v>
      </c>
      <c r="T4542" s="1" t="s">
        <v>5350</v>
      </c>
      <c r="U4542" s="1" t="str">
        <f>HYPERLINK("http://ictvonline.org/taxonomy/p/taxonomy-history?taxnode_id=202103234","ICTVonline=202103234")</f>
        <v>ICTVonline=202103234</v>
      </c>
    </row>
    <row r="4543" spans="1:21" x14ac:dyDescent="0.2">
      <c r="A4543" s="3">
        <v>4542</v>
      </c>
      <c r="B4543" s="1" t="s">
        <v>5250</v>
      </c>
      <c r="D4543" s="1" t="s">
        <v>5280</v>
      </c>
      <c r="F4543" s="1" t="s">
        <v>5347</v>
      </c>
      <c r="H4543" s="1" t="s">
        <v>5368</v>
      </c>
      <c r="J4543" s="1" t="s">
        <v>5369</v>
      </c>
      <c r="L4543" s="1" t="s">
        <v>1955</v>
      </c>
      <c r="N4543" s="1" t="s">
        <v>1956</v>
      </c>
      <c r="P4543" s="1" t="s">
        <v>4831</v>
      </c>
      <c r="Q4543" s="30" t="s">
        <v>2568</v>
      </c>
      <c r="R4543" s="33" t="s">
        <v>3474</v>
      </c>
      <c r="S4543">
        <v>35</v>
      </c>
      <c r="T4543" s="1" t="s">
        <v>5350</v>
      </c>
      <c r="U4543" s="1" t="str">
        <f>HYPERLINK("http://ictvonline.org/taxonomy/p/taxonomy-history?taxnode_id=202106700","ICTVonline=202106700")</f>
        <v>ICTVonline=202106700</v>
      </c>
    </row>
    <row r="4544" spans="1:21" x14ac:dyDescent="0.2">
      <c r="A4544" s="3">
        <v>4543</v>
      </c>
      <c r="B4544" s="1" t="s">
        <v>5250</v>
      </c>
      <c r="D4544" s="1" t="s">
        <v>5280</v>
      </c>
      <c r="F4544" s="1" t="s">
        <v>5347</v>
      </c>
      <c r="H4544" s="1" t="s">
        <v>5368</v>
      </c>
      <c r="J4544" s="1" t="s">
        <v>5369</v>
      </c>
      <c r="L4544" s="1" t="s">
        <v>1955</v>
      </c>
      <c r="N4544" s="1" t="s">
        <v>1956</v>
      </c>
      <c r="P4544" s="1" t="s">
        <v>2242</v>
      </c>
      <c r="Q4544" s="30" t="s">
        <v>2568</v>
      </c>
      <c r="R4544" s="33" t="s">
        <v>3474</v>
      </c>
      <c r="S4544">
        <v>35</v>
      </c>
      <c r="T4544" s="1" t="s">
        <v>5350</v>
      </c>
      <c r="U4544" s="1" t="str">
        <f>HYPERLINK("http://ictvonline.org/taxonomy/p/taxonomy-history?taxnode_id=202103235","ICTVonline=202103235")</f>
        <v>ICTVonline=202103235</v>
      </c>
    </row>
    <row r="4545" spans="1:21" x14ac:dyDescent="0.2">
      <c r="A4545" s="3">
        <v>4544</v>
      </c>
      <c r="B4545" s="1" t="s">
        <v>5250</v>
      </c>
      <c r="D4545" s="1" t="s">
        <v>5280</v>
      </c>
      <c r="F4545" s="1" t="s">
        <v>5347</v>
      </c>
      <c r="H4545" s="1" t="s">
        <v>5368</v>
      </c>
      <c r="J4545" s="1" t="s">
        <v>5369</v>
      </c>
      <c r="L4545" s="1" t="s">
        <v>1955</v>
      </c>
      <c r="N4545" s="1" t="s">
        <v>1956</v>
      </c>
      <c r="P4545" s="1" t="s">
        <v>3812</v>
      </c>
      <c r="Q4545" s="30" t="s">
        <v>2568</v>
      </c>
      <c r="R4545" s="33" t="s">
        <v>3474</v>
      </c>
      <c r="S4545">
        <v>35</v>
      </c>
      <c r="T4545" s="1" t="s">
        <v>5350</v>
      </c>
      <c r="U4545" s="1" t="str">
        <f>HYPERLINK("http://ictvonline.org/taxonomy/p/taxonomy-history?taxnode_id=202105797","ICTVonline=202105797")</f>
        <v>ICTVonline=202105797</v>
      </c>
    </row>
    <row r="4546" spans="1:21" x14ac:dyDescent="0.2">
      <c r="A4546" s="3">
        <v>4545</v>
      </c>
      <c r="B4546" s="1" t="s">
        <v>5250</v>
      </c>
      <c r="D4546" s="1" t="s">
        <v>5280</v>
      </c>
      <c r="F4546" s="1" t="s">
        <v>5347</v>
      </c>
      <c r="H4546" s="1" t="s">
        <v>5368</v>
      </c>
      <c r="J4546" s="1" t="s">
        <v>5369</v>
      </c>
      <c r="L4546" s="1" t="s">
        <v>1955</v>
      </c>
      <c r="N4546" s="1" t="s">
        <v>1956</v>
      </c>
      <c r="P4546" s="1" t="s">
        <v>1394</v>
      </c>
      <c r="Q4546" s="30" t="s">
        <v>2568</v>
      </c>
      <c r="R4546" s="33" t="s">
        <v>3474</v>
      </c>
      <c r="S4546">
        <v>35</v>
      </c>
      <c r="T4546" s="1" t="s">
        <v>5350</v>
      </c>
      <c r="U4546" s="1" t="str">
        <f>HYPERLINK("http://ictvonline.org/taxonomy/p/taxonomy-history?taxnode_id=202103236","ICTVonline=202103236")</f>
        <v>ICTVonline=202103236</v>
      </c>
    </row>
    <row r="4547" spans="1:21" x14ac:dyDescent="0.2">
      <c r="A4547" s="3">
        <v>4546</v>
      </c>
      <c r="B4547" s="1" t="s">
        <v>5250</v>
      </c>
      <c r="D4547" s="1" t="s">
        <v>5280</v>
      </c>
      <c r="F4547" s="1" t="s">
        <v>5347</v>
      </c>
      <c r="H4547" s="1" t="s">
        <v>5368</v>
      </c>
      <c r="J4547" s="1" t="s">
        <v>5369</v>
      </c>
      <c r="L4547" s="1" t="s">
        <v>1955</v>
      </c>
      <c r="N4547" s="1" t="s">
        <v>1956</v>
      </c>
      <c r="P4547" s="1" t="s">
        <v>3813</v>
      </c>
      <c r="Q4547" s="30" t="s">
        <v>2568</v>
      </c>
      <c r="R4547" s="33" t="s">
        <v>3474</v>
      </c>
      <c r="S4547">
        <v>35</v>
      </c>
      <c r="T4547" s="1" t="s">
        <v>5350</v>
      </c>
      <c r="U4547" s="1" t="str">
        <f>HYPERLINK("http://ictvonline.org/taxonomy/p/taxonomy-history?taxnode_id=202105798","ICTVonline=202105798")</f>
        <v>ICTVonline=202105798</v>
      </c>
    </row>
    <row r="4548" spans="1:21" x14ac:dyDescent="0.2">
      <c r="A4548" s="3">
        <v>4547</v>
      </c>
      <c r="B4548" s="1" t="s">
        <v>5250</v>
      </c>
      <c r="D4548" s="1" t="s">
        <v>5280</v>
      </c>
      <c r="F4548" s="1" t="s">
        <v>5347</v>
      </c>
      <c r="H4548" s="1" t="s">
        <v>5368</v>
      </c>
      <c r="J4548" s="1" t="s">
        <v>5369</v>
      </c>
      <c r="L4548" s="1" t="s">
        <v>1955</v>
      </c>
      <c r="N4548" s="1" t="s">
        <v>1956</v>
      </c>
      <c r="P4548" s="1" t="s">
        <v>1395</v>
      </c>
      <c r="Q4548" s="30" t="s">
        <v>2568</v>
      </c>
      <c r="R4548" s="33" t="s">
        <v>3474</v>
      </c>
      <c r="S4548">
        <v>35</v>
      </c>
      <c r="T4548" s="1" t="s">
        <v>5350</v>
      </c>
      <c r="U4548" s="1" t="str">
        <f>HYPERLINK("http://ictvonline.org/taxonomy/p/taxonomy-history?taxnode_id=202103237","ICTVonline=202103237")</f>
        <v>ICTVonline=202103237</v>
      </c>
    </row>
    <row r="4549" spans="1:21" x14ac:dyDescent="0.2">
      <c r="A4549" s="3">
        <v>4548</v>
      </c>
      <c r="B4549" s="1" t="s">
        <v>5250</v>
      </c>
      <c r="D4549" s="1" t="s">
        <v>5280</v>
      </c>
      <c r="F4549" s="1" t="s">
        <v>5347</v>
      </c>
      <c r="H4549" s="1" t="s">
        <v>5368</v>
      </c>
      <c r="J4549" s="1" t="s">
        <v>5369</v>
      </c>
      <c r="L4549" s="1" t="s">
        <v>1955</v>
      </c>
      <c r="N4549" s="1" t="s">
        <v>1956</v>
      </c>
      <c r="P4549" s="1" t="s">
        <v>1396</v>
      </c>
      <c r="Q4549" s="30" t="s">
        <v>2568</v>
      </c>
      <c r="R4549" s="33" t="s">
        <v>3474</v>
      </c>
      <c r="S4549">
        <v>35</v>
      </c>
      <c r="T4549" s="1" t="s">
        <v>5350</v>
      </c>
      <c r="U4549" s="1" t="str">
        <f>HYPERLINK("http://ictvonline.org/taxonomy/p/taxonomy-history?taxnode_id=202103238","ICTVonline=202103238")</f>
        <v>ICTVonline=202103238</v>
      </c>
    </row>
    <row r="4550" spans="1:21" x14ac:dyDescent="0.2">
      <c r="A4550" s="3">
        <v>4549</v>
      </c>
      <c r="B4550" s="1" t="s">
        <v>5250</v>
      </c>
      <c r="D4550" s="1" t="s">
        <v>5280</v>
      </c>
      <c r="F4550" s="1" t="s">
        <v>5347</v>
      </c>
      <c r="H4550" s="1" t="s">
        <v>5368</v>
      </c>
      <c r="J4550" s="1" t="s">
        <v>5369</v>
      </c>
      <c r="L4550" s="1" t="s">
        <v>1955</v>
      </c>
      <c r="N4550" s="1" t="s">
        <v>1956</v>
      </c>
      <c r="P4550" s="1" t="s">
        <v>1397</v>
      </c>
      <c r="Q4550" s="30" t="s">
        <v>2568</v>
      </c>
      <c r="R4550" s="33" t="s">
        <v>3474</v>
      </c>
      <c r="S4550">
        <v>35</v>
      </c>
      <c r="T4550" s="1" t="s">
        <v>5350</v>
      </c>
      <c r="U4550" s="1" t="str">
        <f>HYPERLINK("http://ictvonline.org/taxonomy/p/taxonomy-history?taxnode_id=202103239","ICTVonline=202103239")</f>
        <v>ICTVonline=202103239</v>
      </c>
    </row>
    <row r="4551" spans="1:21" x14ac:dyDescent="0.2">
      <c r="A4551" s="3">
        <v>4550</v>
      </c>
      <c r="B4551" s="1" t="s">
        <v>5250</v>
      </c>
      <c r="D4551" s="1" t="s">
        <v>5280</v>
      </c>
      <c r="F4551" s="1" t="s">
        <v>5347</v>
      </c>
      <c r="H4551" s="1" t="s">
        <v>5368</v>
      </c>
      <c r="J4551" s="1" t="s">
        <v>5369</v>
      </c>
      <c r="L4551" s="1" t="s">
        <v>1955</v>
      </c>
      <c r="N4551" s="1" t="s">
        <v>1956</v>
      </c>
      <c r="P4551" s="1" t="s">
        <v>3814</v>
      </c>
      <c r="Q4551" s="30" t="s">
        <v>2568</v>
      </c>
      <c r="R4551" s="33" t="s">
        <v>3474</v>
      </c>
      <c r="S4551">
        <v>35</v>
      </c>
      <c r="T4551" s="1" t="s">
        <v>5350</v>
      </c>
      <c r="U4551" s="1" t="str">
        <f>HYPERLINK("http://ictvonline.org/taxonomy/p/taxonomy-history?taxnode_id=202105799","ICTVonline=202105799")</f>
        <v>ICTVonline=202105799</v>
      </c>
    </row>
    <row r="4552" spans="1:21" x14ac:dyDescent="0.2">
      <c r="A4552" s="3">
        <v>4551</v>
      </c>
      <c r="B4552" s="1" t="s">
        <v>5250</v>
      </c>
      <c r="D4552" s="1" t="s">
        <v>5280</v>
      </c>
      <c r="F4552" s="1" t="s">
        <v>5347</v>
      </c>
      <c r="H4552" s="1" t="s">
        <v>5368</v>
      </c>
      <c r="J4552" s="1" t="s">
        <v>5369</v>
      </c>
      <c r="L4552" s="1" t="s">
        <v>1955</v>
      </c>
      <c r="N4552" s="1" t="s">
        <v>1956</v>
      </c>
      <c r="P4552" s="1" t="s">
        <v>415</v>
      </c>
      <c r="Q4552" s="30" t="s">
        <v>2568</v>
      </c>
      <c r="R4552" s="33" t="s">
        <v>3474</v>
      </c>
      <c r="S4552">
        <v>35</v>
      </c>
      <c r="T4552" s="1" t="s">
        <v>5350</v>
      </c>
      <c r="U4552" s="1" t="str">
        <f>HYPERLINK("http://ictvonline.org/taxonomy/p/taxonomy-history?taxnode_id=202103240","ICTVonline=202103240")</f>
        <v>ICTVonline=202103240</v>
      </c>
    </row>
    <row r="4553" spans="1:21" x14ac:dyDescent="0.2">
      <c r="A4553" s="3">
        <v>4552</v>
      </c>
      <c r="B4553" s="1" t="s">
        <v>5250</v>
      </c>
      <c r="D4553" s="1" t="s">
        <v>5280</v>
      </c>
      <c r="F4553" s="1" t="s">
        <v>5347</v>
      </c>
      <c r="H4553" s="1" t="s">
        <v>5368</v>
      </c>
      <c r="J4553" s="1" t="s">
        <v>5369</v>
      </c>
      <c r="L4553" s="1" t="s">
        <v>1955</v>
      </c>
      <c r="N4553" s="1" t="s">
        <v>1956</v>
      </c>
      <c r="P4553" s="1" t="s">
        <v>416</v>
      </c>
      <c r="Q4553" s="30" t="s">
        <v>2568</v>
      </c>
      <c r="R4553" s="33" t="s">
        <v>3474</v>
      </c>
      <c r="S4553">
        <v>35</v>
      </c>
      <c r="T4553" s="1" t="s">
        <v>5350</v>
      </c>
      <c r="U4553" s="1" t="str">
        <f>HYPERLINK("http://ictvonline.org/taxonomy/p/taxonomy-history?taxnode_id=202103241","ICTVonline=202103241")</f>
        <v>ICTVonline=202103241</v>
      </c>
    </row>
    <row r="4554" spans="1:21" x14ac:dyDescent="0.2">
      <c r="A4554" s="3">
        <v>4553</v>
      </c>
      <c r="B4554" s="1" t="s">
        <v>5250</v>
      </c>
      <c r="D4554" s="1" t="s">
        <v>5280</v>
      </c>
      <c r="F4554" s="1" t="s">
        <v>5347</v>
      </c>
      <c r="H4554" s="1" t="s">
        <v>5368</v>
      </c>
      <c r="J4554" s="1" t="s">
        <v>5369</v>
      </c>
      <c r="L4554" s="1" t="s">
        <v>1955</v>
      </c>
      <c r="N4554" s="1" t="s">
        <v>1956</v>
      </c>
      <c r="P4554" s="1" t="s">
        <v>417</v>
      </c>
      <c r="Q4554" s="30" t="s">
        <v>2568</v>
      </c>
      <c r="R4554" s="33" t="s">
        <v>3474</v>
      </c>
      <c r="S4554">
        <v>35</v>
      </c>
      <c r="T4554" s="1" t="s">
        <v>5350</v>
      </c>
      <c r="U4554" s="1" t="str">
        <f>HYPERLINK("http://ictvonline.org/taxonomy/p/taxonomy-history?taxnode_id=202103242","ICTVonline=202103242")</f>
        <v>ICTVonline=202103242</v>
      </c>
    </row>
    <row r="4555" spans="1:21" x14ac:dyDescent="0.2">
      <c r="A4555" s="3">
        <v>4554</v>
      </c>
      <c r="B4555" s="1" t="s">
        <v>5250</v>
      </c>
      <c r="D4555" s="1" t="s">
        <v>5280</v>
      </c>
      <c r="F4555" s="1" t="s">
        <v>5347</v>
      </c>
      <c r="H4555" s="1" t="s">
        <v>5368</v>
      </c>
      <c r="J4555" s="1" t="s">
        <v>5369</v>
      </c>
      <c r="L4555" s="1" t="s">
        <v>1955</v>
      </c>
      <c r="N4555" s="1" t="s">
        <v>1956</v>
      </c>
      <c r="P4555" s="1" t="s">
        <v>418</v>
      </c>
      <c r="Q4555" s="30" t="s">
        <v>2568</v>
      </c>
      <c r="R4555" s="33" t="s">
        <v>3474</v>
      </c>
      <c r="S4555">
        <v>35</v>
      </c>
      <c r="T4555" s="1" t="s">
        <v>5350</v>
      </c>
      <c r="U4555" s="1" t="str">
        <f>HYPERLINK("http://ictvonline.org/taxonomy/p/taxonomy-history?taxnode_id=202103243","ICTVonline=202103243")</f>
        <v>ICTVonline=202103243</v>
      </c>
    </row>
    <row r="4556" spans="1:21" x14ac:dyDescent="0.2">
      <c r="A4556" s="3">
        <v>4555</v>
      </c>
      <c r="B4556" s="1" t="s">
        <v>5250</v>
      </c>
      <c r="D4556" s="1" t="s">
        <v>5280</v>
      </c>
      <c r="F4556" s="1" t="s">
        <v>5347</v>
      </c>
      <c r="H4556" s="1" t="s">
        <v>5368</v>
      </c>
      <c r="J4556" s="1" t="s">
        <v>5369</v>
      </c>
      <c r="L4556" s="1" t="s">
        <v>1955</v>
      </c>
      <c r="N4556" s="1" t="s">
        <v>1956</v>
      </c>
      <c r="P4556" s="1" t="s">
        <v>419</v>
      </c>
      <c r="Q4556" s="30" t="s">
        <v>2568</v>
      </c>
      <c r="R4556" s="33" t="s">
        <v>3474</v>
      </c>
      <c r="S4556">
        <v>35</v>
      </c>
      <c r="T4556" s="1" t="s">
        <v>5350</v>
      </c>
      <c r="U4556" s="1" t="str">
        <f>HYPERLINK("http://ictvonline.org/taxonomy/p/taxonomy-history?taxnode_id=202103244","ICTVonline=202103244")</f>
        <v>ICTVonline=202103244</v>
      </c>
    </row>
    <row r="4557" spans="1:21" x14ac:dyDescent="0.2">
      <c r="A4557" s="3">
        <v>4556</v>
      </c>
      <c r="B4557" s="1" t="s">
        <v>5250</v>
      </c>
      <c r="D4557" s="1" t="s">
        <v>5280</v>
      </c>
      <c r="F4557" s="1" t="s">
        <v>5347</v>
      </c>
      <c r="H4557" s="1" t="s">
        <v>5368</v>
      </c>
      <c r="J4557" s="1" t="s">
        <v>5369</v>
      </c>
      <c r="L4557" s="1" t="s">
        <v>1955</v>
      </c>
      <c r="N4557" s="1" t="s">
        <v>1956</v>
      </c>
      <c r="P4557" s="1" t="s">
        <v>4832</v>
      </c>
      <c r="Q4557" s="30" t="s">
        <v>2568</v>
      </c>
      <c r="R4557" s="33" t="s">
        <v>3474</v>
      </c>
      <c r="S4557">
        <v>35</v>
      </c>
      <c r="T4557" s="1" t="s">
        <v>5350</v>
      </c>
      <c r="U4557" s="1" t="str">
        <f>HYPERLINK("http://ictvonline.org/taxonomy/p/taxonomy-history?taxnode_id=202106701","ICTVonline=202106701")</f>
        <v>ICTVonline=202106701</v>
      </c>
    </row>
    <row r="4558" spans="1:21" x14ac:dyDescent="0.2">
      <c r="A4558" s="3">
        <v>4557</v>
      </c>
      <c r="B4558" s="1" t="s">
        <v>5250</v>
      </c>
      <c r="D4558" s="1" t="s">
        <v>5280</v>
      </c>
      <c r="F4558" s="1" t="s">
        <v>5347</v>
      </c>
      <c r="H4558" s="1" t="s">
        <v>5368</v>
      </c>
      <c r="J4558" s="1" t="s">
        <v>5369</v>
      </c>
      <c r="L4558" s="1" t="s">
        <v>1955</v>
      </c>
      <c r="N4558" s="1" t="s">
        <v>1956</v>
      </c>
      <c r="P4558" s="1" t="s">
        <v>5375</v>
      </c>
      <c r="Q4558" s="30" t="s">
        <v>2969</v>
      </c>
      <c r="R4558" s="33" t="s">
        <v>3472</v>
      </c>
      <c r="S4558">
        <v>35</v>
      </c>
      <c r="T4558" s="1" t="s">
        <v>5371</v>
      </c>
      <c r="U4558" s="1" t="str">
        <f>HYPERLINK("http://ictvonline.org/taxonomy/p/taxonomy-history?taxnode_id=202107522","ICTVonline=202107522")</f>
        <v>ICTVonline=202107522</v>
      </c>
    </row>
    <row r="4559" spans="1:21" x14ac:dyDescent="0.2">
      <c r="A4559" s="3">
        <v>4558</v>
      </c>
      <c r="B4559" s="1" t="s">
        <v>5250</v>
      </c>
      <c r="D4559" s="1" t="s">
        <v>5280</v>
      </c>
      <c r="F4559" s="1" t="s">
        <v>5347</v>
      </c>
      <c r="H4559" s="1" t="s">
        <v>5368</v>
      </c>
      <c r="J4559" s="1" t="s">
        <v>5369</v>
      </c>
      <c r="L4559" s="1" t="s">
        <v>1955</v>
      </c>
      <c r="N4559" s="1" t="s">
        <v>1956</v>
      </c>
      <c r="P4559" s="1" t="s">
        <v>4833</v>
      </c>
      <c r="Q4559" s="30" t="s">
        <v>2568</v>
      </c>
      <c r="R4559" s="33" t="s">
        <v>3474</v>
      </c>
      <c r="S4559">
        <v>35</v>
      </c>
      <c r="T4559" s="1" t="s">
        <v>5350</v>
      </c>
      <c r="U4559" s="1" t="str">
        <f>HYPERLINK("http://ictvonline.org/taxonomy/p/taxonomy-history?taxnode_id=202106702","ICTVonline=202106702")</f>
        <v>ICTVonline=202106702</v>
      </c>
    </row>
    <row r="4560" spans="1:21" x14ac:dyDescent="0.2">
      <c r="A4560" s="3">
        <v>4559</v>
      </c>
      <c r="B4560" s="1" t="s">
        <v>5250</v>
      </c>
      <c r="D4560" s="1" t="s">
        <v>5280</v>
      </c>
      <c r="F4560" s="1" t="s">
        <v>5347</v>
      </c>
      <c r="H4560" s="1" t="s">
        <v>5368</v>
      </c>
      <c r="J4560" s="1" t="s">
        <v>5369</v>
      </c>
      <c r="L4560" s="1" t="s">
        <v>1955</v>
      </c>
      <c r="N4560" s="1" t="s">
        <v>1956</v>
      </c>
      <c r="P4560" s="1" t="s">
        <v>2919</v>
      </c>
      <c r="Q4560" s="30" t="s">
        <v>2568</v>
      </c>
      <c r="R4560" s="33" t="s">
        <v>3474</v>
      </c>
      <c r="S4560">
        <v>35</v>
      </c>
      <c r="T4560" s="1" t="s">
        <v>5350</v>
      </c>
      <c r="U4560" s="1" t="str">
        <f>HYPERLINK("http://ictvonline.org/taxonomy/p/taxonomy-history?taxnode_id=202103245","ICTVonline=202103245")</f>
        <v>ICTVonline=202103245</v>
      </c>
    </row>
    <row r="4561" spans="1:21" x14ac:dyDescent="0.2">
      <c r="A4561" s="3">
        <v>4560</v>
      </c>
      <c r="B4561" s="1" t="s">
        <v>5250</v>
      </c>
      <c r="D4561" s="1" t="s">
        <v>5280</v>
      </c>
      <c r="F4561" s="1" t="s">
        <v>5347</v>
      </c>
      <c r="H4561" s="1" t="s">
        <v>5368</v>
      </c>
      <c r="J4561" s="1" t="s">
        <v>5369</v>
      </c>
      <c r="L4561" s="1" t="s">
        <v>1955</v>
      </c>
      <c r="N4561" s="1" t="s">
        <v>1956</v>
      </c>
      <c r="P4561" s="1" t="s">
        <v>420</v>
      </c>
      <c r="Q4561" s="30" t="s">
        <v>2568</v>
      </c>
      <c r="R4561" s="33" t="s">
        <v>3474</v>
      </c>
      <c r="S4561">
        <v>35</v>
      </c>
      <c r="T4561" s="1" t="s">
        <v>5350</v>
      </c>
      <c r="U4561" s="1" t="str">
        <f>HYPERLINK("http://ictvonline.org/taxonomy/p/taxonomy-history?taxnode_id=202103246","ICTVonline=202103246")</f>
        <v>ICTVonline=202103246</v>
      </c>
    </row>
    <row r="4562" spans="1:21" x14ac:dyDescent="0.2">
      <c r="A4562" s="3">
        <v>4561</v>
      </c>
      <c r="B4562" s="1" t="s">
        <v>5250</v>
      </c>
      <c r="D4562" s="1" t="s">
        <v>5280</v>
      </c>
      <c r="F4562" s="1" t="s">
        <v>5347</v>
      </c>
      <c r="H4562" s="1" t="s">
        <v>5368</v>
      </c>
      <c r="J4562" s="1" t="s">
        <v>5369</v>
      </c>
      <c r="L4562" s="1" t="s">
        <v>1955</v>
      </c>
      <c r="N4562" s="1" t="s">
        <v>1956</v>
      </c>
      <c r="P4562" s="1" t="s">
        <v>285</v>
      </c>
      <c r="Q4562" s="30" t="s">
        <v>2568</v>
      </c>
      <c r="R4562" s="33" t="s">
        <v>3474</v>
      </c>
      <c r="S4562">
        <v>35</v>
      </c>
      <c r="T4562" s="1" t="s">
        <v>5350</v>
      </c>
      <c r="U4562" s="1" t="str">
        <f>HYPERLINK("http://ictvonline.org/taxonomy/p/taxonomy-history?taxnode_id=202103247","ICTVonline=202103247")</f>
        <v>ICTVonline=202103247</v>
      </c>
    </row>
    <row r="4563" spans="1:21" x14ac:dyDescent="0.2">
      <c r="A4563" s="3">
        <v>4562</v>
      </c>
      <c r="B4563" s="1" t="s">
        <v>5250</v>
      </c>
      <c r="D4563" s="1" t="s">
        <v>5280</v>
      </c>
      <c r="F4563" s="1" t="s">
        <v>5347</v>
      </c>
      <c r="H4563" s="1" t="s">
        <v>5368</v>
      </c>
      <c r="J4563" s="1" t="s">
        <v>5369</v>
      </c>
      <c r="L4563" s="1" t="s">
        <v>1955</v>
      </c>
      <c r="N4563" s="1" t="s">
        <v>1956</v>
      </c>
      <c r="P4563" s="1" t="s">
        <v>410</v>
      </c>
      <c r="Q4563" s="30" t="s">
        <v>2568</v>
      </c>
      <c r="R4563" s="33" t="s">
        <v>3474</v>
      </c>
      <c r="S4563">
        <v>35</v>
      </c>
      <c r="T4563" s="1" t="s">
        <v>5350</v>
      </c>
      <c r="U4563" s="1" t="str">
        <f>HYPERLINK("http://ictvonline.org/taxonomy/p/taxonomy-history?taxnode_id=202103248","ICTVonline=202103248")</f>
        <v>ICTVonline=202103248</v>
      </c>
    </row>
    <row r="4564" spans="1:21" x14ac:dyDescent="0.2">
      <c r="A4564" s="3">
        <v>4563</v>
      </c>
      <c r="B4564" s="1" t="s">
        <v>5250</v>
      </c>
      <c r="D4564" s="1" t="s">
        <v>5280</v>
      </c>
      <c r="F4564" s="1" t="s">
        <v>5347</v>
      </c>
      <c r="H4564" s="1" t="s">
        <v>5368</v>
      </c>
      <c r="J4564" s="1" t="s">
        <v>5369</v>
      </c>
      <c r="L4564" s="1" t="s">
        <v>1955</v>
      </c>
      <c r="N4564" s="1" t="s">
        <v>1956</v>
      </c>
      <c r="P4564" s="1" t="s">
        <v>288</v>
      </c>
      <c r="Q4564" s="30" t="s">
        <v>2568</v>
      </c>
      <c r="R4564" s="33" t="s">
        <v>3474</v>
      </c>
      <c r="S4564">
        <v>35</v>
      </c>
      <c r="T4564" s="1" t="s">
        <v>5350</v>
      </c>
      <c r="U4564" s="1" t="str">
        <f>HYPERLINK("http://ictvonline.org/taxonomy/p/taxonomy-history?taxnode_id=202103249","ICTVonline=202103249")</f>
        <v>ICTVonline=202103249</v>
      </c>
    </row>
    <row r="4565" spans="1:21" x14ac:dyDescent="0.2">
      <c r="A4565" s="3">
        <v>4564</v>
      </c>
      <c r="B4565" s="1" t="s">
        <v>5250</v>
      </c>
      <c r="D4565" s="1" t="s">
        <v>5280</v>
      </c>
      <c r="F4565" s="1" t="s">
        <v>5347</v>
      </c>
      <c r="H4565" s="1" t="s">
        <v>5368</v>
      </c>
      <c r="J4565" s="1" t="s">
        <v>5369</v>
      </c>
      <c r="L4565" s="1" t="s">
        <v>1955</v>
      </c>
      <c r="N4565" s="1" t="s">
        <v>1956</v>
      </c>
      <c r="P4565" s="1" t="s">
        <v>289</v>
      </c>
      <c r="Q4565" s="30" t="s">
        <v>2568</v>
      </c>
      <c r="R4565" s="33" t="s">
        <v>3474</v>
      </c>
      <c r="S4565">
        <v>35</v>
      </c>
      <c r="T4565" s="1" t="s">
        <v>5350</v>
      </c>
      <c r="U4565" s="1" t="str">
        <f>HYPERLINK("http://ictvonline.org/taxonomy/p/taxonomy-history?taxnode_id=202103250","ICTVonline=202103250")</f>
        <v>ICTVonline=202103250</v>
      </c>
    </row>
    <row r="4566" spans="1:21" x14ac:dyDescent="0.2">
      <c r="A4566" s="3">
        <v>4565</v>
      </c>
      <c r="B4566" s="1" t="s">
        <v>5250</v>
      </c>
      <c r="D4566" s="1" t="s">
        <v>5280</v>
      </c>
      <c r="F4566" s="1" t="s">
        <v>5347</v>
      </c>
      <c r="H4566" s="1" t="s">
        <v>5368</v>
      </c>
      <c r="J4566" s="1" t="s">
        <v>5369</v>
      </c>
      <c r="L4566" s="1" t="s">
        <v>1955</v>
      </c>
      <c r="N4566" s="1" t="s">
        <v>1956</v>
      </c>
      <c r="P4566" s="1" t="s">
        <v>3815</v>
      </c>
      <c r="Q4566" s="30" t="s">
        <v>2568</v>
      </c>
      <c r="R4566" s="33" t="s">
        <v>3474</v>
      </c>
      <c r="S4566">
        <v>35</v>
      </c>
      <c r="T4566" s="1" t="s">
        <v>5350</v>
      </c>
      <c r="U4566" s="1" t="str">
        <f>HYPERLINK("http://ictvonline.org/taxonomy/p/taxonomy-history?taxnode_id=202105800","ICTVonline=202105800")</f>
        <v>ICTVonline=202105800</v>
      </c>
    </row>
    <row r="4567" spans="1:21" x14ac:dyDescent="0.2">
      <c r="A4567" s="3">
        <v>4566</v>
      </c>
      <c r="B4567" s="1" t="s">
        <v>5250</v>
      </c>
      <c r="D4567" s="1" t="s">
        <v>5280</v>
      </c>
      <c r="F4567" s="1" t="s">
        <v>5347</v>
      </c>
      <c r="H4567" s="1" t="s">
        <v>5368</v>
      </c>
      <c r="J4567" s="1" t="s">
        <v>5369</v>
      </c>
      <c r="L4567" s="1" t="s">
        <v>1955</v>
      </c>
      <c r="N4567" s="1" t="s">
        <v>1956</v>
      </c>
      <c r="P4567" s="1" t="s">
        <v>290</v>
      </c>
      <c r="Q4567" s="30" t="s">
        <v>2568</v>
      </c>
      <c r="R4567" s="33" t="s">
        <v>3474</v>
      </c>
      <c r="S4567">
        <v>35</v>
      </c>
      <c r="T4567" s="1" t="s">
        <v>5350</v>
      </c>
      <c r="U4567" s="1" t="str">
        <f>HYPERLINK("http://ictvonline.org/taxonomy/p/taxonomy-history?taxnode_id=202103251","ICTVonline=202103251")</f>
        <v>ICTVonline=202103251</v>
      </c>
    </row>
    <row r="4568" spans="1:21" x14ac:dyDescent="0.2">
      <c r="A4568" s="3">
        <v>4567</v>
      </c>
      <c r="B4568" s="1" t="s">
        <v>5250</v>
      </c>
      <c r="D4568" s="1" t="s">
        <v>5280</v>
      </c>
      <c r="F4568" s="1" t="s">
        <v>5347</v>
      </c>
      <c r="H4568" s="1" t="s">
        <v>5368</v>
      </c>
      <c r="J4568" s="1" t="s">
        <v>5369</v>
      </c>
      <c r="L4568" s="1" t="s">
        <v>1955</v>
      </c>
      <c r="N4568" s="1" t="s">
        <v>1956</v>
      </c>
      <c r="P4568" s="1" t="s">
        <v>3816</v>
      </c>
      <c r="Q4568" s="30" t="s">
        <v>2568</v>
      </c>
      <c r="R4568" s="33" t="s">
        <v>3474</v>
      </c>
      <c r="S4568">
        <v>35</v>
      </c>
      <c r="T4568" s="1" t="s">
        <v>5350</v>
      </c>
      <c r="U4568" s="1" t="str">
        <f>HYPERLINK("http://ictvonline.org/taxonomy/p/taxonomy-history?taxnode_id=202105801","ICTVonline=202105801")</f>
        <v>ICTVonline=202105801</v>
      </c>
    </row>
    <row r="4569" spans="1:21" x14ac:dyDescent="0.2">
      <c r="A4569" s="3">
        <v>4568</v>
      </c>
      <c r="B4569" s="1" t="s">
        <v>5250</v>
      </c>
      <c r="D4569" s="1" t="s">
        <v>5280</v>
      </c>
      <c r="F4569" s="1" t="s">
        <v>5347</v>
      </c>
      <c r="H4569" s="1" t="s">
        <v>5368</v>
      </c>
      <c r="J4569" s="1" t="s">
        <v>5369</v>
      </c>
      <c r="L4569" s="1" t="s">
        <v>1955</v>
      </c>
      <c r="N4569" s="1" t="s">
        <v>1956</v>
      </c>
      <c r="P4569" s="1" t="s">
        <v>2243</v>
      </c>
      <c r="Q4569" s="30" t="s">
        <v>2568</v>
      </c>
      <c r="R4569" s="33" t="s">
        <v>3474</v>
      </c>
      <c r="S4569">
        <v>35</v>
      </c>
      <c r="T4569" s="1" t="s">
        <v>5350</v>
      </c>
      <c r="U4569" s="1" t="str">
        <f>HYPERLINK("http://ictvonline.org/taxonomy/p/taxonomy-history?taxnode_id=202103252","ICTVonline=202103252")</f>
        <v>ICTVonline=202103252</v>
      </c>
    </row>
    <row r="4570" spans="1:21" x14ac:dyDescent="0.2">
      <c r="A4570" s="3">
        <v>4569</v>
      </c>
      <c r="B4570" s="1" t="s">
        <v>5250</v>
      </c>
      <c r="D4570" s="1" t="s">
        <v>5280</v>
      </c>
      <c r="F4570" s="1" t="s">
        <v>5347</v>
      </c>
      <c r="H4570" s="1" t="s">
        <v>5368</v>
      </c>
      <c r="J4570" s="1" t="s">
        <v>5369</v>
      </c>
      <c r="L4570" s="1" t="s">
        <v>1955</v>
      </c>
      <c r="N4570" s="1" t="s">
        <v>1956</v>
      </c>
      <c r="P4570" s="1" t="s">
        <v>2920</v>
      </c>
      <c r="Q4570" s="30" t="s">
        <v>2568</v>
      </c>
      <c r="R4570" s="33" t="s">
        <v>3474</v>
      </c>
      <c r="S4570">
        <v>35</v>
      </c>
      <c r="T4570" s="1" t="s">
        <v>5350</v>
      </c>
      <c r="U4570" s="1" t="str">
        <f>HYPERLINK("http://ictvonline.org/taxonomy/p/taxonomy-history?taxnode_id=202103253","ICTVonline=202103253")</f>
        <v>ICTVonline=202103253</v>
      </c>
    </row>
    <row r="4571" spans="1:21" x14ac:dyDescent="0.2">
      <c r="A4571" s="3">
        <v>4570</v>
      </c>
      <c r="B4571" s="1" t="s">
        <v>5250</v>
      </c>
      <c r="D4571" s="1" t="s">
        <v>5280</v>
      </c>
      <c r="F4571" s="1" t="s">
        <v>5347</v>
      </c>
      <c r="H4571" s="1" t="s">
        <v>5368</v>
      </c>
      <c r="J4571" s="1" t="s">
        <v>5369</v>
      </c>
      <c r="L4571" s="1" t="s">
        <v>1955</v>
      </c>
      <c r="N4571" s="1" t="s">
        <v>1956</v>
      </c>
      <c r="P4571" s="1" t="s">
        <v>2921</v>
      </c>
      <c r="Q4571" s="30" t="s">
        <v>2568</v>
      </c>
      <c r="R4571" s="33" t="s">
        <v>3474</v>
      </c>
      <c r="S4571">
        <v>35</v>
      </c>
      <c r="T4571" s="1" t="s">
        <v>5350</v>
      </c>
      <c r="U4571" s="1" t="str">
        <f>HYPERLINK("http://ictvonline.org/taxonomy/p/taxonomy-history?taxnode_id=202103254","ICTVonline=202103254")</f>
        <v>ICTVonline=202103254</v>
      </c>
    </row>
    <row r="4572" spans="1:21" x14ac:dyDescent="0.2">
      <c r="A4572" s="3">
        <v>4571</v>
      </c>
      <c r="B4572" s="1" t="s">
        <v>5250</v>
      </c>
      <c r="D4572" s="1" t="s">
        <v>5280</v>
      </c>
      <c r="F4572" s="1" t="s">
        <v>5347</v>
      </c>
      <c r="H4572" s="1" t="s">
        <v>5368</v>
      </c>
      <c r="J4572" s="1" t="s">
        <v>5369</v>
      </c>
      <c r="L4572" s="1" t="s">
        <v>1955</v>
      </c>
      <c r="N4572" s="1" t="s">
        <v>1956</v>
      </c>
      <c r="P4572" s="1" t="s">
        <v>2922</v>
      </c>
      <c r="Q4572" s="30" t="s">
        <v>2568</v>
      </c>
      <c r="R4572" s="33" t="s">
        <v>3474</v>
      </c>
      <c r="S4572">
        <v>35</v>
      </c>
      <c r="T4572" s="1" t="s">
        <v>5350</v>
      </c>
      <c r="U4572" s="1" t="str">
        <f>HYPERLINK("http://ictvonline.org/taxonomy/p/taxonomy-history?taxnode_id=202103255","ICTVonline=202103255")</f>
        <v>ICTVonline=202103255</v>
      </c>
    </row>
    <row r="4573" spans="1:21" x14ac:dyDescent="0.2">
      <c r="A4573" s="3">
        <v>4572</v>
      </c>
      <c r="B4573" s="1" t="s">
        <v>5250</v>
      </c>
      <c r="D4573" s="1" t="s">
        <v>5280</v>
      </c>
      <c r="F4573" s="1" t="s">
        <v>5347</v>
      </c>
      <c r="H4573" s="1" t="s">
        <v>5368</v>
      </c>
      <c r="J4573" s="1" t="s">
        <v>5369</v>
      </c>
      <c r="L4573" s="1" t="s">
        <v>1955</v>
      </c>
      <c r="N4573" s="1" t="s">
        <v>1956</v>
      </c>
      <c r="P4573" s="1" t="s">
        <v>5376</v>
      </c>
      <c r="Q4573" s="30" t="s">
        <v>2969</v>
      </c>
      <c r="R4573" s="33" t="s">
        <v>3472</v>
      </c>
      <c r="S4573">
        <v>35</v>
      </c>
      <c r="T4573" s="1" t="s">
        <v>5371</v>
      </c>
      <c r="U4573" s="1" t="str">
        <f>HYPERLINK("http://ictvonline.org/taxonomy/p/taxonomy-history?taxnode_id=202107523","ICTVonline=202107523")</f>
        <v>ICTVonline=202107523</v>
      </c>
    </row>
    <row r="4574" spans="1:21" x14ac:dyDescent="0.2">
      <c r="A4574" s="3">
        <v>4573</v>
      </c>
      <c r="B4574" s="1" t="s">
        <v>5250</v>
      </c>
      <c r="D4574" s="1" t="s">
        <v>5280</v>
      </c>
      <c r="F4574" s="1" t="s">
        <v>5347</v>
      </c>
      <c r="H4574" s="1" t="s">
        <v>5368</v>
      </c>
      <c r="J4574" s="1" t="s">
        <v>5369</v>
      </c>
      <c r="L4574" s="1" t="s">
        <v>1955</v>
      </c>
      <c r="N4574" s="1" t="s">
        <v>1956</v>
      </c>
      <c r="P4574" s="1" t="s">
        <v>6407</v>
      </c>
      <c r="Q4574" s="30" t="s">
        <v>2969</v>
      </c>
      <c r="R4574" s="33" t="s">
        <v>3472</v>
      </c>
      <c r="S4574">
        <v>36</v>
      </c>
      <c r="T4574" s="1" t="s">
        <v>6403</v>
      </c>
      <c r="U4574" s="1" t="str">
        <f>HYPERLINK("http://ictvonline.org/taxonomy/p/taxonomy-history?taxnode_id=202109121","ICTVonline=202109121")</f>
        <v>ICTVonline=202109121</v>
      </c>
    </row>
    <row r="4575" spans="1:21" x14ac:dyDescent="0.2">
      <c r="A4575" s="3">
        <v>4574</v>
      </c>
      <c r="B4575" s="1" t="s">
        <v>5250</v>
      </c>
      <c r="D4575" s="1" t="s">
        <v>5280</v>
      </c>
      <c r="F4575" s="1" t="s">
        <v>5347</v>
      </c>
      <c r="H4575" s="1" t="s">
        <v>5368</v>
      </c>
      <c r="J4575" s="1" t="s">
        <v>5369</v>
      </c>
      <c r="L4575" s="1" t="s">
        <v>1955</v>
      </c>
      <c r="N4575" s="1" t="s">
        <v>1956</v>
      </c>
      <c r="P4575" s="1" t="s">
        <v>2244</v>
      </c>
      <c r="Q4575" s="30" t="s">
        <v>2568</v>
      </c>
      <c r="R4575" s="33" t="s">
        <v>3474</v>
      </c>
      <c r="S4575">
        <v>35</v>
      </c>
      <c r="T4575" s="1" t="s">
        <v>5350</v>
      </c>
      <c r="U4575" s="1" t="str">
        <f>HYPERLINK("http://ictvonline.org/taxonomy/p/taxonomy-history?taxnode_id=202103256","ICTVonline=202103256")</f>
        <v>ICTVonline=202103256</v>
      </c>
    </row>
    <row r="4576" spans="1:21" x14ac:dyDescent="0.2">
      <c r="A4576" s="3">
        <v>4575</v>
      </c>
      <c r="B4576" s="1" t="s">
        <v>5250</v>
      </c>
      <c r="D4576" s="1" t="s">
        <v>5280</v>
      </c>
      <c r="F4576" s="1" t="s">
        <v>5347</v>
      </c>
      <c r="H4576" s="1" t="s">
        <v>5368</v>
      </c>
      <c r="J4576" s="1" t="s">
        <v>5369</v>
      </c>
      <c r="L4576" s="1" t="s">
        <v>1955</v>
      </c>
      <c r="N4576" s="1" t="s">
        <v>1956</v>
      </c>
      <c r="P4576" s="1" t="s">
        <v>3817</v>
      </c>
      <c r="Q4576" s="30" t="s">
        <v>2568</v>
      </c>
      <c r="R4576" s="33" t="s">
        <v>3474</v>
      </c>
      <c r="S4576">
        <v>35</v>
      </c>
      <c r="T4576" s="1" t="s">
        <v>5350</v>
      </c>
      <c r="U4576" s="1" t="str">
        <f>HYPERLINK("http://ictvonline.org/taxonomy/p/taxonomy-history?taxnode_id=202105802","ICTVonline=202105802")</f>
        <v>ICTVonline=202105802</v>
      </c>
    </row>
    <row r="4577" spans="1:21" x14ac:dyDescent="0.2">
      <c r="A4577" s="3">
        <v>4576</v>
      </c>
      <c r="B4577" s="1" t="s">
        <v>5250</v>
      </c>
      <c r="D4577" s="1" t="s">
        <v>5280</v>
      </c>
      <c r="F4577" s="1" t="s">
        <v>5347</v>
      </c>
      <c r="H4577" s="1" t="s">
        <v>5368</v>
      </c>
      <c r="J4577" s="1" t="s">
        <v>5369</v>
      </c>
      <c r="L4577" s="1" t="s">
        <v>1955</v>
      </c>
      <c r="N4577" s="1" t="s">
        <v>1956</v>
      </c>
      <c r="P4577" s="1" t="s">
        <v>5377</v>
      </c>
      <c r="Q4577" s="30" t="s">
        <v>2969</v>
      </c>
      <c r="R4577" s="33" t="s">
        <v>3472</v>
      </c>
      <c r="S4577">
        <v>35</v>
      </c>
      <c r="T4577" s="1" t="s">
        <v>5371</v>
      </c>
      <c r="U4577" s="1" t="str">
        <f>HYPERLINK("http://ictvonline.org/taxonomy/p/taxonomy-history?taxnode_id=202107524","ICTVonline=202107524")</f>
        <v>ICTVonline=202107524</v>
      </c>
    </row>
    <row r="4578" spans="1:21" x14ac:dyDescent="0.2">
      <c r="A4578" s="3">
        <v>4577</v>
      </c>
      <c r="B4578" s="1" t="s">
        <v>5250</v>
      </c>
      <c r="D4578" s="1" t="s">
        <v>5280</v>
      </c>
      <c r="F4578" s="1" t="s">
        <v>5347</v>
      </c>
      <c r="H4578" s="1" t="s">
        <v>5368</v>
      </c>
      <c r="J4578" s="1" t="s">
        <v>5369</v>
      </c>
      <c r="L4578" s="1" t="s">
        <v>1955</v>
      </c>
      <c r="N4578" s="1" t="s">
        <v>1956</v>
      </c>
      <c r="P4578" s="1" t="s">
        <v>1575</v>
      </c>
      <c r="Q4578" s="30" t="s">
        <v>2568</v>
      </c>
      <c r="R4578" s="33" t="s">
        <v>3474</v>
      </c>
      <c r="S4578">
        <v>35</v>
      </c>
      <c r="T4578" s="1" t="s">
        <v>5350</v>
      </c>
      <c r="U4578" s="1" t="str">
        <f>HYPERLINK("http://ictvonline.org/taxonomy/p/taxonomy-history?taxnode_id=202103258","ICTVonline=202103258")</f>
        <v>ICTVonline=202103258</v>
      </c>
    </row>
    <row r="4579" spans="1:21" x14ac:dyDescent="0.2">
      <c r="A4579" s="3">
        <v>4578</v>
      </c>
      <c r="B4579" s="1" t="s">
        <v>5250</v>
      </c>
      <c r="D4579" s="1" t="s">
        <v>5280</v>
      </c>
      <c r="F4579" s="1" t="s">
        <v>5347</v>
      </c>
      <c r="H4579" s="1" t="s">
        <v>5368</v>
      </c>
      <c r="J4579" s="1" t="s">
        <v>5369</v>
      </c>
      <c r="L4579" s="1" t="s">
        <v>1955</v>
      </c>
      <c r="N4579" s="1" t="s">
        <v>1956</v>
      </c>
      <c r="P4579" s="1" t="s">
        <v>1076</v>
      </c>
      <c r="Q4579" s="30" t="s">
        <v>2568</v>
      </c>
      <c r="R4579" s="33" t="s">
        <v>3474</v>
      </c>
      <c r="S4579">
        <v>35</v>
      </c>
      <c r="T4579" s="1" t="s">
        <v>5350</v>
      </c>
      <c r="U4579" s="1" t="str">
        <f>HYPERLINK("http://ictvonline.org/taxonomy/p/taxonomy-history?taxnode_id=202103259","ICTVonline=202103259")</f>
        <v>ICTVonline=202103259</v>
      </c>
    </row>
    <row r="4580" spans="1:21" x14ac:dyDescent="0.2">
      <c r="A4580" s="3">
        <v>4579</v>
      </c>
      <c r="B4580" s="1" t="s">
        <v>5250</v>
      </c>
      <c r="D4580" s="1" t="s">
        <v>5280</v>
      </c>
      <c r="F4580" s="1" t="s">
        <v>5347</v>
      </c>
      <c r="H4580" s="1" t="s">
        <v>5368</v>
      </c>
      <c r="J4580" s="1" t="s">
        <v>5369</v>
      </c>
      <c r="L4580" s="1" t="s">
        <v>1955</v>
      </c>
      <c r="N4580" s="1" t="s">
        <v>1956</v>
      </c>
      <c r="P4580" s="1" t="s">
        <v>6408</v>
      </c>
      <c r="Q4580" s="30" t="s">
        <v>2969</v>
      </c>
      <c r="R4580" s="33" t="s">
        <v>3472</v>
      </c>
      <c r="S4580">
        <v>36</v>
      </c>
      <c r="T4580" s="1" t="s">
        <v>6403</v>
      </c>
      <c r="U4580" s="1" t="str">
        <f>HYPERLINK("http://ictvonline.org/taxonomy/p/taxonomy-history?taxnode_id=202109122","ICTVonline=202109122")</f>
        <v>ICTVonline=202109122</v>
      </c>
    </row>
    <row r="4581" spans="1:21" x14ac:dyDescent="0.2">
      <c r="A4581" s="3">
        <v>4580</v>
      </c>
      <c r="B4581" s="1" t="s">
        <v>5250</v>
      </c>
      <c r="D4581" s="1" t="s">
        <v>5280</v>
      </c>
      <c r="F4581" s="1" t="s">
        <v>5347</v>
      </c>
      <c r="H4581" s="1" t="s">
        <v>5368</v>
      </c>
      <c r="J4581" s="1" t="s">
        <v>5369</v>
      </c>
      <c r="L4581" s="1" t="s">
        <v>1955</v>
      </c>
      <c r="N4581" s="1" t="s">
        <v>1956</v>
      </c>
      <c r="P4581" s="1" t="s">
        <v>1077</v>
      </c>
      <c r="Q4581" s="30" t="s">
        <v>2568</v>
      </c>
      <c r="R4581" s="33" t="s">
        <v>3474</v>
      </c>
      <c r="S4581">
        <v>35</v>
      </c>
      <c r="T4581" s="1" t="s">
        <v>5350</v>
      </c>
      <c r="U4581" s="1" t="str">
        <f>HYPERLINK("http://ictvonline.org/taxonomy/p/taxonomy-history?taxnode_id=202103260","ICTVonline=202103260")</f>
        <v>ICTVonline=202103260</v>
      </c>
    </row>
    <row r="4582" spans="1:21" x14ac:dyDescent="0.2">
      <c r="A4582" s="3">
        <v>4581</v>
      </c>
      <c r="B4582" s="1" t="s">
        <v>5250</v>
      </c>
      <c r="D4582" s="1" t="s">
        <v>5280</v>
      </c>
      <c r="F4582" s="1" t="s">
        <v>5347</v>
      </c>
      <c r="H4582" s="1" t="s">
        <v>5368</v>
      </c>
      <c r="J4582" s="1" t="s">
        <v>5369</v>
      </c>
      <c r="L4582" s="1" t="s">
        <v>1955</v>
      </c>
      <c r="N4582" s="1" t="s">
        <v>1956</v>
      </c>
      <c r="P4582" s="1" t="s">
        <v>2245</v>
      </c>
      <c r="Q4582" s="30" t="s">
        <v>2568</v>
      </c>
      <c r="R4582" s="33" t="s">
        <v>3474</v>
      </c>
      <c r="S4582">
        <v>35</v>
      </c>
      <c r="T4582" s="1" t="s">
        <v>5350</v>
      </c>
      <c r="U4582" s="1" t="str">
        <f>HYPERLINK("http://ictvonline.org/taxonomy/p/taxonomy-history?taxnode_id=202103261","ICTVonline=202103261")</f>
        <v>ICTVonline=202103261</v>
      </c>
    </row>
    <row r="4583" spans="1:21" x14ac:dyDescent="0.2">
      <c r="A4583" s="3">
        <v>4582</v>
      </c>
      <c r="B4583" s="1" t="s">
        <v>5250</v>
      </c>
      <c r="D4583" s="1" t="s">
        <v>5280</v>
      </c>
      <c r="F4583" s="1" t="s">
        <v>5347</v>
      </c>
      <c r="H4583" s="1" t="s">
        <v>5368</v>
      </c>
      <c r="J4583" s="1" t="s">
        <v>5369</v>
      </c>
      <c r="L4583" s="1" t="s">
        <v>1955</v>
      </c>
      <c r="N4583" s="1" t="s">
        <v>1956</v>
      </c>
      <c r="P4583" s="1" t="s">
        <v>3818</v>
      </c>
      <c r="Q4583" s="30" t="s">
        <v>2568</v>
      </c>
      <c r="R4583" s="33" t="s">
        <v>3474</v>
      </c>
      <c r="S4583">
        <v>35</v>
      </c>
      <c r="T4583" s="1" t="s">
        <v>5350</v>
      </c>
      <c r="U4583" s="1" t="str">
        <f>HYPERLINK("http://ictvonline.org/taxonomy/p/taxonomy-history?taxnode_id=202105803","ICTVonline=202105803")</f>
        <v>ICTVonline=202105803</v>
      </c>
    </row>
    <row r="4584" spans="1:21" x14ac:dyDescent="0.2">
      <c r="A4584" s="3">
        <v>4583</v>
      </c>
      <c r="B4584" s="1" t="s">
        <v>5250</v>
      </c>
      <c r="D4584" s="1" t="s">
        <v>5280</v>
      </c>
      <c r="F4584" s="1" t="s">
        <v>5347</v>
      </c>
      <c r="H4584" s="1" t="s">
        <v>5368</v>
      </c>
      <c r="J4584" s="1" t="s">
        <v>5369</v>
      </c>
      <c r="L4584" s="1" t="s">
        <v>1955</v>
      </c>
      <c r="N4584" s="1" t="s">
        <v>1956</v>
      </c>
      <c r="P4584" s="1" t="s">
        <v>4834</v>
      </c>
      <c r="Q4584" s="30" t="s">
        <v>2568</v>
      </c>
      <c r="R4584" s="33" t="s">
        <v>3474</v>
      </c>
      <c r="S4584">
        <v>35</v>
      </c>
      <c r="T4584" s="1" t="s">
        <v>5350</v>
      </c>
      <c r="U4584" s="1" t="str">
        <f>HYPERLINK("http://ictvonline.org/taxonomy/p/taxonomy-history?taxnode_id=202106704","ICTVonline=202106704")</f>
        <v>ICTVonline=202106704</v>
      </c>
    </row>
    <row r="4585" spans="1:21" x14ac:dyDescent="0.2">
      <c r="A4585" s="3">
        <v>4584</v>
      </c>
      <c r="B4585" s="1" t="s">
        <v>5250</v>
      </c>
      <c r="D4585" s="1" t="s">
        <v>5280</v>
      </c>
      <c r="F4585" s="1" t="s">
        <v>5347</v>
      </c>
      <c r="H4585" s="1" t="s">
        <v>5368</v>
      </c>
      <c r="J4585" s="1" t="s">
        <v>5369</v>
      </c>
      <c r="L4585" s="1" t="s">
        <v>1955</v>
      </c>
      <c r="N4585" s="1" t="s">
        <v>1956</v>
      </c>
      <c r="P4585" s="1" t="s">
        <v>3819</v>
      </c>
      <c r="Q4585" s="30" t="s">
        <v>2568</v>
      </c>
      <c r="R4585" s="33" t="s">
        <v>3474</v>
      </c>
      <c r="S4585">
        <v>35</v>
      </c>
      <c r="T4585" s="1" t="s">
        <v>5350</v>
      </c>
      <c r="U4585" s="1" t="str">
        <f>HYPERLINK("http://ictvonline.org/taxonomy/p/taxonomy-history?taxnode_id=202105804","ICTVonline=202105804")</f>
        <v>ICTVonline=202105804</v>
      </c>
    </row>
    <row r="4586" spans="1:21" x14ac:dyDescent="0.2">
      <c r="A4586" s="3">
        <v>4585</v>
      </c>
      <c r="B4586" s="1" t="s">
        <v>5250</v>
      </c>
      <c r="D4586" s="1" t="s">
        <v>5280</v>
      </c>
      <c r="F4586" s="1" t="s">
        <v>5347</v>
      </c>
      <c r="H4586" s="1" t="s">
        <v>5368</v>
      </c>
      <c r="J4586" s="1" t="s">
        <v>5369</v>
      </c>
      <c r="L4586" s="1" t="s">
        <v>1955</v>
      </c>
      <c r="N4586" s="1" t="s">
        <v>1956</v>
      </c>
      <c r="P4586" s="1" t="s">
        <v>2923</v>
      </c>
      <c r="Q4586" s="30" t="s">
        <v>2568</v>
      </c>
      <c r="R4586" s="33" t="s">
        <v>3474</v>
      </c>
      <c r="S4586">
        <v>35</v>
      </c>
      <c r="T4586" s="1" t="s">
        <v>5350</v>
      </c>
      <c r="U4586" s="1" t="str">
        <f>HYPERLINK("http://ictvonline.org/taxonomy/p/taxonomy-history?taxnode_id=202103262","ICTVonline=202103262")</f>
        <v>ICTVonline=202103262</v>
      </c>
    </row>
    <row r="4587" spans="1:21" x14ac:dyDescent="0.2">
      <c r="A4587" s="3">
        <v>4586</v>
      </c>
      <c r="B4587" s="1" t="s">
        <v>5250</v>
      </c>
      <c r="D4587" s="1" t="s">
        <v>5280</v>
      </c>
      <c r="F4587" s="1" t="s">
        <v>5347</v>
      </c>
      <c r="H4587" s="1" t="s">
        <v>5368</v>
      </c>
      <c r="J4587" s="1" t="s">
        <v>5369</v>
      </c>
      <c r="L4587" s="1" t="s">
        <v>1955</v>
      </c>
      <c r="N4587" s="1" t="s">
        <v>1956</v>
      </c>
      <c r="P4587" s="1" t="s">
        <v>3820</v>
      </c>
      <c r="Q4587" s="30" t="s">
        <v>2568</v>
      </c>
      <c r="R4587" s="33" t="s">
        <v>3474</v>
      </c>
      <c r="S4587">
        <v>35</v>
      </c>
      <c r="T4587" s="1" t="s">
        <v>5350</v>
      </c>
      <c r="U4587" s="1" t="str">
        <f>HYPERLINK("http://ictvonline.org/taxonomy/p/taxonomy-history?taxnode_id=202105805","ICTVonline=202105805")</f>
        <v>ICTVonline=202105805</v>
      </c>
    </row>
    <row r="4588" spans="1:21" x14ac:dyDescent="0.2">
      <c r="A4588" s="3">
        <v>4587</v>
      </c>
      <c r="B4588" s="1" t="s">
        <v>5250</v>
      </c>
      <c r="D4588" s="1" t="s">
        <v>5280</v>
      </c>
      <c r="F4588" s="1" t="s">
        <v>5347</v>
      </c>
      <c r="H4588" s="1" t="s">
        <v>5368</v>
      </c>
      <c r="J4588" s="1" t="s">
        <v>5369</v>
      </c>
      <c r="L4588" s="1" t="s">
        <v>1955</v>
      </c>
      <c r="N4588" s="1" t="s">
        <v>1956</v>
      </c>
      <c r="P4588" s="1" t="s">
        <v>2246</v>
      </c>
      <c r="Q4588" s="30" t="s">
        <v>2568</v>
      </c>
      <c r="R4588" s="33" t="s">
        <v>3474</v>
      </c>
      <c r="S4588">
        <v>35</v>
      </c>
      <c r="T4588" s="1" t="s">
        <v>5350</v>
      </c>
      <c r="U4588" s="1" t="str">
        <f>HYPERLINK("http://ictvonline.org/taxonomy/p/taxonomy-history?taxnode_id=202103263","ICTVonline=202103263")</f>
        <v>ICTVonline=202103263</v>
      </c>
    </row>
    <row r="4589" spans="1:21" x14ac:dyDescent="0.2">
      <c r="A4589" s="3">
        <v>4588</v>
      </c>
      <c r="B4589" s="1" t="s">
        <v>5250</v>
      </c>
      <c r="D4589" s="1" t="s">
        <v>5280</v>
      </c>
      <c r="F4589" s="1" t="s">
        <v>5347</v>
      </c>
      <c r="H4589" s="1" t="s">
        <v>5368</v>
      </c>
      <c r="J4589" s="1" t="s">
        <v>5369</v>
      </c>
      <c r="L4589" s="1" t="s">
        <v>1955</v>
      </c>
      <c r="N4589" s="1" t="s">
        <v>1956</v>
      </c>
      <c r="P4589" s="1" t="s">
        <v>2924</v>
      </c>
      <c r="Q4589" s="30" t="s">
        <v>2568</v>
      </c>
      <c r="R4589" s="33" t="s">
        <v>3474</v>
      </c>
      <c r="S4589">
        <v>35</v>
      </c>
      <c r="T4589" s="1" t="s">
        <v>5350</v>
      </c>
      <c r="U4589" s="1" t="str">
        <f>HYPERLINK("http://ictvonline.org/taxonomy/p/taxonomy-history?taxnode_id=202103264","ICTVonline=202103264")</f>
        <v>ICTVonline=202103264</v>
      </c>
    </row>
    <row r="4590" spans="1:21" x14ac:dyDescent="0.2">
      <c r="A4590" s="3">
        <v>4589</v>
      </c>
      <c r="B4590" s="1" t="s">
        <v>5250</v>
      </c>
      <c r="D4590" s="1" t="s">
        <v>5280</v>
      </c>
      <c r="F4590" s="1" t="s">
        <v>5347</v>
      </c>
      <c r="H4590" s="1" t="s">
        <v>5368</v>
      </c>
      <c r="J4590" s="1" t="s">
        <v>5369</v>
      </c>
      <c r="L4590" s="1" t="s">
        <v>1955</v>
      </c>
      <c r="N4590" s="1" t="s">
        <v>1956</v>
      </c>
      <c r="P4590" s="1" t="s">
        <v>2925</v>
      </c>
      <c r="Q4590" s="30" t="s">
        <v>2568</v>
      </c>
      <c r="R4590" s="33" t="s">
        <v>3474</v>
      </c>
      <c r="S4590">
        <v>35</v>
      </c>
      <c r="T4590" s="1" t="s">
        <v>5350</v>
      </c>
      <c r="U4590" s="1" t="str">
        <f>HYPERLINK("http://ictvonline.org/taxonomy/p/taxonomy-history?taxnode_id=202103265","ICTVonline=202103265")</f>
        <v>ICTVonline=202103265</v>
      </c>
    </row>
    <row r="4591" spans="1:21" x14ac:dyDescent="0.2">
      <c r="A4591" s="3">
        <v>4590</v>
      </c>
      <c r="B4591" s="1" t="s">
        <v>5250</v>
      </c>
      <c r="D4591" s="1" t="s">
        <v>5280</v>
      </c>
      <c r="F4591" s="1" t="s">
        <v>5347</v>
      </c>
      <c r="H4591" s="1" t="s">
        <v>5368</v>
      </c>
      <c r="J4591" s="1" t="s">
        <v>5369</v>
      </c>
      <c r="L4591" s="1" t="s">
        <v>1955</v>
      </c>
      <c r="N4591" s="1" t="s">
        <v>1956</v>
      </c>
      <c r="P4591" s="1" t="s">
        <v>2926</v>
      </c>
      <c r="Q4591" s="30" t="s">
        <v>2568</v>
      </c>
      <c r="R4591" s="33" t="s">
        <v>3474</v>
      </c>
      <c r="S4591">
        <v>35</v>
      </c>
      <c r="T4591" s="1" t="s">
        <v>5350</v>
      </c>
      <c r="U4591" s="1" t="str">
        <f>HYPERLINK("http://ictvonline.org/taxonomy/p/taxonomy-history?taxnode_id=202103266","ICTVonline=202103266")</f>
        <v>ICTVonline=202103266</v>
      </c>
    </row>
    <row r="4592" spans="1:21" x14ac:dyDescent="0.2">
      <c r="A4592" s="3">
        <v>4591</v>
      </c>
      <c r="B4592" s="1" t="s">
        <v>5250</v>
      </c>
      <c r="D4592" s="1" t="s">
        <v>5280</v>
      </c>
      <c r="F4592" s="1" t="s">
        <v>5347</v>
      </c>
      <c r="H4592" s="1" t="s">
        <v>5368</v>
      </c>
      <c r="J4592" s="1" t="s">
        <v>5369</v>
      </c>
      <c r="L4592" s="1" t="s">
        <v>1955</v>
      </c>
      <c r="N4592" s="1" t="s">
        <v>1956</v>
      </c>
      <c r="P4592" s="1" t="s">
        <v>1078</v>
      </c>
      <c r="Q4592" s="30" t="s">
        <v>2568</v>
      </c>
      <c r="R4592" s="33" t="s">
        <v>3474</v>
      </c>
      <c r="S4592">
        <v>35</v>
      </c>
      <c r="T4592" s="1" t="s">
        <v>5350</v>
      </c>
      <c r="U4592" s="1" t="str">
        <f>HYPERLINK("http://ictvonline.org/taxonomy/p/taxonomy-history?taxnode_id=202103267","ICTVonline=202103267")</f>
        <v>ICTVonline=202103267</v>
      </c>
    </row>
    <row r="4593" spans="1:21" x14ac:dyDescent="0.2">
      <c r="A4593" s="3">
        <v>4592</v>
      </c>
      <c r="B4593" s="1" t="s">
        <v>5250</v>
      </c>
      <c r="D4593" s="1" t="s">
        <v>5280</v>
      </c>
      <c r="F4593" s="1" t="s">
        <v>5347</v>
      </c>
      <c r="H4593" s="1" t="s">
        <v>5368</v>
      </c>
      <c r="J4593" s="1" t="s">
        <v>5369</v>
      </c>
      <c r="L4593" s="1" t="s">
        <v>1955</v>
      </c>
      <c r="N4593" s="1" t="s">
        <v>1956</v>
      </c>
      <c r="P4593" s="1" t="s">
        <v>2247</v>
      </c>
      <c r="Q4593" s="30" t="s">
        <v>2568</v>
      </c>
      <c r="R4593" s="33" t="s">
        <v>3474</v>
      </c>
      <c r="S4593">
        <v>35</v>
      </c>
      <c r="T4593" s="1" t="s">
        <v>5350</v>
      </c>
      <c r="U4593" s="1" t="str">
        <f>HYPERLINK("http://ictvonline.org/taxonomy/p/taxonomy-history?taxnode_id=202103268","ICTVonline=202103268")</f>
        <v>ICTVonline=202103268</v>
      </c>
    </row>
    <row r="4594" spans="1:21" x14ac:dyDescent="0.2">
      <c r="A4594" s="3">
        <v>4593</v>
      </c>
      <c r="B4594" s="1" t="s">
        <v>5250</v>
      </c>
      <c r="D4594" s="1" t="s">
        <v>5280</v>
      </c>
      <c r="F4594" s="1" t="s">
        <v>5347</v>
      </c>
      <c r="H4594" s="1" t="s">
        <v>5368</v>
      </c>
      <c r="J4594" s="1" t="s">
        <v>5369</v>
      </c>
      <c r="L4594" s="1" t="s">
        <v>1955</v>
      </c>
      <c r="N4594" s="1" t="s">
        <v>1956</v>
      </c>
      <c r="P4594" s="1" t="s">
        <v>1079</v>
      </c>
      <c r="Q4594" s="30" t="s">
        <v>2568</v>
      </c>
      <c r="R4594" s="33" t="s">
        <v>3474</v>
      </c>
      <c r="S4594">
        <v>35</v>
      </c>
      <c r="T4594" s="1" t="s">
        <v>5350</v>
      </c>
      <c r="U4594" s="1" t="str">
        <f>HYPERLINK("http://ictvonline.org/taxonomy/p/taxonomy-history?taxnode_id=202103269","ICTVonline=202103269")</f>
        <v>ICTVonline=202103269</v>
      </c>
    </row>
    <row r="4595" spans="1:21" x14ac:dyDescent="0.2">
      <c r="A4595" s="3">
        <v>4594</v>
      </c>
      <c r="B4595" s="1" t="s">
        <v>5250</v>
      </c>
      <c r="D4595" s="1" t="s">
        <v>5280</v>
      </c>
      <c r="F4595" s="1" t="s">
        <v>5347</v>
      </c>
      <c r="H4595" s="1" t="s">
        <v>5368</v>
      </c>
      <c r="J4595" s="1" t="s">
        <v>5369</v>
      </c>
      <c r="L4595" s="1" t="s">
        <v>1955</v>
      </c>
      <c r="N4595" s="1" t="s">
        <v>1956</v>
      </c>
      <c r="P4595" s="1" t="s">
        <v>3821</v>
      </c>
      <c r="Q4595" s="30" t="s">
        <v>2568</v>
      </c>
      <c r="R4595" s="33" t="s">
        <v>3474</v>
      </c>
      <c r="S4595">
        <v>35</v>
      </c>
      <c r="T4595" s="1" t="s">
        <v>5350</v>
      </c>
      <c r="U4595" s="1" t="str">
        <f>HYPERLINK("http://ictvonline.org/taxonomy/p/taxonomy-history?taxnode_id=202105806","ICTVonline=202105806")</f>
        <v>ICTVonline=202105806</v>
      </c>
    </row>
    <row r="4596" spans="1:21" x14ac:dyDescent="0.2">
      <c r="A4596" s="3">
        <v>4595</v>
      </c>
      <c r="B4596" s="1" t="s">
        <v>5250</v>
      </c>
      <c r="D4596" s="1" t="s">
        <v>5280</v>
      </c>
      <c r="F4596" s="1" t="s">
        <v>5347</v>
      </c>
      <c r="H4596" s="1" t="s">
        <v>5368</v>
      </c>
      <c r="J4596" s="1" t="s">
        <v>5369</v>
      </c>
      <c r="L4596" s="1" t="s">
        <v>1955</v>
      </c>
      <c r="N4596" s="1" t="s">
        <v>1956</v>
      </c>
      <c r="P4596" s="1" t="s">
        <v>1096</v>
      </c>
      <c r="Q4596" s="30" t="s">
        <v>2568</v>
      </c>
      <c r="R4596" s="33" t="s">
        <v>3474</v>
      </c>
      <c r="S4596">
        <v>35</v>
      </c>
      <c r="T4596" s="1" t="s">
        <v>5350</v>
      </c>
      <c r="U4596" s="1" t="str">
        <f>HYPERLINK("http://ictvonline.org/taxonomy/p/taxonomy-history?taxnode_id=202103270","ICTVonline=202103270")</f>
        <v>ICTVonline=202103270</v>
      </c>
    </row>
    <row r="4597" spans="1:21" x14ac:dyDescent="0.2">
      <c r="A4597" s="3">
        <v>4596</v>
      </c>
      <c r="B4597" s="1" t="s">
        <v>5250</v>
      </c>
      <c r="D4597" s="1" t="s">
        <v>5280</v>
      </c>
      <c r="F4597" s="1" t="s">
        <v>5347</v>
      </c>
      <c r="H4597" s="1" t="s">
        <v>5368</v>
      </c>
      <c r="J4597" s="1" t="s">
        <v>5369</v>
      </c>
      <c r="L4597" s="1" t="s">
        <v>1955</v>
      </c>
      <c r="N4597" s="1" t="s">
        <v>1956</v>
      </c>
      <c r="P4597" s="1" t="s">
        <v>1097</v>
      </c>
      <c r="Q4597" s="30" t="s">
        <v>2568</v>
      </c>
      <c r="R4597" s="33" t="s">
        <v>3474</v>
      </c>
      <c r="S4597">
        <v>35</v>
      </c>
      <c r="T4597" s="1" t="s">
        <v>5350</v>
      </c>
      <c r="U4597" s="1" t="str">
        <f>HYPERLINK("http://ictvonline.org/taxonomy/p/taxonomy-history?taxnode_id=202103271","ICTVonline=202103271")</f>
        <v>ICTVonline=202103271</v>
      </c>
    </row>
    <row r="4598" spans="1:21" x14ac:dyDescent="0.2">
      <c r="A4598" s="3">
        <v>4597</v>
      </c>
      <c r="B4598" s="1" t="s">
        <v>5250</v>
      </c>
      <c r="D4598" s="1" t="s">
        <v>5280</v>
      </c>
      <c r="F4598" s="1" t="s">
        <v>5347</v>
      </c>
      <c r="H4598" s="1" t="s">
        <v>5368</v>
      </c>
      <c r="J4598" s="1" t="s">
        <v>5369</v>
      </c>
      <c r="L4598" s="1" t="s">
        <v>1955</v>
      </c>
      <c r="N4598" s="1" t="s">
        <v>1956</v>
      </c>
      <c r="P4598" s="1" t="s">
        <v>1098</v>
      </c>
      <c r="Q4598" s="30" t="s">
        <v>2568</v>
      </c>
      <c r="R4598" s="33" t="s">
        <v>3474</v>
      </c>
      <c r="S4598">
        <v>35</v>
      </c>
      <c r="T4598" s="1" t="s">
        <v>5350</v>
      </c>
      <c r="U4598" s="1" t="str">
        <f>HYPERLINK("http://ictvonline.org/taxonomy/p/taxonomy-history?taxnode_id=202103272","ICTVonline=202103272")</f>
        <v>ICTVonline=202103272</v>
      </c>
    </row>
    <row r="4599" spans="1:21" x14ac:dyDescent="0.2">
      <c r="A4599" s="3">
        <v>4598</v>
      </c>
      <c r="B4599" s="1" t="s">
        <v>5250</v>
      </c>
      <c r="D4599" s="1" t="s">
        <v>5280</v>
      </c>
      <c r="F4599" s="1" t="s">
        <v>5347</v>
      </c>
      <c r="H4599" s="1" t="s">
        <v>5368</v>
      </c>
      <c r="J4599" s="1" t="s">
        <v>5369</v>
      </c>
      <c r="L4599" s="1" t="s">
        <v>1955</v>
      </c>
      <c r="N4599" s="1" t="s">
        <v>1956</v>
      </c>
      <c r="P4599" s="1" t="s">
        <v>3822</v>
      </c>
      <c r="Q4599" s="30" t="s">
        <v>2568</v>
      </c>
      <c r="R4599" s="33" t="s">
        <v>3474</v>
      </c>
      <c r="S4599">
        <v>35</v>
      </c>
      <c r="T4599" s="1" t="s">
        <v>5350</v>
      </c>
      <c r="U4599" s="1" t="str">
        <f>HYPERLINK("http://ictvonline.org/taxonomy/p/taxonomy-history?taxnode_id=202105807","ICTVonline=202105807")</f>
        <v>ICTVonline=202105807</v>
      </c>
    </row>
    <row r="4600" spans="1:21" x14ac:dyDescent="0.2">
      <c r="A4600" s="3">
        <v>4599</v>
      </c>
      <c r="B4600" s="1" t="s">
        <v>5250</v>
      </c>
      <c r="D4600" s="1" t="s">
        <v>5280</v>
      </c>
      <c r="F4600" s="1" t="s">
        <v>5347</v>
      </c>
      <c r="H4600" s="1" t="s">
        <v>5368</v>
      </c>
      <c r="J4600" s="1" t="s">
        <v>5369</v>
      </c>
      <c r="L4600" s="1" t="s">
        <v>1955</v>
      </c>
      <c r="N4600" s="1" t="s">
        <v>1956</v>
      </c>
      <c r="P4600" s="1" t="s">
        <v>3823</v>
      </c>
      <c r="Q4600" s="30" t="s">
        <v>2568</v>
      </c>
      <c r="R4600" s="33" t="s">
        <v>3474</v>
      </c>
      <c r="S4600">
        <v>35</v>
      </c>
      <c r="T4600" s="1" t="s">
        <v>5350</v>
      </c>
      <c r="U4600" s="1" t="str">
        <f>HYPERLINK("http://ictvonline.org/taxonomy/p/taxonomy-history?taxnode_id=202105808","ICTVonline=202105808")</f>
        <v>ICTVonline=202105808</v>
      </c>
    </row>
    <row r="4601" spans="1:21" x14ac:dyDescent="0.2">
      <c r="A4601" s="3">
        <v>4600</v>
      </c>
      <c r="B4601" s="1" t="s">
        <v>5250</v>
      </c>
      <c r="D4601" s="1" t="s">
        <v>5280</v>
      </c>
      <c r="F4601" s="1" t="s">
        <v>5347</v>
      </c>
      <c r="H4601" s="1" t="s">
        <v>5368</v>
      </c>
      <c r="J4601" s="1" t="s">
        <v>5369</v>
      </c>
      <c r="L4601" s="1" t="s">
        <v>1955</v>
      </c>
      <c r="N4601" s="1" t="s">
        <v>1956</v>
      </c>
      <c r="P4601" s="1" t="s">
        <v>3824</v>
      </c>
      <c r="Q4601" s="30" t="s">
        <v>2568</v>
      </c>
      <c r="R4601" s="33" t="s">
        <v>3474</v>
      </c>
      <c r="S4601">
        <v>35</v>
      </c>
      <c r="T4601" s="1" t="s">
        <v>5350</v>
      </c>
      <c r="U4601" s="1" t="str">
        <f>HYPERLINK("http://ictvonline.org/taxonomy/p/taxonomy-history?taxnode_id=202105809","ICTVonline=202105809")</f>
        <v>ICTVonline=202105809</v>
      </c>
    </row>
    <row r="4602" spans="1:21" x14ac:dyDescent="0.2">
      <c r="A4602" s="3">
        <v>4601</v>
      </c>
      <c r="B4602" s="1" t="s">
        <v>5250</v>
      </c>
      <c r="D4602" s="1" t="s">
        <v>5280</v>
      </c>
      <c r="F4602" s="1" t="s">
        <v>5347</v>
      </c>
      <c r="H4602" s="1" t="s">
        <v>5368</v>
      </c>
      <c r="J4602" s="1" t="s">
        <v>5369</v>
      </c>
      <c r="L4602" s="1" t="s">
        <v>1955</v>
      </c>
      <c r="N4602" s="1" t="s">
        <v>1956</v>
      </c>
      <c r="P4602" s="1" t="s">
        <v>2248</v>
      </c>
      <c r="Q4602" s="30" t="s">
        <v>2568</v>
      </c>
      <c r="R4602" s="33" t="s">
        <v>3474</v>
      </c>
      <c r="S4602">
        <v>35</v>
      </c>
      <c r="T4602" s="1" t="s">
        <v>5350</v>
      </c>
      <c r="U4602" s="1" t="str">
        <f>HYPERLINK("http://ictvonline.org/taxonomy/p/taxonomy-history?taxnode_id=202103273","ICTVonline=202103273")</f>
        <v>ICTVonline=202103273</v>
      </c>
    </row>
    <row r="4603" spans="1:21" x14ac:dyDescent="0.2">
      <c r="A4603" s="3">
        <v>4602</v>
      </c>
      <c r="B4603" s="1" t="s">
        <v>5250</v>
      </c>
      <c r="D4603" s="1" t="s">
        <v>5280</v>
      </c>
      <c r="F4603" s="1" t="s">
        <v>5347</v>
      </c>
      <c r="H4603" s="1" t="s">
        <v>5368</v>
      </c>
      <c r="J4603" s="1" t="s">
        <v>5369</v>
      </c>
      <c r="L4603" s="1" t="s">
        <v>1955</v>
      </c>
      <c r="N4603" s="1" t="s">
        <v>1956</v>
      </c>
      <c r="P4603" s="1" t="s">
        <v>1601</v>
      </c>
      <c r="Q4603" s="30" t="s">
        <v>2568</v>
      </c>
      <c r="R4603" s="33" t="s">
        <v>3474</v>
      </c>
      <c r="S4603">
        <v>35</v>
      </c>
      <c r="T4603" s="1" t="s">
        <v>5350</v>
      </c>
      <c r="U4603" s="1" t="str">
        <f>HYPERLINK("http://ictvonline.org/taxonomy/p/taxonomy-history?taxnode_id=202103274","ICTVonline=202103274")</f>
        <v>ICTVonline=202103274</v>
      </c>
    </row>
    <row r="4604" spans="1:21" x14ac:dyDescent="0.2">
      <c r="A4604" s="3">
        <v>4603</v>
      </c>
      <c r="B4604" s="1" t="s">
        <v>5250</v>
      </c>
      <c r="D4604" s="1" t="s">
        <v>5280</v>
      </c>
      <c r="F4604" s="1" t="s">
        <v>5347</v>
      </c>
      <c r="H4604" s="1" t="s">
        <v>5368</v>
      </c>
      <c r="J4604" s="1" t="s">
        <v>5369</v>
      </c>
      <c r="L4604" s="1" t="s">
        <v>1955</v>
      </c>
      <c r="N4604" s="1" t="s">
        <v>1956</v>
      </c>
      <c r="P4604" s="1" t="s">
        <v>1602</v>
      </c>
      <c r="Q4604" s="30" t="s">
        <v>2568</v>
      </c>
      <c r="R4604" s="33" t="s">
        <v>3474</v>
      </c>
      <c r="S4604">
        <v>35</v>
      </c>
      <c r="T4604" s="1" t="s">
        <v>5350</v>
      </c>
      <c r="U4604" s="1" t="str">
        <f>HYPERLINK("http://ictvonline.org/taxonomy/p/taxonomy-history?taxnode_id=202103275","ICTVonline=202103275")</f>
        <v>ICTVonline=202103275</v>
      </c>
    </row>
    <row r="4605" spans="1:21" x14ac:dyDescent="0.2">
      <c r="A4605" s="3">
        <v>4604</v>
      </c>
      <c r="B4605" s="1" t="s">
        <v>5250</v>
      </c>
      <c r="D4605" s="1" t="s">
        <v>5280</v>
      </c>
      <c r="F4605" s="1" t="s">
        <v>5347</v>
      </c>
      <c r="H4605" s="1" t="s">
        <v>5368</v>
      </c>
      <c r="J4605" s="1" t="s">
        <v>5369</v>
      </c>
      <c r="L4605" s="1" t="s">
        <v>1955</v>
      </c>
      <c r="N4605" s="1" t="s">
        <v>1956</v>
      </c>
      <c r="P4605" s="1" t="s">
        <v>1603</v>
      </c>
      <c r="Q4605" s="30" t="s">
        <v>2568</v>
      </c>
      <c r="R4605" s="33" t="s">
        <v>3474</v>
      </c>
      <c r="S4605">
        <v>35</v>
      </c>
      <c r="T4605" s="1" t="s">
        <v>5350</v>
      </c>
      <c r="U4605" s="1" t="str">
        <f>HYPERLINK("http://ictvonline.org/taxonomy/p/taxonomy-history?taxnode_id=202103276","ICTVonline=202103276")</f>
        <v>ICTVonline=202103276</v>
      </c>
    </row>
    <row r="4606" spans="1:21" x14ac:dyDescent="0.2">
      <c r="A4606" s="3">
        <v>4605</v>
      </c>
      <c r="B4606" s="1" t="s">
        <v>5250</v>
      </c>
      <c r="D4606" s="1" t="s">
        <v>5280</v>
      </c>
      <c r="F4606" s="1" t="s">
        <v>5347</v>
      </c>
      <c r="H4606" s="1" t="s">
        <v>5368</v>
      </c>
      <c r="J4606" s="1" t="s">
        <v>5369</v>
      </c>
      <c r="L4606" s="1" t="s">
        <v>1955</v>
      </c>
      <c r="N4606" s="1" t="s">
        <v>1956</v>
      </c>
      <c r="P4606" s="1" t="s">
        <v>2249</v>
      </c>
      <c r="Q4606" s="30" t="s">
        <v>2568</v>
      </c>
      <c r="R4606" s="33" t="s">
        <v>3474</v>
      </c>
      <c r="S4606">
        <v>35</v>
      </c>
      <c r="T4606" s="1" t="s">
        <v>5350</v>
      </c>
      <c r="U4606" s="1" t="str">
        <f>HYPERLINK("http://ictvonline.org/taxonomy/p/taxonomy-history?taxnode_id=202103277","ICTVonline=202103277")</f>
        <v>ICTVonline=202103277</v>
      </c>
    </row>
    <row r="4607" spans="1:21" x14ac:dyDescent="0.2">
      <c r="A4607" s="3">
        <v>4606</v>
      </c>
      <c r="B4607" s="1" t="s">
        <v>5250</v>
      </c>
      <c r="D4607" s="1" t="s">
        <v>5280</v>
      </c>
      <c r="F4607" s="1" t="s">
        <v>5347</v>
      </c>
      <c r="H4607" s="1" t="s">
        <v>5368</v>
      </c>
      <c r="J4607" s="1" t="s">
        <v>5369</v>
      </c>
      <c r="L4607" s="1" t="s">
        <v>1955</v>
      </c>
      <c r="N4607" s="1" t="s">
        <v>1956</v>
      </c>
      <c r="P4607" s="1" t="s">
        <v>2250</v>
      </c>
      <c r="Q4607" s="30" t="s">
        <v>2568</v>
      </c>
      <c r="R4607" s="33" t="s">
        <v>3474</v>
      </c>
      <c r="S4607">
        <v>35</v>
      </c>
      <c r="T4607" s="1" t="s">
        <v>5350</v>
      </c>
      <c r="U4607" s="1" t="str">
        <f>HYPERLINK("http://ictvonline.org/taxonomy/p/taxonomy-history?taxnode_id=202103278","ICTVonline=202103278")</f>
        <v>ICTVonline=202103278</v>
      </c>
    </row>
    <row r="4608" spans="1:21" x14ac:dyDescent="0.2">
      <c r="A4608" s="3">
        <v>4607</v>
      </c>
      <c r="B4608" s="1" t="s">
        <v>5250</v>
      </c>
      <c r="D4608" s="1" t="s">
        <v>5280</v>
      </c>
      <c r="F4608" s="1" t="s">
        <v>5347</v>
      </c>
      <c r="H4608" s="1" t="s">
        <v>5368</v>
      </c>
      <c r="J4608" s="1" t="s">
        <v>5369</v>
      </c>
      <c r="L4608" s="1" t="s">
        <v>1955</v>
      </c>
      <c r="N4608" s="1" t="s">
        <v>1956</v>
      </c>
      <c r="P4608" s="1" t="s">
        <v>3825</v>
      </c>
      <c r="Q4608" s="30" t="s">
        <v>2568</v>
      </c>
      <c r="R4608" s="33" t="s">
        <v>3474</v>
      </c>
      <c r="S4608">
        <v>35</v>
      </c>
      <c r="T4608" s="1" t="s">
        <v>5350</v>
      </c>
      <c r="U4608" s="1" t="str">
        <f>HYPERLINK("http://ictvonline.org/taxonomy/p/taxonomy-history?taxnode_id=202105810","ICTVonline=202105810")</f>
        <v>ICTVonline=202105810</v>
      </c>
    </row>
    <row r="4609" spans="1:21" x14ac:dyDescent="0.2">
      <c r="A4609" s="3">
        <v>4608</v>
      </c>
      <c r="B4609" s="1" t="s">
        <v>5250</v>
      </c>
      <c r="D4609" s="1" t="s">
        <v>5280</v>
      </c>
      <c r="F4609" s="1" t="s">
        <v>5347</v>
      </c>
      <c r="H4609" s="1" t="s">
        <v>5368</v>
      </c>
      <c r="J4609" s="1" t="s">
        <v>5369</v>
      </c>
      <c r="L4609" s="1" t="s">
        <v>1955</v>
      </c>
      <c r="N4609" s="1" t="s">
        <v>1956</v>
      </c>
      <c r="P4609" s="1" t="s">
        <v>2927</v>
      </c>
      <c r="Q4609" s="30" t="s">
        <v>2568</v>
      </c>
      <c r="R4609" s="33" t="s">
        <v>3474</v>
      </c>
      <c r="S4609">
        <v>35</v>
      </c>
      <c r="T4609" s="1" t="s">
        <v>5350</v>
      </c>
      <c r="U4609" s="1" t="str">
        <f>HYPERLINK("http://ictvonline.org/taxonomy/p/taxonomy-history?taxnode_id=202103279","ICTVonline=202103279")</f>
        <v>ICTVonline=202103279</v>
      </c>
    </row>
    <row r="4610" spans="1:21" x14ac:dyDescent="0.2">
      <c r="A4610" s="3">
        <v>4609</v>
      </c>
      <c r="B4610" s="1" t="s">
        <v>5250</v>
      </c>
      <c r="D4610" s="1" t="s">
        <v>5280</v>
      </c>
      <c r="F4610" s="1" t="s">
        <v>5347</v>
      </c>
      <c r="H4610" s="1" t="s">
        <v>5368</v>
      </c>
      <c r="J4610" s="1" t="s">
        <v>5369</v>
      </c>
      <c r="L4610" s="1" t="s">
        <v>1955</v>
      </c>
      <c r="N4610" s="1" t="s">
        <v>1956</v>
      </c>
      <c r="P4610" s="1" t="s">
        <v>1604</v>
      </c>
      <c r="Q4610" s="30" t="s">
        <v>2568</v>
      </c>
      <c r="R4610" s="33" t="s">
        <v>3474</v>
      </c>
      <c r="S4610">
        <v>35</v>
      </c>
      <c r="T4610" s="1" t="s">
        <v>5350</v>
      </c>
      <c r="U4610" s="1" t="str">
        <f>HYPERLINK("http://ictvonline.org/taxonomy/p/taxonomy-history?taxnode_id=202103280","ICTVonline=202103280")</f>
        <v>ICTVonline=202103280</v>
      </c>
    </row>
    <row r="4611" spans="1:21" x14ac:dyDescent="0.2">
      <c r="A4611" s="3">
        <v>4610</v>
      </c>
      <c r="B4611" s="1" t="s">
        <v>5250</v>
      </c>
      <c r="D4611" s="1" t="s">
        <v>5280</v>
      </c>
      <c r="F4611" s="1" t="s">
        <v>5347</v>
      </c>
      <c r="H4611" s="1" t="s">
        <v>5368</v>
      </c>
      <c r="J4611" s="1" t="s">
        <v>5369</v>
      </c>
      <c r="L4611" s="1" t="s">
        <v>1955</v>
      </c>
      <c r="N4611" s="1" t="s">
        <v>1956</v>
      </c>
      <c r="P4611" s="1" t="s">
        <v>2251</v>
      </c>
      <c r="Q4611" s="30" t="s">
        <v>2568</v>
      </c>
      <c r="R4611" s="33" t="s">
        <v>3474</v>
      </c>
      <c r="S4611">
        <v>35</v>
      </c>
      <c r="T4611" s="1" t="s">
        <v>5350</v>
      </c>
      <c r="U4611" s="1" t="str">
        <f>HYPERLINK("http://ictvonline.org/taxonomy/p/taxonomy-history?taxnode_id=202103281","ICTVonline=202103281")</f>
        <v>ICTVonline=202103281</v>
      </c>
    </row>
    <row r="4612" spans="1:21" x14ac:dyDescent="0.2">
      <c r="A4612" s="3">
        <v>4611</v>
      </c>
      <c r="B4612" s="1" t="s">
        <v>5250</v>
      </c>
      <c r="D4612" s="1" t="s">
        <v>5280</v>
      </c>
      <c r="F4612" s="1" t="s">
        <v>5347</v>
      </c>
      <c r="H4612" s="1" t="s">
        <v>5368</v>
      </c>
      <c r="J4612" s="1" t="s">
        <v>5369</v>
      </c>
      <c r="L4612" s="1" t="s">
        <v>1955</v>
      </c>
      <c r="N4612" s="1" t="s">
        <v>1956</v>
      </c>
      <c r="P4612" s="1" t="s">
        <v>2252</v>
      </c>
      <c r="Q4612" s="30" t="s">
        <v>2568</v>
      </c>
      <c r="R4612" s="33" t="s">
        <v>3474</v>
      </c>
      <c r="S4612">
        <v>35</v>
      </c>
      <c r="T4612" s="1" t="s">
        <v>5350</v>
      </c>
      <c r="U4612" s="1" t="str">
        <f>HYPERLINK("http://ictvonline.org/taxonomy/p/taxonomy-history?taxnode_id=202103282","ICTVonline=202103282")</f>
        <v>ICTVonline=202103282</v>
      </c>
    </row>
    <row r="4613" spans="1:21" x14ac:dyDescent="0.2">
      <c r="A4613" s="3">
        <v>4612</v>
      </c>
      <c r="B4613" s="1" t="s">
        <v>5250</v>
      </c>
      <c r="D4613" s="1" t="s">
        <v>5280</v>
      </c>
      <c r="F4613" s="1" t="s">
        <v>5347</v>
      </c>
      <c r="H4613" s="1" t="s">
        <v>5368</v>
      </c>
      <c r="J4613" s="1" t="s">
        <v>5369</v>
      </c>
      <c r="L4613" s="1" t="s">
        <v>1955</v>
      </c>
      <c r="N4613" s="1" t="s">
        <v>1956</v>
      </c>
      <c r="P4613" s="1" t="s">
        <v>1605</v>
      </c>
      <c r="Q4613" s="30" t="s">
        <v>2568</v>
      </c>
      <c r="R4613" s="33" t="s">
        <v>3474</v>
      </c>
      <c r="S4613">
        <v>35</v>
      </c>
      <c r="T4613" s="1" t="s">
        <v>5350</v>
      </c>
      <c r="U4613" s="1" t="str">
        <f>HYPERLINK("http://ictvonline.org/taxonomy/p/taxonomy-history?taxnode_id=202103283","ICTVonline=202103283")</f>
        <v>ICTVonline=202103283</v>
      </c>
    </row>
    <row r="4614" spans="1:21" x14ac:dyDescent="0.2">
      <c r="A4614" s="3">
        <v>4613</v>
      </c>
      <c r="B4614" s="1" t="s">
        <v>5250</v>
      </c>
      <c r="D4614" s="1" t="s">
        <v>5280</v>
      </c>
      <c r="F4614" s="1" t="s">
        <v>5347</v>
      </c>
      <c r="H4614" s="1" t="s">
        <v>5368</v>
      </c>
      <c r="J4614" s="1" t="s">
        <v>5369</v>
      </c>
      <c r="L4614" s="1" t="s">
        <v>1955</v>
      </c>
      <c r="N4614" s="1" t="s">
        <v>1956</v>
      </c>
      <c r="P4614" s="1" t="s">
        <v>3826</v>
      </c>
      <c r="Q4614" s="30" t="s">
        <v>2568</v>
      </c>
      <c r="R4614" s="33" t="s">
        <v>3474</v>
      </c>
      <c r="S4614">
        <v>35</v>
      </c>
      <c r="T4614" s="1" t="s">
        <v>5350</v>
      </c>
      <c r="U4614" s="1" t="str">
        <f>HYPERLINK("http://ictvonline.org/taxonomy/p/taxonomy-history?taxnode_id=202105811","ICTVonline=202105811")</f>
        <v>ICTVonline=202105811</v>
      </c>
    </row>
    <row r="4615" spans="1:21" x14ac:dyDescent="0.2">
      <c r="A4615" s="3">
        <v>4614</v>
      </c>
      <c r="B4615" s="1" t="s">
        <v>5250</v>
      </c>
      <c r="D4615" s="1" t="s">
        <v>5280</v>
      </c>
      <c r="F4615" s="1" t="s">
        <v>5347</v>
      </c>
      <c r="H4615" s="1" t="s">
        <v>5368</v>
      </c>
      <c r="J4615" s="1" t="s">
        <v>5369</v>
      </c>
      <c r="L4615" s="1" t="s">
        <v>1955</v>
      </c>
      <c r="N4615" s="1" t="s">
        <v>1956</v>
      </c>
      <c r="P4615" s="1" t="s">
        <v>2253</v>
      </c>
      <c r="Q4615" s="30" t="s">
        <v>2568</v>
      </c>
      <c r="R4615" s="33" t="s">
        <v>3474</v>
      </c>
      <c r="S4615">
        <v>35</v>
      </c>
      <c r="T4615" s="1" t="s">
        <v>5350</v>
      </c>
      <c r="U4615" s="1" t="str">
        <f>HYPERLINK("http://ictvonline.org/taxonomy/p/taxonomy-history?taxnode_id=202103284","ICTVonline=202103284")</f>
        <v>ICTVonline=202103284</v>
      </c>
    </row>
    <row r="4616" spans="1:21" x14ac:dyDescent="0.2">
      <c r="A4616" s="3">
        <v>4615</v>
      </c>
      <c r="B4616" s="1" t="s">
        <v>5250</v>
      </c>
      <c r="D4616" s="1" t="s">
        <v>5280</v>
      </c>
      <c r="F4616" s="1" t="s">
        <v>5347</v>
      </c>
      <c r="H4616" s="1" t="s">
        <v>5368</v>
      </c>
      <c r="J4616" s="1" t="s">
        <v>5369</v>
      </c>
      <c r="L4616" s="1" t="s">
        <v>1955</v>
      </c>
      <c r="N4616" s="1" t="s">
        <v>1956</v>
      </c>
      <c r="P4616" s="1" t="s">
        <v>5378</v>
      </c>
      <c r="Q4616" s="30" t="s">
        <v>2969</v>
      </c>
      <c r="R4616" s="33" t="s">
        <v>3472</v>
      </c>
      <c r="S4616">
        <v>35</v>
      </c>
      <c r="T4616" s="1" t="s">
        <v>5371</v>
      </c>
      <c r="U4616" s="1" t="str">
        <f>HYPERLINK("http://ictvonline.org/taxonomy/p/taxonomy-history?taxnode_id=202107525","ICTVonline=202107525")</f>
        <v>ICTVonline=202107525</v>
      </c>
    </row>
    <row r="4617" spans="1:21" x14ac:dyDescent="0.2">
      <c r="A4617" s="3">
        <v>4616</v>
      </c>
      <c r="B4617" s="1" t="s">
        <v>5250</v>
      </c>
      <c r="D4617" s="1" t="s">
        <v>5280</v>
      </c>
      <c r="F4617" s="1" t="s">
        <v>5347</v>
      </c>
      <c r="H4617" s="1" t="s">
        <v>5368</v>
      </c>
      <c r="J4617" s="1" t="s">
        <v>5369</v>
      </c>
      <c r="L4617" s="1" t="s">
        <v>1955</v>
      </c>
      <c r="N4617" s="1" t="s">
        <v>1956</v>
      </c>
      <c r="P4617" s="1" t="s">
        <v>1598</v>
      </c>
      <c r="Q4617" s="30" t="s">
        <v>2568</v>
      </c>
      <c r="R4617" s="33" t="s">
        <v>3474</v>
      </c>
      <c r="S4617">
        <v>35</v>
      </c>
      <c r="T4617" s="1" t="s">
        <v>5350</v>
      </c>
      <c r="U4617" s="1" t="str">
        <f>HYPERLINK("http://ictvonline.org/taxonomy/p/taxonomy-history?taxnode_id=202103285","ICTVonline=202103285")</f>
        <v>ICTVonline=202103285</v>
      </c>
    </row>
    <row r="4618" spans="1:21" x14ac:dyDescent="0.2">
      <c r="A4618" s="3">
        <v>4617</v>
      </c>
      <c r="B4618" s="1" t="s">
        <v>5250</v>
      </c>
      <c r="D4618" s="1" t="s">
        <v>5280</v>
      </c>
      <c r="F4618" s="1" t="s">
        <v>5347</v>
      </c>
      <c r="H4618" s="1" t="s">
        <v>5368</v>
      </c>
      <c r="J4618" s="1" t="s">
        <v>5369</v>
      </c>
      <c r="L4618" s="1" t="s">
        <v>1955</v>
      </c>
      <c r="N4618" s="1" t="s">
        <v>1956</v>
      </c>
      <c r="P4618" s="1" t="s">
        <v>1599</v>
      </c>
      <c r="Q4618" s="30" t="s">
        <v>2568</v>
      </c>
      <c r="R4618" s="33" t="s">
        <v>3474</v>
      </c>
      <c r="S4618">
        <v>35</v>
      </c>
      <c r="T4618" s="1" t="s">
        <v>5350</v>
      </c>
      <c r="U4618" s="1" t="str">
        <f>HYPERLINK("http://ictvonline.org/taxonomy/p/taxonomy-history?taxnode_id=202103286","ICTVonline=202103286")</f>
        <v>ICTVonline=202103286</v>
      </c>
    </row>
    <row r="4619" spans="1:21" x14ac:dyDescent="0.2">
      <c r="A4619" s="3">
        <v>4618</v>
      </c>
      <c r="B4619" s="1" t="s">
        <v>5250</v>
      </c>
      <c r="D4619" s="1" t="s">
        <v>5280</v>
      </c>
      <c r="F4619" s="1" t="s">
        <v>5347</v>
      </c>
      <c r="H4619" s="1" t="s">
        <v>5368</v>
      </c>
      <c r="J4619" s="1" t="s">
        <v>5369</v>
      </c>
      <c r="L4619" s="1" t="s">
        <v>1955</v>
      </c>
      <c r="N4619" s="1" t="s">
        <v>1956</v>
      </c>
      <c r="P4619" s="1" t="s">
        <v>3827</v>
      </c>
      <c r="Q4619" s="30" t="s">
        <v>2568</v>
      </c>
      <c r="R4619" s="33" t="s">
        <v>3474</v>
      </c>
      <c r="S4619">
        <v>35</v>
      </c>
      <c r="T4619" s="1" t="s">
        <v>5350</v>
      </c>
      <c r="U4619" s="1" t="str">
        <f>HYPERLINK("http://ictvonline.org/taxonomy/p/taxonomy-history?taxnode_id=202105812","ICTVonline=202105812")</f>
        <v>ICTVonline=202105812</v>
      </c>
    </row>
    <row r="4620" spans="1:21" x14ac:dyDescent="0.2">
      <c r="A4620" s="3">
        <v>4619</v>
      </c>
      <c r="B4620" s="1" t="s">
        <v>5250</v>
      </c>
      <c r="D4620" s="1" t="s">
        <v>5280</v>
      </c>
      <c r="F4620" s="1" t="s">
        <v>5347</v>
      </c>
      <c r="H4620" s="1" t="s">
        <v>5368</v>
      </c>
      <c r="J4620" s="1" t="s">
        <v>5369</v>
      </c>
      <c r="L4620" s="1" t="s">
        <v>1955</v>
      </c>
      <c r="N4620" s="1" t="s">
        <v>1956</v>
      </c>
      <c r="P4620" s="1" t="s">
        <v>3828</v>
      </c>
      <c r="Q4620" s="30" t="s">
        <v>2568</v>
      </c>
      <c r="R4620" s="33" t="s">
        <v>3474</v>
      </c>
      <c r="S4620">
        <v>35</v>
      </c>
      <c r="T4620" s="1" t="s">
        <v>5350</v>
      </c>
      <c r="U4620" s="1" t="str">
        <f>HYPERLINK("http://ictvonline.org/taxonomy/p/taxonomy-history?taxnode_id=202105813","ICTVonline=202105813")</f>
        <v>ICTVonline=202105813</v>
      </c>
    </row>
    <row r="4621" spans="1:21" x14ac:dyDescent="0.2">
      <c r="A4621" s="3">
        <v>4620</v>
      </c>
      <c r="B4621" s="1" t="s">
        <v>5250</v>
      </c>
      <c r="D4621" s="1" t="s">
        <v>5280</v>
      </c>
      <c r="F4621" s="1" t="s">
        <v>5347</v>
      </c>
      <c r="H4621" s="1" t="s">
        <v>5368</v>
      </c>
      <c r="J4621" s="1" t="s">
        <v>5369</v>
      </c>
      <c r="L4621" s="1" t="s">
        <v>1955</v>
      </c>
      <c r="N4621" s="1" t="s">
        <v>1956</v>
      </c>
      <c r="P4621" s="1" t="s">
        <v>1600</v>
      </c>
      <c r="Q4621" s="30" t="s">
        <v>2568</v>
      </c>
      <c r="R4621" s="33" t="s">
        <v>3474</v>
      </c>
      <c r="S4621">
        <v>35</v>
      </c>
      <c r="T4621" s="1" t="s">
        <v>5350</v>
      </c>
      <c r="U4621" s="1" t="str">
        <f>HYPERLINK("http://ictvonline.org/taxonomy/p/taxonomy-history?taxnode_id=202103287","ICTVonline=202103287")</f>
        <v>ICTVonline=202103287</v>
      </c>
    </row>
    <row r="4622" spans="1:21" x14ac:dyDescent="0.2">
      <c r="A4622" s="3">
        <v>4621</v>
      </c>
      <c r="B4622" s="1" t="s">
        <v>5250</v>
      </c>
      <c r="D4622" s="1" t="s">
        <v>5280</v>
      </c>
      <c r="F4622" s="1" t="s">
        <v>5347</v>
      </c>
      <c r="H4622" s="1" t="s">
        <v>5368</v>
      </c>
      <c r="J4622" s="1" t="s">
        <v>5369</v>
      </c>
      <c r="L4622" s="1" t="s">
        <v>1955</v>
      </c>
      <c r="N4622" s="1" t="s">
        <v>1956</v>
      </c>
      <c r="P4622" s="1" t="s">
        <v>2254</v>
      </c>
      <c r="Q4622" s="30" t="s">
        <v>2568</v>
      </c>
      <c r="R4622" s="33" t="s">
        <v>3474</v>
      </c>
      <c r="S4622">
        <v>35</v>
      </c>
      <c r="T4622" s="1" t="s">
        <v>5350</v>
      </c>
      <c r="U4622" s="1" t="str">
        <f>HYPERLINK("http://ictvonline.org/taxonomy/p/taxonomy-history?taxnode_id=202103288","ICTVonline=202103288")</f>
        <v>ICTVonline=202103288</v>
      </c>
    </row>
    <row r="4623" spans="1:21" x14ac:dyDescent="0.2">
      <c r="A4623" s="3">
        <v>4622</v>
      </c>
      <c r="B4623" s="1" t="s">
        <v>5250</v>
      </c>
      <c r="D4623" s="1" t="s">
        <v>5280</v>
      </c>
      <c r="F4623" s="1" t="s">
        <v>5347</v>
      </c>
      <c r="H4623" s="1" t="s">
        <v>5368</v>
      </c>
      <c r="J4623" s="1" t="s">
        <v>5369</v>
      </c>
      <c r="L4623" s="1" t="s">
        <v>1955</v>
      </c>
      <c r="N4623" s="1" t="s">
        <v>1956</v>
      </c>
      <c r="P4623" s="1" t="s">
        <v>5379</v>
      </c>
      <c r="Q4623" s="30" t="s">
        <v>2969</v>
      </c>
      <c r="R4623" s="33" t="s">
        <v>3472</v>
      </c>
      <c r="S4623">
        <v>35</v>
      </c>
      <c r="T4623" s="1" t="s">
        <v>5371</v>
      </c>
      <c r="U4623" s="1" t="str">
        <f>HYPERLINK("http://ictvonline.org/taxonomy/p/taxonomy-history?taxnode_id=202107526","ICTVonline=202107526")</f>
        <v>ICTVonline=202107526</v>
      </c>
    </row>
    <row r="4624" spans="1:21" x14ac:dyDescent="0.2">
      <c r="A4624" s="3">
        <v>4623</v>
      </c>
      <c r="B4624" s="1" t="s">
        <v>5250</v>
      </c>
      <c r="D4624" s="1" t="s">
        <v>5280</v>
      </c>
      <c r="F4624" s="1" t="s">
        <v>5347</v>
      </c>
      <c r="H4624" s="1" t="s">
        <v>5368</v>
      </c>
      <c r="J4624" s="1" t="s">
        <v>5369</v>
      </c>
      <c r="L4624" s="1" t="s">
        <v>1955</v>
      </c>
      <c r="N4624" s="1" t="s">
        <v>1956</v>
      </c>
      <c r="P4624" s="1" t="s">
        <v>2255</v>
      </c>
      <c r="Q4624" s="30" t="s">
        <v>2568</v>
      </c>
      <c r="R4624" s="33" t="s">
        <v>3474</v>
      </c>
      <c r="S4624">
        <v>35</v>
      </c>
      <c r="T4624" s="1" t="s">
        <v>5350</v>
      </c>
      <c r="U4624" s="1" t="str">
        <f>HYPERLINK("http://ictvonline.org/taxonomy/p/taxonomy-history?taxnode_id=202103289","ICTVonline=202103289")</f>
        <v>ICTVonline=202103289</v>
      </c>
    </row>
    <row r="4625" spans="1:21" x14ac:dyDescent="0.2">
      <c r="A4625" s="3">
        <v>4624</v>
      </c>
      <c r="B4625" s="1" t="s">
        <v>5250</v>
      </c>
      <c r="D4625" s="1" t="s">
        <v>5280</v>
      </c>
      <c r="F4625" s="1" t="s">
        <v>5347</v>
      </c>
      <c r="H4625" s="1" t="s">
        <v>5368</v>
      </c>
      <c r="J4625" s="1" t="s">
        <v>5369</v>
      </c>
      <c r="L4625" s="1" t="s">
        <v>1955</v>
      </c>
      <c r="N4625" s="1" t="s">
        <v>1956</v>
      </c>
      <c r="P4625" s="1" t="s">
        <v>92</v>
      </c>
      <c r="Q4625" s="30" t="s">
        <v>2568</v>
      </c>
      <c r="R4625" s="33" t="s">
        <v>3474</v>
      </c>
      <c r="S4625">
        <v>35</v>
      </c>
      <c r="T4625" s="1" t="s">
        <v>5350</v>
      </c>
      <c r="U4625" s="1" t="str">
        <f>HYPERLINK("http://ictvonline.org/taxonomy/p/taxonomy-history?taxnode_id=202103290","ICTVonline=202103290")</f>
        <v>ICTVonline=202103290</v>
      </c>
    </row>
    <row r="4626" spans="1:21" x14ac:dyDescent="0.2">
      <c r="A4626" s="3">
        <v>4625</v>
      </c>
      <c r="B4626" s="1" t="s">
        <v>5250</v>
      </c>
      <c r="D4626" s="1" t="s">
        <v>5280</v>
      </c>
      <c r="F4626" s="1" t="s">
        <v>5347</v>
      </c>
      <c r="H4626" s="1" t="s">
        <v>5368</v>
      </c>
      <c r="J4626" s="1" t="s">
        <v>5369</v>
      </c>
      <c r="L4626" s="1" t="s">
        <v>1955</v>
      </c>
      <c r="N4626" s="1" t="s">
        <v>1956</v>
      </c>
      <c r="P4626" s="1" t="s">
        <v>2928</v>
      </c>
      <c r="Q4626" s="30" t="s">
        <v>2568</v>
      </c>
      <c r="R4626" s="33" t="s">
        <v>3474</v>
      </c>
      <c r="S4626">
        <v>35</v>
      </c>
      <c r="T4626" s="1" t="s">
        <v>5350</v>
      </c>
      <c r="U4626" s="1" t="str">
        <f>HYPERLINK("http://ictvonline.org/taxonomy/p/taxonomy-history?taxnode_id=202103291","ICTVonline=202103291")</f>
        <v>ICTVonline=202103291</v>
      </c>
    </row>
    <row r="4627" spans="1:21" x14ac:dyDescent="0.2">
      <c r="A4627" s="3">
        <v>4626</v>
      </c>
      <c r="B4627" s="1" t="s">
        <v>5250</v>
      </c>
      <c r="D4627" s="1" t="s">
        <v>5280</v>
      </c>
      <c r="F4627" s="1" t="s">
        <v>5347</v>
      </c>
      <c r="H4627" s="1" t="s">
        <v>5368</v>
      </c>
      <c r="J4627" s="1" t="s">
        <v>5369</v>
      </c>
      <c r="L4627" s="1" t="s">
        <v>1955</v>
      </c>
      <c r="N4627" s="1" t="s">
        <v>1956</v>
      </c>
      <c r="P4627" s="1" t="s">
        <v>318</v>
      </c>
      <c r="Q4627" s="30" t="s">
        <v>2568</v>
      </c>
      <c r="R4627" s="33" t="s">
        <v>3474</v>
      </c>
      <c r="S4627">
        <v>35</v>
      </c>
      <c r="T4627" s="1" t="s">
        <v>5350</v>
      </c>
      <c r="U4627" s="1" t="str">
        <f>HYPERLINK("http://ictvonline.org/taxonomy/p/taxonomy-history?taxnode_id=202103293","ICTVonline=202103293")</f>
        <v>ICTVonline=202103293</v>
      </c>
    </row>
    <row r="4628" spans="1:21" x14ac:dyDescent="0.2">
      <c r="A4628" s="3">
        <v>4627</v>
      </c>
      <c r="B4628" s="1" t="s">
        <v>5250</v>
      </c>
      <c r="D4628" s="1" t="s">
        <v>5280</v>
      </c>
      <c r="F4628" s="1" t="s">
        <v>5347</v>
      </c>
      <c r="H4628" s="1" t="s">
        <v>5368</v>
      </c>
      <c r="J4628" s="1" t="s">
        <v>5369</v>
      </c>
      <c r="L4628" s="1" t="s">
        <v>1955</v>
      </c>
      <c r="N4628" s="1" t="s">
        <v>1956</v>
      </c>
      <c r="P4628" s="1" t="s">
        <v>3829</v>
      </c>
      <c r="Q4628" s="30" t="s">
        <v>2568</v>
      </c>
      <c r="R4628" s="33" t="s">
        <v>3474</v>
      </c>
      <c r="S4628">
        <v>35</v>
      </c>
      <c r="T4628" s="1" t="s">
        <v>5350</v>
      </c>
      <c r="U4628" s="1" t="str">
        <f>HYPERLINK("http://ictvonline.org/taxonomy/p/taxonomy-history?taxnode_id=202105814","ICTVonline=202105814")</f>
        <v>ICTVonline=202105814</v>
      </c>
    </row>
    <row r="4629" spans="1:21" x14ac:dyDescent="0.2">
      <c r="A4629" s="3">
        <v>4628</v>
      </c>
      <c r="B4629" s="1" t="s">
        <v>5250</v>
      </c>
      <c r="D4629" s="1" t="s">
        <v>5280</v>
      </c>
      <c r="F4629" s="1" t="s">
        <v>5347</v>
      </c>
      <c r="H4629" s="1" t="s">
        <v>5368</v>
      </c>
      <c r="J4629" s="1" t="s">
        <v>5369</v>
      </c>
      <c r="L4629" s="1" t="s">
        <v>1955</v>
      </c>
      <c r="N4629" s="1" t="s">
        <v>1956</v>
      </c>
      <c r="P4629" s="1" t="s">
        <v>319</v>
      </c>
      <c r="Q4629" s="30" t="s">
        <v>2568</v>
      </c>
      <c r="R4629" s="33" t="s">
        <v>3474</v>
      </c>
      <c r="S4629">
        <v>35</v>
      </c>
      <c r="T4629" s="1" t="s">
        <v>5350</v>
      </c>
      <c r="U4629" s="1" t="str">
        <f>HYPERLINK("http://ictvonline.org/taxonomy/p/taxonomy-history?taxnode_id=202103294","ICTVonline=202103294")</f>
        <v>ICTVonline=202103294</v>
      </c>
    </row>
    <row r="4630" spans="1:21" x14ac:dyDescent="0.2">
      <c r="A4630" s="3">
        <v>4629</v>
      </c>
      <c r="B4630" s="1" t="s">
        <v>5250</v>
      </c>
      <c r="D4630" s="1" t="s">
        <v>5280</v>
      </c>
      <c r="F4630" s="1" t="s">
        <v>5347</v>
      </c>
      <c r="H4630" s="1" t="s">
        <v>5368</v>
      </c>
      <c r="J4630" s="1" t="s">
        <v>5369</v>
      </c>
      <c r="L4630" s="1" t="s">
        <v>1955</v>
      </c>
      <c r="N4630" s="1" t="s">
        <v>1956</v>
      </c>
      <c r="P4630" s="1" t="s">
        <v>320</v>
      </c>
      <c r="Q4630" s="30" t="s">
        <v>2568</v>
      </c>
      <c r="R4630" s="33" t="s">
        <v>3474</v>
      </c>
      <c r="S4630">
        <v>35</v>
      </c>
      <c r="T4630" s="1" t="s">
        <v>5350</v>
      </c>
      <c r="U4630" s="1" t="str">
        <f>HYPERLINK("http://ictvonline.org/taxonomy/p/taxonomy-history?taxnode_id=202103295","ICTVonline=202103295")</f>
        <v>ICTVonline=202103295</v>
      </c>
    </row>
    <row r="4631" spans="1:21" x14ac:dyDescent="0.2">
      <c r="A4631" s="3">
        <v>4630</v>
      </c>
      <c r="B4631" s="1" t="s">
        <v>5250</v>
      </c>
      <c r="D4631" s="1" t="s">
        <v>5280</v>
      </c>
      <c r="F4631" s="1" t="s">
        <v>5347</v>
      </c>
      <c r="H4631" s="1" t="s">
        <v>5368</v>
      </c>
      <c r="J4631" s="1" t="s">
        <v>5369</v>
      </c>
      <c r="L4631" s="1" t="s">
        <v>1955</v>
      </c>
      <c r="N4631" s="1" t="s">
        <v>1956</v>
      </c>
      <c r="P4631" s="1" t="s">
        <v>6409</v>
      </c>
      <c r="Q4631" s="30" t="s">
        <v>2969</v>
      </c>
      <c r="R4631" s="33" t="s">
        <v>3472</v>
      </c>
      <c r="S4631">
        <v>36</v>
      </c>
      <c r="T4631" s="1" t="s">
        <v>6403</v>
      </c>
      <c r="U4631" s="1" t="str">
        <f>HYPERLINK("http://ictvonline.org/taxonomy/p/taxonomy-history?taxnode_id=202109125","ICTVonline=202109125")</f>
        <v>ICTVonline=202109125</v>
      </c>
    </row>
    <row r="4632" spans="1:21" x14ac:dyDescent="0.2">
      <c r="A4632" s="3">
        <v>4631</v>
      </c>
      <c r="B4632" s="1" t="s">
        <v>5250</v>
      </c>
      <c r="D4632" s="1" t="s">
        <v>5280</v>
      </c>
      <c r="F4632" s="1" t="s">
        <v>5347</v>
      </c>
      <c r="H4632" s="1" t="s">
        <v>5368</v>
      </c>
      <c r="J4632" s="1" t="s">
        <v>5369</v>
      </c>
      <c r="L4632" s="1" t="s">
        <v>1955</v>
      </c>
      <c r="N4632" s="1" t="s">
        <v>1956</v>
      </c>
      <c r="P4632" s="1" t="s">
        <v>6410</v>
      </c>
      <c r="Q4632" s="30" t="s">
        <v>2969</v>
      </c>
      <c r="R4632" s="33" t="s">
        <v>3472</v>
      </c>
      <c r="S4632">
        <v>36</v>
      </c>
      <c r="T4632" s="1" t="s">
        <v>6403</v>
      </c>
      <c r="U4632" s="1" t="str">
        <f>HYPERLINK("http://ictvonline.org/taxonomy/p/taxonomy-history?taxnode_id=202109124","ICTVonline=202109124")</f>
        <v>ICTVonline=202109124</v>
      </c>
    </row>
    <row r="4633" spans="1:21" x14ac:dyDescent="0.2">
      <c r="A4633" s="3">
        <v>4632</v>
      </c>
      <c r="B4633" s="1" t="s">
        <v>5250</v>
      </c>
      <c r="D4633" s="1" t="s">
        <v>5280</v>
      </c>
      <c r="F4633" s="1" t="s">
        <v>5347</v>
      </c>
      <c r="H4633" s="1" t="s">
        <v>5368</v>
      </c>
      <c r="J4633" s="1" t="s">
        <v>5369</v>
      </c>
      <c r="L4633" s="1" t="s">
        <v>1955</v>
      </c>
      <c r="N4633" s="1" t="s">
        <v>1956</v>
      </c>
      <c r="P4633" s="1" t="s">
        <v>6411</v>
      </c>
      <c r="Q4633" s="30" t="s">
        <v>2969</v>
      </c>
      <c r="R4633" s="33" t="s">
        <v>3472</v>
      </c>
      <c r="S4633">
        <v>36</v>
      </c>
      <c r="T4633" s="1" t="s">
        <v>6403</v>
      </c>
      <c r="U4633" s="1" t="str">
        <f>HYPERLINK("http://ictvonline.org/taxonomy/p/taxonomy-history?taxnode_id=202109123","ICTVonline=202109123")</f>
        <v>ICTVonline=202109123</v>
      </c>
    </row>
    <row r="4634" spans="1:21" x14ac:dyDescent="0.2">
      <c r="A4634" s="3">
        <v>4633</v>
      </c>
      <c r="B4634" s="1" t="s">
        <v>5250</v>
      </c>
      <c r="D4634" s="1" t="s">
        <v>5280</v>
      </c>
      <c r="F4634" s="1" t="s">
        <v>5347</v>
      </c>
      <c r="H4634" s="1" t="s">
        <v>5368</v>
      </c>
      <c r="J4634" s="1" t="s">
        <v>5369</v>
      </c>
      <c r="L4634" s="1" t="s">
        <v>1955</v>
      </c>
      <c r="N4634" s="1" t="s">
        <v>1956</v>
      </c>
      <c r="P4634" s="1" t="s">
        <v>2256</v>
      </c>
      <c r="Q4634" s="30" t="s">
        <v>2568</v>
      </c>
      <c r="R4634" s="33" t="s">
        <v>3474</v>
      </c>
      <c r="S4634">
        <v>35</v>
      </c>
      <c r="T4634" s="1" t="s">
        <v>5350</v>
      </c>
      <c r="U4634" s="1" t="str">
        <f>HYPERLINK("http://ictvonline.org/taxonomy/p/taxonomy-history?taxnode_id=202103296","ICTVonline=202103296")</f>
        <v>ICTVonline=202103296</v>
      </c>
    </row>
    <row r="4635" spans="1:21" x14ac:dyDescent="0.2">
      <c r="A4635" s="3">
        <v>4634</v>
      </c>
      <c r="B4635" s="1" t="s">
        <v>5250</v>
      </c>
      <c r="D4635" s="1" t="s">
        <v>5280</v>
      </c>
      <c r="F4635" s="1" t="s">
        <v>5347</v>
      </c>
      <c r="H4635" s="1" t="s">
        <v>5368</v>
      </c>
      <c r="J4635" s="1" t="s">
        <v>5369</v>
      </c>
      <c r="L4635" s="1" t="s">
        <v>1955</v>
      </c>
      <c r="N4635" s="1" t="s">
        <v>1956</v>
      </c>
      <c r="P4635" s="1" t="s">
        <v>3830</v>
      </c>
      <c r="Q4635" s="30" t="s">
        <v>2568</v>
      </c>
      <c r="R4635" s="33" t="s">
        <v>3474</v>
      </c>
      <c r="S4635">
        <v>35</v>
      </c>
      <c r="T4635" s="1" t="s">
        <v>5350</v>
      </c>
      <c r="U4635" s="1" t="str">
        <f>HYPERLINK("http://ictvonline.org/taxonomy/p/taxonomy-history?taxnode_id=202105815","ICTVonline=202105815")</f>
        <v>ICTVonline=202105815</v>
      </c>
    </row>
    <row r="4636" spans="1:21" x14ac:dyDescent="0.2">
      <c r="A4636" s="3">
        <v>4635</v>
      </c>
      <c r="B4636" s="1" t="s">
        <v>5250</v>
      </c>
      <c r="D4636" s="1" t="s">
        <v>5280</v>
      </c>
      <c r="F4636" s="1" t="s">
        <v>5347</v>
      </c>
      <c r="H4636" s="1" t="s">
        <v>5368</v>
      </c>
      <c r="J4636" s="1" t="s">
        <v>5369</v>
      </c>
      <c r="L4636" s="1" t="s">
        <v>1955</v>
      </c>
      <c r="N4636" s="1" t="s">
        <v>1956</v>
      </c>
      <c r="P4636" s="1" t="s">
        <v>2257</v>
      </c>
      <c r="Q4636" s="30" t="s">
        <v>2568</v>
      </c>
      <c r="R4636" s="33" t="s">
        <v>3474</v>
      </c>
      <c r="S4636">
        <v>35</v>
      </c>
      <c r="T4636" s="1" t="s">
        <v>5350</v>
      </c>
      <c r="U4636" s="1" t="str">
        <f>HYPERLINK("http://ictvonline.org/taxonomy/p/taxonomy-history?taxnode_id=202103297","ICTVonline=202103297")</f>
        <v>ICTVonline=202103297</v>
      </c>
    </row>
    <row r="4637" spans="1:21" x14ac:dyDescent="0.2">
      <c r="A4637" s="3">
        <v>4636</v>
      </c>
      <c r="B4637" s="1" t="s">
        <v>5250</v>
      </c>
      <c r="D4637" s="1" t="s">
        <v>5280</v>
      </c>
      <c r="F4637" s="1" t="s">
        <v>5347</v>
      </c>
      <c r="H4637" s="1" t="s">
        <v>5368</v>
      </c>
      <c r="J4637" s="1" t="s">
        <v>5369</v>
      </c>
      <c r="L4637" s="1" t="s">
        <v>1955</v>
      </c>
      <c r="N4637" s="1" t="s">
        <v>1956</v>
      </c>
      <c r="P4637" s="1" t="s">
        <v>321</v>
      </c>
      <c r="Q4637" s="30" t="s">
        <v>2568</v>
      </c>
      <c r="R4637" s="33" t="s">
        <v>3474</v>
      </c>
      <c r="S4637">
        <v>35</v>
      </c>
      <c r="T4637" s="1" t="s">
        <v>5350</v>
      </c>
      <c r="U4637" s="1" t="str">
        <f>HYPERLINK("http://ictvonline.org/taxonomy/p/taxonomy-history?taxnode_id=202103298","ICTVonline=202103298")</f>
        <v>ICTVonline=202103298</v>
      </c>
    </row>
    <row r="4638" spans="1:21" x14ac:dyDescent="0.2">
      <c r="A4638" s="3">
        <v>4637</v>
      </c>
      <c r="B4638" s="1" t="s">
        <v>5250</v>
      </c>
      <c r="D4638" s="1" t="s">
        <v>5280</v>
      </c>
      <c r="F4638" s="1" t="s">
        <v>5347</v>
      </c>
      <c r="H4638" s="1" t="s">
        <v>5368</v>
      </c>
      <c r="J4638" s="1" t="s">
        <v>5369</v>
      </c>
      <c r="L4638" s="1" t="s">
        <v>1955</v>
      </c>
      <c r="N4638" s="1" t="s">
        <v>1956</v>
      </c>
      <c r="P4638" s="1" t="s">
        <v>322</v>
      </c>
      <c r="Q4638" s="30" t="s">
        <v>2568</v>
      </c>
      <c r="R4638" s="33" t="s">
        <v>3474</v>
      </c>
      <c r="S4638">
        <v>35</v>
      </c>
      <c r="T4638" s="1" t="s">
        <v>5350</v>
      </c>
      <c r="U4638" s="1" t="str">
        <f>HYPERLINK("http://ictvonline.org/taxonomy/p/taxonomy-history?taxnode_id=202103299","ICTVonline=202103299")</f>
        <v>ICTVonline=202103299</v>
      </c>
    </row>
    <row r="4639" spans="1:21" x14ac:dyDescent="0.2">
      <c r="A4639" s="3">
        <v>4638</v>
      </c>
      <c r="B4639" s="1" t="s">
        <v>5250</v>
      </c>
      <c r="D4639" s="1" t="s">
        <v>5280</v>
      </c>
      <c r="F4639" s="1" t="s">
        <v>5347</v>
      </c>
      <c r="H4639" s="1" t="s">
        <v>5368</v>
      </c>
      <c r="J4639" s="1" t="s">
        <v>5369</v>
      </c>
      <c r="L4639" s="1" t="s">
        <v>1955</v>
      </c>
      <c r="N4639" s="1" t="s">
        <v>1956</v>
      </c>
      <c r="P4639" s="1" t="s">
        <v>3831</v>
      </c>
      <c r="Q4639" s="30" t="s">
        <v>2568</v>
      </c>
      <c r="R4639" s="33" t="s">
        <v>3474</v>
      </c>
      <c r="S4639">
        <v>35</v>
      </c>
      <c r="T4639" s="1" t="s">
        <v>5350</v>
      </c>
      <c r="U4639" s="1" t="str">
        <f>HYPERLINK("http://ictvonline.org/taxonomy/p/taxonomy-history?taxnode_id=202105816","ICTVonline=202105816")</f>
        <v>ICTVonline=202105816</v>
      </c>
    </row>
    <row r="4640" spans="1:21" x14ac:dyDescent="0.2">
      <c r="A4640" s="3">
        <v>4639</v>
      </c>
      <c r="B4640" s="1" t="s">
        <v>5250</v>
      </c>
      <c r="D4640" s="1" t="s">
        <v>5280</v>
      </c>
      <c r="F4640" s="1" t="s">
        <v>5347</v>
      </c>
      <c r="H4640" s="1" t="s">
        <v>5368</v>
      </c>
      <c r="J4640" s="1" t="s">
        <v>5369</v>
      </c>
      <c r="L4640" s="1" t="s">
        <v>1955</v>
      </c>
      <c r="N4640" s="1" t="s">
        <v>1956</v>
      </c>
      <c r="P4640" s="1" t="s">
        <v>2258</v>
      </c>
      <c r="Q4640" s="30" t="s">
        <v>2568</v>
      </c>
      <c r="R4640" s="33" t="s">
        <v>3474</v>
      </c>
      <c r="S4640">
        <v>35</v>
      </c>
      <c r="T4640" s="1" t="s">
        <v>5350</v>
      </c>
      <c r="U4640" s="1" t="str">
        <f>HYPERLINK("http://ictvonline.org/taxonomy/p/taxonomy-history?taxnode_id=202103300","ICTVonline=202103300")</f>
        <v>ICTVonline=202103300</v>
      </c>
    </row>
    <row r="4641" spans="1:21" x14ac:dyDescent="0.2">
      <c r="A4641" s="3">
        <v>4640</v>
      </c>
      <c r="B4641" s="1" t="s">
        <v>5250</v>
      </c>
      <c r="D4641" s="1" t="s">
        <v>5280</v>
      </c>
      <c r="F4641" s="1" t="s">
        <v>5347</v>
      </c>
      <c r="H4641" s="1" t="s">
        <v>5368</v>
      </c>
      <c r="J4641" s="1" t="s">
        <v>5369</v>
      </c>
      <c r="L4641" s="1" t="s">
        <v>1955</v>
      </c>
      <c r="N4641" s="1" t="s">
        <v>1956</v>
      </c>
      <c r="P4641" s="1" t="s">
        <v>323</v>
      </c>
      <c r="Q4641" s="30" t="s">
        <v>2568</v>
      </c>
      <c r="R4641" s="33" t="s">
        <v>3474</v>
      </c>
      <c r="S4641">
        <v>35</v>
      </c>
      <c r="T4641" s="1" t="s">
        <v>5350</v>
      </c>
      <c r="U4641" s="1" t="str">
        <f>HYPERLINK("http://ictvonline.org/taxonomy/p/taxonomy-history?taxnode_id=202103301","ICTVonline=202103301")</f>
        <v>ICTVonline=202103301</v>
      </c>
    </row>
    <row r="4642" spans="1:21" x14ac:dyDescent="0.2">
      <c r="A4642" s="3">
        <v>4641</v>
      </c>
      <c r="B4642" s="1" t="s">
        <v>5250</v>
      </c>
      <c r="D4642" s="1" t="s">
        <v>5280</v>
      </c>
      <c r="F4642" s="1" t="s">
        <v>5347</v>
      </c>
      <c r="H4642" s="1" t="s">
        <v>5368</v>
      </c>
      <c r="J4642" s="1" t="s">
        <v>5369</v>
      </c>
      <c r="L4642" s="1" t="s">
        <v>1955</v>
      </c>
      <c r="N4642" s="1" t="s">
        <v>1956</v>
      </c>
      <c r="P4642" s="1" t="s">
        <v>324</v>
      </c>
      <c r="Q4642" s="30" t="s">
        <v>2568</v>
      </c>
      <c r="R4642" s="33" t="s">
        <v>3474</v>
      </c>
      <c r="S4642">
        <v>35</v>
      </c>
      <c r="T4642" s="1" t="s">
        <v>5350</v>
      </c>
      <c r="U4642" s="1" t="str">
        <f>HYPERLINK("http://ictvonline.org/taxonomy/p/taxonomy-history?taxnode_id=202103302","ICTVonline=202103302")</f>
        <v>ICTVonline=202103302</v>
      </c>
    </row>
    <row r="4643" spans="1:21" x14ac:dyDescent="0.2">
      <c r="A4643" s="3">
        <v>4642</v>
      </c>
      <c r="B4643" s="1" t="s">
        <v>5250</v>
      </c>
      <c r="D4643" s="1" t="s">
        <v>5280</v>
      </c>
      <c r="F4643" s="1" t="s">
        <v>5347</v>
      </c>
      <c r="H4643" s="1" t="s">
        <v>5368</v>
      </c>
      <c r="J4643" s="1" t="s">
        <v>5369</v>
      </c>
      <c r="L4643" s="1" t="s">
        <v>1955</v>
      </c>
      <c r="N4643" s="1" t="s">
        <v>1956</v>
      </c>
      <c r="P4643" s="1" t="s">
        <v>325</v>
      </c>
      <c r="Q4643" s="30" t="s">
        <v>2568</v>
      </c>
      <c r="R4643" s="33" t="s">
        <v>3474</v>
      </c>
      <c r="S4643">
        <v>35</v>
      </c>
      <c r="T4643" s="1" t="s">
        <v>5350</v>
      </c>
      <c r="U4643" s="1" t="str">
        <f>HYPERLINK("http://ictvonline.org/taxonomy/p/taxonomy-history?taxnode_id=202103303","ICTVonline=202103303")</f>
        <v>ICTVonline=202103303</v>
      </c>
    </row>
    <row r="4644" spans="1:21" x14ac:dyDescent="0.2">
      <c r="A4644" s="3">
        <v>4643</v>
      </c>
      <c r="B4644" s="1" t="s">
        <v>5250</v>
      </c>
      <c r="D4644" s="1" t="s">
        <v>5280</v>
      </c>
      <c r="F4644" s="1" t="s">
        <v>5347</v>
      </c>
      <c r="H4644" s="1" t="s">
        <v>5368</v>
      </c>
      <c r="J4644" s="1" t="s">
        <v>5369</v>
      </c>
      <c r="L4644" s="1" t="s">
        <v>1955</v>
      </c>
      <c r="N4644" s="1" t="s">
        <v>1956</v>
      </c>
      <c r="P4644" s="1" t="s">
        <v>6412</v>
      </c>
      <c r="Q4644" s="30" t="s">
        <v>2969</v>
      </c>
      <c r="R4644" s="33" t="s">
        <v>3472</v>
      </c>
      <c r="S4644">
        <v>36</v>
      </c>
      <c r="T4644" s="1" t="s">
        <v>6403</v>
      </c>
      <c r="U4644" s="1" t="str">
        <f>HYPERLINK("http://ictvonline.org/taxonomy/p/taxonomy-history?taxnode_id=202109126","ICTVonline=202109126")</f>
        <v>ICTVonline=202109126</v>
      </c>
    </row>
    <row r="4645" spans="1:21" x14ac:dyDescent="0.2">
      <c r="A4645" s="3">
        <v>4644</v>
      </c>
      <c r="B4645" s="1" t="s">
        <v>5250</v>
      </c>
      <c r="D4645" s="1" t="s">
        <v>5280</v>
      </c>
      <c r="F4645" s="1" t="s">
        <v>5347</v>
      </c>
      <c r="H4645" s="1" t="s">
        <v>5368</v>
      </c>
      <c r="J4645" s="1" t="s">
        <v>5369</v>
      </c>
      <c r="L4645" s="1" t="s">
        <v>1955</v>
      </c>
      <c r="N4645" s="1" t="s">
        <v>1956</v>
      </c>
      <c r="P4645" s="1" t="s">
        <v>6413</v>
      </c>
      <c r="Q4645" s="30" t="s">
        <v>2969</v>
      </c>
      <c r="R4645" s="33" t="s">
        <v>3472</v>
      </c>
      <c r="S4645">
        <v>36</v>
      </c>
      <c r="T4645" s="1" t="s">
        <v>6403</v>
      </c>
      <c r="U4645" s="1" t="str">
        <f>HYPERLINK("http://ictvonline.org/taxonomy/p/taxonomy-history?taxnode_id=202109127","ICTVonline=202109127")</f>
        <v>ICTVonline=202109127</v>
      </c>
    </row>
    <row r="4646" spans="1:21" x14ac:dyDescent="0.2">
      <c r="A4646" s="3">
        <v>4645</v>
      </c>
      <c r="B4646" s="1" t="s">
        <v>5250</v>
      </c>
      <c r="D4646" s="1" t="s">
        <v>5280</v>
      </c>
      <c r="F4646" s="1" t="s">
        <v>5347</v>
      </c>
      <c r="H4646" s="1" t="s">
        <v>5368</v>
      </c>
      <c r="J4646" s="1" t="s">
        <v>5369</v>
      </c>
      <c r="L4646" s="1" t="s">
        <v>1955</v>
      </c>
      <c r="N4646" s="1" t="s">
        <v>1956</v>
      </c>
      <c r="P4646" s="1" t="s">
        <v>6414</v>
      </c>
      <c r="Q4646" s="30" t="s">
        <v>2969</v>
      </c>
      <c r="R4646" s="33" t="s">
        <v>3472</v>
      </c>
      <c r="S4646">
        <v>36</v>
      </c>
      <c r="T4646" s="1" t="s">
        <v>6403</v>
      </c>
      <c r="U4646" s="1" t="str">
        <f>HYPERLINK("http://ictvonline.org/taxonomy/p/taxonomy-history?taxnode_id=202109128","ICTVonline=202109128")</f>
        <v>ICTVonline=202109128</v>
      </c>
    </row>
    <row r="4647" spans="1:21" x14ac:dyDescent="0.2">
      <c r="A4647" s="3">
        <v>4646</v>
      </c>
      <c r="B4647" s="1" t="s">
        <v>5250</v>
      </c>
      <c r="D4647" s="1" t="s">
        <v>5280</v>
      </c>
      <c r="F4647" s="1" t="s">
        <v>5347</v>
      </c>
      <c r="H4647" s="1" t="s">
        <v>5368</v>
      </c>
      <c r="J4647" s="1" t="s">
        <v>5369</v>
      </c>
      <c r="L4647" s="1" t="s">
        <v>1955</v>
      </c>
      <c r="N4647" s="1" t="s">
        <v>1956</v>
      </c>
      <c r="P4647" s="1" t="s">
        <v>5380</v>
      </c>
      <c r="Q4647" s="30" t="s">
        <v>2969</v>
      </c>
      <c r="R4647" s="33" t="s">
        <v>3472</v>
      </c>
      <c r="S4647">
        <v>35</v>
      </c>
      <c r="T4647" s="1" t="s">
        <v>5371</v>
      </c>
      <c r="U4647" s="1" t="str">
        <f>HYPERLINK("http://ictvonline.org/taxonomy/p/taxonomy-history?taxnode_id=202107527","ICTVonline=202107527")</f>
        <v>ICTVonline=202107527</v>
      </c>
    </row>
    <row r="4648" spans="1:21" x14ac:dyDescent="0.2">
      <c r="A4648" s="3">
        <v>4647</v>
      </c>
      <c r="B4648" s="1" t="s">
        <v>5250</v>
      </c>
      <c r="D4648" s="1" t="s">
        <v>5280</v>
      </c>
      <c r="F4648" s="1" t="s">
        <v>5347</v>
      </c>
      <c r="H4648" s="1" t="s">
        <v>5368</v>
      </c>
      <c r="J4648" s="1" t="s">
        <v>5369</v>
      </c>
      <c r="L4648" s="1" t="s">
        <v>1955</v>
      </c>
      <c r="N4648" s="1" t="s">
        <v>1956</v>
      </c>
      <c r="P4648" s="1" t="s">
        <v>3832</v>
      </c>
      <c r="Q4648" s="30" t="s">
        <v>2568</v>
      </c>
      <c r="R4648" s="33" t="s">
        <v>3474</v>
      </c>
      <c r="S4648">
        <v>35</v>
      </c>
      <c r="T4648" s="1" t="s">
        <v>5350</v>
      </c>
      <c r="U4648" s="1" t="str">
        <f>HYPERLINK("http://ictvonline.org/taxonomy/p/taxonomy-history?taxnode_id=202105817","ICTVonline=202105817")</f>
        <v>ICTVonline=202105817</v>
      </c>
    </row>
    <row r="4649" spans="1:21" x14ac:dyDescent="0.2">
      <c r="A4649" s="3">
        <v>4648</v>
      </c>
      <c r="B4649" s="1" t="s">
        <v>5250</v>
      </c>
      <c r="D4649" s="1" t="s">
        <v>5280</v>
      </c>
      <c r="F4649" s="1" t="s">
        <v>5347</v>
      </c>
      <c r="H4649" s="1" t="s">
        <v>5368</v>
      </c>
      <c r="J4649" s="1" t="s">
        <v>5369</v>
      </c>
      <c r="L4649" s="1" t="s">
        <v>1955</v>
      </c>
      <c r="N4649" s="1" t="s">
        <v>1956</v>
      </c>
      <c r="P4649" s="1" t="s">
        <v>2259</v>
      </c>
      <c r="Q4649" s="30" t="s">
        <v>2568</v>
      </c>
      <c r="R4649" s="33" t="s">
        <v>3474</v>
      </c>
      <c r="S4649">
        <v>35</v>
      </c>
      <c r="T4649" s="1" t="s">
        <v>5350</v>
      </c>
      <c r="U4649" s="1" t="str">
        <f>HYPERLINK("http://ictvonline.org/taxonomy/p/taxonomy-history?taxnode_id=202103304","ICTVonline=202103304")</f>
        <v>ICTVonline=202103304</v>
      </c>
    </row>
    <row r="4650" spans="1:21" x14ac:dyDescent="0.2">
      <c r="A4650" s="3">
        <v>4649</v>
      </c>
      <c r="B4650" s="1" t="s">
        <v>5250</v>
      </c>
      <c r="D4650" s="1" t="s">
        <v>5280</v>
      </c>
      <c r="F4650" s="1" t="s">
        <v>5347</v>
      </c>
      <c r="H4650" s="1" t="s">
        <v>5368</v>
      </c>
      <c r="J4650" s="1" t="s">
        <v>5369</v>
      </c>
      <c r="L4650" s="1" t="s">
        <v>1955</v>
      </c>
      <c r="N4650" s="1" t="s">
        <v>1956</v>
      </c>
      <c r="P4650" s="1" t="s">
        <v>3833</v>
      </c>
      <c r="Q4650" s="30" t="s">
        <v>2568</v>
      </c>
      <c r="R4650" s="33" t="s">
        <v>3474</v>
      </c>
      <c r="S4650">
        <v>35</v>
      </c>
      <c r="T4650" s="1" t="s">
        <v>5350</v>
      </c>
      <c r="U4650" s="1" t="str">
        <f>HYPERLINK("http://ictvonline.org/taxonomy/p/taxonomy-history?taxnode_id=202105818","ICTVonline=202105818")</f>
        <v>ICTVonline=202105818</v>
      </c>
    </row>
    <row r="4651" spans="1:21" x14ac:dyDescent="0.2">
      <c r="A4651" s="3">
        <v>4650</v>
      </c>
      <c r="B4651" s="1" t="s">
        <v>5250</v>
      </c>
      <c r="D4651" s="1" t="s">
        <v>5280</v>
      </c>
      <c r="F4651" s="1" t="s">
        <v>5347</v>
      </c>
      <c r="H4651" s="1" t="s">
        <v>5368</v>
      </c>
      <c r="J4651" s="1" t="s">
        <v>5369</v>
      </c>
      <c r="L4651" s="1" t="s">
        <v>1955</v>
      </c>
      <c r="N4651" s="1" t="s">
        <v>1956</v>
      </c>
      <c r="P4651" s="1" t="s">
        <v>3834</v>
      </c>
      <c r="Q4651" s="30" t="s">
        <v>2568</v>
      </c>
      <c r="R4651" s="33" t="s">
        <v>3474</v>
      </c>
      <c r="S4651">
        <v>35</v>
      </c>
      <c r="T4651" s="1" t="s">
        <v>5350</v>
      </c>
      <c r="U4651" s="1" t="str">
        <f>HYPERLINK("http://ictvonline.org/taxonomy/p/taxonomy-history?taxnode_id=202105819","ICTVonline=202105819")</f>
        <v>ICTVonline=202105819</v>
      </c>
    </row>
    <row r="4652" spans="1:21" x14ac:dyDescent="0.2">
      <c r="A4652" s="3">
        <v>4651</v>
      </c>
      <c r="B4652" s="1" t="s">
        <v>5250</v>
      </c>
      <c r="D4652" s="1" t="s">
        <v>5280</v>
      </c>
      <c r="F4652" s="1" t="s">
        <v>5347</v>
      </c>
      <c r="H4652" s="1" t="s">
        <v>5368</v>
      </c>
      <c r="J4652" s="1" t="s">
        <v>5369</v>
      </c>
      <c r="L4652" s="1" t="s">
        <v>1955</v>
      </c>
      <c r="N4652" s="1" t="s">
        <v>1956</v>
      </c>
      <c r="P4652" s="1" t="s">
        <v>3835</v>
      </c>
      <c r="Q4652" s="30" t="s">
        <v>2568</v>
      </c>
      <c r="R4652" s="33" t="s">
        <v>3474</v>
      </c>
      <c r="S4652">
        <v>35</v>
      </c>
      <c r="T4652" s="1" t="s">
        <v>5350</v>
      </c>
      <c r="U4652" s="1" t="str">
        <f>HYPERLINK("http://ictvonline.org/taxonomy/p/taxonomy-history?taxnode_id=202105820","ICTVonline=202105820")</f>
        <v>ICTVonline=202105820</v>
      </c>
    </row>
    <row r="4653" spans="1:21" x14ac:dyDescent="0.2">
      <c r="A4653" s="3">
        <v>4652</v>
      </c>
      <c r="B4653" s="1" t="s">
        <v>5250</v>
      </c>
      <c r="D4653" s="1" t="s">
        <v>5280</v>
      </c>
      <c r="F4653" s="1" t="s">
        <v>5347</v>
      </c>
      <c r="H4653" s="1" t="s">
        <v>5368</v>
      </c>
      <c r="J4653" s="1" t="s">
        <v>5369</v>
      </c>
      <c r="L4653" s="1" t="s">
        <v>1955</v>
      </c>
      <c r="N4653" s="1" t="s">
        <v>1956</v>
      </c>
      <c r="P4653" s="1" t="s">
        <v>3836</v>
      </c>
      <c r="Q4653" s="30" t="s">
        <v>2568</v>
      </c>
      <c r="R4653" s="33" t="s">
        <v>3474</v>
      </c>
      <c r="S4653">
        <v>35</v>
      </c>
      <c r="T4653" s="1" t="s">
        <v>5350</v>
      </c>
      <c r="U4653" s="1" t="str">
        <f>HYPERLINK("http://ictvonline.org/taxonomy/p/taxonomy-history?taxnode_id=202103305","ICTVonline=202103305")</f>
        <v>ICTVonline=202103305</v>
      </c>
    </row>
    <row r="4654" spans="1:21" x14ac:dyDescent="0.2">
      <c r="A4654" s="3">
        <v>4653</v>
      </c>
      <c r="B4654" s="1" t="s">
        <v>5250</v>
      </c>
      <c r="D4654" s="1" t="s">
        <v>5280</v>
      </c>
      <c r="F4654" s="1" t="s">
        <v>5347</v>
      </c>
      <c r="H4654" s="1" t="s">
        <v>5368</v>
      </c>
      <c r="J4654" s="1" t="s">
        <v>5369</v>
      </c>
      <c r="L4654" s="1" t="s">
        <v>1955</v>
      </c>
      <c r="N4654" s="1" t="s">
        <v>1956</v>
      </c>
      <c r="P4654" s="1" t="s">
        <v>6415</v>
      </c>
      <c r="Q4654" s="30" t="s">
        <v>2969</v>
      </c>
      <c r="R4654" s="33" t="s">
        <v>3472</v>
      </c>
      <c r="S4654">
        <v>36</v>
      </c>
      <c r="T4654" s="1" t="s">
        <v>6403</v>
      </c>
      <c r="U4654" s="1" t="str">
        <f>HYPERLINK("http://ictvonline.org/taxonomy/p/taxonomy-history?taxnode_id=202109129","ICTVonline=202109129")</f>
        <v>ICTVonline=202109129</v>
      </c>
    </row>
    <row r="4655" spans="1:21" x14ac:dyDescent="0.2">
      <c r="A4655" s="3">
        <v>4654</v>
      </c>
      <c r="B4655" s="1" t="s">
        <v>5250</v>
      </c>
      <c r="D4655" s="1" t="s">
        <v>5280</v>
      </c>
      <c r="F4655" s="1" t="s">
        <v>5347</v>
      </c>
      <c r="H4655" s="1" t="s">
        <v>5368</v>
      </c>
      <c r="J4655" s="1" t="s">
        <v>5369</v>
      </c>
      <c r="L4655" s="1" t="s">
        <v>1955</v>
      </c>
      <c r="N4655" s="1" t="s">
        <v>1956</v>
      </c>
      <c r="P4655" s="1" t="s">
        <v>326</v>
      </c>
      <c r="Q4655" s="30" t="s">
        <v>2568</v>
      </c>
      <c r="R4655" s="33" t="s">
        <v>3474</v>
      </c>
      <c r="S4655">
        <v>35</v>
      </c>
      <c r="T4655" s="1" t="s">
        <v>5350</v>
      </c>
      <c r="U4655" s="1" t="str">
        <f>HYPERLINK("http://ictvonline.org/taxonomy/p/taxonomy-history?taxnode_id=202103306","ICTVonline=202103306")</f>
        <v>ICTVonline=202103306</v>
      </c>
    </row>
    <row r="4656" spans="1:21" x14ac:dyDescent="0.2">
      <c r="A4656" s="3">
        <v>4655</v>
      </c>
      <c r="B4656" s="1" t="s">
        <v>5250</v>
      </c>
      <c r="D4656" s="1" t="s">
        <v>5280</v>
      </c>
      <c r="F4656" s="1" t="s">
        <v>5347</v>
      </c>
      <c r="H4656" s="1" t="s">
        <v>5368</v>
      </c>
      <c r="J4656" s="1" t="s">
        <v>5369</v>
      </c>
      <c r="L4656" s="1" t="s">
        <v>1955</v>
      </c>
      <c r="N4656" s="1" t="s">
        <v>1956</v>
      </c>
      <c r="P4656" s="1" t="s">
        <v>327</v>
      </c>
      <c r="Q4656" s="30" t="s">
        <v>2568</v>
      </c>
      <c r="R4656" s="33" t="s">
        <v>3474</v>
      </c>
      <c r="S4656">
        <v>35</v>
      </c>
      <c r="T4656" s="1" t="s">
        <v>5350</v>
      </c>
      <c r="U4656" s="1" t="str">
        <f>HYPERLINK("http://ictvonline.org/taxonomy/p/taxonomy-history?taxnode_id=202103307","ICTVonline=202103307")</f>
        <v>ICTVonline=202103307</v>
      </c>
    </row>
    <row r="4657" spans="1:21" x14ac:dyDescent="0.2">
      <c r="A4657" s="3">
        <v>4656</v>
      </c>
      <c r="B4657" s="1" t="s">
        <v>5250</v>
      </c>
      <c r="D4657" s="1" t="s">
        <v>5280</v>
      </c>
      <c r="F4657" s="1" t="s">
        <v>5347</v>
      </c>
      <c r="H4657" s="1" t="s">
        <v>5368</v>
      </c>
      <c r="J4657" s="1" t="s">
        <v>5369</v>
      </c>
      <c r="L4657" s="1" t="s">
        <v>1955</v>
      </c>
      <c r="N4657" s="1" t="s">
        <v>1956</v>
      </c>
      <c r="P4657" s="1" t="s">
        <v>1341</v>
      </c>
      <c r="Q4657" s="30" t="s">
        <v>2568</v>
      </c>
      <c r="R4657" s="33" t="s">
        <v>3474</v>
      </c>
      <c r="S4657">
        <v>35</v>
      </c>
      <c r="T4657" s="1" t="s">
        <v>5350</v>
      </c>
      <c r="U4657" s="1" t="str">
        <f>HYPERLINK("http://ictvonline.org/taxonomy/p/taxonomy-history?taxnode_id=202103308","ICTVonline=202103308")</f>
        <v>ICTVonline=202103308</v>
      </c>
    </row>
    <row r="4658" spans="1:21" x14ac:dyDescent="0.2">
      <c r="A4658" s="3">
        <v>4657</v>
      </c>
      <c r="B4658" s="1" t="s">
        <v>5250</v>
      </c>
      <c r="D4658" s="1" t="s">
        <v>5280</v>
      </c>
      <c r="F4658" s="1" t="s">
        <v>5347</v>
      </c>
      <c r="H4658" s="1" t="s">
        <v>5368</v>
      </c>
      <c r="J4658" s="1" t="s">
        <v>5369</v>
      </c>
      <c r="L4658" s="1" t="s">
        <v>1955</v>
      </c>
      <c r="N4658" s="1" t="s">
        <v>1956</v>
      </c>
      <c r="P4658" s="1" t="s">
        <v>431</v>
      </c>
      <c r="Q4658" s="30" t="s">
        <v>2568</v>
      </c>
      <c r="R4658" s="33" t="s">
        <v>3474</v>
      </c>
      <c r="S4658">
        <v>35</v>
      </c>
      <c r="T4658" s="1" t="s">
        <v>5350</v>
      </c>
      <c r="U4658" s="1" t="str">
        <f>HYPERLINK("http://ictvonline.org/taxonomy/p/taxonomy-history?taxnode_id=202103309","ICTVonline=202103309")</f>
        <v>ICTVonline=202103309</v>
      </c>
    </row>
    <row r="4659" spans="1:21" x14ac:dyDescent="0.2">
      <c r="A4659" s="3">
        <v>4658</v>
      </c>
      <c r="B4659" s="1" t="s">
        <v>5250</v>
      </c>
      <c r="D4659" s="1" t="s">
        <v>5280</v>
      </c>
      <c r="F4659" s="1" t="s">
        <v>5347</v>
      </c>
      <c r="H4659" s="1" t="s">
        <v>5368</v>
      </c>
      <c r="J4659" s="1" t="s">
        <v>5369</v>
      </c>
      <c r="L4659" s="1" t="s">
        <v>1955</v>
      </c>
      <c r="N4659" s="1" t="s">
        <v>1956</v>
      </c>
      <c r="P4659" s="1" t="s">
        <v>432</v>
      </c>
      <c r="Q4659" s="30" t="s">
        <v>2568</v>
      </c>
      <c r="R4659" s="33" t="s">
        <v>3474</v>
      </c>
      <c r="S4659">
        <v>35</v>
      </c>
      <c r="T4659" s="1" t="s">
        <v>5350</v>
      </c>
      <c r="U4659" s="1" t="str">
        <f>HYPERLINK("http://ictvonline.org/taxonomy/p/taxonomy-history?taxnode_id=202103310","ICTVonline=202103310")</f>
        <v>ICTVonline=202103310</v>
      </c>
    </row>
    <row r="4660" spans="1:21" x14ac:dyDescent="0.2">
      <c r="A4660" s="3">
        <v>4659</v>
      </c>
      <c r="B4660" s="1" t="s">
        <v>5250</v>
      </c>
      <c r="D4660" s="1" t="s">
        <v>5280</v>
      </c>
      <c r="F4660" s="1" t="s">
        <v>5347</v>
      </c>
      <c r="H4660" s="1" t="s">
        <v>5368</v>
      </c>
      <c r="J4660" s="1" t="s">
        <v>5369</v>
      </c>
      <c r="L4660" s="1" t="s">
        <v>1955</v>
      </c>
      <c r="N4660" s="1" t="s">
        <v>1956</v>
      </c>
      <c r="P4660" s="1" t="s">
        <v>2260</v>
      </c>
      <c r="Q4660" s="30" t="s">
        <v>2568</v>
      </c>
      <c r="R4660" s="33" t="s">
        <v>3474</v>
      </c>
      <c r="S4660">
        <v>35</v>
      </c>
      <c r="T4660" s="1" t="s">
        <v>5350</v>
      </c>
      <c r="U4660" s="1" t="str">
        <f>HYPERLINK("http://ictvonline.org/taxonomy/p/taxonomy-history?taxnode_id=202103311","ICTVonline=202103311")</f>
        <v>ICTVonline=202103311</v>
      </c>
    </row>
    <row r="4661" spans="1:21" x14ac:dyDescent="0.2">
      <c r="A4661" s="3">
        <v>4660</v>
      </c>
      <c r="B4661" s="1" t="s">
        <v>5250</v>
      </c>
      <c r="D4661" s="1" t="s">
        <v>5280</v>
      </c>
      <c r="F4661" s="1" t="s">
        <v>5347</v>
      </c>
      <c r="H4661" s="1" t="s">
        <v>5368</v>
      </c>
      <c r="J4661" s="1" t="s">
        <v>5369</v>
      </c>
      <c r="L4661" s="1" t="s">
        <v>1955</v>
      </c>
      <c r="N4661" s="1" t="s">
        <v>1956</v>
      </c>
      <c r="P4661" s="1" t="s">
        <v>4836</v>
      </c>
      <c r="Q4661" s="30" t="s">
        <v>2568</v>
      </c>
      <c r="R4661" s="33" t="s">
        <v>3474</v>
      </c>
      <c r="S4661">
        <v>35</v>
      </c>
      <c r="T4661" s="1" t="s">
        <v>5350</v>
      </c>
      <c r="U4661" s="1" t="str">
        <f>HYPERLINK("http://ictvonline.org/taxonomy/p/taxonomy-history?taxnode_id=202106705","ICTVonline=202106705")</f>
        <v>ICTVonline=202106705</v>
      </c>
    </row>
    <row r="4662" spans="1:21" x14ac:dyDescent="0.2">
      <c r="A4662" s="3">
        <v>4661</v>
      </c>
      <c r="B4662" s="1" t="s">
        <v>5250</v>
      </c>
      <c r="D4662" s="1" t="s">
        <v>5280</v>
      </c>
      <c r="F4662" s="1" t="s">
        <v>5347</v>
      </c>
      <c r="H4662" s="1" t="s">
        <v>5368</v>
      </c>
      <c r="J4662" s="1" t="s">
        <v>5369</v>
      </c>
      <c r="L4662" s="1" t="s">
        <v>1955</v>
      </c>
      <c r="N4662" s="1" t="s">
        <v>1956</v>
      </c>
      <c r="P4662" s="1" t="s">
        <v>5381</v>
      </c>
      <c r="Q4662" s="30" t="s">
        <v>2969</v>
      </c>
      <c r="R4662" s="33" t="s">
        <v>3472</v>
      </c>
      <c r="S4662">
        <v>35</v>
      </c>
      <c r="T4662" s="1" t="s">
        <v>5371</v>
      </c>
      <c r="U4662" s="1" t="str">
        <f>HYPERLINK("http://ictvonline.org/taxonomy/p/taxonomy-history?taxnode_id=202107528","ICTVonline=202107528")</f>
        <v>ICTVonline=202107528</v>
      </c>
    </row>
    <row r="4663" spans="1:21" x14ac:dyDescent="0.2">
      <c r="A4663" s="3">
        <v>4662</v>
      </c>
      <c r="B4663" s="1" t="s">
        <v>5250</v>
      </c>
      <c r="D4663" s="1" t="s">
        <v>5280</v>
      </c>
      <c r="F4663" s="1" t="s">
        <v>5347</v>
      </c>
      <c r="H4663" s="1" t="s">
        <v>5368</v>
      </c>
      <c r="J4663" s="1" t="s">
        <v>5369</v>
      </c>
      <c r="L4663" s="1" t="s">
        <v>1955</v>
      </c>
      <c r="N4663" s="1" t="s">
        <v>1956</v>
      </c>
      <c r="P4663" s="1" t="s">
        <v>1366</v>
      </c>
      <c r="Q4663" s="30" t="s">
        <v>2568</v>
      </c>
      <c r="R4663" s="33" t="s">
        <v>3474</v>
      </c>
      <c r="S4663">
        <v>35</v>
      </c>
      <c r="T4663" s="1" t="s">
        <v>5350</v>
      </c>
      <c r="U4663" s="1" t="str">
        <f>HYPERLINK("http://ictvonline.org/taxonomy/p/taxonomy-history?taxnode_id=202103312","ICTVonline=202103312")</f>
        <v>ICTVonline=202103312</v>
      </c>
    </row>
    <row r="4664" spans="1:21" x14ac:dyDescent="0.2">
      <c r="A4664" s="3">
        <v>4663</v>
      </c>
      <c r="B4664" s="1" t="s">
        <v>5250</v>
      </c>
      <c r="D4664" s="1" t="s">
        <v>5280</v>
      </c>
      <c r="F4664" s="1" t="s">
        <v>5347</v>
      </c>
      <c r="H4664" s="1" t="s">
        <v>5368</v>
      </c>
      <c r="J4664" s="1" t="s">
        <v>5369</v>
      </c>
      <c r="L4664" s="1" t="s">
        <v>1955</v>
      </c>
      <c r="N4664" s="1" t="s">
        <v>1956</v>
      </c>
      <c r="P4664" s="1" t="s">
        <v>4837</v>
      </c>
      <c r="Q4664" s="30" t="s">
        <v>2568</v>
      </c>
      <c r="R4664" s="33" t="s">
        <v>3474</v>
      </c>
      <c r="S4664">
        <v>35</v>
      </c>
      <c r="T4664" s="1" t="s">
        <v>5350</v>
      </c>
      <c r="U4664" s="1" t="str">
        <f>HYPERLINK("http://ictvonline.org/taxonomy/p/taxonomy-history?taxnode_id=202106706","ICTVonline=202106706")</f>
        <v>ICTVonline=202106706</v>
      </c>
    </row>
    <row r="4665" spans="1:21" x14ac:dyDescent="0.2">
      <c r="A4665" s="3">
        <v>4664</v>
      </c>
      <c r="B4665" s="1" t="s">
        <v>5250</v>
      </c>
      <c r="D4665" s="1" t="s">
        <v>5280</v>
      </c>
      <c r="F4665" s="1" t="s">
        <v>5347</v>
      </c>
      <c r="H4665" s="1" t="s">
        <v>5368</v>
      </c>
      <c r="J4665" s="1" t="s">
        <v>5369</v>
      </c>
      <c r="L4665" s="1" t="s">
        <v>1955</v>
      </c>
      <c r="N4665" s="1" t="s">
        <v>1956</v>
      </c>
      <c r="P4665" s="1" t="s">
        <v>3837</v>
      </c>
      <c r="Q4665" s="30" t="s">
        <v>2568</v>
      </c>
      <c r="R4665" s="33" t="s">
        <v>3474</v>
      </c>
      <c r="S4665">
        <v>35</v>
      </c>
      <c r="T4665" s="1" t="s">
        <v>5350</v>
      </c>
      <c r="U4665" s="1" t="str">
        <f>HYPERLINK("http://ictvonline.org/taxonomy/p/taxonomy-history?taxnode_id=202105821","ICTVonline=202105821")</f>
        <v>ICTVonline=202105821</v>
      </c>
    </row>
    <row r="4666" spans="1:21" x14ac:dyDescent="0.2">
      <c r="A4666" s="3">
        <v>4665</v>
      </c>
      <c r="B4666" s="1" t="s">
        <v>5250</v>
      </c>
      <c r="D4666" s="1" t="s">
        <v>5280</v>
      </c>
      <c r="F4666" s="1" t="s">
        <v>5347</v>
      </c>
      <c r="H4666" s="1" t="s">
        <v>5368</v>
      </c>
      <c r="J4666" s="1" t="s">
        <v>5369</v>
      </c>
      <c r="L4666" s="1" t="s">
        <v>1955</v>
      </c>
      <c r="N4666" s="1" t="s">
        <v>1956</v>
      </c>
      <c r="P4666" s="1" t="s">
        <v>2929</v>
      </c>
      <c r="Q4666" s="30" t="s">
        <v>2568</v>
      </c>
      <c r="R4666" s="33" t="s">
        <v>3474</v>
      </c>
      <c r="S4666">
        <v>35</v>
      </c>
      <c r="T4666" s="1" t="s">
        <v>5350</v>
      </c>
      <c r="U4666" s="1" t="str">
        <f>HYPERLINK("http://ictvonline.org/taxonomy/p/taxonomy-history?taxnode_id=202103313","ICTVonline=202103313")</f>
        <v>ICTVonline=202103313</v>
      </c>
    </row>
    <row r="4667" spans="1:21" x14ac:dyDescent="0.2">
      <c r="A4667" s="3">
        <v>4666</v>
      </c>
      <c r="B4667" s="1" t="s">
        <v>5250</v>
      </c>
      <c r="D4667" s="1" t="s">
        <v>5280</v>
      </c>
      <c r="F4667" s="1" t="s">
        <v>5347</v>
      </c>
      <c r="H4667" s="1" t="s">
        <v>5368</v>
      </c>
      <c r="J4667" s="1" t="s">
        <v>5369</v>
      </c>
      <c r="L4667" s="1" t="s">
        <v>1955</v>
      </c>
      <c r="N4667" s="1" t="s">
        <v>1956</v>
      </c>
      <c r="P4667" s="1" t="s">
        <v>1367</v>
      </c>
      <c r="Q4667" s="30" t="s">
        <v>2568</v>
      </c>
      <c r="R4667" s="33" t="s">
        <v>3474</v>
      </c>
      <c r="S4667">
        <v>35</v>
      </c>
      <c r="T4667" s="1" t="s">
        <v>5350</v>
      </c>
      <c r="U4667" s="1" t="str">
        <f>HYPERLINK("http://ictvonline.org/taxonomy/p/taxonomy-history?taxnode_id=202103314","ICTVonline=202103314")</f>
        <v>ICTVonline=202103314</v>
      </c>
    </row>
    <row r="4668" spans="1:21" x14ac:dyDescent="0.2">
      <c r="A4668" s="3">
        <v>4667</v>
      </c>
      <c r="B4668" s="1" t="s">
        <v>5250</v>
      </c>
      <c r="D4668" s="1" t="s">
        <v>5280</v>
      </c>
      <c r="F4668" s="1" t="s">
        <v>5347</v>
      </c>
      <c r="H4668" s="1" t="s">
        <v>5368</v>
      </c>
      <c r="J4668" s="1" t="s">
        <v>5369</v>
      </c>
      <c r="L4668" s="1" t="s">
        <v>1955</v>
      </c>
      <c r="N4668" s="1" t="s">
        <v>1956</v>
      </c>
      <c r="P4668" s="1" t="s">
        <v>6416</v>
      </c>
      <c r="Q4668" s="30" t="s">
        <v>2969</v>
      </c>
      <c r="R4668" s="33" t="s">
        <v>3472</v>
      </c>
      <c r="S4668">
        <v>36</v>
      </c>
      <c r="T4668" s="1" t="s">
        <v>6403</v>
      </c>
      <c r="U4668" s="1" t="str">
        <f>HYPERLINK("http://ictvonline.org/taxonomy/p/taxonomy-history?taxnode_id=202109130","ICTVonline=202109130")</f>
        <v>ICTVonline=202109130</v>
      </c>
    </row>
    <row r="4669" spans="1:21" x14ac:dyDescent="0.2">
      <c r="A4669" s="3">
        <v>4668</v>
      </c>
      <c r="B4669" s="1" t="s">
        <v>5250</v>
      </c>
      <c r="D4669" s="1" t="s">
        <v>5280</v>
      </c>
      <c r="F4669" s="1" t="s">
        <v>5347</v>
      </c>
      <c r="H4669" s="1" t="s">
        <v>5368</v>
      </c>
      <c r="J4669" s="1" t="s">
        <v>5369</v>
      </c>
      <c r="L4669" s="1" t="s">
        <v>1955</v>
      </c>
      <c r="N4669" s="1" t="s">
        <v>1956</v>
      </c>
      <c r="P4669" s="1" t="s">
        <v>1368</v>
      </c>
      <c r="Q4669" s="30" t="s">
        <v>2568</v>
      </c>
      <c r="R4669" s="33" t="s">
        <v>3474</v>
      </c>
      <c r="S4669">
        <v>35</v>
      </c>
      <c r="T4669" s="1" t="s">
        <v>5350</v>
      </c>
      <c r="U4669" s="1" t="str">
        <f>HYPERLINK("http://ictvonline.org/taxonomy/p/taxonomy-history?taxnode_id=202103315","ICTVonline=202103315")</f>
        <v>ICTVonline=202103315</v>
      </c>
    </row>
    <row r="4670" spans="1:21" x14ac:dyDescent="0.2">
      <c r="A4670" s="3">
        <v>4669</v>
      </c>
      <c r="B4670" s="1" t="s">
        <v>5250</v>
      </c>
      <c r="D4670" s="1" t="s">
        <v>5280</v>
      </c>
      <c r="F4670" s="1" t="s">
        <v>5347</v>
      </c>
      <c r="H4670" s="1" t="s">
        <v>5368</v>
      </c>
      <c r="J4670" s="1" t="s">
        <v>5369</v>
      </c>
      <c r="L4670" s="1" t="s">
        <v>1955</v>
      </c>
      <c r="N4670" s="1" t="s">
        <v>1956</v>
      </c>
      <c r="P4670" s="1" t="s">
        <v>1369</v>
      </c>
      <c r="Q4670" s="30" t="s">
        <v>2568</v>
      </c>
      <c r="R4670" s="33" t="s">
        <v>3474</v>
      </c>
      <c r="S4670">
        <v>35</v>
      </c>
      <c r="T4670" s="1" t="s">
        <v>5350</v>
      </c>
      <c r="U4670" s="1" t="str">
        <f>HYPERLINK("http://ictvonline.org/taxonomy/p/taxonomy-history?taxnode_id=202103316","ICTVonline=202103316")</f>
        <v>ICTVonline=202103316</v>
      </c>
    </row>
    <row r="4671" spans="1:21" x14ac:dyDescent="0.2">
      <c r="A4671" s="3">
        <v>4670</v>
      </c>
      <c r="B4671" s="1" t="s">
        <v>5250</v>
      </c>
      <c r="D4671" s="1" t="s">
        <v>5280</v>
      </c>
      <c r="F4671" s="1" t="s">
        <v>5347</v>
      </c>
      <c r="H4671" s="1" t="s">
        <v>5368</v>
      </c>
      <c r="J4671" s="1" t="s">
        <v>5369</v>
      </c>
      <c r="L4671" s="1" t="s">
        <v>1955</v>
      </c>
      <c r="N4671" s="1" t="s">
        <v>1956</v>
      </c>
      <c r="P4671" s="1" t="s">
        <v>2930</v>
      </c>
      <c r="Q4671" s="30" t="s">
        <v>2568</v>
      </c>
      <c r="R4671" s="33" t="s">
        <v>3474</v>
      </c>
      <c r="S4671">
        <v>35</v>
      </c>
      <c r="T4671" s="1" t="s">
        <v>5350</v>
      </c>
      <c r="U4671" s="1" t="str">
        <f>HYPERLINK("http://ictvonline.org/taxonomy/p/taxonomy-history?taxnode_id=202103317","ICTVonline=202103317")</f>
        <v>ICTVonline=202103317</v>
      </c>
    </row>
    <row r="4672" spans="1:21" x14ac:dyDescent="0.2">
      <c r="A4672" s="3">
        <v>4671</v>
      </c>
      <c r="B4672" s="1" t="s">
        <v>5250</v>
      </c>
      <c r="D4672" s="1" t="s">
        <v>5280</v>
      </c>
      <c r="F4672" s="1" t="s">
        <v>5347</v>
      </c>
      <c r="H4672" s="1" t="s">
        <v>5368</v>
      </c>
      <c r="J4672" s="1" t="s">
        <v>5369</v>
      </c>
      <c r="L4672" s="1" t="s">
        <v>1955</v>
      </c>
      <c r="N4672" s="1" t="s">
        <v>1956</v>
      </c>
      <c r="P4672" s="1" t="s">
        <v>2931</v>
      </c>
      <c r="Q4672" s="30" t="s">
        <v>2568</v>
      </c>
      <c r="R4672" s="33" t="s">
        <v>3474</v>
      </c>
      <c r="S4672">
        <v>35</v>
      </c>
      <c r="T4672" s="1" t="s">
        <v>5350</v>
      </c>
      <c r="U4672" s="1" t="str">
        <f>HYPERLINK("http://ictvonline.org/taxonomy/p/taxonomy-history?taxnode_id=202103318","ICTVonline=202103318")</f>
        <v>ICTVonline=202103318</v>
      </c>
    </row>
    <row r="4673" spans="1:21" x14ac:dyDescent="0.2">
      <c r="A4673" s="3">
        <v>4672</v>
      </c>
      <c r="B4673" s="1" t="s">
        <v>5250</v>
      </c>
      <c r="D4673" s="1" t="s">
        <v>5280</v>
      </c>
      <c r="F4673" s="1" t="s">
        <v>5347</v>
      </c>
      <c r="H4673" s="1" t="s">
        <v>5368</v>
      </c>
      <c r="J4673" s="1" t="s">
        <v>5369</v>
      </c>
      <c r="L4673" s="1" t="s">
        <v>1955</v>
      </c>
      <c r="N4673" s="1" t="s">
        <v>1956</v>
      </c>
      <c r="P4673" s="1" t="s">
        <v>4838</v>
      </c>
      <c r="Q4673" s="30" t="s">
        <v>2568</v>
      </c>
      <c r="R4673" s="33" t="s">
        <v>3474</v>
      </c>
      <c r="S4673">
        <v>35</v>
      </c>
      <c r="T4673" s="1" t="s">
        <v>5350</v>
      </c>
      <c r="U4673" s="1" t="str">
        <f>HYPERLINK("http://ictvonline.org/taxonomy/p/taxonomy-history?taxnode_id=202106707","ICTVonline=202106707")</f>
        <v>ICTVonline=202106707</v>
      </c>
    </row>
    <row r="4674" spans="1:21" x14ac:dyDescent="0.2">
      <c r="A4674" s="3">
        <v>4673</v>
      </c>
      <c r="B4674" s="1" t="s">
        <v>5250</v>
      </c>
      <c r="D4674" s="1" t="s">
        <v>5280</v>
      </c>
      <c r="F4674" s="1" t="s">
        <v>5347</v>
      </c>
      <c r="H4674" s="1" t="s">
        <v>5368</v>
      </c>
      <c r="J4674" s="1" t="s">
        <v>5369</v>
      </c>
      <c r="L4674" s="1" t="s">
        <v>1955</v>
      </c>
      <c r="N4674" s="1" t="s">
        <v>1956</v>
      </c>
      <c r="P4674" s="1" t="s">
        <v>2932</v>
      </c>
      <c r="Q4674" s="30" t="s">
        <v>2568</v>
      </c>
      <c r="R4674" s="33" t="s">
        <v>3474</v>
      </c>
      <c r="S4674">
        <v>35</v>
      </c>
      <c r="T4674" s="1" t="s">
        <v>5350</v>
      </c>
      <c r="U4674" s="1" t="str">
        <f>HYPERLINK("http://ictvonline.org/taxonomy/p/taxonomy-history?taxnode_id=202103319","ICTVonline=202103319")</f>
        <v>ICTVonline=202103319</v>
      </c>
    </row>
    <row r="4675" spans="1:21" x14ac:dyDescent="0.2">
      <c r="A4675" s="3">
        <v>4674</v>
      </c>
      <c r="B4675" s="1" t="s">
        <v>5250</v>
      </c>
      <c r="D4675" s="1" t="s">
        <v>5280</v>
      </c>
      <c r="F4675" s="1" t="s">
        <v>5347</v>
      </c>
      <c r="H4675" s="1" t="s">
        <v>5368</v>
      </c>
      <c r="J4675" s="1" t="s">
        <v>5369</v>
      </c>
      <c r="L4675" s="1" t="s">
        <v>1955</v>
      </c>
      <c r="N4675" s="1" t="s">
        <v>1956</v>
      </c>
      <c r="P4675" s="1" t="s">
        <v>1370</v>
      </c>
      <c r="Q4675" s="30" t="s">
        <v>2568</v>
      </c>
      <c r="R4675" s="33" t="s">
        <v>3474</v>
      </c>
      <c r="S4675">
        <v>35</v>
      </c>
      <c r="T4675" s="1" t="s">
        <v>5350</v>
      </c>
      <c r="U4675" s="1" t="str">
        <f>HYPERLINK("http://ictvonline.org/taxonomy/p/taxonomy-history?taxnode_id=202103320","ICTVonline=202103320")</f>
        <v>ICTVonline=202103320</v>
      </c>
    </row>
    <row r="4676" spans="1:21" x14ac:dyDescent="0.2">
      <c r="A4676" s="3">
        <v>4675</v>
      </c>
      <c r="B4676" s="1" t="s">
        <v>5250</v>
      </c>
      <c r="D4676" s="1" t="s">
        <v>5280</v>
      </c>
      <c r="F4676" s="1" t="s">
        <v>5347</v>
      </c>
      <c r="H4676" s="1" t="s">
        <v>5368</v>
      </c>
      <c r="J4676" s="1" t="s">
        <v>5369</v>
      </c>
      <c r="L4676" s="1" t="s">
        <v>1955</v>
      </c>
      <c r="N4676" s="1" t="s">
        <v>1956</v>
      </c>
      <c r="P4676" s="1" t="s">
        <v>3838</v>
      </c>
      <c r="Q4676" s="30" t="s">
        <v>2568</v>
      </c>
      <c r="R4676" s="33" t="s">
        <v>3474</v>
      </c>
      <c r="S4676">
        <v>35</v>
      </c>
      <c r="T4676" s="1" t="s">
        <v>5350</v>
      </c>
      <c r="U4676" s="1" t="str">
        <f>HYPERLINK("http://ictvonline.org/taxonomy/p/taxonomy-history?taxnode_id=202105822","ICTVonline=202105822")</f>
        <v>ICTVonline=202105822</v>
      </c>
    </row>
    <row r="4677" spans="1:21" x14ac:dyDescent="0.2">
      <c r="A4677" s="3">
        <v>4676</v>
      </c>
      <c r="B4677" s="1" t="s">
        <v>5250</v>
      </c>
      <c r="D4677" s="1" t="s">
        <v>5280</v>
      </c>
      <c r="F4677" s="1" t="s">
        <v>5347</v>
      </c>
      <c r="H4677" s="1" t="s">
        <v>5368</v>
      </c>
      <c r="J4677" s="1" t="s">
        <v>5369</v>
      </c>
      <c r="L4677" s="1" t="s">
        <v>1955</v>
      </c>
      <c r="N4677" s="1" t="s">
        <v>1956</v>
      </c>
      <c r="P4677" s="1" t="s">
        <v>2261</v>
      </c>
      <c r="Q4677" s="30" t="s">
        <v>2568</v>
      </c>
      <c r="R4677" s="33" t="s">
        <v>3474</v>
      </c>
      <c r="S4677">
        <v>35</v>
      </c>
      <c r="T4677" s="1" t="s">
        <v>5350</v>
      </c>
      <c r="U4677" s="1" t="str">
        <f>HYPERLINK("http://ictvonline.org/taxonomy/p/taxonomy-history?taxnode_id=202103322","ICTVonline=202103322")</f>
        <v>ICTVonline=202103322</v>
      </c>
    </row>
    <row r="4678" spans="1:21" x14ac:dyDescent="0.2">
      <c r="A4678" s="3">
        <v>4677</v>
      </c>
      <c r="B4678" s="1" t="s">
        <v>5250</v>
      </c>
      <c r="D4678" s="1" t="s">
        <v>5280</v>
      </c>
      <c r="F4678" s="1" t="s">
        <v>5347</v>
      </c>
      <c r="H4678" s="1" t="s">
        <v>5368</v>
      </c>
      <c r="J4678" s="1" t="s">
        <v>5369</v>
      </c>
      <c r="L4678" s="1" t="s">
        <v>1955</v>
      </c>
      <c r="N4678" s="1" t="s">
        <v>1956</v>
      </c>
      <c r="P4678" s="1" t="s">
        <v>1713</v>
      </c>
      <c r="Q4678" s="30" t="s">
        <v>2568</v>
      </c>
      <c r="R4678" s="33" t="s">
        <v>3474</v>
      </c>
      <c r="S4678">
        <v>35</v>
      </c>
      <c r="T4678" s="1" t="s">
        <v>5350</v>
      </c>
      <c r="U4678" s="1" t="str">
        <f>HYPERLINK("http://ictvonline.org/taxonomy/p/taxonomy-history?taxnode_id=202103323","ICTVonline=202103323")</f>
        <v>ICTVonline=202103323</v>
      </c>
    </row>
    <row r="4679" spans="1:21" x14ac:dyDescent="0.2">
      <c r="A4679" s="3">
        <v>4678</v>
      </c>
      <c r="B4679" s="1" t="s">
        <v>5250</v>
      </c>
      <c r="D4679" s="1" t="s">
        <v>5280</v>
      </c>
      <c r="F4679" s="1" t="s">
        <v>5347</v>
      </c>
      <c r="H4679" s="1" t="s">
        <v>5368</v>
      </c>
      <c r="J4679" s="1" t="s">
        <v>5369</v>
      </c>
      <c r="L4679" s="1" t="s">
        <v>1955</v>
      </c>
      <c r="N4679" s="1" t="s">
        <v>1956</v>
      </c>
      <c r="P4679" s="1" t="s">
        <v>1714</v>
      </c>
      <c r="Q4679" s="30" t="s">
        <v>2568</v>
      </c>
      <c r="R4679" s="33" t="s">
        <v>3474</v>
      </c>
      <c r="S4679">
        <v>35</v>
      </c>
      <c r="T4679" s="1" t="s">
        <v>5350</v>
      </c>
      <c r="U4679" s="1" t="str">
        <f>HYPERLINK("http://ictvonline.org/taxonomy/p/taxonomy-history?taxnode_id=202103324","ICTVonline=202103324")</f>
        <v>ICTVonline=202103324</v>
      </c>
    </row>
    <row r="4680" spans="1:21" x14ac:dyDescent="0.2">
      <c r="A4680" s="3">
        <v>4679</v>
      </c>
      <c r="B4680" s="1" t="s">
        <v>5250</v>
      </c>
      <c r="D4680" s="1" t="s">
        <v>5280</v>
      </c>
      <c r="F4680" s="1" t="s">
        <v>5347</v>
      </c>
      <c r="H4680" s="1" t="s">
        <v>5368</v>
      </c>
      <c r="J4680" s="1" t="s">
        <v>5369</v>
      </c>
      <c r="L4680" s="1" t="s">
        <v>1955</v>
      </c>
      <c r="N4680" s="1" t="s">
        <v>1956</v>
      </c>
      <c r="P4680" s="1" t="s">
        <v>2262</v>
      </c>
      <c r="Q4680" s="30" t="s">
        <v>2568</v>
      </c>
      <c r="R4680" s="33" t="s">
        <v>3474</v>
      </c>
      <c r="S4680">
        <v>35</v>
      </c>
      <c r="T4680" s="1" t="s">
        <v>5350</v>
      </c>
      <c r="U4680" s="1" t="str">
        <f>HYPERLINK("http://ictvonline.org/taxonomy/p/taxonomy-history?taxnode_id=202103326","ICTVonline=202103326")</f>
        <v>ICTVonline=202103326</v>
      </c>
    </row>
    <row r="4681" spans="1:21" x14ac:dyDescent="0.2">
      <c r="A4681" s="3">
        <v>4680</v>
      </c>
      <c r="B4681" s="1" t="s">
        <v>5250</v>
      </c>
      <c r="D4681" s="1" t="s">
        <v>5280</v>
      </c>
      <c r="F4681" s="1" t="s">
        <v>5347</v>
      </c>
      <c r="H4681" s="1" t="s">
        <v>5368</v>
      </c>
      <c r="J4681" s="1" t="s">
        <v>5369</v>
      </c>
      <c r="L4681" s="1" t="s">
        <v>1955</v>
      </c>
      <c r="N4681" s="1" t="s">
        <v>1956</v>
      </c>
      <c r="P4681" s="1" t="s">
        <v>2263</v>
      </c>
      <c r="Q4681" s="30" t="s">
        <v>2568</v>
      </c>
      <c r="R4681" s="33" t="s">
        <v>3474</v>
      </c>
      <c r="S4681">
        <v>35</v>
      </c>
      <c r="T4681" s="1" t="s">
        <v>5350</v>
      </c>
      <c r="U4681" s="1" t="str">
        <f>HYPERLINK("http://ictvonline.org/taxonomy/p/taxonomy-history?taxnode_id=202103327","ICTVonline=202103327")</f>
        <v>ICTVonline=202103327</v>
      </c>
    </row>
    <row r="4682" spans="1:21" x14ac:dyDescent="0.2">
      <c r="A4682" s="3">
        <v>4681</v>
      </c>
      <c r="B4682" s="1" t="s">
        <v>5250</v>
      </c>
      <c r="D4682" s="1" t="s">
        <v>5280</v>
      </c>
      <c r="F4682" s="1" t="s">
        <v>5347</v>
      </c>
      <c r="H4682" s="1" t="s">
        <v>5368</v>
      </c>
      <c r="J4682" s="1" t="s">
        <v>5369</v>
      </c>
      <c r="L4682" s="1" t="s">
        <v>1955</v>
      </c>
      <c r="N4682" s="1" t="s">
        <v>1956</v>
      </c>
      <c r="P4682" s="1" t="s">
        <v>2933</v>
      </c>
      <c r="Q4682" s="30" t="s">
        <v>2568</v>
      </c>
      <c r="R4682" s="33" t="s">
        <v>3474</v>
      </c>
      <c r="S4682">
        <v>35</v>
      </c>
      <c r="T4682" s="1" t="s">
        <v>5350</v>
      </c>
      <c r="U4682" s="1" t="str">
        <f>HYPERLINK("http://ictvonline.org/taxonomy/p/taxonomy-history?taxnode_id=202103328","ICTVonline=202103328")</f>
        <v>ICTVonline=202103328</v>
      </c>
    </row>
    <row r="4683" spans="1:21" x14ac:dyDescent="0.2">
      <c r="A4683" s="3">
        <v>4682</v>
      </c>
      <c r="B4683" s="1" t="s">
        <v>5250</v>
      </c>
      <c r="D4683" s="1" t="s">
        <v>5280</v>
      </c>
      <c r="F4683" s="1" t="s">
        <v>5347</v>
      </c>
      <c r="H4683" s="1" t="s">
        <v>5368</v>
      </c>
      <c r="J4683" s="1" t="s">
        <v>5369</v>
      </c>
      <c r="L4683" s="1" t="s">
        <v>1955</v>
      </c>
      <c r="N4683" s="1" t="s">
        <v>1956</v>
      </c>
      <c r="P4683" s="1" t="s">
        <v>2264</v>
      </c>
      <c r="Q4683" s="30" t="s">
        <v>2568</v>
      </c>
      <c r="R4683" s="33" t="s">
        <v>3474</v>
      </c>
      <c r="S4683">
        <v>35</v>
      </c>
      <c r="T4683" s="1" t="s">
        <v>5350</v>
      </c>
      <c r="U4683" s="1" t="str">
        <f>HYPERLINK("http://ictvonline.org/taxonomy/p/taxonomy-history?taxnode_id=202103329","ICTVonline=202103329")</f>
        <v>ICTVonline=202103329</v>
      </c>
    </row>
    <row r="4684" spans="1:21" x14ac:dyDescent="0.2">
      <c r="A4684" s="3">
        <v>4683</v>
      </c>
      <c r="B4684" s="1" t="s">
        <v>5250</v>
      </c>
      <c r="D4684" s="1" t="s">
        <v>5280</v>
      </c>
      <c r="F4684" s="1" t="s">
        <v>5347</v>
      </c>
      <c r="H4684" s="1" t="s">
        <v>5368</v>
      </c>
      <c r="J4684" s="1" t="s">
        <v>5369</v>
      </c>
      <c r="L4684" s="1" t="s">
        <v>1955</v>
      </c>
      <c r="N4684" s="1" t="s">
        <v>1956</v>
      </c>
      <c r="P4684" s="1" t="s">
        <v>2265</v>
      </c>
      <c r="Q4684" s="30" t="s">
        <v>2568</v>
      </c>
      <c r="R4684" s="33" t="s">
        <v>3474</v>
      </c>
      <c r="S4684">
        <v>35</v>
      </c>
      <c r="T4684" s="1" t="s">
        <v>5350</v>
      </c>
      <c r="U4684" s="1" t="str">
        <f>HYPERLINK("http://ictvonline.org/taxonomy/p/taxonomy-history?taxnode_id=202103330","ICTVonline=202103330")</f>
        <v>ICTVonline=202103330</v>
      </c>
    </row>
    <row r="4685" spans="1:21" x14ac:dyDescent="0.2">
      <c r="A4685" s="3">
        <v>4684</v>
      </c>
      <c r="B4685" s="1" t="s">
        <v>5250</v>
      </c>
      <c r="D4685" s="1" t="s">
        <v>5280</v>
      </c>
      <c r="F4685" s="1" t="s">
        <v>5347</v>
      </c>
      <c r="H4685" s="1" t="s">
        <v>5368</v>
      </c>
      <c r="J4685" s="1" t="s">
        <v>5369</v>
      </c>
      <c r="L4685" s="1" t="s">
        <v>1955</v>
      </c>
      <c r="N4685" s="1" t="s">
        <v>1956</v>
      </c>
      <c r="P4685" s="1" t="s">
        <v>2934</v>
      </c>
      <c r="Q4685" s="30" t="s">
        <v>2568</v>
      </c>
      <c r="R4685" s="33" t="s">
        <v>3474</v>
      </c>
      <c r="S4685">
        <v>35</v>
      </c>
      <c r="T4685" s="1" t="s">
        <v>5350</v>
      </c>
      <c r="U4685" s="1" t="str">
        <f>HYPERLINK("http://ictvonline.org/taxonomy/p/taxonomy-history?taxnode_id=202103331","ICTVonline=202103331")</f>
        <v>ICTVonline=202103331</v>
      </c>
    </row>
    <row r="4686" spans="1:21" x14ac:dyDescent="0.2">
      <c r="A4686" s="3">
        <v>4685</v>
      </c>
      <c r="B4686" s="1" t="s">
        <v>5250</v>
      </c>
      <c r="D4686" s="1" t="s">
        <v>5280</v>
      </c>
      <c r="F4686" s="1" t="s">
        <v>5347</v>
      </c>
      <c r="H4686" s="1" t="s">
        <v>5368</v>
      </c>
      <c r="J4686" s="1" t="s">
        <v>5369</v>
      </c>
      <c r="L4686" s="1" t="s">
        <v>1955</v>
      </c>
      <c r="N4686" s="1" t="s">
        <v>1956</v>
      </c>
      <c r="P4686" s="1" t="s">
        <v>773</v>
      </c>
      <c r="Q4686" s="30" t="s">
        <v>2568</v>
      </c>
      <c r="R4686" s="33" t="s">
        <v>3474</v>
      </c>
      <c r="S4686">
        <v>35</v>
      </c>
      <c r="T4686" s="1" t="s">
        <v>5350</v>
      </c>
      <c r="U4686" s="1" t="str">
        <f>HYPERLINK("http://ictvonline.org/taxonomy/p/taxonomy-history?taxnode_id=202103332","ICTVonline=202103332")</f>
        <v>ICTVonline=202103332</v>
      </c>
    </row>
    <row r="4687" spans="1:21" x14ac:dyDescent="0.2">
      <c r="A4687" s="3">
        <v>4686</v>
      </c>
      <c r="B4687" s="1" t="s">
        <v>5250</v>
      </c>
      <c r="D4687" s="1" t="s">
        <v>5280</v>
      </c>
      <c r="F4687" s="1" t="s">
        <v>5347</v>
      </c>
      <c r="H4687" s="1" t="s">
        <v>5368</v>
      </c>
      <c r="J4687" s="1" t="s">
        <v>5369</v>
      </c>
      <c r="L4687" s="1" t="s">
        <v>1955</v>
      </c>
      <c r="N4687" s="1" t="s">
        <v>1956</v>
      </c>
      <c r="P4687" s="1" t="s">
        <v>3839</v>
      </c>
      <c r="Q4687" s="30" t="s">
        <v>2568</v>
      </c>
      <c r="R4687" s="33" t="s">
        <v>3474</v>
      </c>
      <c r="S4687">
        <v>35</v>
      </c>
      <c r="T4687" s="1" t="s">
        <v>5350</v>
      </c>
      <c r="U4687" s="1" t="str">
        <f>HYPERLINK("http://ictvonline.org/taxonomy/p/taxonomy-history?taxnode_id=202105823","ICTVonline=202105823")</f>
        <v>ICTVonline=202105823</v>
      </c>
    </row>
    <row r="4688" spans="1:21" x14ac:dyDescent="0.2">
      <c r="A4688" s="3">
        <v>4687</v>
      </c>
      <c r="B4688" s="1" t="s">
        <v>5250</v>
      </c>
      <c r="D4688" s="1" t="s">
        <v>5280</v>
      </c>
      <c r="F4688" s="1" t="s">
        <v>5347</v>
      </c>
      <c r="H4688" s="1" t="s">
        <v>5368</v>
      </c>
      <c r="J4688" s="1" t="s">
        <v>5369</v>
      </c>
      <c r="L4688" s="1" t="s">
        <v>1955</v>
      </c>
      <c r="N4688" s="1" t="s">
        <v>1956</v>
      </c>
      <c r="P4688" s="1" t="s">
        <v>3840</v>
      </c>
      <c r="Q4688" s="30" t="s">
        <v>2568</v>
      </c>
      <c r="R4688" s="33" t="s">
        <v>3474</v>
      </c>
      <c r="S4688">
        <v>35</v>
      </c>
      <c r="T4688" s="1" t="s">
        <v>5350</v>
      </c>
      <c r="U4688" s="1" t="str">
        <f>HYPERLINK("http://ictvonline.org/taxonomy/p/taxonomy-history?taxnode_id=202105824","ICTVonline=202105824")</f>
        <v>ICTVonline=202105824</v>
      </c>
    </row>
    <row r="4689" spans="1:21" x14ac:dyDescent="0.2">
      <c r="A4689" s="3">
        <v>4688</v>
      </c>
      <c r="B4689" s="1" t="s">
        <v>5250</v>
      </c>
      <c r="D4689" s="1" t="s">
        <v>5280</v>
      </c>
      <c r="F4689" s="1" t="s">
        <v>5347</v>
      </c>
      <c r="H4689" s="1" t="s">
        <v>5368</v>
      </c>
      <c r="J4689" s="1" t="s">
        <v>5369</v>
      </c>
      <c r="L4689" s="1" t="s">
        <v>1955</v>
      </c>
      <c r="N4689" s="1" t="s">
        <v>1956</v>
      </c>
      <c r="P4689" s="1" t="s">
        <v>3841</v>
      </c>
      <c r="Q4689" s="30" t="s">
        <v>2568</v>
      </c>
      <c r="R4689" s="33" t="s">
        <v>3474</v>
      </c>
      <c r="S4689">
        <v>35</v>
      </c>
      <c r="T4689" s="1" t="s">
        <v>5350</v>
      </c>
      <c r="U4689" s="1" t="str">
        <f>HYPERLINK("http://ictvonline.org/taxonomy/p/taxonomy-history?taxnode_id=202105825","ICTVonline=202105825")</f>
        <v>ICTVonline=202105825</v>
      </c>
    </row>
    <row r="4690" spans="1:21" x14ac:dyDescent="0.2">
      <c r="A4690" s="3">
        <v>4689</v>
      </c>
      <c r="B4690" s="1" t="s">
        <v>5250</v>
      </c>
      <c r="D4690" s="1" t="s">
        <v>5280</v>
      </c>
      <c r="F4690" s="1" t="s">
        <v>5347</v>
      </c>
      <c r="H4690" s="1" t="s">
        <v>5368</v>
      </c>
      <c r="J4690" s="1" t="s">
        <v>5369</v>
      </c>
      <c r="L4690" s="1" t="s">
        <v>1955</v>
      </c>
      <c r="N4690" s="1" t="s">
        <v>1956</v>
      </c>
      <c r="P4690" s="1" t="s">
        <v>6417</v>
      </c>
      <c r="Q4690" s="30" t="s">
        <v>2969</v>
      </c>
      <c r="R4690" s="33" t="s">
        <v>3472</v>
      </c>
      <c r="S4690">
        <v>36</v>
      </c>
      <c r="T4690" s="1" t="s">
        <v>6403</v>
      </c>
      <c r="U4690" s="1" t="str">
        <f>HYPERLINK("http://ictvonline.org/taxonomy/p/taxonomy-history?taxnode_id=202109131","ICTVonline=202109131")</f>
        <v>ICTVonline=202109131</v>
      </c>
    </row>
    <row r="4691" spans="1:21" x14ac:dyDescent="0.2">
      <c r="A4691" s="3">
        <v>4690</v>
      </c>
      <c r="B4691" s="1" t="s">
        <v>5250</v>
      </c>
      <c r="D4691" s="1" t="s">
        <v>5280</v>
      </c>
      <c r="F4691" s="1" t="s">
        <v>5347</v>
      </c>
      <c r="H4691" s="1" t="s">
        <v>5368</v>
      </c>
      <c r="J4691" s="1" t="s">
        <v>5369</v>
      </c>
      <c r="L4691" s="1" t="s">
        <v>1955</v>
      </c>
      <c r="N4691" s="1" t="s">
        <v>1956</v>
      </c>
      <c r="P4691" s="1" t="s">
        <v>3842</v>
      </c>
      <c r="Q4691" s="30" t="s">
        <v>2568</v>
      </c>
      <c r="R4691" s="33" t="s">
        <v>3474</v>
      </c>
      <c r="S4691">
        <v>35</v>
      </c>
      <c r="T4691" s="1" t="s">
        <v>5350</v>
      </c>
      <c r="U4691" s="1" t="str">
        <f>HYPERLINK("http://ictvonline.org/taxonomy/p/taxonomy-history?taxnode_id=202105826","ICTVonline=202105826")</f>
        <v>ICTVonline=202105826</v>
      </c>
    </row>
    <row r="4692" spans="1:21" x14ac:dyDescent="0.2">
      <c r="A4692" s="3">
        <v>4691</v>
      </c>
      <c r="B4692" s="1" t="s">
        <v>5250</v>
      </c>
      <c r="D4692" s="1" t="s">
        <v>5280</v>
      </c>
      <c r="F4692" s="1" t="s">
        <v>5347</v>
      </c>
      <c r="H4692" s="1" t="s">
        <v>5368</v>
      </c>
      <c r="J4692" s="1" t="s">
        <v>5369</v>
      </c>
      <c r="L4692" s="1" t="s">
        <v>1955</v>
      </c>
      <c r="N4692" s="1" t="s">
        <v>1956</v>
      </c>
      <c r="P4692" s="1" t="s">
        <v>3843</v>
      </c>
      <c r="Q4692" s="30" t="s">
        <v>2568</v>
      </c>
      <c r="R4692" s="33" t="s">
        <v>3474</v>
      </c>
      <c r="S4692">
        <v>35</v>
      </c>
      <c r="T4692" s="1" t="s">
        <v>5350</v>
      </c>
      <c r="U4692" s="1" t="str">
        <f>HYPERLINK("http://ictvonline.org/taxonomy/p/taxonomy-history?taxnode_id=202105827","ICTVonline=202105827")</f>
        <v>ICTVonline=202105827</v>
      </c>
    </row>
    <row r="4693" spans="1:21" x14ac:dyDescent="0.2">
      <c r="A4693" s="3">
        <v>4692</v>
      </c>
      <c r="B4693" s="1" t="s">
        <v>5250</v>
      </c>
      <c r="D4693" s="1" t="s">
        <v>5280</v>
      </c>
      <c r="F4693" s="1" t="s">
        <v>5347</v>
      </c>
      <c r="H4693" s="1" t="s">
        <v>5368</v>
      </c>
      <c r="J4693" s="1" t="s">
        <v>5369</v>
      </c>
      <c r="L4693" s="1" t="s">
        <v>1955</v>
      </c>
      <c r="N4693" s="1" t="s">
        <v>1956</v>
      </c>
      <c r="P4693" s="1" t="s">
        <v>2935</v>
      </c>
      <c r="Q4693" s="30" t="s">
        <v>2568</v>
      </c>
      <c r="R4693" s="33" t="s">
        <v>3474</v>
      </c>
      <c r="S4693">
        <v>35</v>
      </c>
      <c r="T4693" s="1" t="s">
        <v>5350</v>
      </c>
      <c r="U4693" s="1" t="str">
        <f>HYPERLINK("http://ictvonline.org/taxonomy/p/taxonomy-history?taxnode_id=202103333","ICTVonline=202103333")</f>
        <v>ICTVonline=202103333</v>
      </c>
    </row>
    <row r="4694" spans="1:21" x14ac:dyDescent="0.2">
      <c r="A4694" s="3">
        <v>4693</v>
      </c>
      <c r="B4694" s="1" t="s">
        <v>5250</v>
      </c>
      <c r="D4694" s="1" t="s">
        <v>5280</v>
      </c>
      <c r="F4694" s="1" t="s">
        <v>5347</v>
      </c>
      <c r="H4694" s="1" t="s">
        <v>5368</v>
      </c>
      <c r="J4694" s="1" t="s">
        <v>5369</v>
      </c>
      <c r="L4694" s="1" t="s">
        <v>1955</v>
      </c>
      <c r="N4694" s="1" t="s">
        <v>1956</v>
      </c>
      <c r="P4694" s="1" t="s">
        <v>2936</v>
      </c>
      <c r="Q4694" s="30" t="s">
        <v>2568</v>
      </c>
      <c r="R4694" s="33" t="s">
        <v>3474</v>
      </c>
      <c r="S4694">
        <v>35</v>
      </c>
      <c r="T4694" s="1" t="s">
        <v>5350</v>
      </c>
      <c r="U4694" s="1" t="str">
        <f>HYPERLINK("http://ictvonline.org/taxonomy/p/taxonomy-history?taxnode_id=202103334","ICTVonline=202103334")</f>
        <v>ICTVonline=202103334</v>
      </c>
    </row>
    <row r="4695" spans="1:21" x14ac:dyDescent="0.2">
      <c r="A4695" s="3">
        <v>4694</v>
      </c>
      <c r="B4695" s="1" t="s">
        <v>5250</v>
      </c>
      <c r="D4695" s="1" t="s">
        <v>5280</v>
      </c>
      <c r="F4695" s="1" t="s">
        <v>5347</v>
      </c>
      <c r="H4695" s="1" t="s">
        <v>5368</v>
      </c>
      <c r="J4695" s="1" t="s">
        <v>5369</v>
      </c>
      <c r="L4695" s="1" t="s">
        <v>1955</v>
      </c>
      <c r="N4695" s="1" t="s">
        <v>1956</v>
      </c>
      <c r="P4695" s="1" t="s">
        <v>2266</v>
      </c>
      <c r="Q4695" s="30" t="s">
        <v>2568</v>
      </c>
      <c r="R4695" s="33" t="s">
        <v>3474</v>
      </c>
      <c r="S4695">
        <v>35</v>
      </c>
      <c r="T4695" s="1" t="s">
        <v>5350</v>
      </c>
      <c r="U4695" s="1" t="str">
        <f>HYPERLINK("http://ictvonline.org/taxonomy/p/taxonomy-history?taxnode_id=202103335","ICTVonline=202103335")</f>
        <v>ICTVonline=202103335</v>
      </c>
    </row>
    <row r="4696" spans="1:21" x14ac:dyDescent="0.2">
      <c r="A4696" s="3">
        <v>4695</v>
      </c>
      <c r="B4696" s="1" t="s">
        <v>5250</v>
      </c>
      <c r="D4696" s="1" t="s">
        <v>5280</v>
      </c>
      <c r="F4696" s="1" t="s">
        <v>5347</v>
      </c>
      <c r="H4696" s="1" t="s">
        <v>5368</v>
      </c>
      <c r="J4696" s="1" t="s">
        <v>5369</v>
      </c>
      <c r="L4696" s="1" t="s">
        <v>1955</v>
      </c>
      <c r="N4696" s="1" t="s">
        <v>1956</v>
      </c>
      <c r="P4696" s="1" t="s">
        <v>2937</v>
      </c>
      <c r="Q4696" s="30" t="s">
        <v>2568</v>
      </c>
      <c r="R4696" s="33" t="s">
        <v>3474</v>
      </c>
      <c r="S4696">
        <v>35</v>
      </c>
      <c r="T4696" s="1" t="s">
        <v>5350</v>
      </c>
      <c r="U4696" s="1" t="str">
        <f>HYPERLINK("http://ictvonline.org/taxonomy/p/taxonomy-history?taxnode_id=202103336","ICTVonline=202103336")</f>
        <v>ICTVonline=202103336</v>
      </c>
    </row>
    <row r="4697" spans="1:21" x14ac:dyDescent="0.2">
      <c r="A4697" s="3">
        <v>4696</v>
      </c>
      <c r="B4697" s="1" t="s">
        <v>5250</v>
      </c>
      <c r="D4697" s="1" t="s">
        <v>5280</v>
      </c>
      <c r="F4697" s="1" t="s">
        <v>5347</v>
      </c>
      <c r="H4697" s="1" t="s">
        <v>5368</v>
      </c>
      <c r="J4697" s="1" t="s">
        <v>5369</v>
      </c>
      <c r="L4697" s="1" t="s">
        <v>1955</v>
      </c>
      <c r="N4697" s="1" t="s">
        <v>1956</v>
      </c>
      <c r="P4697" s="1" t="s">
        <v>2267</v>
      </c>
      <c r="Q4697" s="30" t="s">
        <v>2568</v>
      </c>
      <c r="R4697" s="33" t="s">
        <v>3474</v>
      </c>
      <c r="S4697">
        <v>35</v>
      </c>
      <c r="T4697" s="1" t="s">
        <v>5350</v>
      </c>
      <c r="U4697" s="1" t="str">
        <f>HYPERLINK("http://ictvonline.org/taxonomy/p/taxonomy-history?taxnode_id=202103337","ICTVonline=202103337")</f>
        <v>ICTVonline=202103337</v>
      </c>
    </row>
    <row r="4698" spans="1:21" x14ac:dyDescent="0.2">
      <c r="A4698" s="3">
        <v>4697</v>
      </c>
      <c r="B4698" s="1" t="s">
        <v>5250</v>
      </c>
      <c r="D4698" s="1" t="s">
        <v>5280</v>
      </c>
      <c r="F4698" s="1" t="s">
        <v>5347</v>
      </c>
      <c r="H4698" s="1" t="s">
        <v>5368</v>
      </c>
      <c r="J4698" s="1" t="s">
        <v>5369</v>
      </c>
      <c r="L4698" s="1" t="s">
        <v>1955</v>
      </c>
      <c r="N4698" s="1" t="s">
        <v>1956</v>
      </c>
      <c r="P4698" s="1" t="s">
        <v>774</v>
      </c>
      <c r="Q4698" s="30" t="s">
        <v>2568</v>
      </c>
      <c r="R4698" s="33" t="s">
        <v>3474</v>
      </c>
      <c r="S4698">
        <v>35</v>
      </c>
      <c r="T4698" s="1" t="s">
        <v>5350</v>
      </c>
      <c r="U4698" s="1" t="str">
        <f>HYPERLINK("http://ictvonline.org/taxonomy/p/taxonomy-history?taxnode_id=202103338","ICTVonline=202103338")</f>
        <v>ICTVonline=202103338</v>
      </c>
    </row>
    <row r="4699" spans="1:21" x14ac:dyDescent="0.2">
      <c r="A4699" s="3">
        <v>4698</v>
      </c>
      <c r="B4699" s="1" t="s">
        <v>5250</v>
      </c>
      <c r="D4699" s="1" t="s">
        <v>5280</v>
      </c>
      <c r="F4699" s="1" t="s">
        <v>5347</v>
      </c>
      <c r="H4699" s="1" t="s">
        <v>5368</v>
      </c>
      <c r="J4699" s="1" t="s">
        <v>5369</v>
      </c>
      <c r="L4699" s="1" t="s">
        <v>1955</v>
      </c>
      <c r="N4699" s="1" t="s">
        <v>1956</v>
      </c>
      <c r="P4699" s="1" t="s">
        <v>775</v>
      </c>
      <c r="Q4699" s="30" t="s">
        <v>2568</v>
      </c>
      <c r="R4699" s="33" t="s">
        <v>3474</v>
      </c>
      <c r="S4699">
        <v>35</v>
      </c>
      <c r="T4699" s="1" t="s">
        <v>5350</v>
      </c>
      <c r="U4699" s="1" t="str">
        <f>HYPERLINK("http://ictvonline.org/taxonomy/p/taxonomy-history?taxnode_id=202103339","ICTVonline=202103339")</f>
        <v>ICTVonline=202103339</v>
      </c>
    </row>
    <row r="4700" spans="1:21" x14ac:dyDescent="0.2">
      <c r="A4700" s="3">
        <v>4699</v>
      </c>
      <c r="B4700" s="1" t="s">
        <v>5250</v>
      </c>
      <c r="D4700" s="1" t="s">
        <v>5280</v>
      </c>
      <c r="F4700" s="1" t="s">
        <v>5347</v>
      </c>
      <c r="H4700" s="1" t="s">
        <v>5368</v>
      </c>
      <c r="J4700" s="1" t="s">
        <v>5369</v>
      </c>
      <c r="L4700" s="1" t="s">
        <v>1955</v>
      </c>
      <c r="N4700" s="1" t="s">
        <v>1956</v>
      </c>
      <c r="P4700" s="1" t="s">
        <v>2938</v>
      </c>
      <c r="Q4700" s="30" t="s">
        <v>2568</v>
      </c>
      <c r="R4700" s="33" t="s">
        <v>3474</v>
      </c>
      <c r="S4700">
        <v>35</v>
      </c>
      <c r="T4700" s="1" t="s">
        <v>5350</v>
      </c>
      <c r="U4700" s="1" t="str">
        <f>HYPERLINK("http://ictvonline.org/taxonomy/p/taxonomy-history?taxnode_id=202103340","ICTVonline=202103340")</f>
        <v>ICTVonline=202103340</v>
      </c>
    </row>
    <row r="4701" spans="1:21" x14ac:dyDescent="0.2">
      <c r="A4701" s="3">
        <v>4700</v>
      </c>
      <c r="B4701" s="1" t="s">
        <v>5250</v>
      </c>
      <c r="D4701" s="1" t="s">
        <v>5280</v>
      </c>
      <c r="F4701" s="1" t="s">
        <v>5347</v>
      </c>
      <c r="H4701" s="1" t="s">
        <v>5368</v>
      </c>
      <c r="J4701" s="1" t="s">
        <v>5369</v>
      </c>
      <c r="L4701" s="1" t="s">
        <v>1955</v>
      </c>
      <c r="N4701" s="1" t="s">
        <v>1956</v>
      </c>
      <c r="P4701" s="1" t="s">
        <v>776</v>
      </c>
      <c r="Q4701" s="30" t="s">
        <v>2568</v>
      </c>
      <c r="R4701" s="33" t="s">
        <v>3474</v>
      </c>
      <c r="S4701">
        <v>35</v>
      </c>
      <c r="T4701" s="1" t="s">
        <v>5350</v>
      </c>
      <c r="U4701" s="1" t="str">
        <f>HYPERLINK("http://ictvonline.org/taxonomy/p/taxonomy-history?taxnode_id=202103341","ICTVonline=202103341")</f>
        <v>ICTVonline=202103341</v>
      </c>
    </row>
    <row r="4702" spans="1:21" x14ac:dyDescent="0.2">
      <c r="A4702" s="3">
        <v>4701</v>
      </c>
      <c r="B4702" s="1" t="s">
        <v>5250</v>
      </c>
      <c r="D4702" s="1" t="s">
        <v>5280</v>
      </c>
      <c r="F4702" s="1" t="s">
        <v>5347</v>
      </c>
      <c r="H4702" s="1" t="s">
        <v>5368</v>
      </c>
      <c r="J4702" s="1" t="s">
        <v>5369</v>
      </c>
      <c r="L4702" s="1" t="s">
        <v>1955</v>
      </c>
      <c r="N4702" s="1" t="s">
        <v>1956</v>
      </c>
      <c r="P4702" s="1" t="s">
        <v>2268</v>
      </c>
      <c r="Q4702" s="30" t="s">
        <v>2568</v>
      </c>
      <c r="R4702" s="33" t="s">
        <v>3474</v>
      </c>
      <c r="S4702">
        <v>35</v>
      </c>
      <c r="T4702" s="1" t="s">
        <v>5350</v>
      </c>
      <c r="U4702" s="1" t="str">
        <f>HYPERLINK("http://ictvonline.org/taxonomy/p/taxonomy-history?taxnode_id=202103342","ICTVonline=202103342")</f>
        <v>ICTVonline=202103342</v>
      </c>
    </row>
    <row r="4703" spans="1:21" x14ac:dyDescent="0.2">
      <c r="A4703" s="3">
        <v>4702</v>
      </c>
      <c r="B4703" s="1" t="s">
        <v>5250</v>
      </c>
      <c r="D4703" s="1" t="s">
        <v>5280</v>
      </c>
      <c r="F4703" s="1" t="s">
        <v>5347</v>
      </c>
      <c r="H4703" s="1" t="s">
        <v>5368</v>
      </c>
      <c r="J4703" s="1" t="s">
        <v>5369</v>
      </c>
      <c r="L4703" s="1" t="s">
        <v>1955</v>
      </c>
      <c r="N4703" s="1" t="s">
        <v>1956</v>
      </c>
      <c r="P4703" s="1" t="s">
        <v>3844</v>
      </c>
      <c r="Q4703" s="30" t="s">
        <v>2568</v>
      </c>
      <c r="R4703" s="33" t="s">
        <v>3474</v>
      </c>
      <c r="S4703">
        <v>35</v>
      </c>
      <c r="T4703" s="1" t="s">
        <v>5350</v>
      </c>
      <c r="U4703" s="1" t="str">
        <f>HYPERLINK("http://ictvonline.org/taxonomy/p/taxonomy-history?taxnode_id=202105828","ICTVonline=202105828")</f>
        <v>ICTVonline=202105828</v>
      </c>
    </row>
    <row r="4704" spans="1:21" x14ac:dyDescent="0.2">
      <c r="A4704" s="3">
        <v>4703</v>
      </c>
      <c r="B4704" s="1" t="s">
        <v>5250</v>
      </c>
      <c r="D4704" s="1" t="s">
        <v>5280</v>
      </c>
      <c r="F4704" s="1" t="s">
        <v>5347</v>
      </c>
      <c r="H4704" s="1" t="s">
        <v>5368</v>
      </c>
      <c r="J4704" s="1" t="s">
        <v>5369</v>
      </c>
      <c r="L4704" s="1" t="s">
        <v>1955</v>
      </c>
      <c r="N4704" s="1" t="s">
        <v>1956</v>
      </c>
      <c r="P4704" s="1" t="s">
        <v>777</v>
      </c>
      <c r="Q4704" s="30" t="s">
        <v>2568</v>
      </c>
      <c r="R4704" s="33" t="s">
        <v>3474</v>
      </c>
      <c r="S4704">
        <v>35</v>
      </c>
      <c r="T4704" s="1" t="s">
        <v>5350</v>
      </c>
      <c r="U4704" s="1" t="str">
        <f>HYPERLINK("http://ictvonline.org/taxonomy/p/taxonomy-history?taxnode_id=202103343","ICTVonline=202103343")</f>
        <v>ICTVonline=202103343</v>
      </c>
    </row>
    <row r="4705" spans="1:21" x14ac:dyDescent="0.2">
      <c r="A4705" s="3">
        <v>4704</v>
      </c>
      <c r="B4705" s="1" t="s">
        <v>5250</v>
      </c>
      <c r="D4705" s="1" t="s">
        <v>5280</v>
      </c>
      <c r="F4705" s="1" t="s">
        <v>5347</v>
      </c>
      <c r="H4705" s="1" t="s">
        <v>5368</v>
      </c>
      <c r="J4705" s="1" t="s">
        <v>5369</v>
      </c>
      <c r="L4705" s="1" t="s">
        <v>1955</v>
      </c>
      <c r="N4705" s="1" t="s">
        <v>1956</v>
      </c>
      <c r="P4705" s="1" t="s">
        <v>6418</v>
      </c>
      <c r="Q4705" s="30" t="s">
        <v>2969</v>
      </c>
      <c r="R4705" s="33" t="s">
        <v>3472</v>
      </c>
      <c r="S4705">
        <v>36</v>
      </c>
      <c r="T4705" s="1" t="s">
        <v>6403</v>
      </c>
      <c r="U4705" s="1" t="str">
        <f>HYPERLINK("http://ictvonline.org/taxonomy/p/taxonomy-history?taxnode_id=202109132","ICTVonline=202109132")</f>
        <v>ICTVonline=202109132</v>
      </c>
    </row>
    <row r="4706" spans="1:21" x14ac:dyDescent="0.2">
      <c r="A4706" s="3">
        <v>4705</v>
      </c>
      <c r="B4706" s="1" t="s">
        <v>5250</v>
      </c>
      <c r="D4706" s="1" t="s">
        <v>5280</v>
      </c>
      <c r="F4706" s="1" t="s">
        <v>5347</v>
      </c>
      <c r="H4706" s="1" t="s">
        <v>5368</v>
      </c>
      <c r="J4706" s="1" t="s">
        <v>5369</v>
      </c>
      <c r="L4706" s="1" t="s">
        <v>1955</v>
      </c>
      <c r="N4706" s="1" t="s">
        <v>1956</v>
      </c>
      <c r="P4706" s="1" t="s">
        <v>778</v>
      </c>
      <c r="Q4706" s="30" t="s">
        <v>2568</v>
      </c>
      <c r="R4706" s="33" t="s">
        <v>3474</v>
      </c>
      <c r="S4706">
        <v>35</v>
      </c>
      <c r="T4706" s="1" t="s">
        <v>5350</v>
      </c>
      <c r="U4706" s="1" t="str">
        <f>HYPERLINK("http://ictvonline.org/taxonomy/p/taxonomy-history?taxnode_id=202103344","ICTVonline=202103344")</f>
        <v>ICTVonline=202103344</v>
      </c>
    </row>
    <row r="4707" spans="1:21" x14ac:dyDescent="0.2">
      <c r="A4707" s="3">
        <v>4706</v>
      </c>
      <c r="B4707" s="1" t="s">
        <v>5250</v>
      </c>
      <c r="D4707" s="1" t="s">
        <v>5280</v>
      </c>
      <c r="F4707" s="1" t="s">
        <v>5347</v>
      </c>
      <c r="H4707" s="1" t="s">
        <v>5368</v>
      </c>
      <c r="J4707" s="1" t="s">
        <v>5369</v>
      </c>
      <c r="L4707" s="1" t="s">
        <v>1955</v>
      </c>
      <c r="N4707" s="1" t="s">
        <v>1956</v>
      </c>
      <c r="P4707" s="1" t="s">
        <v>779</v>
      </c>
      <c r="Q4707" s="30" t="s">
        <v>2568</v>
      </c>
      <c r="R4707" s="33" t="s">
        <v>3474</v>
      </c>
      <c r="S4707">
        <v>35</v>
      </c>
      <c r="T4707" s="1" t="s">
        <v>5350</v>
      </c>
      <c r="U4707" s="1" t="str">
        <f>HYPERLINK("http://ictvonline.org/taxonomy/p/taxonomy-history?taxnode_id=202103345","ICTVonline=202103345")</f>
        <v>ICTVonline=202103345</v>
      </c>
    </row>
    <row r="4708" spans="1:21" x14ac:dyDescent="0.2">
      <c r="A4708" s="3">
        <v>4707</v>
      </c>
      <c r="B4708" s="1" t="s">
        <v>5250</v>
      </c>
      <c r="D4708" s="1" t="s">
        <v>5280</v>
      </c>
      <c r="F4708" s="1" t="s">
        <v>5347</v>
      </c>
      <c r="H4708" s="1" t="s">
        <v>5368</v>
      </c>
      <c r="J4708" s="1" t="s">
        <v>5369</v>
      </c>
      <c r="L4708" s="1" t="s">
        <v>1955</v>
      </c>
      <c r="N4708" s="1" t="s">
        <v>1956</v>
      </c>
      <c r="P4708" s="1" t="s">
        <v>2269</v>
      </c>
      <c r="Q4708" s="30" t="s">
        <v>2568</v>
      </c>
      <c r="R4708" s="33" t="s">
        <v>3474</v>
      </c>
      <c r="S4708">
        <v>35</v>
      </c>
      <c r="T4708" s="1" t="s">
        <v>5350</v>
      </c>
      <c r="U4708" s="1" t="str">
        <f>HYPERLINK("http://ictvonline.org/taxonomy/p/taxonomy-history?taxnode_id=202103346","ICTVonline=202103346")</f>
        <v>ICTVonline=202103346</v>
      </c>
    </row>
    <row r="4709" spans="1:21" x14ac:dyDescent="0.2">
      <c r="A4709" s="3">
        <v>4708</v>
      </c>
      <c r="B4709" s="1" t="s">
        <v>5250</v>
      </c>
      <c r="D4709" s="1" t="s">
        <v>5280</v>
      </c>
      <c r="F4709" s="1" t="s">
        <v>5347</v>
      </c>
      <c r="H4709" s="1" t="s">
        <v>5368</v>
      </c>
      <c r="J4709" s="1" t="s">
        <v>5369</v>
      </c>
      <c r="L4709" s="1" t="s">
        <v>1955</v>
      </c>
      <c r="N4709" s="1" t="s">
        <v>1956</v>
      </c>
      <c r="P4709" s="1" t="s">
        <v>2270</v>
      </c>
      <c r="Q4709" s="30" t="s">
        <v>2568</v>
      </c>
      <c r="R4709" s="33" t="s">
        <v>3474</v>
      </c>
      <c r="S4709">
        <v>35</v>
      </c>
      <c r="T4709" s="1" t="s">
        <v>5350</v>
      </c>
      <c r="U4709" s="1" t="str">
        <f>HYPERLINK("http://ictvonline.org/taxonomy/p/taxonomy-history?taxnode_id=202103347","ICTVonline=202103347")</f>
        <v>ICTVonline=202103347</v>
      </c>
    </row>
    <row r="4710" spans="1:21" x14ac:dyDescent="0.2">
      <c r="A4710" s="3">
        <v>4709</v>
      </c>
      <c r="B4710" s="1" t="s">
        <v>5250</v>
      </c>
      <c r="D4710" s="1" t="s">
        <v>5280</v>
      </c>
      <c r="F4710" s="1" t="s">
        <v>5347</v>
      </c>
      <c r="H4710" s="1" t="s">
        <v>5368</v>
      </c>
      <c r="J4710" s="1" t="s">
        <v>5369</v>
      </c>
      <c r="L4710" s="1" t="s">
        <v>1955</v>
      </c>
      <c r="N4710" s="1" t="s">
        <v>1956</v>
      </c>
      <c r="P4710" s="1" t="s">
        <v>2271</v>
      </c>
      <c r="Q4710" s="30" t="s">
        <v>2568</v>
      </c>
      <c r="R4710" s="33" t="s">
        <v>3474</v>
      </c>
      <c r="S4710">
        <v>35</v>
      </c>
      <c r="T4710" s="1" t="s">
        <v>5350</v>
      </c>
      <c r="U4710" s="1" t="str">
        <f>HYPERLINK("http://ictvonline.org/taxonomy/p/taxonomy-history?taxnode_id=202103348","ICTVonline=202103348")</f>
        <v>ICTVonline=202103348</v>
      </c>
    </row>
    <row r="4711" spans="1:21" x14ac:dyDescent="0.2">
      <c r="A4711" s="3">
        <v>4710</v>
      </c>
      <c r="B4711" s="1" t="s">
        <v>5250</v>
      </c>
      <c r="D4711" s="1" t="s">
        <v>5280</v>
      </c>
      <c r="F4711" s="1" t="s">
        <v>5347</v>
      </c>
      <c r="H4711" s="1" t="s">
        <v>5368</v>
      </c>
      <c r="J4711" s="1" t="s">
        <v>5369</v>
      </c>
      <c r="L4711" s="1" t="s">
        <v>1955</v>
      </c>
      <c r="N4711" s="1" t="s">
        <v>1956</v>
      </c>
      <c r="P4711" s="1" t="s">
        <v>2272</v>
      </c>
      <c r="Q4711" s="30" t="s">
        <v>2568</v>
      </c>
      <c r="R4711" s="33" t="s">
        <v>3474</v>
      </c>
      <c r="S4711">
        <v>35</v>
      </c>
      <c r="T4711" s="1" t="s">
        <v>5350</v>
      </c>
      <c r="U4711" s="1" t="str">
        <f>HYPERLINK("http://ictvonline.org/taxonomy/p/taxonomy-history?taxnode_id=202103349","ICTVonline=202103349")</f>
        <v>ICTVonline=202103349</v>
      </c>
    </row>
    <row r="4712" spans="1:21" x14ac:dyDescent="0.2">
      <c r="A4712" s="3">
        <v>4711</v>
      </c>
      <c r="B4712" s="1" t="s">
        <v>5250</v>
      </c>
      <c r="D4712" s="1" t="s">
        <v>5280</v>
      </c>
      <c r="F4712" s="1" t="s">
        <v>5347</v>
      </c>
      <c r="H4712" s="1" t="s">
        <v>5368</v>
      </c>
      <c r="J4712" s="1" t="s">
        <v>5369</v>
      </c>
      <c r="L4712" s="1" t="s">
        <v>1955</v>
      </c>
      <c r="N4712" s="1" t="s">
        <v>1956</v>
      </c>
      <c r="P4712" s="1" t="s">
        <v>2273</v>
      </c>
      <c r="Q4712" s="30" t="s">
        <v>2568</v>
      </c>
      <c r="R4712" s="33" t="s">
        <v>3474</v>
      </c>
      <c r="S4712">
        <v>35</v>
      </c>
      <c r="T4712" s="1" t="s">
        <v>5350</v>
      </c>
      <c r="U4712" s="1" t="str">
        <f>HYPERLINK("http://ictvonline.org/taxonomy/p/taxonomy-history?taxnode_id=202103350","ICTVonline=202103350")</f>
        <v>ICTVonline=202103350</v>
      </c>
    </row>
    <row r="4713" spans="1:21" x14ac:dyDescent="0.2">
      <c r="A4713" s="3">
        <v>4712</v>
      </c>
      <c r="B4713" s="1" t="s">
        <v>5250</v>
      </c>
      <c r="D4713" s="1" t="s">
        <v>5280</v>
      </c>
      <c r="F4713" s="1" t="s">
        <v>5347</v>
      </c>
      <c r="H4713" s="1" t="s">
        <v>5368</v>
      </c>
      <c r="J4713" s="1" t="s">
        <v>5369</v>
      </c>
      <c r="L4713" s="1" t="s">
        <v>1955</v>
      </c>
      <c r="N4713" s="1" t="s">
        <v>1956</v>
      </c>
      <c r="P4713" s="1" t="s">
        <v>780</v>
      </c>
      <c r="Q4713" s="30" t="s">
        <v>2568</v>
      </c>
      <c r="R4713" s="33" t="s">
        <v>3474</v>
      </c>
      <c r="S4713">
        <v>35</v>
      </c>
      <c r="T4713" s="1" t="s">
        <v>5350</v>
      </c>
      <c r="U4713" s="1" t="str">
        <f>HYPERLINK("http://ictvonline.org/taxonomy/p/taxonomy-history?taxnode_id=202103351","ICTVonline=202103351")</f>
        <v>ICTVonline=202103351</v>
      </c>
    </row>
    <row r="4714" spans="1:21" x14ac:dyDescent="0.2">
      <c r="A4714" s="3">
        <v>4713</v>
      </c>
      <c r="B4714" s="1" t="s">
        <v>5250</v>
      </c>
      <c r="D4714" s="1" t="s">
        <v>5280</v>
      </c>
      <c r="F4714" s="1" t="s">
        <v>5347</v>
      </c>
      <c r="H4714" s="1" t="s">
        <v>5368</v>
      </c>
      <c r="J4714" s="1" t="s">
        <v>5369</v>
      </c>
      <c r="L4714" s="1" t="s">
        <v>1955</v>
      </c>
      <c r="N4714" s="1" t="s">
        <v>1956</v>
      </c>
      <c r="P4714" s="1" t="s">
        <v>2274</v>
      </c>
      <c r="Q4714" s="30" t="s">
        <v>2568</v>
      </c>
      <c r="R4714" s="33" t="s">
        <v>3474</v>
      </c>
      <c r="S4714">
        <v>35</v>
      </c>
      <c r="T4714" s="1" t="s">
        <v>5350</v>
      </c>
      <c r="U4714" s="1" t="str">
        <f>HYPERLINK("http://ictvonline.org/taxonomy/p/taxonomy-history?taxnode_id=202103352","ICTVonline=202103352")</f>
        <v>ICTVonline=202103352</v>
      </c>
    </row>
    <row r="4715" spans="1:21" x14ac:dyDescent="0.2">
      <c r="A4715" s="3">
        <v>4714</v>
      </c>
      <c r="B4715" s="1" t="s">
        <v>5250</v>
      </c>
      <c r="D4715" s="1" t="s">
        <v>5280</v>
      </c>
      <c r="F4715" s="1" t="s">
        <v>5347</v>
      </c>
      <c r="H4715" s="1" t="s">
        <v>5368</v>
      </c>
      <c r="J4715" s="1" t="s">
        <v>5369</v>
      </c>
      <c r="L4715" s="1" t="s">
        <v>1955</v>
      </c>
      <c r="N4715" s="1" t="s">
        <v>1956</v>
      </c>
      <c r="P4715" s="1" t="s">
        <v>6419</v>
      </c>
      <c r="Q4715" s="30" t="s">
        <v>2969</v>
      </c>
      <c r="R4715" s="33" t="s">
        <v>3472</v>
      </c>
      <c r="S4715">
        <v>36</v>
      </c>
      <c r="T4715" s="1" t="s">
        <v>6403</v>
      </c>
      <c r="U4715" s="1" t="str">
        <f>HYPERLINK("http://ictvonline.org/taxonomy/p/taxonomy-history?taxnode_id=202109133","ICTVonline=202109133")</f>
        <v>ICTVonline=202109133</v>
      </c>
    </row>
    <row r="4716" spans="1:21" x14ac:dyDescent="0.2">
      <c r="A4716" s="3">
        <v>4715</v>
      </c>
      <c r="B4716" s="1" t="s">
        <v>5250</v>
      </c>
      <c r="D4716" s="1" t="s">
        <v>5280</v>
      </c>
      <c r="F4716" s="1" t="s">
        <v>5347</v>
      </c>
      <c r="H4716" s="1" t="s">
        <v>5368</v>
      </c>
      <c r="J4716" s="1" t="s">
        <v>5369</v>
      </c>
      <c r="L4716" s="1" t="s">
        <v>1955</v>
      </c>
      <c r="N4716" s="1" t="s">
        <v>1956</v>
      </c>
      <c r="P4716" s="1" t="s">
        <v>2939</v>
      </c>
      <c r="Q4716" s="30" t="s">
        <v>2568</v>
      </c>
      <c r="R4716" s="33" t="s">
        <v>3474</v>
      </c>
      <c r="S4716">
        <v>35</v>
      </c>
      <c r="T4716" s="1" t="s">
        <v>5350</v>
      </c>
      <c r="U4716" s="1" t="str">
        <f>HYPERLINK("http://ictvonline.org/taxonomy/p/taxonomy-history?taxnode_id=202103353","ICTVonline=202103353")</f>
        <v>ICTVonline=202103353</v>
      </c>
    </row>
    <row r="4717" spans="1:21" x14ac:dyDescent="0.2">
      <c r="A4717" s="3">
        <v>4716</v>
      </c>
      <c r="B4717" s="1" t="s">
        <v>5250</v>
      </c>
      <c r="D4717" s="1" t="s">
        <v>5280</v>
      </c>
      <c r="F4717" s="1" t="s">
        <v>5347</v>
      </c>
      <c r="H4717" s="1" t="s">
        <v>5368</v>
      </c>
      <c r="J4717" s="1" t="s">
        <v>5369</v>
      </c>
      <c r="L4717" s="1" t="s">
        <v>1955</v>
      </c>
      <c r="N4717" s="1" t="s">
        <v>1956</v>
      </c>
      <c r="P4717" s="1" t="s">
        <v>2275</v>
      </c>
      <c r="Q4717" s="30" t="s">
        <v>2568</v>
      </c>
      <c r="R4717" s="33" t="s">
        <v>3474</v>
      </c>
      <c r="S4717">
        <v>35</v>
      </c>
      <c r="T4717" s="1" t="s">
        <v>5350</v>
      </c>
      <c r="U4717" s="1" t="str">
        <f>HYPERLINK("http://ictvonline.org/taxonomy/p/taxonomy-history?taxnode_id=202103354","ICTVonline=202103354")</f>
        <v>ICTVonline=202103354</v>
      </c>
    </row>
    <row r="4718" spans="1:21" x14ac:dyDescent="0.2">
      <c r="A4718" s="3">
        <v>4717</v>
      </c>
      <c r="B4718" s="1" t="s">
        <v>5250</v>
      </c>
      <c r="D4718" s="1" t="s">
        <v>5280</v>
      </c>
      <c r="F4718" s="1" t="s">
        <v>5347</v>
      </c>
      <c r="H4718" s="1" t="s">
        <v>5368</v>
      </c>
      <c r="J4718" s="1" t="s">
        <v>5369</v>
      </c>
      <c r="L4718" s="1" t="s">
        <v>1955</v>
      </c>
      <c r="N4718" s="1" t="s">
        <v>1956</v>
      </c>
      <c r="P4718" s="1" t="s">
        <v>781</v>
      </c>
      <c r="Q4718" s="30" t="s">
        <v>2568</v>
      </c>
      <c r="R4718" s="33" t="s">
        <v>3474</v>
      </c>
      <c r="S4718">
        <v>35</v>
      </c>
      <c r="T4718" s="1" t="s">
        <v>5350</v>
      </c>
      <c r="U4718" s="1" t="str">
        <f>HYPERLINK("http://ictvonline.org/taxonomy/p/taxonomy-history?taxnode_id=202103355","ICTVonline=202103355")</f>
        <v>ICTVonline=202103355</v>
      </c>
    </row>
    <row r="4719" spans="1:21" x14ac:dyDescent="0.2">
      <c r="A4719" s="3">
        <v>4718</v>
      </c>
      <c r="B4719" s="1" t="s">
        <v>5250</v>
      </c>
      <c r="D4719" s="1" t="s">
        <v>5280</v>
      </c>
      <c r="F4719" s="1" t="s">
        <v>5347</v>
      </c>
      <c r="H4719" s="1" t="s">
        <v>5368</v>
      </c>
      <c r="J4719" s="1" t="s">
        <v>5369</v>
      </c>
      <c r="L4719" s="1" t="s">
        <v>1955</v>
      </c>
      <c r="N4719" s="1" t="s">
        <v>1956</v>
      </c>
      <c r="P4719" s="1" t="s">
        <v>782</v>
      </c>
      <c r="Q4719" s="30" t="s">
        <v>2568</v>
      </c>
      <c r="R4719" s="33" t="s">
        <v>3474</v>
      </c>
      <c r="S4719">
        <v>35</v>
      </c>
      <c r="T4719" s="1" t="s">
        <v>5350</v>
      </c>
      <c r="U4719" s="1" t="str">
        <f>HYPERLINK("http://ictvonline.org/taxonomy/p/taxonomy-history?taxnode_id=202103356","ICTVonline=202103356")</f>
        <v>ICTVonline=202103356</v>
      </c>
    </row>
    <row r="4720" spans="1:21" x14ac:dyDescent="0.2">
      <c r="A4720" s="3">
        <v>4719</v>
      </c>
      <c r="B4720" s="1" t="s">
        <v>5250</v>
      </c>
      <c r="D4720" s="1" t="s">
        <v>5280</v>
      </c>
      <c r="F4720" s="1" t="s">
        <v>5347</v>
      </c>
      <c r="H4720" s="1" t="s">
        <v>5368</v>
      </c>
      <c r="J4720" s="1" t="s">
        <v>5369</v>
      </c>
      <c r="L4720" s="1" t="s">
        <v>1955</v>
      </c>
      <c r="N4720" s="1" t="s">
        <v>1956</v>
      </c>
      <c r="P4720" s="1" t="s">
        <v>1720</v>
      </c>
      <c r="Q4720" s="30" t="s">
        <v>2568</v>
      </c>
      <c r="R4720" s="33" t="s">
        <v>3474</v>
      </c>
      <c r="S4720">
        <v>35</v>
      </c>
      <c r="T4720" s="1" t="s">
        <v>5350</v>
      </c>
      <c r="U4720" s="1" t="str">
        <f>HYPERLINK("http://ictvonline.org/taxonomy/p/taxonomy-history?taxnode_id=202103357","ICTVonline=202103357")</f>
        <v>ICTVonline=202103357</v>
      </c>
    </row>
    <row r="4721" spans="1:21" x14ac:dyDescent="0.2">
      <c r="A4721" s="3">
        <v>4720</v>
      </c>
      <c r="B4721" s="1" t="s">
        <v>5250</v>
      </c>
      <c r="D4721" s="1" t="s">
        <v>5280</v>
      </c>
      <c r="F4721" s="1" t="s">
        <v>5347</v>
      </c>
      <c r="H4721" s="1" t="s">
        <v>5368</v>
      </c>
      <c r="J4721" s="1" t="s">
        <v>5369</v>
      </c>
      <c r="L4721" s="1" t="s">
        <v>1955</v>
      </c>
      <c r="N4721" s="1" t="s">
        <v>1956</v>
      </c>
      <c r="P4721" s="1" t="s">
        <v>2276</v>
      </c>
      <c r="Q4721" s="30" t="s">
        <v>2568</v>
      </c>
      <c r="R4721" s="33" t="s">
        <v>3474</v>
      </c>
      <c r="S4721">
        <v>35</v>
      </c>
      <c r="T4721" s="1" t="s">
        <v>5350</v>
      </c>
      <c r="U4721" s="1" t="str">
        <f>HYPERLINK("http://ictvonline.org/taxonomy/p/taxonomy-history?taxnode_id=202103358","ICTVonline=202103358")</f>
        <v>ICTVonline=202103358</v>
      </c>
    </row>
    <row r="4722" spans="1:21" x14ac:dyDescent="0.2">
      <c r="A4722" s="3">
        <v>4721</v>
      </c>
      <c r="B4722" s="1" t="s">
        <v>5250</v>
      </c>
      <c r="D4722" s="1" t="s">
        <v>5280</v>
      </c>
      <c r="F4722" s="1" t="s">
        <v>5347</v>
      </c>
      <c r="H4722" s="1" t="s">
        <v>5368</v>
      </c>
      <c r="J4722" s="1" t="s">
        <v>5369</v>
      </c>
      <c r="L4722" s="1" t="s">
        <v>1955</v>
      </c>
      <c r="N4722" s="1" t="s">
        <v>1956</v>
      </c>
      <c r="P4722" s="1" t="s">
        <v>2277</v>
      </c>
      <c r="Q4722" s="30" t="s">
        <v>2568</v>
      </c>
      <c r="R4722" s="33" t="s">
        <v>3474</v>
      </c>
      <c r="S4722">
        <v>35</v>
      </c>
      <c r="T4722" s="1" t="s">
        <v>5350</v>
      </c>
      <c r="U4722" s="1" t="str">
        <f>HYPERLINK("http://ictvonline.org/taxonomy/p/taxonomy-history?taxnode_id=202103359","ICTVonline=202103359")</f>
        <v>ICTVonline=202103359</v>
      </c>
    </row>
    <row r="4723" spans="1:21" x14ac:dyDescent="0.2">
      <c r="A4723" s="3">
        <v>4722</v>
      </c>
      <c r="B4723" s="1" t="s">
        <v>5250</v>
      </c>
      <c r="D4723" s="1" t="s">
        <v>5280</v>
      </c>
      <c r="F4723" s="1" t="s">
        <v>5347</v>
      </c>
      <c r="H4723" s="1" t="s">
        <v>5368</v>
      </c>
      <c r="J4723" s="1" t="s">
        <v>5369</v>
      </c>
      <c r="L4723" s="1" t="s">
        <v>1955</v>
      </c>
      <c r="N4723" s="1" t="s">
        <v>1956</v>
      </c>
      <c r="P4723" s="1" t="s">
        <v>1721</v>
      </c>
      <c r="Q4723" s="30" t="s">
        <v>2568</v>
      </c>
      <c r="R4723" s="33" t="s">
        <v>3474</v>
      </c>
      <c r="S4723">
        <v>35</v>
      </c>
      <c r="T4723" s="1" t="s">
        <v>5350</v>
      </c>
      <c r="U4723" s="1" t="str">
        <f>HYPERLINK("http://ictvonline.org/taxonomy/p/taxonomy-history?taxnode_id=202103360","ICTVonline=202103360")</f>
        <v>ICTVonline=202103360</v>
      </c>
    </row>
    <row r="4724" spans="1:21" x14ac:dyDescent="0.2">
      <c r="A4724" s="3">
        <v>4723</v>
      </c>
      <c r="B4724" s="1" t="s">
        <v>5250</v>
      </c>
      <c r="D4724" s="1" t="s">
        <v>5280</v>
      </c>
      <c r="F4724" s="1" t="s">
        <v>5347</v>
      </c>
      <c r="H4724" s="1" t="s">
        <v>5368</v>
      </c>
      <c r="J4724" s="1" t="s">
        <v>5369</v>
      </c>
      <c r="L4724" s="1" t="s">
        <v>1955</v>
      </c>
      <c r="N4724" s="1" t="s">
        <v>1956</v>
      </c>
      <c r="P4724" s="1" t="s">
        <v>1722</v>
      </c>
      <c r="Q4724" s="30" t="s">
        <v>2568</v>
      </c>
      <c r="R4724" s="33" t="s">
        <v>3474</v>
      </c>
      <c r="S4724">
        <v>35</v>
      </c>
      <c r="T4724" s="1" t="s">
        <v>5350</v>
      </c>
      <c r="U4724" s="1" t="str">
        <f>HYPERLINK("http://ictvonline.org/taxonomy/p/taxonomy-history?taxnode_id=202103361","ICTVonline=202103361")</f>
        <v>ICTVonline=202103361</v>
      </c>
    </row>
    <row r="4725" spans="1:21" x14ac:dyDescent="0.2">
      <c r="A4725" s="3">
        <v>4724</v>
      </c>
      <c r="B4725" s="1" t="s">
        <v>5250</v>
      </c>
      <c r="D4725" s="1" t="s">
        <v>5280</v>
      </c>
      <c r="F4725" s="1" t="s">
        <v>5347</v>
      </c>
      <c r="H4725" s="1" t="s">
        <v>5368</v>
      </c>
      <c r="J4725" s="1" t="s">
        <v>5369</v>
      </c>
      <c r="L4725" s="1" t="s">
        <v>1955</v>
      </c>
      <c r="N4725" s="1" t="s">
        <v>1956</v>
      </c>
      <c r="P4725" s="1" t="s">
        <v>2940</v>
      </c>
      <c r="Q4725" s="30" t="s">
        <v>2568</v>
      </c>
      <c r="R4725" s="33" t="s">
        <v>3474</v>
      </c>
      <c r="S4725">
        <v>35</v>
      </c>
      <c r="T4725" s="1" t="s">
        <v>5350</v>
      </c>
      <c r="U4725" s="1" t="str">
        <f>HYPERLINK("http://ictvonline.org/taxonomy/p/taxonomy-history?taxnode_id=202103362","ICTVonline=202103362")</f>
        <v>ICTVonline=202103362</v>
      </c>
    </row>
    <row r="4726" spans="1:21" x14ac:dyDescent="0.2">
      <c r="A4726" s="3">
        <v>4725</v>
      </c>
      <c r="B4726" s="1" t="s">
        <v>5250</v>
      </c>
      <c r="D4726" s="1" t="s">
        <v>5280</v>
      </c>
      <c r="F4726" s="1" t="s">
        <v>5347</v>
      </c>
      <c r="H4726" s="1" t="s">
        <v>5368</v>
      </c>
      <c r="J4726" s="1" t="s">
        <v>5369</v>
      </c>
      <c r="L4726" s="1" t="s">
        <v>1955</v>
      </c>
      <c r="N4726" s="1" t="s">
        <v>1956</v>
      </c>
      <c r="P4726" s="1" t="s">
        <v>1723</v>
      </c>
      <c r="Q4726" s="30" t="s">
        <v>2568</v>
      </c>
      <c r="R4726" s="33" t="s">
        <v>3474</v>
      </c>
      <c r="S4726">
        <v>35</v>
      </c>
      <c r="T4726" s="1" t="s">
        <v>5350</v>
      </c>
      <c r="U4726" s="1" t="str">
        <f>HYPERLINK("http://ictvonline.org/taxonomy/p/taxonomy-history?taxnode_id=202103363","ICTVonline=202103363")</f>
        <v>ICTVonline=202103363</v>
      </c>
    </row>
    <row r="4727" spans="1:21" x14ac:dyDescent="0.2">
      <c r="A4727" s="3">
        <v>4726</v>
      </c>
      <c r="B4727" s="1" t="s">
        <v>5250</v>
      </c>
      <c r="D4727" s="1" t="s">
        <v>5280</v>
      </c>
      <c r="F4727" s="1" t="s">
        <v>5347</v>
      </c>
      <c r="H4727" s="1" t="s">
        <v>5368</v>
      </c>
      <c r="J4727" s="1" t="s">
        <v>5369</v>
      </c>
      <c r="L4727" s="1" t="s">
        <v>1955</v>
      </c>
      <c r="N4727" s="1" t="s">
        <v>1956</v>
      </c>
      <c r="P4727" s="1" t="s">
        <v>1724</v>
      </c>
      <c r="Q4727" s="30" t="s">
        <v>2568</v>
      </c>
      <c r="R4727" s="33" t="s">
        <v>3474</v>
      </c>
      <c r="S4727">
        <v>35</v>
      </c>
      <c r="T4727" s="1" t="s">
        <v>5350</v>
      </c>
      <c r="U4727" s="1" t="str">
        <f>HYPERLINK("http://ictvonline.org/taxonomy/p/taxonomy-history?taxnode_id=202103364","ICTVonline=202103364")</f>
        <v>ICTVonline=202103364</v>
      </c>
    </row>
    <row r="4728" spans="1:21" x14ac:dyDescent="0.2">
      <c r="A4728" s="3">
        <v>4727</v>
      </c>
      <c r="B4728" s="1" t="s">
        <v>5250</v>
      </c>
      <c r="D4728" s="1" t="s">
        <v>5280</v>
      </c>
      <c r="F4728" s="1" t="s">
        <v>5347</v>
      </c>
      <c r="H4728" s="1" t="s">
        <v>5368</v>
      </c>
      <c r="J4728" s="1" t="s">
        <v>5369</v>
      </c>
      <c r="L4728" s="1" t="s">
        <v>1955</v>
      </c>
      <c r="N4728" s="1" t="s">
        <v>1956</v>
      </c>
      <c r="P4728" s="1" t="s">
        <v>3845</v>
      </c>
      <c r="Q4728" s="30" t="s">
        <v>2568</v>
      </c>
      <c r="R4728" s="33" t="s">
        <v>3474</v>
      </c>
      <c r="S4728">
        <v>35</v>
      </c>
      <c r="T4728" s="1" t="s">
        <v>5350</v>
      </c>
      <c r="U4728" s="1" t="str">
        <f>HYPERLINK("http://ictvonline.org/taxonomy/p/taxonomy-history?taxnode_id=202105829","ICTVonline=202105829")</f>
        <v>ICTVonline=202105829</v>
      </c>
    </row>
    <row r="4729" spans="1:21" x14ac:dyDescent="0.2">
      <c r="A4729" s="3">
        <v>4728</v>
      </c>
      <c r="B4729" s="1" t="s">
        <v>5250</v>
      </c>
      <c r="D4729" s="1" t="s">
        <v>5280</v>
      </c>
      <c r="F4729" s="1" t="s">
        <v>5347</v>
      </c>
      <c r="H4729" s="1" t="s">
        <v>5368</v>
      </c>
      <c r="J4729" s="1" t="s">
        <v>5369</v>
      </c>
      <c r="L4729" s="1" t="s">
        <v>1955</v>
      </c>
      <c r="N4729" s="1" t="s">
        <v>1956</v>
      </c>
      <c r="P4729" s="1" t="s">
        <v>493</v>
      </c>
      <c r="Q4729" s="30" t="s">
        <v>2568</v>
      </c>
      <c r="R4729" s="33" t="s">
        <v>3474</v>
      </c>
      <c r="S4729">
        <v>35</v>
      </c>
      <c r="T4729" s="1" t="s">
        <v>5350</v>
      </c>
      <c r="U4729" s="1" t="str">
        <f>HYPERLINK("http://ictvonline.org/taxonomy/p/taxonomy-history?taxnode_id=202103365","ICTVonline=202103365")</f>
        <v>ICTVonline=202103365</v>
      </c>
    </row>
    <row r="4730" spans="1:21" x14ac:dyDescent="0.2">
      <c r="A4730" s="3">
        <v>4729</v>
      </c>
      <c r="B4730" s="1" t="s">
        <v>5250</v>
      </c>
      <c r="D4730" s="1" t="s">
        <v>5280</v>
      </c>
      <c r="F4730" s="1" t="s">
        <v>5347</v>
      </c>
      <c r="H4730" s="1" t="s">
        <v>5368</v>
      </c>
      <c r="J4730" s="1" t="s">
        <v>5369</v>
      </c>
      <c r="L4730" s="1" t="s">
        <v>1955</v>
      </c>
      <c r="N4730" s="1" t="s">
        <v>1956</v>
      </c>
      <c r="P4730" s="1" t="s">
        <v>494</v>
      </c>
      <c r="Q4730" s="30" t="s">
        <v>2568</v>
      </c>
      <c r="R4730" s="33" t="s">
        <v>3474</v>
      </c>
      <c r="S4730">
        <v>35</v>
      </c>
      <c r="T4730" s="1" t="s">
        <v>5350</v>
      </c>
      <c r="U4730" s="1" t="str">
        <f>HYPERLINK("http://ictvonline.org/taxonomy/p/taxonomy-history?taxnode_id=202103366","ICTVonline=202103366")</f>
        <v>ICTVonline=202103366</v>
      </c>
    </row>
    <row r="4731" spans="1:21" x14ac:dyDescent="0.2">
      <c r="A4731" s="3">
        <v>4730</v>
      </c>
      <c r="B4731" s="1" t="s">
        <v>5250</v>
      </c>
      <c r="D4731" s="1" t="s">
        <v>5280</v>
      </c>
      <c r="F4731" s="1" t="s">
        <v>5347</v>
      </c>
      <c r="H4731" s="1" t="s">
        <v>5368</v>
      </c>
      <c r="J4731" s="1" t="s">
        <v>5369</v>
      </c>
      <c r="L4731" s="1" t="s">
        <v>1955</v>
      </c>
      <c r="N4731" s="1" t="s">
        <v>1956</v>
      </c>
      <c r="P4731" s="1" t="s">
        <v>2941</v>
      </c>
      <c r="Q4731" s="30" t="s">
        <v>2568</v>
      </c>
      <c r="R4731" s="33" t="s">
        <v>3474</v>
      </c>
      <c r="S4731">
        <v>35</v>
      </c>
      <c r="T4731" s="1" t="s">
        <v>5350</v>
      </c>
      <c r="U4731" s="1" t="str">
        <f>HYPERLINK("http://ictvonline.org/taxonomy/p/taxonomy-history?taxnode_id=202103367","ICTVonline=202103367")</f>
        <v>ICTVonline=202103367</v>
      </c>
    </row>
    <row r="4732" spans="1:21" x14ac:dyDescent="0.2">
      <c r="A4732" s="3">
        <v>4731</v>
      </c>
      <c r="B4732" s="1" t="s">
        <v>5250</v>
      </c>
      <c r="D4732" s="1" t="s">
        <v>5280</v>
      </c>
      <c r="F4732" s="1" t="s">
        <v>5347</v>
      </c>
      <c r="H4732" s="1" t="s">
        <v>5368</v>
      </c>
      <c r="J4732" s="1" t="s">
        <v>5369</v>
      </c>
      <c r="L4732" s="1" t="s">
        <v>1955</v>
      </c>
      <c r="N4732" s="1" t="s">
        <v>1956</v>
      </c>
      <c r="P4732" s="1" t="s">
        <v>2278</v>
      </c>
      <c r="Q4732" s="30" t="s">
        <v>2568</v>
      </c>
      <c r="R4732" s="33" t="s">
        <v>3474</v>
      </c>
      <c r="S4732">
        <v>35</v>
      </c>
      <c r="T4732" s="1" t="s">
        <v>5350</v>
      </c>
      <c r="U4732" s="1" t="str">
        <f>HYPERLINK("http://ictvonline.org/taxonomy/p/taxonomy-history?taxnode_id=202103368","ICTVonline=202103368")</f>
        <v>ICTVonline=202103368</v>
      </c>
    </row>
    <row r="4733" spans="1:21" x14ac:dyDescent="0.2">
      <c r="A4733" s="3">
        <v>4732</v>
      </c>
      <c r="B4733" s="1" t="s">
        <v>5250</v>
      </c>
      <c r="D4733" s="1" t="s">
        <v>5280</v>
      </c>
      <c r="F4733" s="1" t="s">
        <v>5347</v>
      </c>
      <c r="H4733" s="1" t="s">
        <v>5368</v>
      </c>
      <c r="J4733" s="1" t="s">
        <v>5369</v>
      </c>
      <c r="L4733" s="1" t="s">
        <v>1955</v>
      </c>
      <c r="N4733" s="1" t="s">
        <v>1956</v>
      </c>
      <c r="P4733" s="1" t="s">
        <v>495</v>
      </c>
      <c r="Q4733" s="30" t="s">
        <v>2568</v>
      </c>
      <c r="R4733" s="33" t="s">
        <v>3474</v>
      </c>
      <c r="S4733">
        <v>35</v>
      </c>
      <c r="T4733" s="1" t="s">
        <v>5350</v>
      </c>
      <c r="U4733" s="1" t="str">
        <f>HYPERLINK("http://ictvonline.org/taxonomy/p/taxonomy-history?taxnode_id=202103369","ICTVonline=202103369")</f>
        <v>ICTVonline=202103369</v>
      </c>
    </row>
    <row r="4734" spans="1:21" x14ac:dyDescent="0.2">
      <c r="A4734" s="3">
        <v>4733</v>
      </c>
      <c r="B4734" s="1" t="s">
        <v>5250</v>
      </c>
      <c r="D4734" s="1" t="s">
        <v>5280</v>
      </c>
      <c r="F4734" s="1" t="s">
        <v>5347</v>
      </c>
      <c r="H4734" s="1" t="s">
        <v>5368</v>
      </c>
      <c r="J4734" s="1" t="s">
        <v>5369</v>
      </c>
      <c r="L4734" s="1" t="s">
        <v>1955</v>
      </c>
      <c r="N4734" s="1" t="s">
        <v>1956</v>
      </c>
      <c r="P4734" s="1" t="s">
        <v>2942</v>
      </c>
      <c r="Q4734" s="30" t="s">
        <v>2568</v>
      </c>
      <c r="R4734" s="33" t="s">
        <v>3474</v>
      </c>
      <c r="S4734">
        <v>35</v>
      </c>
      <c r="T4734" s="1" t="s">
        <v>5350</v>
      </c>
      <c r="U4734" s="1" t="str">
        <f>HYPERLINK("http://ictvonline.org/taxonomy/p/taxonomy-history?taxnode_id=202103370","ICTVonline=202103370")</f>
        <v>ICTVonline=202103370</v>
      </c>
    </row>
    <row r="4735" spans="1:21" x14ac:dyDescent="0.2">
      <c r="A4735" s="3">
        <v>4734</v>
      </c>
      <c r="B4735" s="1" t="s">
        <v>5250</v>
      </c>
      <c r="D4735" s="1" t="s">
        <v>5280</v>
      </c>
      <c r="F4735" s="1" t="s">
        <v>5347</v>
      </c>
      <c r="H4735" s="1" t="s">
        <v>5368</v>
      </c>
      <c r="J4735" s="1" t="s">
        <v>5369</v>
      </c>
      <c r="L4735" s="1" t="s">
        <v>1955</v>
      </c>
      <c r="N4735" s="1" t="s">
        <v>1956</v>
      </c>
      <c r="P4735" s="1" t="s">
        <v>496</v>
      </c>
      <c r="Q4735" s="30" t="s">
        <v>2568</v>
      </c>
      <c r="R4735" s="33" t="s">
        <v>3474</v>
      </c>
      <c r="S4735">
        <v>35</v>
      </c>
      <c r="T4735" s="1" t="s">
        <v>5350</v>
      </c>
      <c r="U4735" s="1" t="str">
        <f>HYPERLINK("http://ictvonline.org/taxonomy/p/taxonomy-history?taxnode_id=202103371","ICTVonline=202103371")</f>
        <v>ICTVonline=202103371</v>
      </c>
    </row>
    <row r="4736" spans="1:21" x14ac:dyDescent="0.2">
      <c r="A4736" s="3">
        <v>4735</v>
      </c>
      <c r="B4736" s="1" t="s">
        <v>5250</v>
      </c>
      <c r="D4736" s="1" t="s">
        <v>5280</v>
      </c>
      <c r="F4736" s="1" t="s">
        <v>5347</v>
      </c>
      <c r="H4736" s="1" t="s">
        <v>5368</v>
      </c>
      <c r="J4736" s="1" t="s">
        <v>5369</v>
      </c>
      <c r="L4736" s="1" t="s">
        <v>1955</v>
      </c>
      <c r="N4736" s="1" t="s">
        <v>1956</v>
      </c>
      <c r="P4736" s="1" t="s">
        <v>497</v>
      </c>
      <c r="Q4736" s="30" t="s">
        <v>2568</v>
      </c>
      <c r="R4736" s="33" t="s">
        <v>3474</v>
      </c>
      <c r="S4736">
        <v>35</v>
      </c>
      <c r="T4736" s="1" t="s">
        <v>5350</v>
      </c>
      <c r="U4736" s="1" t="str">
        <f>HYPERLINK("http://ictvonline.org/taxonomy/p/taxonomy-history?taxnode_id=202103372","ICTVonline=202103372")</f>
        <v>ICTVonline=202103372</v>
      </c>
    </row>
    <row r="4737" spans="1:21" x14ac:dyDescent="0.2">
      <c r="A4737" s="3">
        <v>4736</v>
      </c>
      <c r="B4737" s="1" t="s">
        <v>5250</v>
      </c>
      <c r="D4737" s="1" t="s">
        <v>5280</v>
      </c>
      <c r="F4737" s="1" t="s">
        <v>5347</v>
      </c>
      <c r="H4737" s="1" t="s">
        <v>5368</v>
      </c>
      <c r="J4737" s="1" t="s">
        <v>5369</v>
      </c>
      <c r="L4737" s="1" t="s">
        <v>1955</v>
      </c>
      <c r="N4737" s="1" t="s">
        <v>1956</v>
      </c>
      <c r="P4737" s="1" t="s">
        <v>498</v>
      </c>
      <c r="Q4737" s="30" t="s">
        <v>2568</v>
      </c>
      <c r="R4737" s="33" t="s">
        <v>3474</v>
      </c>
      <c r="S4737">
        <v>35</v>
      </c>
      <c r="T4737" s="1" t="s">
        <v>5350</v>
      </c>
      <c r="U4737" s="1" t="str">
        <f>HYPERLINK("http://ictvonline.org/taxonomy/p/taxonomy-history?taxnode_id=202103373","ICTVonline=202103373")</f>
        <v>ICTVonline=202103373</v>
      </c>
    </row>
    <row r="4738" spans="1:21" x14ac:dyDescent="0.2">
      <c r="A4738" s="3">
        <v>4737</v>
      </c>
      <c r="B4738" s="1" t="s">
        <v>5250</v>
      </c>
      <c r="D4738" s="1" t="s">
        <v>5280</v>
      </c>
      <c r="F4738" s="1" t="s">
        <v>5347</v>
      </c>
      <c r="H4738" s="1" t="s">
        <v>5368</v>
      </c>
      <c r="J4738" s="1" t="s">
        <v>5369</v>
      </c>
      <c r="L4738" s="1" t="s">
        <v>1955</v>
      </c>
      <c r="N4738" s="1" t="s">
        <v>1956</v>
      </c>
      <c r="P4738" s="1" t="s">
        <v>499</v>
      </c>
      <c r="Q4738" s="30" t="s">
        <v>2568</v>
      </c>
      <c r="R4738" s="33" t="s">
        <v>3474</v>
      </c>
      <c r="S4738">
        <v>35</v>
      </c>
      <c r="T4738" s="1" t="s">
        <v>5350</v>
      </c>
      <c r="U4738" s="1" t="str">
        <f>HYPERLINK("http://ictvonline.org/taxonomy/p/taxonomy-history?taxnode_id=202103374","ICTVonline=202103374")</f>
        <v>ICTVonline=202103374</v>
      </c>
    </row>
    <row r="4739" spans="1:21" x14ac:dyDescent="0.2">
      <c r="A4739" s="3">
        <v>4738</v>
      </c>
      <c r="B4739" s="1" t="s">
        <v>5250</v>
      </c>
      <c r="D4739" s="1" t="s">
        <v>5280</v>
      </c>
      <c r="F4739" s="1" t="s">
        <v>5347</v>
      </c>
      <c r="H4739" s="1" t="s">
        <v>5368</v>
      </c>
      <c r="J4739" s="1" t="s">
        <v>5369</v>
      </c>
      <c r="L4739" s="1" t="s">
        <v>1955</v>
      </c>
      <c r="N4739" s="1" t="s">
        <v>1956</v>
      </c>
      <c r="P4739" s="1" t="s">
        <v>500</v>
      </c>
      <c r="Q4739" s="30" t="s">
        <v>2568</v>
      </c>
      <c r="R4739" s="33" t="s">
        <v>3474</v>
      </c>
      <c r="S4739">
        <v>35</v>
      </c>
      <c r="T4739" s="1" t="s">
        <v>5350</v>
      </c>
      <c r="U4739" s="1" t="str">
        <f>HYPERLINK("http://ictvonline.org/taxonomy/p/taxonomy-history?taxnode_id=202103375","ICTVonline=202103375")</f>
        <v>ICTVonline=202103375</v>
      </c>
    </row>
    <row r="4740" spans="1:21" x14ac:dyDescent="0.2">
      <c r="A4740" s="3">
        <v>4739</v>
      </c>
      <c r="B4740" s="1" t="s">
        <v>5250</v>
      </c>
      <c r="D4740" s="1" t="s">
        <v>5280</v>
      </c>
      <c r="F4740" s="1" t="s">
        <v>5347</v>
      </c>
      <c r="H4740" s="1" t="s">
        <v>5368</v>
      </c>
      <c r="J4740" s="1" t="s">
        <v>5369</v>
      </c>
      <c r="L4740" s="1" t="s">
        <v>1955</v>
      </c>
      <c r="N4740" s="1" t="s">
        <v>1956</v>
      </c>
      <c r="P4740" s="1" t="s">
        <v>501</v>
      </c>
      <c r="Q4740" s="30" t="s">
        <v>2568</v>
      </c>
      <c r="R4740" s="33" t="s">
        <v>3474</v>
      </c>
      <c r="S4740">
        <v>35</v>
      </c>
      <c r="T4740" s="1" t="s">
        <v>5350</v>
      </c>
      <c r="U4740" s="1" t="str">
        <f>HYPERLINK("http://ictvonline.org/taxonomy/p/taxonomy-history?taxnode_id=202103376","ICTVonline=202103376")</f>
        <v>ICTVonline=202103376</v>
      </c>
    </row>
    <row r="4741" spans="1:21" x14ac:dyDescent="0.2">
      <c r="A4741" s="3">
        <v>4740</v>
      </c>
      <c r="B4741" s="1" t="s">
        <v>5250</v>
      </c>
      <c r="D4741" s="1" t="s">
        <v>5280</v>
      </c>
      <c r="F4741" s="1" t="s">
        <v>5347</v>
      </c>
      <c r="H4741" s="1" t="s">
        <v>5368</v>
      </c>
      <c r="J4741" s="1" t="s">
        <v>5369</v>
      </c>
      <c r="L4741" s="1" t="s">
        <v>1955</v>
      </c>
      <c r="N4741" s="1" t="s">
        <v>1956</v>
      </c>
      <c r="P4741" s="1" t="s">
        <v>502</v>
      </c>
      <c r="Q4741" s="30" t="s">
        <v>2568</v>
      </c>
      <c r="R4741" s="33" t="s">
        <v>3474</v>
      </c>
      <c r="S4741">
        <v>35</v>
      </c>
      <c r="T4741" s="1" t="s">
        <v>5350</v>
      </c>
      <c r="U4741" s="1" t="str">
        <f>HYPERLINK("http://ictvonline.org/taxonomy/p/taxonomy-history?taxnode_id=202103377","ICTVonline=202103377")</f>
        <v>ICTVonline=202103377</v>
      </c>
    </row>
    <row r="4742" spans="1:21" x14ac:dyDescent="0.2">
      <c r="A4742" s="3">
        <v>4741</v>
      </c>
      <c r="B4742" s="1" t="s">
        <v>5250</v>
      </c>
      <c r="D4742" s="1" t="s">
        <v>5280</v>
      </c>
      <c r="F4742" s="1" t="s">
        <v>5347</v>
      </c>
      <c r="H4742" s="1" t="s">
        <v>5368</v>
      </c>
      <c r="J4742" s="1" t="s">
        <v>5369</v>
      </c>
      <c r="L4742" s="1" t="s">
        <v>1955</v>
      </c>
      <c r="N4742" s="1" t="s">
        <v>1956</v>
      </c>
      <c r="P4742" s="1" t="s">
        <v>2943</v>
      </c>
      <c r="Q4742" s="30" t="s">
        <v>2568</v>
      </c>
      <c r="R4742" s="33" t="s">
        <v>3474</v>
      </c>
      <c r="S4742">
        <v>35</v>
      </c>
      <c r="T4742" s="1" t="s">
        <v>5350</v>
      </c>
      <c r="U4742" s="1" t="str">
        <f>HYPERLINK("http://ictvonline.org/taxonomy/p/taxonomy-history?taxnode_id=202103378","ICTVonline=202103378")</f>
        <v>ICTVonline=202103378</v>
      </c>
    </row>
    <row r="4743" spans="1:21" x14ac:dyDescent="0.2">
      <c r="A4743" s="3">
        <v>4742</v>
      </c>
      <c r="B4743" s="1" t="s">
        <v>5250</v>
      </c>
      <c r="D4743" s="1" t="s">
        <v>5280</v>
      </c>
      <c r="F4743" s="1" t="s">
        <v>5347</v>
      </c>
      <c r="H4743" s="1" t="s">
        <v>5368</v>
      </c>
      <c r="J4743" s="1" t="s">
        <v>5369</v>
      </c>
      <c r="L4743" s="1" t="s">
        <v>1955</v>
      </c>
      <c r="N4743" s="1" t="s">
        <v>1956</v>
      </c>
      <c r="P4743" s="1" t="s">
        <v>3846</v>
      </c>
      <c r="Q4743" s="30" t="s">
        <v>2568</v>
      </c>
      <c r="R4743" s="33" t="s">
        <v>3474</v>
      </c>
      <c r="S4743">
        <v>35</v>
      </c>
      <c r="T4743" s="1" t="s">
        <v>5350</v>
      </c>
      <c r="U4743" s="1" t="str">
        <f>HYPERLINK("http://ictvonline.org/taxonomy/p/taxonomy-history?taxnode_id=202105830","ICTVonline=202105830")</f>
        <v>ICTVonline=202105830</v>
      </c>
    </row>
    <row r="4744" spans="1:21" x14ac:dyDescent="0.2">
      <c r="A4744" s="3">
        <v>4743</v>
      </c>
      <c r="B4744" s="1" t="s">
        <v>5250</v>
      </c>
      <c r="D4744" s="1" t="s">
        <v>5280</v>
      </c>
      <c r="F4744" s="1" t="s">
        <v>5347</v>
      </c>
      <c r="H4744" s="1" t="s">
        <v>5368</v>
      </c>
      <c r="J4744" s="1" t="s">
        <v>5369</v>
      </c>
      <c r="L4744" s="1" t="s">
        <v>1955</v>
      </c>
      <c r="N4744" s="1" t="s">
        <v>1956</v>
      </c>
      <c r="P4744" s="1" t="s">
        <v>503</v>
      </c>
      <c r="Q4744" s="30" t="s">
        <v>2568</v>
      </c>
      <c r="R4744" s="33" t="s">
        <v>3474</v>
      </c>
      <c r="S4744">
        <v>35</v>
      </c>
      <c r="T4744" s="1" t="s">
        <v>5350</v>
      </c>
      <c r="U4744" s="1" t="str">
        <f>HYPERLINK("http://ictvonline.org/taxonomy/p/taxonomy-history?taxnode_id=202103379","ICTVonline=202103379")</f>
        <v>ICTVonline=202103379</v>
      </c>
    </row>
    <row r="4745" spans="1:21" x14ac:dyDescent="0.2">
      <c r="A4745" s="3">
        <v>4744</v>
      </c>
      <c r="B4745" s="1" t="s">
        <v>5250</v>
      </c>
      <c r="D4745" s="1" t="s">
        <v>5280</v>
      </c>
      <c r="F4745" s="1" t="s">
        <v>5347</v>
      </c>
      <c r="H4745" s="1" t="s">
        <v>5368</v>
      </c>
      <c r="J4745" s="1" t="s">
        <v>5369</v>
      </c>
      <c r="L4745" s="1" t="s">
        <v>1955</v>
      </c>
      <c r="N4745" s="1" t="s">
        <v>1956</v>
      </c>
      <c r="P4745" s="1" t="s">
        <v>504</v>
      </c>
      <c r="Q4745" s="30" t="s">
        <v>2568</v>
      </c>
      <c r="R4745" s="33" t="s">
        <v>3474</v>
      </c>
      <c r="S4745">
        <v>35</v>
      </c>
      <c r="T4745" s="1" t="s">
        <v>5350</v>
      </c>
      <c r="U4745" s="1" t="str">
        <f>HYPERLINK("http://ictvonline.org/taxonomy/p/taxonomy-history?taxnode_id=202103380","ICTVonline=202103380")</f>
        <v>ICTVonline=202103380</v>
      </c>
    </row>
    <row r="4746" spans="1:21" x14ac:dyDescent="0.2">
      <c r="A4746" s="3">
        <v>4745</v>
      </c>
      <c r="B4746" s="1" t="s">
        <v>5250</v>
      </c>
      <c r="D4746" s="1" t="s">
        <v>5280</v>
      </c>
      <c r="F4746" s="1" t="s">
        <v>5347</v>
      </c>
      <c r="H4746" s="1" t="s">
        <v>5368</v>
      </c>
      <c r="J4746" s="1" t="s">
        <v>5369</v>
      </c>
      <c r="L4746" s="1" t="s">
        <v>1955</v>
      </c>
      <c r="N4746" s="1" t="s">
        <v>1956</v>
      </c>
      <c r="P4746" s="1" t="s">
        <v>505</v>
      </c>
      <c r="Q4746" s="30" t="s">
        <v>2568</v>
      </c>
      <c r="R4746" s="33" t="s">
        <v>3474</v>
      </c>
      <c r="S4746">
        <v>35</v>
      </c>
      <c r="T4746" s="1" t="s">
        <v>5350</v>
      </c>
      <c r="U4746" s="1" t="str">
        <f>HYPERLINK("http://ictvonline.org/taxonomy/p/taxonomy-history?taxnode_id=202103381","ICTVonline=202103381")</f>
        <v>ICTVonline=202103381</v>
      </c>
    </row>
    <row r="4747" spans="1:21" x14ac:dyDescent="0.2">
      <c r="A4747" s="3">
        <v>4746</v>
      </c>
      <c r="B4747" s="1" t="s">
        <v>5250</v>
      </c>
      <c r="D4747" s="1" t="s">
        <v>5280</v>
      </c>
      <c r="F4747" s="1" t="s">
        <v>5347</v>
      </c>
      <c r="H4747" s="1" t="s">
        <v>5368</v>
      </c>
      <c r="J4747" s="1" t="s">
        <v>5369</v>
      </c>
      <c r="L4747" s="1" t="s">
        <v>1955</v>
      </c>
      <c r="N4747" s="1" t="s">
        <v>1956</v>
      </c>
      <c r="P4747" s="1" t="s">
        <v>3847</v>
      </c>
      <c r="Q4747" s="30" t="s">
        <v>2568</v>
      </c>
      <c r="R4747" s="33" t="s">
        <v>3474</v>
      </c>
      <c r="S4747">
        <v>35</v>
      </c>
      <c r="T4747" s="1" t="s">
        <v>5350</v>
      </c>
      <c r="U4747" s="1" t="str">
        <f>HYPERLINK("http://ictvonline.org/taxonomy/p/taxonomy-history?taxnode_id=202105831","ICTVonline=202105831")</f>
        <v>ICTVonline=202105831</v>
      </c>
    </row>
    <row r="4748" spans="1:21" x14ac:dyDescent="0.2">
      <c r="A4748" s="3">
        <v>4747</v>
      </c>
      <c r="B4748" s="1" t="s">
        <v>5250</v>
      </c>
      <c r="D4748" s="1" t="s">
        <v>5280</v>
      </c>
      <c r="F4748" s="1" t="s">
        <v>5347</v>
      </c>
      <c r="H4748" s="1" t="s">
        <v>5368</v>
      </c>
      <c r="J4748" s="1" t="s">
        <v>5369</v>
      </c>
      <c r="L4748" s="1" t="s">
        <v>1955</v>
      </c>
      <c r="N4748" s="1" t="s">
        <v>1956</v>
      </c>
      <c r="P4748" s="1" t="s">
        <v>2944</v>
      </c>
      <c r="Q4748" s="30" t="s">
        <v>2568</v>
      </c>
      <c r="R4748" s="33" t="s">
        <v>3474</v>
      </c>
      <c r="S4748">
        <v>35</v>
      </c>
      <c r="T4748" s="1" t="s">
        <v>5350</v>
      </c>
      <c r="U4748" s="1" t="str">
        <f>HYPERLINK("http://ictvonline.org/taxonomy/p/taxonomy-history?taxnode_id=202103382","ICTVonline=202103382")</f>
        <v>ICTVonline=202103382</v>
      </c>
    </row>
    <row r="4749" spans="1:21" x14ac:dyDescent="0.2">
      <c r="A4749" s="3">
        <v>4748</v>
      </c>
      <c r="B4749" s="1" t="s">
        <v>5250</v>
      </c>
      <c r="D4749" s="1" t="s">
        <v>5280</v>
      </c>
      <c r="F4749" s="1" t="s">
        <v>5347</v>
      </c>
      <c r="H4749" s="1" t="s">
        <v>5368</v>
      </c>
      <c r="J4749" s="1" t="s">
        <v>5369</v>
      </c>
      <c r="L4749" s="1" t="s">
        <v>1955</v>
      </c>
      <c r="N4749" s="1" t="s">
        <v>1956</v>
      </c>
      <c r="P4749" s="1" t="s">
        <v>5382</v>
      </c>
      <c r="Q4749" s="30" t="s">
        <v>2969</v>
      </c>
      <c r="R4749" s="33" t="s">
        <v>3472</v>
      </c>
      <c r="S4749">
        <v>35</v>
      </c>
      <c r="T4749" s="1" t="s">
        <v>5371</v>
      </c>
      <c r="U4749" s="1" t="str">
        <f>HYPERLINK("http://ictvonline.org/taxonomy/p/taxonomy-history?taxnode_id=202107533","ICTVonline=202107533")</f>
        <v>ICTVonline=202107533</v>
      </c>
    </row>
    <row r="4750" spans="1:21" x14ac:dyDescent="0.2">
      <c r="A4750" s="3">
        <v>4749</v>
      </c>
      <c r="B4750" s="1" t="s">
        <v>5250</v>
      </c>
      <c r="D4750" s="1" t="s">
        <v>5280</v>
      </c>
      <c r="F4750" s="1" t="s">
        <v>5347</v>
      </c>
      <c r="H4750" s="1" t="s">
        <v>5368</v>
      </c>
      <c r="J4750" s="1" t="s">
        <v>5369</v>
      </c>
      <c r="L4750" s="1" t="s">
        <v>1955</v>
      </c>
      <c r="N4750" s="1" t="s">
        <v>1956</v>
      </c>
      <c r="P4750" s="1" t="s">
        <v>2279</v>
      </c>
      <c r="Q4750" s="30" t="s">
        <v>2568</v>
      </c>
      <c r="R4750" s="33" t="s">
        <v>3474</v>
      </c>
      <c r="S4750">
        <v>35</v>
      </c>
      <c r="T4750" s="1" t="s">
        <v>5350</v>
      </c>
      <c r="U4750" s="1" t="str">
        <f>HYPERLINK("http://ictvonline.org/taxonomy/p/taxonomy-history?taxnode_id=202103383","ICTVonline=202103383")</f>
        <v>ICTVonline=202103383</v>
      </c>
    </row>
    <row r="4751" spans="1:21" x14ac:dyDescent="0.2">
      <c r="A4751" s="3">
        <v>4750</v>
      </c>
      <c r="B4751" s="1" t="s">
        <v>5250</v>
      </c>
      <c r="D4751" s="1" t="s">
        <v>5280</v>
      </c>
      <c r="F4751" s="1" t="s">
        <v>5347</v>
      </c>
      <c r="H4751" s="1" t="s">
        <v>5368</v>
      </c>
      <c r="J4751" s="1" t="s">
        <v>5369</v>
      </c>
      <c r="L4751" s="1" t="s">
        <v>1955</v>
      </c>
      <c r="N4751" s="1" t="s">
        <v>1956</v>
      </c>
      <c r="P4751" s="1" t="s">
        <v>4839</v>
      </c>
      <c r="Q4751" s="30" t="s">
        <v>2568</v>
      </c>
      <c r="R4751" s="33" t="s">
        <v>3474</v>
      </c>
      <c r="S4751">
        <v>35</v>
      </c>
      <c r="T4751" s="1" t="s">
        <v>5350</v>
      </c>
      <c r="U4751" s="1" t="str">
        <f>HYPERLINK("http://ictvonline.org/taxonomy/p/taxonomy-history?taxnode_id=202106708","ICTVonline=202106708")</f>
        <v>ICTVonline=202106708</v>
      </c>
    </row>
    <row r="4752" spans="1:21" x14ac:dyDescent="0.2">
      <c r="A4752" s="3">
        <v>4751</v>
      </c>
      <c r="B4752" s="1" t="s">
        <v>5250</v>
      </c>
      <c r="D4752" s="1" t="s">
        <v>5280</v>
      </c>
      <c r="F4752" s="1" t="s">
        <v>5347</v>
      </c>
      <c r="H4752" s="1" t="s">
        <v>5368</v>
      </c>
      <c r="J4752" s="1" t="s">
        <v>5369</v>
      </c>
      <c r="L4752" s="1" t="s">
        <v>1955</v>
      </c>
      <c r="N4752" s="1" t="s">
        <v>1956</v>
      </c>
      <c r="P4752" s="1" t="s">
        <v>2945</v>
      </c>
      <c r="Q4752" s="30" t="s">
        <v>2568</v>
      </c>
      <c r="R4752" s="33" t="s">
        <v>3474</v>
      </c>
      <c r="S4752">
        <v>35</v>
      </c>
      <c r="T4752" s="1" t="s">
        <v>5350</v>
      </c>
      <c r="U4752" s="1" t="str">
        <f>HYPERLINK("http://ictvonline.org/taxonomy/p/taxonomy-history?taxnode_id=202103384","ICTVonline=202103384")</f>
        <v>ICTVonline=202103384</v>
      </c>
    </row>
    <row r="4753" spans="1:21" x14ac:dyDescent="0.2">
      <c r="A4753" s="3">
        <v>4752</v>
      </c>
      <c r="B4753" s="1" t="s">
        <v>5250</v>
      </c>
      <c r="D4753" s="1" t="s">
        <v>5280</v>
      </c>
      <c r="F4753" s="1" t="s">
        <v>5347</v>
      </c>
      <c r="H4753" s="1" t="s">
        <v>5368</v>
      </c>
      <c r="J4753" s="1" t="s">
        <v>5369</v>
      </c>
      <c r="L4753" s="1" t="s">
        <v>1955</v>
      </c>
      <c r="N4753" s="1" t="s">
        <v>1956</v>
      </c>
      <c r="P4753" s="1" t="s">
        <v>2946</v>
      </c>
      <c r="Q4753" s="30" t="s">
        <v>2568</v>
      </c>
      <c r="R4753" s="33" t="s">
        <v>3474</v>
      </c>
      <c r="S4753">
        <v>35</v>
      </c>
      <c r="T4753" s="1" t="s">
        <v>5350</v>
      </c>
      <c r="U4753" s="1" t="str">
        <f>HYPERLINK("http://ictvonline.org/taxonomy/p/taxonomy-history?taxnode_id=202103385","ICTVonline=202103385")</f>
        <v>ICTVonline=202103385</v>
      </c>
    </row>
    <row r="4754" spans="1:21" x14ac:dyDescent="0.2">
      <c r="A4754" s="3">
        <v>4753</v>
      </c>
      <c r="B4754" s="1" t="s">
        <v>5250</v>
      </c>
      <c r="D4754" s="1" t="s">
        <v>5280</v>
      </c>
      <c r="F4754" s="1" t="s">
        <v>5347</v>
      </c>
      <c r="H4754" s="1" t="s">
        <v>5368</v>
      </c>
      <c r="J4754" s="1" t="s">
        <v>5369</v>
      </c>
      <c r="L4754" s="1" t="s">
        <v>1955</v>
      </c>
      <c r="N4754" s="1" t="s">
        <v>1956</v>
      </c>
      <c r="P4754" s="1" t="s">
        <v>2280</v>
      </c>
      <c r="Q4754" s="30" t="s">
        <v>2568</v>
      </c>
      <c r="R4754" s="33" t="s">
        <v>3474</v>
      </c>
      <c r="S4754">
        <v>35</v>
      </c>
      <c r="T4754" s="1" t="s">
        <v>5350</v>
      </c>
      <c r="U4754" s="1" t="str">
        <f>HYPERLINK("http://ictvonline.org/taxonomy/p/taxonomy-history?taxnode_id=202103386","ICTVonline=202103386")</f>
        <v>ICTVonline=202103386</v>
      </c>
    </row>
    <row r="4755" spans="1:21" x14ac:dyDescent="0.2">
      <c r="A4755" s="3">
        <v>4754</v>
      </c>
      <c r="B4755" s="1" t="s">
        <v>5250</v>
      </c>
      <c r="D4755" s="1" t="s">
        <v>5280</v>
      </c>
      <c r="F4755" s="1" t="s">
        <v>5347</v>
      </c>
      <c r="H4755" s="1" t="s">
        <v>5368</v>
      </c>
      <c r="J4755" s="1" t="s">
        <v>5369</v>
      </c>
      <c r="L4755" s="1" t="s">
        <v>1955</v>
      </c>
      <c r="N4755" s="1" t="s">
        <v>1956</v>
      </c>
      <c r="P4755" s="1" t="s">
        <v>506</v>
      </c>
      <c r="Q4755" s="30" t="s">
        <v>2568</v>
      </c>
      <c r="R4755" s="33" t="s">
        <v>3474</v>
      </c>
      <c r="S4755">
        <v>35</v>
      </c>
      <c r="T4755" s="1" t="s">
        <v>5350</v>
      </c>
      <c r="U4755" s="1" t="str">
        <f>HYPERLINK("http://ictvonline.org/taxonomy/p/taxonomy-history?taxnode_id=202103388","ICTVonline=202103388")</f>
        <v>ICTVonline=202103388</v>
      </c>
    </row>
    <row r="4756" spans="1:21" x14ac:dyDescent="0.2">
      <c r="A4756" s="3">
        <v>4755</v>
      </c>
      <c r="B4756" s="1" t="s">
        <v>5250</v>
      </c>
      <c r="D4756" s="1" t="s">
        <v>5280</v>
      </c>
      <c r="F4756" s="1" t="s">
        <v>5347</v>
      </c>
      <c r="H4756" s="1" t="s">
        <v>5368</v>
      </c>
      <c r="J4756" s="1" t="s">
        <v>5369</v>
      </c>
      <c r="L4756" s="1" t="s">
        <v>1955</v>
      </c>
      <c r="N4756" s="1" t="s">
        <v>1956</v>
      </c>
      <c r="P4756" s="1" t="s">
        <v>2281</v>
      </c>
      <c r="Q4756" s="30" t="s">
        <v>2568</v>
      </c>
      <c r="R4756" s="33" t="s">
        <v>3474</v>
      </c>
      <c r="S4756">
        <v>35</v>
      </c>
      <c r="T4756" s="1" t="s">
        <v>5350</v>
      </c>
      <c r="U4756" s="1" t="str">
        <f>HYPERLINK("http://ictvonline.org/taxonomy/p/taxonomy-history?taxnode_id=202103389","ICTVonline=202103389")</f>
        <v>ICTVonline=202103389</v>
      </c>
    </row>
    <row r="4757" spans="1:21" x14ac:dyDescent="0.2">
      <c r="A4757" s="3">
        <v>4756</v>
      </c>
      <c r="B4757" s="1" t="s">
        <v>5250</v>
      </c>
      <c r="D4757" s="1" t="s">
        <v>5280</v>
      </c>
      <c r="F4757" s="1" t="s">
        <v>5347</v>
      </c>
      <c r="H4757" s="1" t="s">
        <v>5368</v>
      </c>
      <c r="J4757" s="1" t="s">
        <v>5369</v>
      </c>
      <c r="L4757" s="1" t="s">
        <v>1955</v>
      </c>
      <c r="N4757" s="1" t="s">
        <v>1956</v>
      </c>
      <c r="P4757" s="1" t="s">
        <v>3848</v>
      </c>
      <c r="Q4757" s="30" t="s">
        <v>2568</v>
      </c>
      <c r="R4757" s="33" t="s">
        <v>3474</v>
      </c>
      <c r="S4757">
        <v>35</v>
      </c>
      <c r="T4757" s="1" t="s">
        <v>5350</v>
      </c>
      <c r="U4757" s="1" t="str">
        <f>HYPERLINK("http://ictvonline.org/taxonomy/p/taxonomy-history?taxnode_id=202105832","ICTVonline=202105832")</f>
        <v>ICTVonline=202105832</v>
      </c>
    </row>
    <row r="4758" spans="1:21" x14ac:dyDescent="0.2">
      <c r="A4758" s="3">
        <v>4757</v>
      </c>
      <c r="B4758" s="1" t="s">
        <v>5250</v>
      </c>
      <c r="D4758" s="1" t="s">
        <v>5280</v>
      </c>
      <c r="F4758" s="1" t="s">
        <v>5347</v>
      </c>
      <c r="H4758" s="1" t="s">
        <v>5368</v>
      </c>
      <c r="J4758" s="1" t="s">
        <v>5369</v>
      </c>
      <c r="L4758" s="1" t="s">
        <v>1955</v>
      </c>
      <c r="N4758" s="1" t="s">
        <v>1956</v>
      </c>
      <c r="P4758" s="1" t="s">
        <v>3849</v>
      </c>
      <c r="Q4758" s="30" t="s">
        <v>2568</v>
      </c>
      <c r="R4758" s="33" t="s">
        <v>3474</v>
      </c>
      <c r="S4758">
        <v>35</v>
      </c>
      <c r="T4758" s="1" t="s">
        <v>5350</v>
      </c>
      <c r="U4758" s="1" t="str">
        <f>HYPERLINK("http://ictvonline.org/taxonomy/p/taxonomy-history?taxnode_id=202105833","ICTVonline=202105833")</f>
        <v>ICTVonline=202105833</v>
      </c>
    </row>
    <row r="4759" spans="1:21" x14ac:dyDescent="0.2">
      <c r="A4759" s="3">
        <v>4758</v>
      </c>
      <c r="B4759" s="1" t="s">
        <v>5250</v>
      </c>
      <c r="D4759" s="1" t="s">
        <v>5280</v>
      </c>
      <c r="F4759" s="1" t="s">
        <v>5347</v>
      </c>
      <c r="H4759" s="1" t="s">
        <v>5368</v>
      </c>
      <c r="J4759" s="1" t="s">
        <v>5369</v>
      </c>
      <c r="L4759" s="1" t="s">
        <v>1955</v>
      </c>
      <c r="N4759" s="1" t="s">
        <v>1956</v>
      </c>
      <c r="P4759" s="1" t="s">
        <v>507</v>
      </c>
      <c r="Q4759" s="30" t="s">
        <v>2568</v>
      </c>
      <c r="R4759" s="33" t="s">
        <v>3474</v>
      </c>
      <c r="S4759">
        <v>35</v>
      </c>
      <c r="T4759" s="1" t="s">
        <v>5350</v>
      </c>
      <c r="U4759" s="1" t="str">
        <f>HYPERLINK("http://ictvonline.org/taxonomy/p/taxonomy-history?taxnode_id=202103390","ICTVonline=202103390")</f>
        <v>ICTVonline=202103390</v>
      </c>
    </row>
    <row r="4760" spans="1:21" x14ac:dyDescent="0.2">
      <c r="A4760" s="3">
        <v>4759</v>
      </c>
      <c r="B4760" s="1" t="s">
        <v>5250</v>
      </c>
      <c r="D4760" s="1" t="s">
        <v>5280</v>
      </c>
      <c r="F4760" s="1" t="s">
        <v>5347</v>
      </c>
      <c r="H4760" s="1" t="s">
        <v>5368</v>
      </c>
      <c r="J4760" s="1" t="s">
        <v>5369</v>
      </c>
      <c r="L4760" s="1" t="s">
        <v>1955</v>
      </c>
      <c r="N4760" s="1" t="s">
        <v>1956</v>
      </c>
      <c r="P4760" s="1" t="s">
        <v>2947</v>
      </c>
      <c r="Q4760" s="30" t="s">
        <v>2568</v>
      </c>
      <c r="R4760" s="33" t="s">
        <v>3474</v>
      </c>
      <c r="S4760">
        <v>35</v>
      </c>
      <c r="T4760" s="1" t="s">
        <v>5350</v>
      </c>
      <c r="U4760" s="1" t="str">
        <f>HYPERLINK("http://ictvonline.org/taxonomy/p/taxonomy-history?taxnode_id=202103391","ICTVonline=202103391")</f>
        <v>ICTVonline=202103391</v>
      </c>
    </row>
    <row r="4761" spans="1:21" x14ac:dyDescent="0.2">
      <c r="A4761" s="3">
        <v>4760</v>
      </c>
      <c r="B4761" s="1" t="s">
        <v>5250</v>
      </c>
      <c r="D4761" s="1" t="s">
        <v>5280</v>
      </c>
      <c r="F4761" s="1" t="s">
        <v>5347</v>
      </c>
      <c r="H4761" s="1" t="s">
        <v>5368</v>
      </c>
      <c r="J4761" s="1" t="s">
        <v>5369</v>
      </c>
      <c r="L4761" s="1" t="s">
        <v>1955</v>
      </c>
      <c r="N4761" s="1" t="s">
        <v>1956</v>
      </c>
      <c r="P4761" s="1" t="s">
        <v>1498</v>
      </c>
      <c r="Q4761" s="30" t="s">
        <v>2568</v>
      </c>
      <c r="R4761" s="33" t="s">
        <v>3474</v>
      </c>
      <c r="S4761">
        <v>35</v>
      </c>
      <c r="T4761" s="1" t="s">
        <v>5350</v>
      </c>
      <c r="U4761" s="1" t="str">
        <f>HYPERLINK("http://ictvonline.org/taxonomy/p/taxonomy-history?taxnode_id=202103392","ICTVonline=202103392")</f>
        <v>ICTVonline=202103392</v>
      </c>
    </row>
    <row r="4762" spans="1:21" x14ac:dyDescent="0.2">
      <c r="A4762" s="3">
        <v>4761</v>
      </c>
      <c r="B4762" s="1" t="s">
        <v>5250</v>
      </c>
      <c r="D4762" s="1" t="s">
        <v>5280</v>
      </c>
      <c r="F4762" s="1" t="s">
        <v>5347</v>
      </c>
      <c r="H4762" s="1" t="s">
        <v>5368</v>
      </c>
      <c r="J4762" s="1" t="s">
        <v>5369</v>
      </c>
      <c r="L4762" s="1" t="s">
        <v>1955</v>
      </c>
      <c r="N4762" s="1" t="s">
        <v>1956</v>
      </c>
      <c r="P4762" s="1" t="s">
        <v>5383</v>
      </c>
      <c r="Q4762" s="30" t="s">
        <v>2969</v>
      </c>
      <c r="R4762" s="33" t="s">
        <v>3472</v>
      </c>
      <c r="S4762">
        <v>35</v>
      </c>
      <c r="T4762" s="1" t="s">
        <v>5371</v>
      </c>
      <c r="U4762" s="1" t="str">
        <f>HYPERLINK("http://ictvonline.org/taxonomy/p/taxonomy-history?taxnode_id=202107529","ICTVonline=202107529")</f>
        <v>ICTVonline=202107529</v>
      </c>
    </row>
    <row r="4763" spans="1:21" x14ac:dyDescent="0.2">
      <c r="A4763" s="3">
        <v>4762</v>
      </c>
      <c r="B4763" s="1" t="s">
        <v>5250</v>
      </c>
      <c r="D4763" s="1" t="s">
        <v>5280</v>
      </c>
      <c r="F4763" s="1" t="s">
        <v>5347</v>
      </c>
      <c r="H4763" s="1" t="s">
        <v>5368</v>
      </c>
      <c r="J4763" s="1" t="s">
        <v>5369</v>
      </c>
      <c r="L4763" s="1" t="s">
        <v>1955</v>
      </c>
      <c r="N4763" s="1" t="s">
        <v>1956</v>
      </c>
      <c r="P4763" s="1" t="s">
        <v>2282</v>
      </c>
      <c r="Q4763" s="30" t="s">
        <v>2568</v>
      </c>
      <c r="R4763" s="33" t="s">
        <v>3474</v>
      </c>
      <c r="S4763">
        <v>35</v>
      </c>
      <c r="T4763" s="1" t="s">
        <v>5350</v>
      </c>
      <c r="U4763" s="1" t="str">
        <f>HYPERLINK("http://ictvonline.org/taxonomy/p/taxonomy-history?taxnode_id=202103394","ICTVonline=202103394")</f>
        <v>ICTVonline=202103394</v>
      </c>
    </row>
    <row r="4764" spans="1:21" x14ac:dyDescent="0.2">
      <c r="A4764" s="3">
        <v>4763</v>
      </c>
      <c r="B4764" s="1" t="s">
        <v>5250</v>
      </c>
      <c r="D4764" s="1" t="s">
        <v>5280</v>
      </c>
      <c r="F4764" s="1" t="s">
        <v>5347</v>
      </c>
      <c r="H4764" s="1" t="s">
        <v>5368</v>
      </c>
      <c r="J4764" s="1" t="s">
        <v>5369</v>
      </c>
      <c r="L4764" s="1" t="s">
        <v>1955</v>
      </c>
      <c r="N4764" s="1" t="s">
        <v>1956</v>
      </c>
      <c r="P4764" s="1" t="s">
        <v>2283</v>
      </c>
      <c r="Q4764" s="30" t="s">
        <v>2568</v>
      </c>
      <c r="R4764" s="33" t="s">
        <v>3474</v>
      </c>
      <c r="S4764">
        <v>35</v>
      </c>
      <c r="T4764" s="1" t="s">
        <v>5350</v>
      </c>
      <c r="U4764" s="1" t="str">
        <f>HYPERLINK("http://ictvonline.org/taxonomy/p/taxonomy-history?taxnode_id=202103395","ICTVonline=202103395")</f>
        <v>ICTVonline=202103395</v>
      </c>
    </row>
    <row r="4765" spans="1:21" x14ac:dyDescent="0.2">
      <c r="A4765" s="3">
        <v>4764</v>
      </c>
      <c r="B4765" s="1" t="s">
        <v>5250</v>
      </c>
      <c r="D4765" s="1" t="s">
        <v>5280</v>
      </c>
      <c r="F4765" s="1" t="s">
        <v>5347</v>
      </c>
      <c r="H4765" s="1" t="s">
        <v>5368</v>
      </c>
      <c r="J4765" s="1" t="s">
        <v>5369</v>
      </c>
      <c r="L4765" s="1" t="s">
        <v>1955</v>
      </c>
      <c r="N4765" s="1" t="s">
        <v>1956</v>
      </c>
      <c r="P4765" s="1" t="s">
        <v>1499</v>
      </c>
      <c r="Q4765" s="30" t="s">
        <v>2568</v>
      </c>
      <c r="R4765" s="33" t="s">
        <v>3474</v>
      </c>
      <c r="S4765">
        <v>35</v>
      </c>
      <c r="T4765" s="1" t="s">
        <v>5350</v>
      </c>
      <c r="U4765" s="1" t="str">
        <f>HYPERLINK("http://ictvonline.org/taxonomy/p/taxonomy-history?taxnode_id=202103396","ICTVonline=202103396")</f>
        <v>ICTVonline=202103396</v>
      </c>
    </row>
    <row r="4766" spans="1:21" x14ac:dyDescent="0.2">
      <c r="A4766" s="3">
        <v>4765</v>
      </c>
      <c r="B4766" s="1" t="s">
        <v>5250</v>
      </c>
      <c r="D4766" s="1" t="s">
        <v>5280</v>
      </c>
      <c r="F4766" s="1" t="s">
        <v>5347</v>
      </c>
      <c r="H4766" s="1" t="s">
        <v>5368</v>
      </c>
      <c r="J4766" s="1" t="s">
        <v>5369</v>
      </c>
      <c r="L4766" s="1" t="s">
        <v>1955</v>
      </c>
      <c r="N4766" s="1" t="s">
        <v>1956</v>
      </c>
      <c r="P4766" s="1" t="s">
        <v>1500</v>
      </c>
      <c r="Q4766" s="30" t="s">
        <v>2568</v>
      </c>
      <c r="R4766" s="33" t="s">
        <v>3474</v>
      </c>
      <c r="S4766">
        <v>35</v>
      </c>
      <c r="T4766" s="1" t="s">
        <v>5350</v>
      </c>
      <c r="U4766" s="1" t="str">
        <f>HYPERLINK("http://ictvonline.org/taxonomy/p/taxonomy-history?taxnode_id=202103397","ICTVonline=202103397")</f>
        <v>ICTVonline=202103397</v>
      </c>
    </row>
    <row r="4767" spans="1:21" x14ac:dyDescent="0.2">
      <c r="A4767" s="3">
        <v>4766</v>
      </c>
      <c r="B4767" s="1" t="s">
        <v>5250</v>
      </c>
      <c r="D4767" s="1" t="s">
        <v>5280</v>
      </c>
      <c r="F4767" s="1" t="s">
        <v>5347</v>
      </c>
      <c r="H4767" s="1" t="s">
        <v>5368</v>
      </c>
      <c r="J4767" s="1" t="s">
        <v>5369</v>
      </c>
      <c r="L4767" s="1" t="s">
        <v>1955</v>
      </c>
      <c r="N4767" s="1" t="s">
        <v>1956</v>
      </c>
      <c r="P4767" s="1" t="s">
        <v>2284</v>
      </c>
      <c r="Q4767" s="30" t="s">
        <v>2568</v>
      </c>
      <c r="R4767" s="33" t="s">
        <v>3474</v>
      </c>
      <c r="S4767">
        <v>35</v>
      </c>
      <c r="T4767" s="1" t="s">
        <v>5350</v>
      </c>
      <c r="U4767" s="1" t="str">
        <f>HYPERLINK("http://ictvonline.org/taxonomy/p/taxonomy-history?taxnode_id=202103398","ICTVonline=202103398")</f>
        <v>ICTVonline=202103398</v>
      </c>
    </row>
    <row r="4768" spans="1:21" x14ac:dyDescent="0.2">
      <c r="A4768" s="3">
        <v>4767</v>
      </c>
      <c r="B4768" s="1" t="s">
        <v>5250</v>
      </c>
      <c r="D4768" s="1" t="s">
        <v>5280</v>
      </c>
      <c r="F4768" s="1" t="s">
        <v>5347</v>
      </c>
      <c r="H4768" s="1" t="s">
        <v>5368</v>
      </c>
      <c r="J4768" s="1" t="s">
        <v>5369</v>
      </c>
      <c r="L4768" s="1" t="s">
        <v>1955</v>
      </c>
      <c r="N4768" s="1" t="s">
        <v>1956</v>
      </c>
      <c r="P4768" s="1" t="s">
        <v>2285</v>
      </c>
      <c r="Q4768" s="30" t="s">
        <v>2568</v>
      </c>
      <c r="R4768" s="33" t="s">
        <v>3474</v>
      </c>
      <c r="S4768">
        <v>35</v>
      </c>
      <c r="T4768" s="1" t="s">
        <v>5350</v>
      </c>
      <c r="U4768" s="1" t="str">
        <f>HYPERLINK("http://ictvonline.org/taxonomy/p/taxonomy-history?taxnode_id=202103399","ICTVonline=202103399")</f>
        <v>ICTVonline=202103399</v>
      </c>
    </row>
    <row r="4769" spans="1:21" x14ac:dyDescent="0.2">
      <c r="A4769" s="3">
        <v>4768</v>
      </c>
      <c r="B4769" s="1" t="s">
        <v>5250</v>
      </c>
      <c r="D4769" s="1" t="s">
        <v>5280</v>
      </c>
      <c r="F4769" s="1" t="s">
        <v>5347</v>
      </c>
      <c r="H4769" s="1" t="s">
        <v>5368</v>
      </c>
      <c r="J4769" s="1" t="s">
        <v>5369</v>
      </c>
      <c r="L4769" s="1" t="s">
        <v>1955</v>
      </c>
      <c r="N4769" s="1" t="s">
        <v>1956</v>
      </c>
      <c r="P4769" s="1" t="s">
        <v>2286</v>
      </c>
      <c r="Q4769" s="30" t="s">
        <v>2568</v>
      </c>
      <c r="R4769" s="33" t="s">
        <v>3474</v>
      </c>
      <c r="S4769">
        <v>35</v>
      </c>
      <c r="T4769" s="1" t="s">
        <v>5350</v>
      </c>
      <c r="U4769" s="1" t="str">
        <f>HYPERLINK("http://ictvonline.org/taxonomy/p/taxonomy-history?taxnode_id=202103400","ICTVonline=202103400")</f>
        <v>ICTVonline=202103400</v>
      </c>
    </row>
    <row r="4770" spans="1:21" x14ac:dyDescent="0.2">
      <c r="A4770" s="3">
        <v>4769</v>
      </c>
      <c r="B4770" s="1" t="s">
        <v>5250</v>
      </c>
      <c r="D4770" s="1" t="s">
        <v>5280</v>
      </c>
      <c r="F4770" s="1" t="s">
        <v>5347</v>
      </c>
      <c r="H4770" s="1" t="s">
        <v>5368</v>
      </c>
      <c r="J4770" s="1" t="s">
        <v>5369</v>
      </c>
      <c r="L4770" s="1" t="s">
        <v>1955</v>
      </c>
      <c r="N4770" s="1" t="s">
        <v>1956</v>
      </c>
      <c r="P4770" s="1" t="s">
        <v>2948</v>
      </c>
      <c r="Q4770" s="30" t="s">
        <v>2568</v>
      </c>
      <c r="R4770" s="33" t="s">
        <v>3474</v>
      </c>
      <c r="S4770">
        <v>35</v>
      </c>
      <c r="T4770" s="1" t="s">
        <v>5350</v>
      </c>
      <c r="U4770" s="1" t="str">
        <f>HYPERLINK("http://ictvonline.org/taxonomy/p/taxonomy-history?taxnode_id=202103401","ICTVonline=202103401")</f>
        <v>ICTVonline=202103401</v>
      </c>
    </row>
    <row r="4771" spans="1:21" x14ac:dyDescent="0.2">
      <c r="A4771" s="3">
        <v>4770</v>
      </c>
      <c r="B4771" s="1" t="s">
        <v>5250</v>
      </c>
      <c r="D4771" s="1" t="s">
        <v>5280</v>
      </c>
      <c r="F4771" s="1" t="s">
        <v>5347</v>
      </c>
      <c r="H4771" s="1" t="s">
        <v>5368</v>
      </c>
      <c r="J4771" s="1" t="s">
        <v>5369</v>
      </c>
      <c r="L4771" s="1" t="s">
        <v>1955</v>
      </c>
      <c r="N4771" s="1" t="s">
        <v>1956</v>
      </c>
      <c r="P4771" s="1" t="s">
        <v>2949</v>
      </c>
      <c r="Q4771" s="30" t="s">
        <v>2568</v>
      </c>
      <c r="R4771" s="33" t="s">
        <v>3474</v>
      </c>
      <c r="S4771">
        <v>35</v>
      </c>
      <c r="T4771" s="1" t="s">
        <v>5350</v>
      </c>
      <c r="U4771" s="1" t="str">
        <f>HYPERLINK("http://ictvonline.org/taxonomy/p/taxonomy-history?taxnode_id=202103402","ICTVonline=202103402")</f>
        <v>ICTVonline=202103402</v>
      </c>
    </row>
    <row r="4772" spans="1:21" x14ac:dyDescent="0.2">
      <c r="A4772" s="3">
        <v>4771</v>
      </c>
      <c r="B4772" s="1" t="s">
        <v>5250</v>
      </c>
      <c r="D4772" s="1" t="s">
        <v>5280</v>
      </c>
      <c r="F4772" s="1" t="s">
        <v>5347</v>
      </c>
      <c r="H4772" s="1" t="s">
        <v>5368</v>
      </c>
      <c r="J4772" s="1" t="s">
        <v>5369</v>
      </c>
      <c r="L4772" s="1" t="s">
        <v>1955</v>
      </c>
      <c r="N4772" s="1" t="s">
        <v>1956</v>
      </c>
      <c r="P4772" s="1" t="s">
        <v>1691</v>
      </c>
      <c r="Q4772" s="30" t="s">
        <v>2568</v>
      </c>
      <c r="R4772" s="33" t="s">
        <v>3474</v>
      </c>
      <c r="S4772">
        <v>35</v>
      </c>
      <c r="T4772" s="1" t="s">
        <v>5350</v>
      </c>
      <c r="U4772" s="1" t="str">
        <f>HYPERLINK("http://ictvonline.org/taxonomy/p/taxonomy-history?taxnode_id=202103403","ICTVonline=202103403")</f>
        <v>ICTVonline=202103403</v>
      </c>
    </row>
    <row r="4773" spans="1:21" x14ac:dyDescent="0.2">
      <c r="A4773" s="3">
        <v>4772</v>
      </c>
      <c r="B4773" s="1" t="s">
        <v>5250</v>
      </c>
      <c r="D4773" s="1" t="s">
        <v>5280</v>
      </c>
      <c r="F4773" s="1" t="s">
        <v>5347</v>
      </c>
      <c r="H4773" s="1" t="s">
        <v>5368</v>
      </c>
      <c r="J4773" s="1" t="s">
        <v>5369</v>
      </c>
      <c r="L4773" s="1" t="s">
        <v>1955</v>
      </c>
      <c r="N4773" s="1" t="s">
        <v>1956</v>
      </c>
      <c r="P4773" s="1" t="s">
        <v>5384</v>
      </c>
      <c r="Q4773" s="30" t="s">
        <v>2969</v>
      </c>
      <c r="R4773" s="33" t="s">
        <v>3472</v>
      </c>
      <c r="S4773">
        <v>35</v>
      </c>
      <c r="T4773" s="1" t="s">
        <v>5371</v>
      </c>
      <c r="U4773" s="1" t="str">
        <f>HYPERLINK("http://ictvonline.org/taxonomy/p/taxonomy-history?taxnode_id=202107530","ICTVonline=202107530")</f>
        <v>ICTVonline=202107530</v>
      </c>
    </row>
    <row r="4774" spans="1:21" x14ac:dyDescent="0.2">
      <c r="A4774" s="3">
        <v>4773</v>
      </c>
      <c r="B4774" s="1" t="s">
        <v>5250</v>
      </c>
      <c r="D4774" s="1" t="s">
        <v>5280</v>
      </c>
      <c r="F4774" s="1" t="s">
        <v>5347</v>
      </c>
      <c r="H4774" s="1" t="s">
        <v>5368</v>
      </c>
      <c r="J4774" s="1" t="s">
        <v>5369</v>
      </c>
      <c r="L4774" s="1" t="s">
        <v>1955</v>
      </c>
      <c r="N4774" s="1" t="s">
        <v>1956</v>
      </c>
      <c r="P4774" s="1" t="s">
        <v>2287</v>
      </c>
      <c r="Q4774" s="30" t="s">
        <v>2568</v>
      </c>
      <c r="R4774" s="33" t="s">
        <v>3474</v>
      </c>
      <c r="S4774">
        <v>35</v>
      </c>
      <c r="T4774" s="1" t="s">
        <v>5350</v>
      </c>
      <c r="U4774" s="1" t="str">
        <f>HYPERLINK("http://ictvonline.org/taxonomy/p/taxonomy-history?taxnode_id=202103404","ICTVonline=202103404")</f>
        <v>ICTVonline=202103404</v>
      </c>
    </row>
    <row r="4775" spans="1:21" x14ac:dyDescent="0.2">
      <c r="A4775" s="3">
        <v>4774</v>
      </c>
      <c r="B4775" s="1" t="s">
        <v>5250</v>
      </c>
      <c r="D4775" s="1" t="s">
        <v>5280</v>
      </c>
      <c r="F4775" s="1" t="s">
        <v>5347</v>
      </c>
      <c r="H4775" s="1" t="s">
        <v>5368</v>
      </c>
      <c r="J4775" s="1" t="s">
        <v>5369</v>
      </c>
      <c r="L4775" s="1" t="s">
        <v>1955</v>
      </c>
      <c r="N4775" s="1" t="s">
        <v>1956</v>
      </c>
      <c r="P4775" s="1" t="s">
        <v>3850</v>
      </c>
      <c r="Q4775" s="30" t="s">
        <v>2568</v>
      </c>
      <c r="R4775" s="33" t="s">
        <v>3474</v>
      </c>
      <c r="S4775">
        <v>35</v>
      </c>
      <c r="T4775" s="1" t="s">
        <v>5350</v>
      </c>
      <c r="U4775" s="1" t="str">
        <f>HYPERLINK("http://ictvonline.org/taxonomy/p/taxonomy-history?taxnode_id=202105834","ICTVonline=202105834")</f>
        <v>ICTVonline=202105834</v>
      </c>
    </row>
    <row r="4776" spans="1:21" x14ac:dyDescent="0.2">
      <c r="A4776" s="3">
        <v>4775</v>
      </c>
      <c r="B4776" s="1" t="s">
        <v>5250</v>
      </c>
      <c r="D4776" s="1" t="s">
        <v>5280</v>
      </c>
      <c r="F4776" s="1" t="s">
        <v>5347</v>
      </c>
      <c r="H4776" s="1" t="s">
        <v>5368</v>
      </c>
      <c r="J4776" s="1" t="s">
        <v>5369</v>
      </c>
      <c r="L4776" s="1" t="s">
        <v>1955</v>
      </c>
      <c r="N4776" s="1" t="s">
        <v>1956</v>
      </c>
      <c r="P4776" s="1" t="s">
        <v>1692</v>
      </c>
      <c r="Q4776" s="30" t="s">
        <v>2568</v>
      </c>
      <c r="R4776" s="33" t="s">
        <v>3474</v>
      </c>
      <c r="S4776">
        <v>35</v>
      </c>
      <c r="T4776" s="1" t="s">
        <v>5350</v>
      </c>
      <c r="U4776" s="1" t="str">
        <f>HYPERLINK("http://ictvonline.org/taxonomy/p/taxonomy-history?taxnode_id=202103405","ICTVonline=202103405")</f>
        <v>ICTVonline=202103405</v>
      </c>
    </row>
    <row r="4777" spans="1:21" x14ac:dyDescent="0.2">
      <c r="A4777" s="3">
        <v>4776</v>
      </c>
      <c r="B4777" s="1" t="s">
        <v>5250</v>
      </c>
      <c r="D4777" s="1" t="s">
        <v>5280</v>
      </c>
      <c r="F4777" s="1" t="s">
        <v>5347</v>
      </c>
      <c r="H4777" s="1" t="s">
        <v>5368</v>
      </c>
      <c r="J4777" s="1" t="s">
        <v>5369</v>
      </c>
      <c r="L4777" s="1" t="s">
        <v>1955</v>
      </c>
      <c r="N4777" s="1" t="s">
        <v>1956</v>
      </c>
      <c r="P4777" s="1" t="s">
        <v>2288</v>
      </c>
      <c r="Q4777" s="30" t="s">
        <v>2568</v>
      </c>
      <c r="R4777" s="33" t="s">
        <v>3474</v>
      </c>
      <c r="S4777">
        <v>35</v>
      </c>
      <c r="T4777" s="1" t="s">
        <v>5350</v>
      </c>
      <c r="U4777" s="1" t="str">
        <f>HYPERLINK("http://ictvonline.org/taxonomy/p/taxonomy-history?taxnode_id=202103406","ICTVonline=202103406")</f>
        <v>ICTVonline=202103406</v>
      </c>
    </row>
    <row r="4778" spans="1:21" x14ac:dyDescent="0.2">
      <c r="A4778" s="3">
        <v>4777</v>
      </c>
      <c r="B4778" s="1" t="s">
        <v>5250</v>
      </c>
      <c r="D4778" s="1" t="s">
        <v>5280</v>
      </c>
      <c r="F4778" s="1" t="s">
        <v>5347</v>
      </c>
      <c r="H4778" s="1" t="s">
        <v>5368</v>
      </c>
      <c r="J4778" s="1" t="s">
        <v>5369</v>
      </c>
      <c r="L4778" s="1" t="s">
        <v>1955</v>
      </c>
      <c r="N4778" s="1" t="s">
        <v>1956</v>
      </c>
      <c r="P4778" s="1" t="s">
        <v>1693</v>
      </c>
      <c r="Q4778" s="30" t="s">
        <v>2568</v>
      </c>
      <c r="R4778" s="33" t="s">
        <v>3474</v>
      </c>
      <c r="S4778">
        <v>35</v>
      </c>
      <c r="T4778" s="1" t="s">
        <v>5350</v>
      </c>
      <c r="U4778" s="1" t="str">
        <f>HYPERLINK("http://ictvonline.org/taxonomy/p/taxonomy-history?taxnode_id=202103407","ICTVonline=202103407")</f>
        <v>ICTVonline=202103407</v>
      </c>
    </row>
    <row r="4779" spans="1:21" x14ac:dyDescent="0.2">
      <c r="A4779" s="3">
        <v>4778</v>
      </c>
      <c r="B4779" s="1" t="s">
        <v>5250</v>
      </c>
      <c r="D4779" s="1" t="s">
        <v>5280</v>
      </c>
      <c r="F4779" s="1" t="s">
        <v>5347</v>
      </c>
      <c r="H4779" s="1" t="s">
        <v>5368</v>
      </c>
      <c r="J4779" s="1" t="s">
        <v>5369</v>
      </c>
      <c r="L4779" s="1" t="s">
        <v>1955</v>
      </c>
      <c r="N4779" s="1" t="s">
        <v>1956</v>
      </c>
      <c r="P4779" s="1" t="s">
        <v>2289</v>
      </c>
      <c r="Q4779" s="30" t="s">
        <v>2568</v>
      </c>
      <c r="R4779" s="33" t="s">
        <v>3474</v>
      </c>
      <c r="S4779">
        <v>35</v>
      </c>
      <c r="T4779" s="1" t="s">
        <v>5350</v>
      </c>
      <c r="U4779" s="1" t="str">
        <f>HYPERLINK("http://ictvonline.org/taxonomy/p/taxonomy-history?taxnode_id=202103408","ICTVonline=202103408")</f>
        <v>ICTVonline=202103408</v>
      </c>
    </row>
    <row r="4780" spans="1:21" x14ac:dyDescent="0.2">
      <c r="A4780" s="3">
        <v>4779</v>
      </c>
      <c r="B4780" s="1" t="s">
        <v>5250</v>
      </c>
      <c r="D4780" s="1" t="s">
        <v>5280</v>
      </c>
      <c r="F4780" s="1" t="s">
        <v>5347</v>
      </c>
      <c r="H4780" s="1" t="s">
        <v>5368</v>
      </c>
      <c r="J4780" s="1" t="s">
        <v>5369</v>
      </c>
      <c r="L4780" s="1" t="s">
        <v>1955</v>
      </c>
      <c r="N4780" s="1" t="s">
        <v>1956</v>
      </c>
      <c r="P4780" s="1" t="s">
        <v>3851</v>
      </c>
      <c r="Q4780" s="30" t="s">
        <v>2568</v>
      </c>
      <c r="R4780" s="33" t="s">
        <v>3474</v>
      </c>
      <c r="S4780">
        <v>35</v>
      </c>
      <c r="T4780" s="1" t="s">
        <v>5350</v>
      </c>
      <c r="U4780" s="1" t="str">
        <f>HYPERLINK("http://ictvonline.org/taxonomy/p/taxonomy-history?taxnode_id=202105835","ICTVonline=202105835")</f>
        <v>ICTVonline=202105835</v>
      </c>
    </row>
    <row r="4781" spans="1:21" x14ac:dyDescent="0.2">
      <c r="A4781" s="3">
        <v>4780</v>
      </c>
      <c r="B4781" s="1" t="s">
        <v>5250</v>
      </c>
      <c r="D4781" s="1" t="s">
        <v>5280</v>
      </c>
      <c r="F4781" s="1" t="s">
        <v>5347</v>
      </c>
      <c r="H4781" s="1" t="s">
        <v>5368</v>
      </c>
      <c r="J4781" s="1" t="s">
        <v>5369</v>
      </c>
      <c r="L4781" s="1" t="s">
        <v>1955</v>
      </c>
      <c r="N4781" s="1" t="s">
        <v>1956</v>
      </c>
      <c r="P4781" s="1" t="s">
        <v>2950</v>
      </c>
      <c r="Q4781" s="30" t="s">
        <v>2568</v>
      </c>
      <c r="R4781" s="33" t="s">
        <v>3474</v>
      </c>
      <c r="S4781">
        <v>35</v>
      </c>
      <c r="T4781" s="1" t="s">
        <v>5350</v>
      </c>
      <c r="U4781" s="1" t="str">
        <f>HYPERLINK("http://ictvonline.org/taxonomy/p/taxonomy-history?taxnode_id=202103409","ICTVonline=202103409")</f>
        <v>ICTVonline=202103409</v>
      </c>
    </row>
    <row r="4782" spans="1:21" x14ac:dyDescent="0.2">
      <c r="A4782" s="3">
        <v>4781</v>
      </c>
      <c r="B4782" s="1" t="s">
        <v>5250</v>
      </c>
      <c r="D4782" s="1" t="s">
        <v>5280</v>
      </c>
      <c r="F4782" s="1" t="s">
        <v>5347</v>
      </c>
      <c r="H4782" s="1" t="s">
        <v>5368</v>
      </c>
      <c r="J4782" s="1" t="s">
        <v>5369</v>
      </c>
      <c r="L4782" s="1" t="s">
        <v>1955</v>
      </c>
      <c r="N4782" s="1" t="s">
        <v>1956</v>
      </c>
      <c r="P4782" s="1" t="s">
        <v>3852</v>
      </c>
      <c r="Q4782" s="30" t="s">
        <v>2568</v>
      </c>
      <c r="R4782" s="33" t="s">
        <v>3474</v>
      </c>
      <c r="S4782">
        <v>35</v>
      </c>
      <c r="T4782" s="1" t="s">
        <v>5350</v>
      </c>
      <c r="U4782" s="1" t="str">
        <f>HYPERLINK("http://ictvonline.org/taxonomy/p/taxonomy-history?taxnode_id=202105836","ICTVonline=202105836")</f>
        <v>ICTVonline=202105836</v>
      </c>
    </row>
    <row r="4783" spans="1:21" x14ac:dyDescent="0.2">
      <c r="A4783" s="3">
        <v>4782</v>
      </c>
      <c r="B4783" s="1" t="s">
        <v>5250</v>
      </c>
      <c r="D4783" s="1" t="s">
        <v>5280</v>
      </c>
      <c r="F4783" s="1" t="s">
        <v>5347</v>
      </c>
      <c r="H4783" s="1" t="s">
        <v>5368</v>
      </c>
      <c r="J4783" s="1" t="s">
        <v>5369</v>
      </c>
      <c r="L4783" s="1" t="s">
        <v>1955</v>
      </c>
      <c r="N4783" s="1" t="s">
        <v>1956</v>
      </c>
      <c r="P4783" s="1" t="s">
        <v>1694</v>
      </c>
      <c r="Q4783" s="30" t="s">
        <v>2568</v>
      </c>
      <c r="R4783" s="33" t="s">
        <v>3474</v>
      </c>
      <c r="S4783">
        <v>35</v>
      </c>
      <c r="T4783" s="1" t="s">
        <v>5350</v>
      </c>
      <c r="U4783" s="1" t="str">
        <f>HYPERLINK("http://ictvonline.org/taxonomy/p/taxonomy-history?taxnode_id=202103410","ICTVonline=202103410")</f>
        <v>ICTVonline=202103410</v>
      </c>
    </row>
    <row r="4784" spans="1:21" x14ac:dyDescent="0.2">
      <c r="A4784" s="3">
        <v>4783</v>
      </c>
      <c r="B4784" s="1" t="s">
        <v>5250</v>
      </c>
      <c r="D4784" s="1" t="s">
        <v>5280</v>
      </c>
      <c r="F4784" s="1" t="s">
        <v>5347</v>
      </c>
      <c r="H4784" s="1" t="s">
        <v>5368</v>
      </c>
      <c r="J4784" s="1" t="s">
        <v>5369</v>
      </c>
      <c r="L4784" s="1" t="s">
        <v>1955</v>
      </c>
      <c r="N4784" s="1" t="s">
        <v>1956</v>
      </c>
      <c r="P4784" s="1" t="s">
        <v>1695</v>
      </c>
      <c r="Q4784" s="30" t="s">
        <v>2568</v>
      </c>
      <c r="R4784" s="33" t="s">
        <v>3474</v>
      </c>
      <c r="S4784">
        <v>35</v>
      </c>
      <c r="T4784" s="1" t="s">
        <v>5350</v>
      </c>
      <c r="U4784" s="1" t="str">
        <f>HYPERLINK("http://ictvonline.org/taxonomy/p/taxonomy-history?taxnode_id=202103411","ICTVonline=202103411")</f>
        <v>ICTVonline=202103411</v>
      </c>
    </row>
    <row r="4785" spans="1:21" x14ac:dyDescent="0.2">
      <c r="A4785" s="3">
        <v>4784</v>
      </c>
      <c r="B4785" s="1" t="s">
        <v>5250</v>
      </c>
      <c r="D4785" s="1" t="s">
        <v>5280</v>
      </c>
      <c r="F4785" s="1" t="s">
        <v>5347</v>
      </c>
      <c r="H4785" s="1" t="s">
        <v>5368</v>
      </c>
      <c r="J4785" s="1" t="s">
        <v>5369</v>
      </c>
      <c r="L4785" s="1" t="s">
        <v>1955</v>
      </c>
      <c r="N4785" s="1" t="s">
        <v>1956</v>
      </c>
      <c r="P4785" s="1" t="s">
        <v>2290</v>
      </c>
      <c r="Q4785" s="30" t="s">
        <v>2568</v>
      </c>
      <c r="R4785" s="33" t="s">
        <v>3474</v>
      </c>
      <c r="S4785">
        <v>35</v>
      </c>
      <c r="T4785" s="1" t="s">
        <v>5350</v>
      </c>
      <c r="U4785" s="1" t="str">
        <f>HYPERLINK("http://ictvonline.org/taxonomy/p/taxonomy-history?taxnode_id=202103412","ICTVonline=202103412")</f>
        <v>ICTVonline=202103412</v>
      </c>
    </row>
    <row r="4786" spans="1:21" x14ac:dyDescent="0.2">
      <c r="A4786" s="3">
        <v>4785</v>
      </c>
      <c r="B4786" s="1" t="s">
        <v>5250</v>
      </c>
      <c r="D4786" s="1" t="s">
        <v>5280</v>
      </c>
      <c r="F4786" s="1" t="s">
        <v>5347</v>
      </c>
      <c r="H4786" s="1" t="s">
        <v>5368</v>
      </c>
      <c r="J4786" s="1" t="s">
        <v>5369</v>
      </c>
      <c r="L4786" s="1" t="s">
        <v>1955</v>
      </c>
      <c r="N4786" s="1" t="s">
        <v>1956</v>
      </c>
      <c r="P4786" s="1" t="s">
        <v>2951</v>
      </c>
      <c r="Q4786" s="30" t="s">
        <v>2568</v>
      </c>
      <c r="R4786" s="33" t="s">
        <v>3474</v>
      </c>
      <c r="S4786">
        <v>35</v>
      </c>
      <c r="T4786" s="1" t="s">
        <v>5350</v>
      </c>
      <c r="U4786" s="1" t="str">
        <f>HYPERLINK("http://ictvonline.org/taxonomy/p/taxonomy-history?taxnode_id=202103413","ICTVonline=202103413")</f>
        <v>ICTVonline=202103413</v>
      </c>
    </row>
    <row r="4787" spans="1:21" x14ac:dyDescent="0.2">
      <c r="A4787" s="3">
        <v>4786</v>
      </c>
      <c r="B4787" s="1" t="s">
        <v>5250</v>
      </c>
      <c r="D4787" s="1" t="s">
        <v>5280</v>
      </c>
      <c r="F4787" s="1" t="s">
        <v>5347</v>
      </c>
      <c r="H4787" s="1" t="s">
        <v>5368</v>
      </c>
      <c r="J4787" s="1" t="s">
        <v>5369</v>
      </c>
      <c r="L4787" s="1" t="s">
        <v>1955</v>
      </c>
      <c r="N4787" s="1" t="s">
        <v>1956</v>
      </c>
      <c r="P4787" s="1" t="s">
        <v>3853</v>
      </c>
      <c r="Q4787" s="30" t="s">
        <v>2568</v>
      </c>
      <c r="R4787" s="33" t="s">
        <v>3474</v>
      </c>
      <c r="S4787">
        <v>35</v>
      </c>
      <c r="T4787" s="1" t="s">
        <v>5350</v>
      </c>
      <c r="U4787" s="1" t="str">
        <f>HYPERLINK("http://ictvonline.org/taxonomy/p/taxonomy-history?taxnode_id=202105837","ICTVonline=202105837")</f>
        <v>ICTVonline=202105837</v>
      </c>
    </row>
    <row r="4788" spans="1:21" x14ac:dyDescent="0.2">
      <c r="A4788" s="3">
        <v>4787</v>
      </c>
      <c r="B4788" s="1" t="s">
        <v>5250</v>
      </c>
      <c r="D4788" s="1" t="s">
        <v>5280</v>
      </c>
      <c r="F4788" s="1" t="s">
        <v>5347</v>
      </c>
      <c r="H4788" s="1" t="s">
        <v>5368</v>
      </c>
      <c r="J4788" s="1" t="s">
        <v>5369</v>
      </c>
      <c r="L4788" s="1" t="s">
        <v>1955</v>
      </c>
      <c r="N4788" s="1" t="s">
        <v>1956</v>
      </c>
      <c r="P4788" s="1" t="s">
        <v>2291</v>
      </c>
      <c r="Q4788" s="30" t="s">
        <v>2568</v>
      </c>
      <c r="R4788" s="33" t="s">
        <v>3474</v>
      </c>
      <c r="S4788">
        <v>35</v>
      </c>
      <c r="T4788" s="1" t="s">
        <v>5350</v>
      </c>
      <c r="U4788" s="1" t="str">
        <f>HYPERLINK("http://ictvonline.org/taxonomy/p/taxonomy-history?taxnode_id=202103414","ICTVonline=202103414")</f>
        <v>ICTVonline=202103414</v>
      </c>
    </row>
    <row r="4789" spans="1:21" x14ac:dyDescent="0.2">
      <c r="A4789" s="3">
        <v>4788</v>
      </c>
      <c r="B4789" s="1" t="s">
        <v>5250</v>
      </c>
      <c r="D4789" s="1" t="s">
        <v>5280</v>
      </c>
      <c r="F4789" s="1" t="s">
        <v>5347</v>
      </c>
      <c r="H4789" s="1" t="s">
        <v>5368</v>
      </c>
      <c r="J4789" s="1" t="s">
        <v>5369</v>
      </c>
      <c r="L4789" s="1" t="s">
        <v>1955</v>
      </c>
      <c r="N4789" s="1" t="s">
        <v>1956</v>
      </c>
      <c r="P4789" s="1" t="s">
        <v>1696</v>
      </c>
      <c r="Q4789" s="30" t="s">
        <v>2568</v>
      </c>
      <c r="R4789" s="33" t="s">
        <v>3474</v>
      </c>
      <c r="S4789">
        <v>35</v>
      </c>
      <c r="T4789" s="1" t="s">
        <v>5350</v>
      </c>
      <c r="U4789" s="1" t="str">
        <f>HYPERLINK("http://ictvonline.org/taxonomy/p/taxonomy-history?taxnode_id=202103415","ICTVonline=202103415")</f>
        <v>ICTVonline=202103415</v>
      </c>
    </row>
    <row r="4790" spans="1:21" x14ac:dyDescent="0.2">
      <c r="A4790" s="3">
        <v>4789</v>
      </c>
      <c r="B4790" s="1" t="s">
        <v>5250</v>
      </c>
      <c r="D4790" s="1" t="s">
        <v>5280</v>
      </c>
      <c r="F4790" s="1" t="s">
        <v>5347</v>
      </c>
      <c r="H4790" s="1" t="s">
        <v>5368</v>
      </c>
      <c r="J4790" s="1" t="s">
        <v>5369</v>
      </c>
      <c r="L4790" s="1" t="s">
        <v>1955</v>
      </c>
      <c r="N4790" s="1" t="s">
        <v>1956</v>
      </c>
      <c r="P4790" s="1" t="s">
        <v>1476</v>
      </c>
      <c r="Q4790" s="30" t="s">
        <v>2568</v>
      </c>
      <c r="R4790" s="33" t="s">
        <v>3474</v>
      </c>
      <c r="S4790">
        <v>35</v>
      </c>
      <c r="T4790" s="1" t="s">
        <v>5350</v>
      </c>
      <c r="U4790" s="1" t="str">
        <f>HYPERLINK("http://ictvonline.org/taxonomy/p/taxonomy-history?taxnode_id=202103416","ICTVonline=202103416")</f>
        <v>ICTVonline=202103416</v>
      </c>
    </row>
    <row r="4791" spans="1:21" x14ac:dyDescent="0.2">
      <c r="A4791" s="3">
        <v>4790</v>
      </c>
      <c r="B4791" s="1" t="s">
        <v>5250</v>
      </c>
      <c r="D4791" s="1" t="s">
        <v>5280</v>
      </c>
      <c r="F4791" s="1" t="s">
        <v>5347</v>
      </c>
      <c r="H4791" s="1" t="s">
        <v>5368</v>
      </c>
      <c r="J4791" s="1" t="s">
        <v>5369</v>
      </c>
      <c r="L4791" s="1" t="s">
        <v>1955</v>
      </c>
      <c r="N4791" s="1" t="s">
        <v>1956</v>
      </c>
      <c r="P4791" s="1" t="s">
        <v>1477</v>
      </c>
      <c r="Q4791" s="30" t="s">
        <v>2568</v>
      </c>
      <c r="R4791" s="33" t="s">
        <v>3474</v>
      </c>
      <c r="S4791">
        <v>35</v>
      </c>
      <c r="T4791" s="1" t="s">
        <v>5350</v>
      </c>
      <c r="U4791" s="1" t="str">
        <f>HYPERLINK("http://ictvonline.org/taxonomy/p/taxonomy-history?taxnode_id=202103417","ICTVonline=202103417")</f>
        <v>ICTVonline=202103417</v>
      </c>
    </row>
    <row r="4792" spans="1:21" x14ac:dyDescent="0.2">
      <c r="A4792" s="3">
        <v>4791</v>
      </c>
      <c r="B4792" s="1" t="s">
        <v>5250</v>
      </c>
      <c r="D4792" s="1" t="s">
        <v>5280</v>
      </c>
      <c r="F4792" s="1" t="s">
        <v>5347</v>
      </c>
      <c r="H4792" s="1" t="s">
        <v>5368</v>
      </c>
      <c r="J4792" s="1" t="s">
        <v>5369</v>
      </c>
      <c r="L4792" s="1" t="s">
        <v>1955</v>
      </c>
      <c r="N4792" s="1" t="s">
        <v>1956</v>
      </c>
      <c r="P4792" s="1" t="s">
        <v>3854</v>
      </c>
      <c r="Q4792" s="30" t="s">
        <v>2568</v>
      </c>
      <c r="R4792" s="33" t="s">
        <v>3474</v>
      </c>
      <c r="S4792">
        <v>35</v>
      </c>
      <c r="T4792" s="1" t="s">
        <v>5350</v>
      </c>
      <c r="U4792" s="1" t="str">
        <f>HYPERLINK("http://ictvonline.org/taxonomy/p/taxonomy-history?taxnode_id=202105838","ICTVonline=202105838")</f>
        <v>ICTVonline=202105838</v>
      </c>
    </row>
    <row r="4793" spans="1:21" x14ac:dyDescent="0.2">
      <c r="A4793" s="3">
        <v>4792</v>
      </c>
      <c r="B4793" s="1" t="s">
        <v>5250</v>
      </c>
      <c r="D4793" s="1" t="s">
        <v>5280</v>
      </c>
      <c r="F4793" s="1" t="s">
        <v>5347</v>
      </c>
      <c r="H4793" s="1" t="s">
        <v>5368</v>
      </c>
      <c r="J4793" s="1" t="s">
        <v>5369</v>
      </c>
      <c r="L4793" s="1" t="s">
        <v>1955</v>
      </c>
      <c r="N4793" s="1" t="s">
        <v>1956</v>
      </c>
      <c r="P4793" s="1" t="s">
        <v>2292</v>
      </c>
      <c r="Q4793" s="30" t="s">
        <v>2568</v>
      </c>
      <c r="R4793" s="33" t="s">
        <v>3474</v>
      </c>
      <c r="S4793">
        <v>35</v>
      </c>
      <c r="T4793" s="1" t="s">
        <v>5350</v>
      </c>
      <c r="U4793" s="1" t="str">
        <f>HYPERLINK("http://ictvonline.org/taxonomy/p/taxonomy-history?taxnode_id=202103418","ICTVonline=202103418")</f>
        <v>ICTVonline=202103418</v>
      </c>
    </row>
    <row r="4794" spans="1:21" x14ac:dyDescent="0.2">
      <c r="A4794" s="3">
        <v>4793</v>
      </c>
      <c r="B4794" s="1" t="s">
        <v>5250</v>
      </c>
      <c r="D4794" s="1" t="s">
        <v>5280</v>
      </c>
      <c r="F4794" s="1" t="s">
        <v>5347</v>
      </c>
      <c r="H4794" s="1" t="s">
        <v>5368</v>
      </c>
      <c r="J4794" s="1" t="s">
        <v>5369</v>
      </c>
      <c r="L4794" s="1" t="s">
        <v>1955</v>
      </c>
      <c r="N4794" s="1" t="s">
        <v>1956</v>
      </c>
      <c r="P4794" s="1" t="s">
        <v>1798</v>
      </c>
      <c r="Q4794" s="30" t="s">
        <v>2568</v>
      </c>
      <c r="R4794" s="33" t="s">
        <v>3474</v>
      </c>
      <c r="S4794">
        <v>35</v>
      </c>
      <c r="T4794" s="1" t="s">
        <v>5350</v>
      </c>
      <c r="U4794" s="1" t="str">
        <f>HYPERLINK("http://ictvonline.org/taxonomy/p/taxonomy-history?taxnode_id=202103419","ICTVonline=202103419")</f>
        <v>ICTVonline=202103419</v>
      </c>
    </row>
    <row r="4795" spans="1:21" x14ac:dyDescent="0.2">
      <c r="A4795" s="3">
        <v>4794</v>
      </c>
      <c r="B4795" s="1" t="s">
        <v>5250</v>
      </c>
      <c r="D4795" s="1" t="s">
        <v>5280</v>
      </c>
      <c r="F4795" s="1" t="s">
        <v>5347</v>
      </c>
      <c r="H4795" s="1" t="s">
        <v>5368</v>
      </c>
      <c r="J4795" s="1" t="s">
        <v>5369</v>
      </c>
      <c r="L4795" s="1" t="s">
        <v>1955</v>
      </c>
      <c r="N4795" s="1" t="s">
        <v>1956</v>
      </c>
      <c r="P4795" s="1" t="s">
        <v>1719</v>
      </c>
      <c r="Q4795" s="30" t="s">
        <v>2568</v>
      </c>
      <c r="R4795" s="33" t="s">
        <v>3474</v>
      </c>
      <c r="S4795">
        <v>35</v>
      </c>
      <c r="T4795" s="1" t="s">
        <v>5350</v>
      </c>
      <c r="U4795" s="1" t="str">
        <f>HYPERLINK("http://ictvonline.org/taxonomy/p/taxonomy-history?taxnode_id=202103420","ICTVonline=202103420")</f>
        <v>ICTVonline=202103420</v>
      </c>
    </row>
    <row r="4796" spans="1:21" x14ac:dyDescent="0.2">
      <c r="A4796" s="3">
        <v>4795</v>
      </c>
      <c r="B4796" s="1" t="s">
        <v>5250</v>
      </c>
      <c r="D4796" s="1" t="s">
        <v>5280</v>
      </c>
      <c r="F4796" s="1" t="s">
        <v>5347</v>
      </c>
      <c r="H4796" s="1" t="s">
        <v>5368</v>
      </c>
      <c r="J4796" s="1" t="s">
        <v>5369</v>
      </c>
      <c r="L4796" s="1" t="s">
        <v>1955</v>
      </c>
      <c r="N4796" s="1" t="s">
        <v>1956</v>
      </c>
      <c r="P4796" s="1" t="s">
        <v>2293</v>
      </c>
      <c r="Q4796" s="30" t="s">
        <v>2568</v>
      </c>
      <c r="R4796" s="33" t="s">
        <v>3474</v>
      </c>
      <c r="S4796">
        <v>35</v>
      </c>
      <c r="T4796" s="1" t="s">
        <v>5350</v>
      </c>
      <c r="U4796" s="1" t="str">
        <f>HYPERLINK("http://ictvonline.org/taxonomy/p/taxonomy-history?taxnode_id=202103421","ICTVonline=202103421")</f>
        <v>ICTVonline=202103421</v>
      </c>
    </row>
    <row r="4797" spans="1:21" x14ac:dyDescent="0.2">
      <c r="A4797" s="3">
        <v>4796</v>
      </c>
      <c r="B4797" s="1" t="s">
        <v>5250</v>
      </c>
      <c r="D4797" s="1" t="s">
        <v>5280</v>
      </c>
      <c r="F4797" s="1" t="s">
        <v>5347</v>
      </c>
      <c r="H4797" s="1" t="s">
        <v>5368</v>
      </c>
      <c r="J4797" s="1" t="s">
        <v>5369</v>
      </c>
      <c r="L4797" s="1" t="s">
        <v>1955</v>
      </c>
      <c r="N4797" s="1" t="s">
        <v>1956</v>
      </c>
      <c r="P4797" s="1" t="s">
        <v>2294</v>
      </c>
      <c r="Q4797" s="30" t="s">
        <v>2568</v>
      </c>
      <c r="R4797" s="33" t="s">
        <v>3474</v>
      </c>
      <c r="S4797">
        <v>35</v>
      </c>
      <c r="T4797" s="1" t="s">
        <v>5350</v>
      </c>
      <c r="U4797" s="1" t="str">
        <f>HYPERLINK("http://ictvonline.org/taxonomy/p/taxonomy-history?taxnode_id=202103422","ICTVonline=202103422")</f>
        <v>ICTVonline=202103422</v>
      </c>
    </row>
    <row r="4798" spans="1:21" x14ac:dyDescent="0.2">
      <c r="A4798" s="3">
        <v>4797</v>
      </c>
      <c r="B4798" s="1" t="s">
        <v>5250</v>
      </c>
      <c r="D4798" s="1" t="s">
        <v>5280</v>
      </c>
      <c r="F4798" s="1" t="s">
        <v>5347</v>
      </c>
      <c r="H4798" s="1" t="s">
        <v>5368</v>
      </c>
      <c r="J4798" s="1" t="s">
        <v>5369</v>
      </c>
      <c r="L4798" s="1" t="s">
        <v>1955</v>
      </c>
      <c r="N4798" s="1" t="s">
        <v>1956</v>
      </c>
      <c r="P4798" s="1" t="s">
        <v>1419</v>
      </c>
      <c r="Q4798" s="30" t="s">
        <v>2568</v>
      </c>
      <c r="R4798" s="33" t="s">
        <v>3474</v>
      </c>
      <c r="S4798">
        <v>35</v>
      </c>
      <c r="T4798" s="1" t="s">
        <v>5350</v>
      </c>
      <c r="U4798" s="1" t="str">
        <f>HYPERLINK("http://ictvonline.org/taxonomy/p/taxonomy-history?taxnode_id=202103423","ICTVonline=202103423")</f>
        <v>ICTVonline=202103423</v>
      </c>
    </row>
    <row r="4799" spans="1:21" x14ac:dyDescent="0.2">
      <c r="A4799" s="3">
        <v>4798</v>
      </c>
      <c r="B4799" s="1" t="s">
        <v>5250</v>
      </c>
      <c r="D4799" s="1" t="s">
        <v>5280</v>
      </c>
      <c r="F4799" s="1" t="s">
        <v>5347</v>
      </c>
      <c r="H4799" s="1" t="s">
        <v>5368</v>
      </c>
      <c r="J4799" s="1" t="s">
        <v>5369</v>
      </c>
      <c r="L4799" s="1" t="s">
        <v>1955</v>
      </c>
      <c r="N4799" s="1" t="s">
        <v>1956</v>
      </c>
      <c r="P4799" s="1" t="s">
        <v>443</v>
      </c>
      <c r="Q4799" s="30" t="s">
        <v>2568</v>
      </c>
      <c r="R4799" s="33" t="s">
        <v>3474</v>
      </c>
      <c r="S4799">
        <v>35</v>
      </c>
      <c r="T4799" s="1" t="s">
        <v>5350</v>
      </c>
      <c r="U4799" s="1" t="str">
        <f>HYPERLINK("http://ictvonline.org/taxonomy/p/taxonomy-history?taxnode_id=202103424","ICTVonline=202103424")</f>
        <v>ICTVonline=202103424</v>
      </c>
    </row>
    <row r="4800" spans="1:21" x14ac:dyDescent="0.2">
      <c r="A4800" s="3">
        <v>4799</v>
      </c>
      <c r="B4800" s="1" t="s">
        <v>5250</v>
      </c>
      <c r="D4800" s="1" t="s">
        <v>5280</v>
      </c>
      <c r="F4800" s="1" t="s">
        <v>5347</v>
      </c>
      <c r="H4800" s="1" t="s">
        <v>5368</v>
      </c>
      <c r="J4800" s="1" t="s">
        <v>5369</v>
      </c>
      <c r="L4800" s="1" t="s">
        <v>1955</v>
      </c>
      <c r="N4800" s="1" t="s">
        <v>1956</v>
      </c>
      <c r="P4800" s="1" t="s">
        <v>444</v>
      </c>
      <c r="Q4800" s="30" t="s">
        <v>2568</v>
      </c>
      <c r="R4800" s="33" t="s">
        <v>3474</v>
      </c>
      <c r="S4800">
        <v>35</v>
      </c>
      <c r="T4800" s="1" t="s">
        <v>5350</v>
      </c>
      <c r="U4800" s="1" t="str">
        <f>HYPERLINK("http://ictvonline.org/taxonomy/p/taxonomy-history?taxnode_id=202103425","ICTVonline=202103425")</f>
        <v>ICTVonline=202103425</v>
      </c>
    </row>
    <row r="4801" spans="1:21" x14ac:dyDescent="0.2">
      <c r="A4801" s="3">
        <v>4800</v>
      </c>
      <c r="B4801" s="1" t="s">
        <v>5250</v>
      </c>
      <c r="D4801" s="1" t="s">
        <v>5280</v>
      </c>
      <c r="F4801" s="1" t="s">
        <v>5347</v>
      </c>
      <c r="H4801" s="1" t="s">
        <v>5368</v>
      </c>
      <c r="J4801" s="1" t="s">
        <v>5369</v>
      </c>
      <c r="L4801" s="1" t="s">
        <v>1955</v>
      </c>
      <c r="N4801" s="1" t="s">
        <v>1956</v>
      </c>
      <c r="P4801" s="1" t="s">
        <v>2295</v>
      </c>
      <c r="Q4801" s="30" t="s">
        <v>2568</v>
      </c>
      <c r="R4801" s="33" t="s">
        <v>3474</v>
      </c>
      <c r="S4801">
        <v>35</v>
      </c>
      <c r="T4801" s="1" t="s">
        <v>5350</v>
      </c>
      <c r="U4801" s="1" t="str">
        <f>HYPERLINK("http://ictvonline.org/taxonomy/p/taxonomy-history?taxnode_id=202103426","ICTVonline=202103426")</f>
        <v>ICTVonline=202103426</v>
      </c>
    </row>
    <row r="4802" spans="1:21" x14ac:dyDescent="0.2">
      <c r="A4802" s="3">
        <v>4801</v>
      </c>
      <c r="B4802" s="1" t="s">
        <v>5250</v>
      </c>
      <c r="D4802" s="1" t="s">
        <v>5280</v>
      </c>
      <c r="F4802" s="1" t="s">
        <v>5347</v>
      </c>
      <c r="H4802" s="1" t="s">
        <v>5368</v>
      </c>
      <c r="J4802" s="1" t="s">
        <v>5369</v>
      </c>
      <c r="L4802" s="1" t="s">
        <v>1955</v>
      </c>
      <c r="N4802" s="1" t="s">
        <v>1956</v>
      </c>
      <c r="P4802" s="1" t="s">
        <v>2296</v>
      </c>
      <c r="Q4802" s="30" t="s">
        <v>2568</v>
      </c>
      <c r="R4802" s="33" t="s">
        <v>3474</v>
      </c>
      <c r="S4802">
        <v>35</v>
      </c>
      <c r="T4802" s="1" t="s">
        <v>5350</v>
      </c>
      <c r="U4802" s="1" t="str">
        <f>HYPERLINK("http://ictvonline.org/taxonomy/p/taxonomy-history?taxnode_id=202103427","ICTVonline=202103427")</f>
        <v>ICTVonline=202103427</v>
      </c>
    </row>
    <row r="4803" spans="1:21" x14ac:dyDescent="0.2">
      <c r="A4803" s="3">
        <v>4802</v>
      </c>
      <c r="B4803" s="1" t="s">
        <v>5250</v>
      </c>
      <c r="D4803" s="1" t="s">
        <v>5280</v>
      </c>
      <c r="F4803" s="1" t="s">
        <v>5347</v>
      </c>
      <c r="H4803" s="1" t="s">
        <v>5368</v>
      </c>
      <c r="J4803" s="1" t="s">
        <v>5369</v>
      </c>
      <c r="L4803" s="1" t="s">
        <v>1955</v>
      </c>
      <c r="N4803" s="1" t="s">
        <v>1956</v>
      </c>
      <c r="P4803" s="1" t="s">
        <v>428</v>
      </c>
      <c r="Q4803" s="30" t="s">
        <v>2568</v>
      </c>
      <c r="R4803" s="33" t="s">
        <v>3474</v>
      </c>
      <c r="S4803">
        <v>35</v>
      </c>
      <c r="T4803" s="1" t="s">
        <v>5350</v>
      </c>
      <c r="U4803" s="1" t="str">
        <f>HYPERLINK("http://ictvonline.org/taxonomy/p/taxonomy-history?taxnode_id=202103428","ICTVonline=202103428")</f>
        <v>ICTVonline=202103428</v>
      </c>
    </row>
    <row r="4804" spans="1:21" x14ac:dyDescent="0.2">
      <c r="A4804" s="3">
        <v>4803</v>
      </c>
      <c r="B4804" s="1" t="s">
        <v>5250</v>
      </c>
      <c r="D4804" s="1" t="s">
        <v>5280</v>
      </c>
      <c r="F4804" s="1" t="s">
        <v>5347</v>
      </c>
      <c r="H4804" s="1" t="s">
        <v>5368</v>
      </c>
      <c r="J4804" s="1" t="s">
        <v>5369</v>
      </c>
      <c r="L4804" s="1" t="s">
        <v>1955</v>
      </c>
      <c r="N4804" s="1" t="s">
        <v>1956</v>
      </c>
      <c r="P4804" s="1" t="s">
        <v>2297</v>
      </c>
      <c r="Q4804" s="30" t="s">
        <v>2568</v>
      </c>
      <c r="R4804" s="33" t="s">
        <v>3474</v>
      </c>
      <c r="S4804">
        <v>35</v>
      </c>
      <c r="T4804" s="1" t="s">
        <v>5350</v>
      </c>
      <c r="U4804" s="1" t="str">
        <f>HYPERLINK("http://ictvonline.org/taxonomy/p/taxonomy-history?taxnode_id=202103429","ICTVonline=202103429")</f>
        <v>ICTVonline=202103429</v>
      </c>
    </row>
    <row r="4805" spans="1:21" x14ac:dyDescent="0.2">
      <c r="A4805" s="3">
        <v>4804</v>
      </c>
      <c r="B4805" s="1" t="s">
        <v>5250</v>
      </c>
      <c r="D4805" s="1" t="s">
        <v>5280</v>
      </c>
      <c r="F4805" s="1" t="s">
        <v>5347</v>
      </c>
      <c r="H4805" s="1" t="s">
        <v>5368</v>
      </c>
      <c r="J4805" s="1" t="s">
        <v>5369</v>
      </c>
      <c r="L4805" s="1" t="s">
        <v>1955</v>
      </c>
      <c r="N4805" s="1" t="s">
        <v>1956</v>
      </c>
      <c r="P4805" s="1" t="s">
        <v>4840</v>
      </c>
      <c r="Q4805" s="30" t="s">
        <v>2568</v>
      </c>
      <c r="R4805" s="33" t="s">
        <v>3474</v>
      </c>
      <c r="S4805">
        <v>35</v>
      </c>
      <c r="T4805" s="1" t="s">
        <v>5350</v>
      </c>
      <c r="U4805" s="1" t="str">
        <f>HYPERLINK("http://ictvonline.org/taxonomy/p/taxonomy-history?taxnode_id=202106709","ICTVonline=202106709")</f>
        <v>ICTVonline=202106709</v>
      </c>
    </row>
    <row r="4806" spans="1:21" x14ac:dyDescent="0.2">
      <c r="A4806" s="3">
        <v>4805</v>
      </c>
      <c r="B4806" s="1" t="s">
        <v>5250</v>
      </c>
      <c r="D4806" s="1" t="s">
        <v>5280</v>
      </c>
      <c r="F4806" s="1" t="s">
        <v>5347</v>
      </c>
      <c r="H4806" s="1" t="s">
        <v>5368</v>
      </c>
      <c r="J4806" s="1" t="s">
        <v>5369</v>
      </c>
      <c r="L4806" s="1" t="s">
        <v>1955</v>
      </c>
      <c r="N4806" s="1" t="s">
        <v>1956</v>
      </c>
      <c r="P4806" s="1" t="s">
        <v>291</v>
      </c>
      <c r="Q4806" s="30" t="s">
        <v>2568</v>
      </c>
      <c r="R4806" s="33" t="s">
        <v>3474</v>
      </c>
      <c r="S4806">
        <v>35</v>
      </c>
      <c r="T4806" s="1" t="s">
        <v>5350</v>
      </c>
      <c r="U4806" s="1" t="str">
        <f>HYPERLINK("http://ictvonline.org/taxonomy/p/taxonomy-history?taxnode_id=202103430","ICTVonline=202103430")</f>
        <v>ICTVonline=202103430</v>
      </c>
    </row>
    <row r="4807" spans="1:21" x14ac:dyDescent="0.2">
      <c r="A4807" s="3">
        <v>4806</v>
      </c>
      <c r="B4807" s="1" t="s">
        <v>5250</v>
      </c>
      <c r="D4807" s="1" t="s">
        <v>5280</v>
      </c>
      <c r="F4807" s="1" t="s">
        <v>5347</v>
      </c>
      <c r="H4807" s="1" t="s">
        <v>5368</v>
      </c>
      <c r="J4807" s="1" t="s">
        <v>5369</v>
      </c>
      <c r="L4807" s="1" t="s">
        <v>1955</v>
      </c>
      <c r="N4807" s="1" t="s">
        <v>1956</v>
      </c>
      <c r="P4807" s="1" t="s">
        <v>295</v>
      </c>
      <c r="Q4807" s="30" t="s">
        <v>2568</v>
      </c>
      <c r="R4807" s="33" t="s">
        <v>3474</v>
      </c>
      <c r="S4807">
        <v>35</v>
      </c>
      <c r="T4807" s="1" t="s">
        <v>5350</v>
      </c>
      <c r="U4807" s="1" t="str">
        <f>HYPERLINK("http://ictvonline.org/taxonomy/p/taxonomy-history?taxnode_id=202103431","ICTVonline=202103431")</f>
        <v>ICTVonline=202103431</v>
      </c>
    </row>
    <row r="4808" spans="1:21" x14ac:dyDescent="0.2">
      <c r="A4808" s="3">
        <v>4807</v>
      </c>
      <c r="B4808" s="1" t="s">
        <v>5250</v>
      </c>
      <c r="D4808" s="1" t="s">
        <v>5280</v>
      </c>
      <c r="F4808" s="1" t="s">
        <v>5347</v>
      </c>
      <c r="H4808" s="1" t="s">
        <v>5368</v>
      </c>
      <c r="J4808" s="1" t="s">
        <v>5369</v>
      </c>
      <c r="L4808" s="1" t="s">
        <v>1955</v>
      </c>
      <c r="N4808" s="1" t="s">
        <v>1956</v>
      </c>
      <c r="P4808" s="1" t="s">
        <v>818</v>
      </c>
      <c r="Q4808" s="30" t="s">
        <v>2568</v>
      </c>
      <c r="R4808" s="33" t="s">
        <v>3474</v>
      </c>
      <c r="S4808">
        <v>35</v>
      </c>
      <c r="T4808" s="1" t="s">
        <v>5350</v>
      </c>
      <c r="U4808" s="1" t="str">
        <f>HYPERLINK("http://ictvonline.org/taxonomy/p/taxonomy-history?taxnode_id=202103432","ICTVonline=202103432")</f>
        <v>ICTVonline=202103432</v>
      </c>
    </row>
    <row r="4809" spans="1:21" x14ac:dyDescent="0.2">
      <c r="A4809" s="3">
        <v>4808</v>
      </c>
      <c r="B4809" s="1" t="s">
        <v>5250</v>
      </c>
      <c r="D4809" s="1" t="s">
        <v>5280</v>
      </c>
      <c r="F4809" s="1" t="s">
        <v>5347</v>
      </c>
      <c r="H4809" s="1" t="s">
        <v>5368</v>
      </c>
      <c r="J4809" s="1" t="s">
        <v>5369</v>
      </c>
      <c r="L4809" s="1" t="s">
        <v>1955</v>
      </c>
      <c r="N4809" s="1" t="s">
        <v>1956</v>
      </c>
      <c r="P4809" s="1" t="s">
        <v>4841</v>
      </c>
      <c r="Q4809" s="30" t="s">
        <v>2568</v>
      </c>
      <c r="R4809" s="33" t="s">
        <v>3474</v>
      </c>
      <c r="S4809">
        <v>35</v>
      </c>
      <c r="T4809" s="1" t="s">
        <v>5350</v>
      </c>
      <c r="U4809" s="1" t="str">
        <f>HYPERLINK("http://ictvonline.org/taxonomy/p/taxonomy-history?taxnode_id=202106713","ICTVonline=202106713")</f>
        <v>ICTVonline=202106713</v>
      </c>
    </row>
    <row r="4810" spans="1:21" x14ac:dyDescent="0.2">
      <c r="A4810" s="3">
        <v>4809</v>
      </c>
      <c r="B4810" s="1" t="s">
        <v>5250</v>
      </c>
      <c r="D4810" s="1" t="s">
        <v>5280</v>
      </c>
      <c r="F4810" s="1" t="s">
        <v>5347</v>
      </c>
      <c r="H4810" s="1" t="s">
        <v>5368</v>
      </c>
      <c r="J4810" s="1" t="s">
        <v>5369</v>
      </c>
      <c r="L4810" s="1" t="s">
        <v>1955</v>
      </c>
      <c r="N4810" s="1" t="s">
        <v>1956</v>
      </c>
      <c r="P4810" s="1" t="s">
        <v>4842</v>
      </c>
      <c r="Q4810" s="30" t="s">
        <v>2568</v>
      </c>
      <c r="R4810" s="33" t="s">
        <v>3474</v>
      </c>
      <c r="S4810">
        <v>35</v>
      </c>
      <c r="T4810" s="1" t="s">
        <v>5350</v>
      </c>
      <c r="U4810" s="1" t="str">
        <f>HYPERLINK("http://ictvonline.org/taxonomy/p/taxonomy-history?taxnode_id=202106714","ICTVonline=202106714")</f>
        <v>ICTVonline=202106714</v>
      </c>
    </row>
    <row r="4811" spans="1:21" x14ac:dyDescent="0.2">
      <c r="A4811" s="3">
        <v>4810</v>
      </c>
      <c r="B4811" s="1" t="s">
        <v>5250</v>
      </c>
      <c r="D4811" s="1" t="s">
        <v>5280</v>
      </c>
      <c r="F4811" s="1" t="s">
        <v>5347</v>
      </c>
      <c r="H4811" s="1" t="s">
        <v>5368</v>
      </c>
      <c r="J4811" s="1" t="s">
        <v>5369</v>
      </c>
      <c r="L4811" s="1" t="s">
        <v>1955</v>
      </c>
      <c r="N4811" s="1" t="s">
        <v>1956</v>
      </c>
      <c r="P4811" s="1" t="s">
        <v>1420</v>
      </c>
      <c r="Q4811" s="30" t="s">
        <v>2568</v>
      </c>
      <c r="R4811" s="33" t="s">
        <v>3474</v>
      </c>
      <c r="S4811">
        <v>35</v>
      </c>
      <c r="T4811" s="1" t="s">
        <v>5350</v>
      </c>
      <c r="U4811" s="1" t="str">
        <f>HYPERLINK("http://ictvonline.org/taxonomy/p/taxonomy-history?taxnode_id=202103433","ICTVonline=202103433")</f>
        <v>ICTVonline=202103433</v>
      </c>
    </row>
    <row r="4812" spans="1:21" x14ac:dyDescent="0.2">
      <c r="A4812" s="3">
        <v>4811</v>
      </c>
      <c r="B4812" s="1" t="s">
        <v>5250</v>
      </c>
      <c r="D4812" s="1" t="s">
        <v>5280</v>
      </c>
      <c r="F4812" s="1" t="s">
        <v>5347</v>
      </c>
      <c r="H4812" s="1" t="s">
        <v>5368</v>
      </c>
      <c r="J4812" s="1" t="s">
        <v>5369</v>
      </c>
      <c r="L4812" s="1" t="s">
        <v>1955</v>
      </c>
      <c r="N4812" s="1" t="s">
        <v>1956</v>
      </c>
      <c r="P4812" s="1" t="s">
        <v>6420</v>
      </c>
      <c r="Q4812" s="30" t="s">
        <v>2969</v>
      </c>
      <c r="R4812" s="33" t="s">
        <v>3472</v>
      </c>
      <c r="S4812">
        <v>36</v>
      </c>
      <c r="T4812" s="1" t="s">
        <v>6403</v>
      </c>
      <c r="U4812" s="1" t="str">
        <f>HYPERLINK("http://ictvonline.org/taxonomy/p/taxonomy-history?taxnode_id=202109134","ICTVonline=202109134")</f>
        <v>ICTVonline=202109134</v>
      </c>
    </row>
    <row r="4813" spans="1:21" x14ac:dyDescent="0.2">
      <c r="A4813" s="3">
        <v>4812</v>
      </c>
      <c r="B4813" s="1" t="s">
        <v>5250</v>
      </c>
      <c r="D4813" s="1" t="s">
        <v>5280</v>
      </c>
      <c r="F4813" s="1" t="s">
        <v>5347</v>
      </c>
      <c r="H4813" s="1" t="s">
        <v>5368</v>
      </c>
      <c r="J4813" s="1" t="s">
        <v>5369</v>
      </c>
      <c r="L4813" s="1" t="s">
        <v>1955</v>
      </c>
      <c r="N4813" s="1" t="s">
        <v>1956</v>
      </c>
      <c r="P4813" s="1" t="s">
        <v>1421</v>
      </c>
      <c r="Q4813" s="30" t="s">
        <v>2568</v>
      </c>
      <c r="R4813" s="33" t="s">
        <v>3474</v>
      </c>
      <c r="S4813">
        <v>35</v>
      </c>
      <c r="T4813" s="1" t="s">
        <v>5350</v>
      </c>
      <c r="U4813" s="1" t="str">
        <f>HYPERLINK("http://ictvonline.org/taxonomy/p/taxonomy-history?taxnode_id=202103434","ICTVonline=202103434")</f>
        <v>ICTVonline=202103434</v>
      </c>
    </row>
    <row r="4814" spans="1:21" x14ac:dyDescent="0.2">
      <c r="A4814" s="3">
        <v>4813</v>
      </c>
      <c r="B4814" s="1" t="s">
        <v>5250</v>
      </c>
      <c r="D4814" s="1" t="s">
        <v>5280</v>
      </c>
      <c r="F4814" s="1" t="s">
        <v>5347</v>
      </c>
      <c r="H4814" s="1" t="s">
        <v>5368</v>
      </c>
      <c r="J4814" s="1" t="s">
        <v>5369</v>
      </c>
      <c r="L4814" s="1" t="s">
        <v>1955</v>
      </c>
      <c r="N4814" s="1" t="s">
        <v>1956</v>
      </c>
      <c r="P4814" s="1" t="s">
        <v>2952</v>
      </c>
      <c r="Q4814" s="30" t="s">
        <v>2568</v>
      </c>
      <c r="R4814" s="33" t="s">
        <v>3474</v>
      </c>
      <c r="S4814">
        <v>35</v>
      </c>
      <c r="T4814" s="1" t="s">
        <v>5350</v>
      </c>
      <c r="U4814" s="1" t="str">
        <f>HYPERLINK("http://ictvonline.org/taxonomy/p/taxonomy-history?taxnode_id=202103435","ICTVonline=202103435")</f>
        <v>ICTVonline=202103435</v>
      </c>
    </row>
    <row r="4815" spans="1:21" x14ac:dyDescent="0.2">
      <c r="A4815" s="3">
        <v>4814</v>
      </c>
      <c r="B4815" s="1" t="s">
        <v>5250</v>
      </c>
      <c r="D4815" s="1" t="s">
        <v>5280</v>
      </c>
      <c r="F4815" s="1" t="s">
        <v>5347</v>
      </c>
      <c r="H4815" s="1" t="s">
        <v>5368</v>
      </c>
      <c r="J4815" s="1" t="s">
        <v>5369</v>
      </c>
      <c r="L4815" s="1" t="s">
        <v>1955</v>
      </c>
      <c r="N4815" s="1" t="s">
        <v>1956</v>
      </c>
      <c r="P4815" s="1" t="s">
        <v>1422</v>
      </c>
      <c r="Q4815" s="30" t="s">
        <v>2568</v>
      </c>
      <c r="R4815" s="33" t="s">
        <v>3474</v>
      </c>
      <c r="S4815">
        <v>35</v>
      </c>
      <c r="T4815" s="1" t="s">
        <v>5350</v>
      </c>
      <c r="U4815" s="1" t="str">
        <f>HYPERLINK("http://ictvonline.org/taxonomy/p/taxonomy-history?taxnode_id=202103436","ICTVonline=202103436")</f>
        <v>ICTVonline=202103436</v>
      </c>
    </row>
    <row r="4816" spans="1:21" x14ac:dyDescent="0.2">
      <c r="A4816" s="3">
        <v>4815</v>
      </c>
      <c r="B4816" s="1" t="s">
        <v>5250</v>
      </c>
      <c r="D4816" s="1" t="s">
        <v>5280</v>
      </c>
      <c r="F4816" s="1" t="s">
        <v>5347</v>
      </c>
      <c r="H4816" s="1" t="s">
        <v>5368</v>
      </c>
      <c r="J4816" s="1" t="s">
        <v>5369</v>
      </c>
      <c r="L4816" s="1" t="s">
        <v>1955</v>
      </c>
      <c r="N4816" s="1" t="s">
        <v>1956</v>
      </c>
      <c r="P4816" s="1" t="s">
        <v>5385</v>
      </c>
      <c r="Q4816" s="30" t="s">
        <v>2969</v>
      </c>
      <c r="R4816" s="33" t="s">
        <v>3472</v>
      </c>
      <c r="S4816">
        <v>35</v>
      </c>
      <c r="T4816" s="1" t="s">
        <v>5371</v>
      </c>
      <c r="U4816" s="1" t="str">
        <f>HYPERLINK("http://ictvonline.org/taxonomy/p/taxonomy-history?taxnode_id=202107531","ICTVonline=202107531")</f>
        <v>ICTVonline=202107531</v>
      </c>
    </row>
    <row r="4817" spans="1:21" x14ac:dyDescent="0.2">
      <c r="A4817" s="3">
        <v>4816</v>
      </c>
      <c r="B4817" s="1" t="s">
        <v>5250</v>
      </c>
      <c r="D4817" s="1" t="s">
        <v>5280</v>
      </c>
      <c r="F4817" s="1" t="s">
        <v>5347</v>
      </c>
      <c r="H4817" s="1" t="s">
        <v>5368</v>
      </c>
      <c r="J4817" s="1" t="s">
        <v>5369</v>
      </c>
      <c r="L4817" s="1" t="s">
        <v>1955</v>
      </c>
      <c r="N4817" s="1" t="s">
        <v>1956</v>
      </c>
      <c r="P4817" s="1" t="s">
        <v>1423</v>
      </c>
      <c r="Q4817" s="30" t="s">
        <v>2568</v>
      </c>
      <c r="R4817" s="33" t="s">
        <v>3474</v>
      </c>
      <c r="S4817">
        <v>35</v>
      </c>
      <c r="T4817" s="1" t="s">
        <v>5350</v>
      </c>
      <c r="U4817" s="1" t="str">
        <f>HYPERLINK("http://ictvonline.org/taxonomy/p/taxonomy-history?taxnode_id=202103437","ICTVonline=202103437")</f>
        <v>ICTVonline=202103437</v>
      </c>
    </row>
    <row r="4818" spans="1:21" x14ac:dyDescent="0.2">
      <c r="A4818" s="3">
        <v>4817</v>
      </c>
      <c r="B4818" s="1" t="s">
        <v>5250</v>
      </c>
      <c r="D4818" s="1" t="s">
        <v>5280</v>
      </c>
      <c r="F4818" s="1" t="s">
        <v>5347</v>
      </c>
      <c r="H4818" s="1" t="s">
        <v>5368</v>
      </c>
      <c r="J4818" s="1" t="s">
        <v>5369</v>
      </c>
      <c r="L4818" s="1" t="s">
        <v>1955</v>
      </c>
      <c r="N4818" s="1" t="s">
        <v>1956</v>
      </c>
      <c r="P4818" s="1" t="s">
        <v>1424</v>
      </c>
      <c r="Q4818" s="30" t="s">
        <v>2568</v>
      </c>
      <c r="R4818" s="33" t="s">
        <v>3474</v>
      </c>
      <c r="S4818">
        <v>35</v>
      </c>
      <c r="T4818" s="1" t="s">
        <v>5350</v>
      </c>
      <c r="U4818" s="1" t="str">
        <f>HYPERLINK("http://ictvonline.org/taxonomy/p/taxonomy-history?taxnode_id=202103438","ICTVonline=202103438")</f>
        <v>ICTVonline=202103438</v>
      </c>
    </row>
    <row r="4819" spans="1:21" x14ac:dyDescent="0.2">
      <c r="A4819" s="3">
        <v>4818</v>
      </c>
      <c r="B4819" s="1" t="s">
        <v>5250</v>
      </c>
      <c r="D4819" s="1" t="s">
        <v>5280</v>
      </c>
      <c r="F4819" s="1" t="s">
        <v>5347</v>
      </c>
      <c r="H4819" s="1" t="s">
        <v>5368</v>
      </c>
      <c r="J4819" s="1" t="s">
        <v>5369</v>
      </c>
      <c r="L4819" s="1" t="s">
        <v>1955</v>
      </c>
      <c r="N4819" s="1" t="s">
        <v>1956</v>
      </c>
      <c r="P4819" s="1" t="s">
        <v>2298</v>
      </c>
      <c r="Q4819" s="30" t="s">
        <v>2568</v>
      </c>
      <c r="R4819" s="33" t="s">
        <v>3474</v>
      </c>
      <c r="S4819">
        <v>35</v>
      </c>
      <c r="T4819" s="1" t="s">
        <v>5350</v>
      </c>
      <c r="U4819" s="1" t="str">
        <f>HYPERLINK("http://ictvonline.org/taxonomy/p/taxonomy-history?taxnode_id=202103439","ICTVonline=202103439")</f>
        <v>ICTVonline=202103439</v>
      </c>
    </row>
    <row r="4820" spans="1:21" x14ac:dyDescent="0.2">
      <c r="A4820" s="3">
        <v>4819</v>
      </c>
      <c r="B4820" s="1" t="s">
        <v>5250</v>
      </c>
      <c r="D4820" s="1" t="s">
        <v>5280</v>
      </c>
      <c r="F4820" s="1" t="s">
        <v>5347</v>
      </c>
      <c r="H4820" s="1" t="s">
        <v>5368</v>
      </c>
      <c r="J4820" s="1" t="s">
        <v>5369</v>
      </c>
      <c r="L4820" s="1" t="s">
        <v>1955</v>
      </c>
      <c r="N4820" s="1" t="s">
        <v>1956</v>
      </c>
      <c r="P4820" s="1" t="s">
        <v>2299</v>
      </c>
      <c r="Q4820" s="30" t="s">
        <v>2568</v>
      </c>
      <c r="R4820" s="33" t="s">
        <v>3474</v>
      </c>
      <c r="S4820">
        <v>35</v>
      </c>
      <c r="T4820" s="1" t="s">
        <v>5350</v>
      </c>
      <c r="U4820" s="1" t="str">
        <f>HYPERLINK("http://ictvonline.org/taxonomy/p/taxonomy-history?taxnode_id=202103440","ICTVonline=202103440")</f>
        <v>ICTVonline=202103440</v>
      </c>
    </row>
    <row r="4821" spans="1:21" x14ac:dyDescent="0.2">
      <c r="A4821" s="3">
        <v>4820</v>
      </c>
      <c r="B4821" s="1" t="s">
        <v>5250</v>
      </c>
      <c r="D4821" s="1" t="s">
        <v>5280</v>
      </c>
      <c r="F4821" s="1" t="s">
        <v>5347</v>
      </c>
      <c r="H4821" s="1" t="s">
        <v>5368</v>
      </c>
      <c r="J4821" s="1" t="s">
        <v>5369</v>
      </c>
      <c r="L4821" s="1" t="s">
        <v>1955</v>
      </c>
      <c r="N4821" s="1" t="s">
        <v>1956</v>
      </c>
      <c r="P4821" s="1" t="s">
        <v>2300</v>
      </c>
      <c r="Q4821" s="30" t="s">
        <v>2568</v>
      </c>
      <c r="R4821" s="33" t="s">
        <v>3474</v>
      </c>
      <c r="S4821">
        <v>35</v>
      </c>
      <c r="T4821" s="1" t="s">
        <v>5350</v>
      </c>
      <c r="U4821" s="1" t="str">
        <f>HYPERLINK("http://ictvonline.org/taxonomy/p/taxonomy-history?taxnode_id=202103441","ICTVonline=202103441")</f>
        <v>ICTVonline=202103441</v>
      </c>
    </row>
    <row r="4822" spans="1:21" x14ac:dyDescent="0.2">
      <c r="A4822" s="3">
        <v>4821</v>
      </c>
      <c r="B4822" s="1" t="s">
        <v>5250</v>
      </c>
      <c r="D4822" s="1" t="s">
        <v>5280</v>
      </c>
      <c r="F4822" s="1" t="s">
        <v>5347</v>
      </c>
      <c r="H4822" s="1" t="s">
        <v>5368</v>
      </c>
      <c r="J4822" s="1" t="s">
        <v>5369</v>
      </c>
      <c r="L4822" s="1" t="s">
        <v>1955</v>
      </c>
      <c r="N4822" s="1" t="s">
        <v>1956</v>
      </c>
      <c r="P4822" s="1" t="s">
        <v>1425</v>
      </c>
      <c r="Q4822" s="30" t="s">
        <v>2568</v>
      </c>
      <c r="R4822" s="33" t="s">
        <v>3474</v>
      </c>
      <c r="S4822">
        <v>35</v>
      </c>
      <c r="T4822" s="1" t="s">
        <v>5350</v>
      </c>
      <c r="U4822" s="1" t="str">
        <f>HYPERLINK("http://ictvonline.org/taxonomy/p/taxonomy-history?taxnode_id=202103442","ICTVonline=202103442")</f>
        <v>ICTVonline=202103442</v>
      </c>
    </row>
    <row r="4823" spans="1:21" x14ac:dyDescent="0.2">
      <c r="A4823" s="3">
        <v>4822</v>
      </c>
      <c r="B4823" s="1" t="s">
        <v>5250</v>
      </c>
      <c r="D4823" s="1" t="s">
        <v>5280</v>
      </c>
      <c r="F4823" s="1" t="s">
        <v>5347</v>
      </c>
      <c r="H4823" s="1" t="s">
        <v>5368</v>
      </c>
      <c r="J4823" s="1" t="s">
        <v>5369</v>
      </c>
      <c r="L4823" s="1" t="s">
        <v>1955</v>
      </c>
      <c r="N4823" s="1" t="s">
        <v>1956</v>
      </c>
      <c r="P4823" s="1" t="s">
        <v>2953</v>
      </c>
      <c r="Q4823" s="30" t="s">
        <v>2568</v>
      </c>
      <c r="R4823" s="33" t="s">
        <v>3474</v>
      </c>
      <c r="S4823">
        <v>35</v>
      </c>
      <c r="T4823" s="1" t="s">
        <v>5350</v>
      </c>
      <c r="U4823" s="1" t="str">
        <f>HYPERLINK("http://ictvonline.org/taxonomy/p/taxonomy-history?taxnode_id=202103443","ICTVonline=202103443")</f>
        <v>ICTVonline=202103443</v>
      </c>
    </row>
    <row r="4824" spans="1:21" x14ac:dyDescent="0.2">
      <c r="A4824" s="3">
        <v>4823</v>
      </c>
      <c r="B4824" s="1" t="s">
        <v>5250</v>
      </c>
      <c r="D4824" s="1" t="s">
        <v>5280</v>
      </c>
      <c r="F4824" s="1" t="s">
        <v>5347</v>
      </c>
      <c r="H4824" s="1" t="s">
        <v>5368</v>
      </c>
      <c r="J4824" s="1" t="s">
        <v>5369</v>
      </c>
      <c r="L4824" s="1" t="s">
        <v>1955</v>
      </c>
      <c r="N4824" s="1" t="s">
        <v>1956</v>
      </c>
      <c r="P4824" s="1" t="s">
        <v>2954</v>
      </c>
      <c r="Q4824" s="30" t="s">
        <v>2568</v>
      </c>
      <c r="R4824" s="33" t="s">
        <v>3474</v>
      </c>
      <c r="S4824">
        <v>35</v>
      </c>
      <c r="T4824" s="1" t="s">
        <v>5350</v>
      </c>
      <c r="U4824" s="1" t="str">
        <f>HYPERLINK("http://ictvonline.org/taxonomy/p/taxonomy-history?taxnode_id=202103444","ICTVonline=202103444")</f>
        <v>ICTVonline=202103444</v>
      </c>
    </row>
    <row r="4825" spans="1:21" x14ac:dyDescent="0.2">
      <c r="A4825" s="3">
        <v>4824</v>
      </c>
      <c r="B4825" s="1" t="s">
        <v>5250</v>
      </c>
      <c r="D4825" s="1" t="s">
        <v>5280</v>
      </c>
      <c r="F4825" s="1" t="s">
        <v>5347</v>
      </c>
      <c r="H4825" s="1" t="s">
        <v>5368</v>
      </c>
      <c r="J4825" s="1" t="s">
        <v>5369</v>
      </c>
      <c r="L4825" s="1" t="s">
        <v>1955</v>
      </c>
      <c r="N4825" s="1" t="s">
        <v>1956</v>
      </c>
      <c r="P4825" s="1" t="s">
        <v>4843</v>
      </c>
      <c r="Q4825" s="30" t="s">
        <v>2568</v>
      </c>
      <c r="R4825" s="33" t="s">
        <v>3474</v>
      </c>
      <c r="S4825">
        <v>35</v>
      </c>
      <c r="T4825" s="1" t="s">
        <v>5350</v>
      </c>
      <c r="U4825" s="1" t="str">
        <f>HYPERLINK("http://ictvonline.org/taxonomy/p/taxonomy-history?taxnode_id=202106711","ICTVonline=202106711")</f>
        <v>ICTVonline=202106711</v>
      </c>
    </row>
    <row r="4826" spans="1:21" x14ac:dyDescent="0.2">
      <c r="A4826" s="3">
        <v>4825</v>
      </c>
      <c r="B4826" s="1" t="s">
        <v>5250</v>
      </c>
      <c r="D4826" s="1" t="s">
        <v>5280</v>
      </c>
      <c r="F4826" s="1" t="s">
        <v>5347</v>
      </c>
      <c r="H4826" s="1" t="s">
        <v>5368</v>
      </c>
      <c r="J4826" s="1" t="s">
        <v>5369</v>
      </c>
      <c r="L4826" s="1" t="s">
        <v>1955</v>
      </c>
      <c r="N4826" s="1" t="s">
        <v>1956</v>
      </c>
      <c r="P4826" s="1" t="s">
        <v>2301</v>
      </c>
      <c r="Q4826" s="30" t="s">
        <v>2568</v>
      </c>
      <c r="R4826" s="33" t="s">
        <v>3474</v>
      </c>
      <c r="S4826">
        <v>35</v>
      </c>
      <c r="T4826" s="1" t="s">
        <v>5350</v>
      </c>
      <c r="U4826" s="1" t="str">
        <f>HYPERLINK("http://ictvonline.org/taxonomy/p/taxonomy-history?taxnode_id=202103445","ICTVonline=202103445")</f>
        <v>ICTVonline=202103445</v>
      </c>
    </row>
    <row r="4827" spans="1:21" x14ac:dyDescent="0.2">
      <c r="A4827" s="3">
        <v>4826</v>
      </c>
      <c r="B4827" s="1" t="s">
        <v>5250</v>
      </c>
      <c r="D4827" s="1" t="s">
        <v>5280</v>
      </c>
      <c r="F4827" s="1" t="s">
        <v>5347</v>
      </c>
      <c r="H4827" s="1" t="s">
        <v>5368</v>
      </c>
      <c r="J4827" s="1" t="s">
        <v>5369</v>
      </c>
      <c r="L4827" s="1" t="s">
        <v>1955</v>
      </c>
      <c r="N4827" s="1" t="s">
        <v>1956</v>
      </c>
      <c r="P4827" s="1" t="s">
        <v>2955</v>
      </c>
      <c r="Q4827" s="30" t="s">
        <v>2568</v>
      </c>
      <c r="R4827" s="33" t="s">
        <v>3474</v>
      </c>
      <c r="S4827">
        <v>35</v>
      </c>
      <c r="T4827" s="1" t="s">
        <v>5350</v>
      </c>
      <c r="U4827" s="1" t="str">
        <f>HYPERLINK("http://ictvonline.org/taxonomy/p/taxonomy-history?taxnode_id=202103447","ICTVonline=202103447")</f>
        <v>ICTVonline=202103447</v>
      </c>
    </row>
    <row r="4828" spans="1:21" x14ac:dyDescent="0.2">
      <c r="A4828" s="3">
        <v>4827</v>
      </c>
      <c r="B4828" s="1" t="s">
        <v>5250</v>
      </c>
      <c r="D4828" s="1" t="s">
        <v>5280</v>
      </c>
      <c r="F4828" s="1" t="s">
        <v>5347</v>
      </c>
      <c r="H4828" s="1" t="s">
        <v>5368</v>
      </c>
      <c r="J4828" s="1" t="s">
        <v>5369</v>
      </c>
      <c r="L4828" s="1" t="s">
        <v>1955</v>
      </c>
      <c r="N4828" s="1" t="s">
        <v>1956</v>
      </c>
      <c r="P4828" s="1" t="s">
        <v>2956</v>
      </c>
      <c r="Q4828" s="30" t="s">
        <v>2568</v>
      </c>
      <c r="R4828" s="33" t="s">
        <v>3474</v>
      </c>
      <c r="S4828">
        <v>35</v>
      </c>
      <c r="T4828" s="1" t="s">
        <v>5350</v>
      </c>
      <c r="U4828" s="1" t="str">
        <f>HYPERLINK("http://ictvonline.org/taxonomy/p/taxonomy-history?taxnode_id=202103448","ICTVonline=202103448")</f>
        <v>ICTVonline=202103448</v>
      </c>
    </row>
    <row r="4829" spans="1:21" x14ac:dyDescent="0.2">
      <c r="A4829" s="3">
        <v>4828</v>
      </c>
      <c r="B4829" s="1" t="s">
        <v>5250</v>
      </c>
      <c r="D4829" s="1" t="s">
        <v>5280</v>
      </c>
      <c r="F4829" s="1" t="s">
        <v>5347</v>
      </c>
      <c r="H4829" s="1" t="s">
        <v>5368</v>
      </c>
      <c r="J4829" s="1" t="s">
        <v>5369</v>
      </c>
      <c r="L4829" s="1" t="s">
        <v>1955</v>
      </c>
      <c r="N4829" s="1" t="s">
        <v>1956</v>
      </c>
      <c r="P4829" s="1" t="s">
        <v>1426</v>
      </c>
      <c r="Q4829" s="30" t="s">
        <v>2568</v>
      </c>
      <c r="R4829" s="33" t="s">
        <v>3474</v>
      </c>
      <c r="S4829">
        <v>35</v>
      </c>
      <c r="T4829" s="1" t="s">
        <v>5350</v>
      </c>
      <c r="U4829" s="1" t="str">
        <f>HYPERLINK("http://ictvonline.org/taxonomy/p/taxonomy-history?taxnode_id=202103449","ICTVonline=202103449")</f>
        <v>ICTVonline=202103449</v>
      </c>
    </row>
    <row r="4830" spans="1:21" x14ac:dyDescent="0.2">
      <c r="A4830" s="3">
        <v>4829</v>
      </c>
      <c r="B4830" s="1" t="s">
        <v>5250</v>
      </c>
      <c r="D4830" s="1" t="s">
        <v>5280</v>
      </c>
      <c r="F4830" s="1" t="s">
        <v>5347</v>
      </c>
      <c r="H4830" s="1" t="s">
        <v>5368</v>
      </c>
      <c r="J4830" s="1" t="s">
        <v>5369</v>
      </c>
      <c r="L4830" s="1" t="s">
        <v>1955</v>
      </c>
      <c r="N4830" s="1" t="s">
        <v>1956</v>
      </c>
      <c r="P4830" s="1" t="s">
        <v>1427</v>
      </c>
      <c r="Q4830" s="30" t="s">
        <v>2568</v>
      </c>
      <c r="R4830" s="33" t="s">
        <v>3474</v>
      </c>
      <c r="S4830">
        <v>35</v>
      </c>
      <c r="T4830" s="1" t="s">
        <v>5350</v>
      </c>
      <c r="U4830" s="1" t="str">
        <f>HYPERLINK("http://ictvonline.org/taxonomy/p/taxonomy-history?taxnode_id=202103450","ICTVonline=202103450")</f>
        <v>ICTVonline=202103450</v>
      </c>
    </row>
    <row r="4831" spans="1:21" x14ac:dyDescent="0.2">
      <c r="A4831" s="3">
        <v>4830</v>
      </c>
      <c r="B4831" s="1" t="s">
        <v>5250</v>
      </c>
      <c r="D4831" s="1" t="s">
        <v>5280</v>
      </c>
      <c r="F4831" s="1" t="s">
        <v>5347</v>
      </c>
      <c r="H4831" s="1" t="s">
        <v>5368</v>
      </c>
      <c r="J4831" s="1" t="s">
        <v>5369</v>
      </c>
      <c r="L4831" s="1" t="s">
        <v>1955</v>
      </c>
      <c r="N4831" s="1" t="s">
        <v>1956</v>
      </c>
      <c r="P4831" s="1" t="s">
        <v>4844</v>
      </c>
      <c r="Q4831" s="30" t="s">
        <v>2568</v>
      </c>
      <c r="R4831" s="33" t="s">
        <v>3474</v>
      </c>
      <c r="S4831">
        <v>35</v>
      </c>
      <c r="T4831" s="1" t="s">
        <v>5350</v>
      </c>
      <c r="U4831" s="1" t="str">
        <f>HYPERLINK("http://ictvonline.org/taxonomy/p/taxonomy-history?taxnode_id=202106710","ICTVonline=202106710")</f>
        <v>ICTVonline=202106710</v>
      </c>
    </row>
    <row r="4832" spans="1:21" x14ac:dyDescent="0.2">
      <c r="A4832" s="3">
        <v>4831</v>
      </c>
      <c r="B4832" s="1" t="s">
        <v>5250</v>
      </c>
      <c r="D4832" s="1" t="s">
        <v>5280</v>
      </c>
      <c r="F4832" s="1" t="s">
        <v>5347</v>
      </c>
      <c r="H4832" s="1" t="s">
        <v>5368</v>
      </c>
      <c r="J4832" s="1" t="s">
        <v>5369</v>
      </c>
      <c r="L4832" s="1" t="s">
        <v>1955</v>
      </c>
      <c r="N4832" s="1" t="s">
        <v>1956</v>
      </c>
      <c r="P4832" s="1" t="s">
        <v>2957</v>
      </c>
      <c r="Q4832" s="30" t="s">
        <v>2568</v>
      </c>
      <c r="R4832" s="33" t="s">
        <v>3474</v>
      </c>
      <c r="S4832">
        <v>35</v>
      </c>
      <c r="T4832" s="1" t="s">
        <v>5350</v>
      </c>
      <c r="U4832" s="1" t="str">
        <f>HYPERLINK("http://ictvonline.org/taxonomy/p/taxonomy-history?taxnode_id=202103451","ICTVonline=202103451")</f>
        <v>ICTVonline=202103451</v>
      </c>
    </row>
    <row r="4833" spans="1:21" x14ac:dyDescent="0.2">
      <c r="A4833" s="3">
        <v>4832</v>
      </c>
      <c r="B4833" s="1" t="s">
        <v>5250</v>
      </c>
      <c r="D4833" s="1" t="s">
        <v>5280</v>
      </c>
      <c r="F4833" s="1" t="s">
        <v>5347</v>
      </c>
      <c r="H4833" s="1" t="s">
        <v>5368</v>
      </c>
      <c r="J4833" s="1" t="s">
        <v>5369</v>
      </c>
      <c r="L4833" s="1" t="s">
        <v>1955</v>
      </c>
      <c r="N4833" s="1" t="s">
        <v>1956</v>
      </c>
      <c r="P4833" s="1" t="s">
        <v>1428</v>
      </c>
      <c r="Q4833" s="30" t="s">
        <v>2568</v>
      </c>
      <c r="R4833" s="33" t="s">
        <v>3474</v>
      </c>
      <c r="S4833">
        <v>35</v>
      </c>
      <c r="T4833" s="1" t="s">
        <v>5350</v>
      </c>
      <c r="U4833" s="1" t="str">
        <f>HYPERLINK("http://ictvonline.org/taxonomy/p/taxonomy-history?taxnode_id=202103452","ICTVonline=202103452")</f>
        <v>ICTVonline=202103452</v>
      </c>
    </row>
    <row r="4834" spans="1:21" x14ac:dyDescent="0.2">
      <c r="A4834" s="3">
        <v>4833</v>
      </c>
      <c r="B4834" s="1" t="s">
        <v>5250</v>
      </c>
      <c r="D4834" s="1" t="s">
        <v>5280</v>
      </c>
      <c r="F4834" s="1" t="s">
        <v>5347</v>
      </c>
      <c r="H4834" s="1" t="s">
        <v>5368</v>
      </c>
      <c r="J4834" s="1" t="s">
        <v>5369</v>
      </c>
      <c r="L4834" s="1" t="s">
        <v>1955</v>
      </c>
      <c r="N4834" s="1" t="s">
        <v>1956</v>
      </c>
      <c r="P4834" s="1" t="s">
        <v>1429</v>
      </c>
      <c r="Q4834" s="30" t="s">
        <v>2568</v>
      </c>
      <c r="R4834" s="33" t="s">
        <v>3474</v>
      </c>
      <c r="S4834">
        <v>35</v>
      </c>
      <c r="T4834" s="1" t="s">
        <v>5350</v>
      </c>
      <c r="U4834" s="1" t="str">
        <f>HYPERLINK("http://ictvonline.org/taxonomy/p/taxonomy-history?taxnode_id=202103453","ICTVonline=202103453")</f>
        <v>ICTVonline=202103453</v>
      </c>
    </row>
    <row r="4835" spans="1:21" x14ac:dyDescent="0.2">
      <c r="A4835" s="3">
        <v>4834</v>
      </c>
      <c r="B4835" s="1" t="s">
        <v>5250</v>
      </c>
      <c r="D4835" s="1" t="s">
        <v>5280</v>
      </c>
      <c r="F4835" s="1" t="s">
        <v>5347</v>
      </c>
      <c r="H4835" s="1" t="s">
        <v>5368</v>
      </c>
      <c r="J4835" s="1" t="s">
        <v>5369</v>
      </c>
      <c r="L4835" s="1" t="s">
        <v>1955</v>
      </c>
      <c r="N4835" s="1" t="s">
        <v>1956</v>
      </c>
      <c r="P4835" s="1" t="s">
        <v>1430</v>
      </c>
      <c r="Q4835" s="30" t="s">
        <v>2568</v>
      </c>
      <c r="R4835" s="33" t="s">
        <v>3474</v>
      </c>
      <c r="S4835">
        <v>35</v>
      </c>
      <c r="T4835" s="1" t="s">
        <v>5350</v>
      </c>
      <c r="U4835" s="1" t="str">
        <f>HYPERLINK("http://ictvonline.org/taxonomy/p/taxonomy-history?taxnode_id=202103454","ICTVonline=202103454")</f>
        <v>ICTVonline=202103454</v>
      </c>
    </row>
    <row r="4836" spans="1:21" x14ac:dyDescent="0.2">
      <c r="A4836" s="3">
        <v>4835</v>
      </c>
      <c r="B4836" s="1" t="s">
        <v>5250</v>
      </c>
      <c r="D4836" s="1" t="s">
        <v>5280</v>
      </c>
      <c r="F4836" s="1" t="s">
        <v>5347</v>
      </c>
      <c r="H4836" s="1" t="s">
        <v>5368</v>
      </c>
      <c r="J4836" s="1" t="s">
        <v>5369</v>
      </c>
      <c r="L4836" s="1" t="s">
        <v>1955</v>
      </c>
      <c r="N4836" s="1" t="s">
        <v>1956</v>
      </c>
      <c r="P4836" s="1" t="s">
        <v>1431</v>
      </c>
      <c r="Q4836" s="30" t="s">
        <v>2568</v>
      </c>
      <c r="R4836" s="33" t="s">
        <v>3474</v>
      </c>
      <c r="S4836">
        <v>35</v>
      </c>
      <c r="T4836" s="1" t="s">
        <v>5350</v>
      </c>
      <c r="U4836" s="1" t="str">
        <f>HYPERLINK("http://ictvonline.org/taxonomy/p/taxonomy-history?taxnode_id=202103455","ICTVonline=202103455")</f>
        <v>ICTVonline=202103455</v>
      </c>
    </row>
    <row r="4837" spans="1:21" x14ac:dyDescent="0.2">
      <c r="A4837" s="3">
        <v>4836</v>
      </c>
      <c r="B4837" s="1" t="s">
        <v>5250</v>
      </c>
      <c r="D4837" s="1" t="s">
        <v>5280</v>
      </c>
      <c r="F4837" s="1" t="s">
        <v>5347</v>
      </c>
      <c r="H4837" s="1" t="s">
        <v>5368</v>
      </c>
      <c r="J4837" s="1" t="s">
        <v>5369</v>
      </c>
      <c r="L4837" s="1" t="s">
        <v>1955</v>
      </c>
      <c r="N4837" s="1" t="s">
        <v>1956</v>
      </c>
      <c r="P4837" s="1" t="s">
        <v>2958</v>
      </c>
      <c r="Q4837" s="30" t="s">
        <v>2568</v>
      </c>
      <c r="R4837" s="33" t="s">
        <v>3474</v>
      </c>
      <c r="S4837">
        <v>35</v>
      </c>
      <c r="T4837" s="1" t="s">
        <v>5350</v>
      </c>
      <c r="U4837" s="1" t="str">
        <f>HYPERLINK("http://ictvonline.org/taxonomy/p/taxonomy-history?taxnode_id=202103456","ICTVonline=202103456")</f>
        <v>ICTVonline=202103456</v>
      </c>
    </row>
    <row r="4838" spans="1:21" x14ac:dyDescent="0.2">
      <c r="A4838" s="3">
        <v>4837</v>
      </c>
      <c r="B4838" s="1" t="s">
        <v>5250</v>
      </c>
      <c r="D4838" s="1" t="s">
        <v>5280</v>
      </c>
      <c r="F4838" s="1" t="s">
        <v>5347</v>
      </c>
      <c r="H4838" s="1" t="s">
        <v>5368</v>
      </c>
      <c r="J4838" s="1" t="s">
        <v>5369</v>
      </c>
      <c r="L4838" s="1" t="s">
        <v>1955</v>
      </c>
      <c r="N4838" s="1" t="s">
        <v>1956</v>
      </c>
      <c r="P4838" s="1" t="s">
        <v>1432</v>
      </c>
      <c r="Q4838" s="30" t="s">
        <v>2568</v>
      </c>
      <c r="R4838" s="33" t="s">
        <v>3474</v>
      </c>
      <c r="S4838">
        <v>35</v>
      </c>
      <c r="T4838" s="1" t="s">
        <v>5350</v>
      </c>
      <c r="U4838" s="1" t="str">
        <f>HYPERLINK("http://ictvonline.org/taxonomy/p/taxonomy-history?taxnode_id=202103457","ICTVonline=202103457")</f>
        <v>ICTVonline=202103457</v>
      </c>
    </row>
    <row r="4839" spans="1:21" x14ac:dyDescent="0.2">
      <c r="A4839" s="3">
        <v>4838</v>
      </c>
      <c r="B4839" s="1" t="s">
        <v>5250</v>
      </c>
      <c r="D4839" s="1" t="s">
        <v>5280</v>
      </c>
      <c r="F4839" s="1" t="s">
        <v>5347</v>
      </c>
      <c r="H4839" s="1" t="s">
        <v>5368</v>
      </c>
      <c r="J4839" s="1" t="s">
        <v>5369</v>
      </c>
      <c r="L4839" s="1" t="s">
        <v>1955</v>
      </c>
      <c r="N4839" s="1" t="s">
        <v>1956</v>
      </c>
      <c r="P4839" s="1" t="s">
        <v>4845</v>
      </c>
      <c r="Q4839" s="30" t="s">
        <v>2568</v>
      </c>
      <c r="R4839" s="33" t="s">
        <v>3474</v>
      </c>
      <c r="S4839">
        <v>35</v>
      </c>
      <c r="T4839" s="1" t="s">
        <v>5350</v>
      </c>
      <c r="U4839" s="1" t="str">
        <f>HYPERLINK("http://ictvonline.org/taxonomy/p/taxonomy-history?taxnode_id=202106712","ICTVonline=202106712")</f>
        <v>ICTVonline=202106712</v>
      </c>
    </row>
    <row r="4840" spans="1:21" x14ac:dyDescent="0.2">
      <c r="A4840" s="3">
        <v>4839</v>
      </c>
      <c r="B4840" s="1" t="s">
        <v>5250</v>
      </c>
      <c r="D4840" s="1" t="s">
        <v>5280</v>
      </c>
      <c r="F4840" s="1" t="s">
        <v>5347</v>
      </c>
      <c r="H4840" s="1" t="s">
        <v>5368</v>
      </c>
      <c r="J4840" s="1" t="s">
        <v>5369</v>
      </c>
      <c r="L4840" s="1" t="s">
        <v>1955</v>
      </c>
      <c r="N4840" s="1" t="s">
        <v>1956</v>
      </c>
      <c r="P4840" s="1" t="s">
        <v>2302</v>
      </c>
      <c r="Q4840" s="30" t="s">
        <v>2568</v>
      </c>
      <c r="R4840" s="33" t="s">
        <v>3474</v>
      </c>
      <c r="S4840">
        <v>35</v>
      </c>
      <c r="T4840" s="1" t="s">
        <v>5350</v>
      </c>
      <c r="U4840" s="1" t="str">
        <f>HYPERLINK("http://ictvonline.org/taxonomy/p/taxonomy-history?taxnode_id=202103458","ICTVonline=202103458")</f>
        <v>ICTVonline=202103458</v>
      </c>
    </row>
    <row r="4841" spans="1:21" x14ac:dyDescent="0.2">
      <c r="A4841" s="3">
        <v>4840</v>
      </c>
      <c r="B4841" s="1" t="s">
        <v>5250</v>
      </c>
      <c r="D4841" s="1" t="s">
        <v>5280</v>
      </c>
      <c r="F4841" s="1" t="s">
        <v>5347</v>
      </c>
      <c r="H4841" s="1" t="s">
        <v>5368</v>
      </c>
      <c r="J4841" s="1" t="s">
        <v>5369</v>
      </c>
      <c r="L4841" s="1" t="s">
        <v>1955</v>
      </c>
      <c r="N4841" s="1" t="s">
        <v>1956</v>
      </c>
      <c r="P4841" s="1" t="s">
        <v>1433</v>
      </c>
      <c r="Q4841" s="30" t="s">
        <v>2568</v>
      </c>
      <c r="R4841" s="33" t="s">
        <v>3474</v>
      </c>
      <c r="S4841">
        <v>35</v>
      </c>
      <c r="T4841" s="1" t="s">
        <v>5350</v>
      </c>
      <c r="U4841" s="1" t="str">
        <f>HYPERLINK("http://ictvonline.org/taxonomy/p/taxonomy-history?taxnode_id=202103459","ICTVonline=202103459")</f>
        <v>ICTVonline=202103459</v>
      </c>
    </row>
    <row r="4842" spans="1:21" x14ac:dyDescent="0.2">
      <c r="A4842" s="3">
        <v>4841</v>
      </c>
      <c r="B4842" s="1" t="s">
        <v>5250</v>
      </c>
      <c r="D4842" s="1" t="s">
        <v>5280</v>
      </c>
      <c r="F4842" s="1" t="s">
        <v>5347</v>
      </c>
      <c r="H4842" s="1" t="s">
        <v>5368</v>
      </c>
      <c r="J4842" s="1" t="s">
        <v>5369</v>
      </c>
      <c r="L4842" s="1" t="s">
        <v>1955</v>
      </c>
      <c r="N4842" s="1" t="s">
        <v>1956</v>
      </c>
      <c r="P4842" s="1" t="s">
        <v>1434</v>
      </c>
      <c r="Q4842" s="30" t="s">
        <v>2568</v>
      </c>
      <c r="R4842" s="33" t="s">
        <v>3474</v>
      </c>
      <c r="S4842">
        <v>35</v>
      </c>
      <c r="T4842" s="1" t="s">
        <v>5350</v>
      </c>
      <c r="U4842" s="1" t="str">
        <f>HYPERLINK("http://ictvonline.org/taxonomy/p/taxonomy-history?taxnode_id=202103460","ICTVonline=202103460")</f>
        <v>ICTVonline=202103460</v>
      </c>
    </row>
    <row r="4843" spans="1:21" x14ac:dyDescent="0.2">
      <c r="A4843" s="3">
        <v>4842</v>
      </c>
      <c r="B4843" s="1" t="s">
        <v>5250</v>
      </c>
      <c r="D4843" s="1" t="s">
        <v>5280</v>
      </c>
      <c r="F4843" s="1" t="s">
        <v>5347</v>
      </c>
      <c r="H4843" s="1" t="s">
        <v>5368</v>
      </c>
      <c r="J4843" s="1" t="s">
        <v>5369</v>
      </c>
      <c r="L4843" s="1" t="s">
        <v>1955</v>
      </c>
      <c r="N4843" s="1" t="s">
        <v>1956</v>
      </c>
      <c r="P4843" s="1" t="s">
        <v>1435</v>
      </c>
      <c r="Q4843" s="30" t="s">
        <v>2568</v>
      </c>
      <c r="R4843" s="33" t="s">
        <v>3474</v>
      </c>
      <c r="S4843">
        <v>35</v>
      </c>
      <c r="T4843" s="1" t="s">
        <v>5350</v>
      </c>
      <c r="U4843" s="1" t="str">
        <f>HYPERLINK("http://ictvonline.org/taxonomy/p/taxonomy-history?taxnode_id=202103461","ICTVonline=202103461")</f>
        <v>ICTVonline=202103461</v>
      </c>
    </row>
    <row r="4844" spans="1:21" x14ac:dyDescent="0.2">
      <c r="A4844" s="3">
        <v>4843</v>
      </c>
      <c r="B4844" s="1" t="s">
        <v>5250</v>
      </c>
      <c r="D4844" s="1" t="s">
        <v>5280</v>
      </c>
      <c r="F4844" s="1" t="s">
        <v>5347</v>
      </c>
      <c r="H4844" s="1" t="s">
        <v>5368</v>
      </c>
      <c r="J4844" s="1" t="s">
        <v>5369</v>
      </c>
      <c r="L4844" s="1" t="s">
        <v>1955</v>
      </c>
      <c r="N4844" s="1" t="s">
        <v>1956</v>
      </c>
      <c r="P4844" s="1" t="s">
        <v>2303</v>
      </c>
      <c r="Q4844" s="30" t="s">
        <v>2568</v>
      </c>
      <c r="R4844" s="33" t="s">
        <v>3474</v>
      </c>
      <c r="S4844">
        <v>35</v>
      </c>
      <c r="T4844" s="1" t="s">
        <v>5350</v>
      </c>
      <c r="U4844" s="1" t="str">
        <f>HYPERLINK("http://ictvonline.org/taxonomy/p/taxonomy-history?taxnode_id=202103462","ICTVonline=202103462")</f>
        <v>ICTVonline=202103462</v>
      </c>
    </row>
    <row r="4845" spans="1:21" x14ac:dyDescent="0.2">
      <c r="A4845" s="3">
        <v>4844</v>
      </c>
      <c r="B4845" s="1" t="s">
        <v>5250</v>
      </c>
      <c r="D4845" s="1" t="s">
        <v>5280</v>
      </c>
      <c r="F4845" s="1" t="s">
        <v>5347</v>
      </c>
      <c r="H4845" s="1" t="s">
        <v>5368</v>
      </c>
      <c r="J4845" s="1" t="s">
        <v>5369</v>
      </c>
      <c r="L4845" s="1" t="s">
        <v>1955</v>
      </c>
      <c r="N4845" s="1" t="s">
        <v>1956</v>
      </c>
      <c r="P4845" s="1" t="s">
        <v>2304</v>
      </c>
      <c r="Q4845" s="30" t="s">
        <v>2568</v>
      </c>
      <c r="R4845" s="33" t="s">
        <v>3474</v>
      </c>
      <c r="S4845">
        <v>35</v>
      </c>
      <c r="T4845" s="1" t="s">
        <v>5350</v>
      </c>
      <c r="U4845" s="1" t="str">
        <f>HYPERLINK("http://ictvonline.org/taxonomy/p/taxonomy-history?taxnode_id=202103463","ICTVonline=202103463")</f>
        <v>ICTVonline=202103463</v>
      </c>
    </row>
    <row r="4846" spans="1:21" x14ac:dyDescent="0.2">
      <c r="A4846" s="3">
        <v>4845</v>
      </c>
      <c r="B4846" s="1" t="s">
        <v>5250</v>
      </c>
      <c r="D4846" s="1" t="s">
        <v>5280</v>
      </c>
      <c r="F4846" s="1" t="s">
        <v>5347</v>
      </c>
      <c r="H4846" s="1" t="s">
        <v>5368</v>
      </c>
      <c r="J4846" s="1" t="s">
        <v>5369</v>
      </c>
      <c r="L4846" s="1" t="s">
        <v>1955</v>
      </c>
      <c r="N4846" s="1" t="s">
        <v>1956</v>
      </c>
      <c r="P4846" s="1" t="s">
        <v>2305</v>
      </c>
      <c r="Q4846" s="30" t="s">
        <v>2568</v>
      </c>
      <c r="R4846" s="33" t="s">
        <v>3474</v>
      </c>
      <c r="S4846">
        <v>35</v>
      </c>
      <c r="T4846" s="1" t="s">
        <v>5350</v>
      </c>
      <c r="U4846" s="1" t="str">
        <f>HYPERLINK("http://ictvonline.org/taxonomy/p/taxonomy-history?taxnode_id=202103464","ICTVonline=202103464")</f>
        <v>ICTVonline=202103464</v>
      </c>
    </row>
    <row r="4847" spans="1:21" x14ac:dyDescent="0.2">
      <c r="A4847" s="3">
        <v>4846</v>
      </c>
      <c r="B4847" s="1" t="s">
        <v>5250</v>
      </c>
      <c r="D4847" s="1" t="s">
        <v>5280</v>
      </c>
      <c r="F4847" s="1" t="s">
        <v>5347</v>
      </c>
      <c r="H4847" s="1" t="s">
        <v>5368</v>
      </c>
      <c r="J4847" s="1" t="s">
        <v>5369</v>
      </c>
      <c r="L4847" s="1" t="s">
        <v>1955</v>
      </c>
      <c r="N4847" s="1" t="s">
        <v>1956</v>
      </c>
      <c r="P4847" s="1" t="s">
        <v>1436</v>
      </c>
      <c r="Q4847" s="30" t="s">
        <v>2568</v>
      </c>
      <c r="R4847" s="33" t="s">
        <v>3474</v>
      </c>
      <c r="S4847">
        <v>35</v>
      </c>
      <c r="T4847" s="1" t="s">
        <v>5350</v>
      </c>
      <c r="U4847" s="1" t="str">
        <f>HYPERLINK("http://ictvonline.org/taxonomy/p/taxonomy-history?taxnode_id=202103465","ICTVonline=202103465")</f>
        <v>ICTVonline=202103465</v>
      </c>
    </row>
    <row r="4848" spans="1:21" x14ac:dyDescent="0.2">
      <c r="A4848" s="3">
        <v>4847</v>
      </c>
      <c r="B4848" s="1" t="s">
        <v>5250</v>
      </c>
      <c r="D4848" s="1" t="s">
        <v>5280</v>
      </c>
      <c r="F4848" s="1" t="s">
        <v>5347</v>
      </c>
      <c r="H4848" s="1" t="s">
        <v>5368</v>
      </c>
      <c r="J4848" s="1" t="s">
        <v>5369</v>
      </c>
      <c r="L4848" s="1" t="s">
        <v>1955</v>
      </c>
      <c r="N4848" s="1" t="s">
        <v>1956</v>
      </c>
      <c r="P4848" s="1" t="s">
        <v>1437</v>
      </c>
      <c r="Q4848" s="30" t="s">
        <v>2568</v>
      </c>
      <c r="R4848" s="33" t="s">
        <v>3474</v>
      </c>
      <c r="S4848">
        <v>35</v>
      </c>
      <c r="T4848" s="1" t="s">
        <v>5350</v>
      </c>
      <c r="U4848" s="1" t="str">
        <f>HYPERLINK("http://ictvonline.org/taxonomy/p/taxonomy-history?taxnode_id=202103466","ICTVonline=202103466")</f>
        <v>ICTVonline=202103466</v>
      </c>
    </row>
    <row r="4849" spans="1:21" x14ac:dyDescent="0.2">
      <c r="A4849" s="3">
        <v>4848</v>
      </c>
      <c r="B4849" s="1" t="s">
        <v>5250</v>
      </c>
      <c r="D4849" s="1" t="s">
        <v>5280</v>
      </c>
      <c r="F4849" s="1" t="s">
        <v>5347</v>
      </c>
      <c r="H4849" s="1" t="s">
        <v>5368</v>
      </c>
      <c r="J4849" s="1" t="s">
        <v>5369</v>
      </c>
      <c r="L4849" s="1" t="s">
        <v>1955</v>
      </c>
      <c r="N4849" s="1" t="s">
        <v>1956</v>
      </c>
      <c r="P4849" s="1" t="s">
        <v>6421</v>
      </c>
      <c r="Q4849" s="30" t="s">
        <v>2969</v>
      </c>
      <c r="R4849" s="33" t="s">
        <v>3472</v>
      </c>
      <c r="S4849">
        <v>36</v>
      </c>
      <c r="T4849" s="1" t="s">
        <v>6403</v>
      </c>
      <c r="U4849" s="1" t="str">
        <f>HYPERLINK("http://ictvonline.org/taxonomy/p/taxonomy-history?taxnode_id=202109135","ICTVonline=202109135")</f>
        <v>ICTVonline=202109135</v>
      </c>
    </row>
    <row r="4850" spans="1:21" x14ac:dyDescent="0.2">
      <c r="A4850" s="3">
        <v>4849</v>
      </c>
      <c r="B4850" s="1" t="s">
        <v>5250</v>
      </c>
      <c r="D4850" s="1" t="s">
        <v>5280</v>
      </c>
      <c r="F4850" s="1" t="s">
        <v>5347</v>
      </c>
      <c r="H4850" s="1" t="s">
        <v>5368</v>
      </c>
      <c r="J4850" s="1" t="s">
        <v>5369</v>
      </c>
      <c r="L4850" s="1" t="s">
        <v>1955</v>
      </c>
      <c r="N4850" s="1" t="s">
        <v>1956</v>
      </c>
      <c r="P4850" s="1" t="s">
        <v>2306</v>
      </c>
      <c r="Q4850" s="30" t="s">
        <v>2568</v>
      </c>
      <c r="R4850" s="33" t="s">
        <v>3474</v>
      </c>
      <c r="S4850">
        <v>35</v>
      </c>
      <c r="T4850" s="1" t="s">
        <v>5350</v>
      </c>
      <c r="U4850" s="1" t="str">
        <f>HYPERLINK("http://ictvonline.org/taxonomy/p/taxonomy-history?taxnode_id=202103467","ICTVonline=202103467")</f>
        <v>ICTVonline=202103467</v>
      </c>
    </row>
    <row r="4851" spans="1:21" x14ac:dyDescent="0.2">
      <c r="A4851" s="3">
        <v>4850</v>
      </c>
      <c r="B4851" s="1" t="s">
        <v>5250</v>
      </c>
      <c r="D4851" s="1" t="s">
        <v>5280</v>
      </c>
      <c r="F4851" s="1" t="s">
        <v>5347</v>
      </c>
      <c r="H4851" s="1" t="s">
        <v>5368</v>
      </c>
      <c r="J4851" s="1" t="s">
        <v>5369</v>
      </c>
      <c r="L4851" s="1" t="s">
        <v>1955</v>
      </c>
      <c r="N4851" s="1" t="s">
        <v>1956</v>
      </c>
      <c r="P4851" s="1" t="s">
        <v>1738</v>
      </c>
      <c r="Q4851" s="30" t="s">
        <v>2568</v>
      </c>
      <c r="R4851" s="33" t="s">
        <v>3474</v>
      </c>
      <c r="S4851">
        <v>35</v>
      </c>
      <c r="T4851" s="1" t="s">
        <v>5350</v>
      </c>
      <c r="U4851" s="1" t="str">
        <f>HYPERLINK("http://ictvonline.org/taxonomy/p/taxonomy-history?taxnode_id=202103468","ICTVonline=202103468")</f>
        <v>ICTVonline=202103468</v>
      </c>
    </row>
    <row r="4852" spans="1:21" x14ac:dyDescent="0.2">
      <c r="A4852" s="3">
        <v>4851</v>
      </c>
      <c r="B4852" s="1" t="s">
        <v>5250</v>
      </c>
      <c r="D4852" s="1" t="s">
        <v>5280</v>
      </c>
      <c r="F4852" s="1" t="s">
        <v>5347</v>
      </c>
      <c r="H4852" s="1" t="s">
        <v>5368</v>
      </c>
      <c r="J4852" s="1" t="s">
        <v>5369</v>
      </c>
      <c r="L4852" s="1" t="s">
        <v>1955</v>
      </c>
      <c r="N4852" s="1" t="s">
        <v>1956</v>
      </c>
      <c r="P4852" s="1" t="s">
        <v>1739</v>
      </c>
      <c r="Q4852" s="30" t="s">
        <v>2568</v>
      </c>
      <c r="R4852" s="33" t="s">
        <v>3474</v>
      </c>
      <c r="S4852">
        <v>35</v>
      </c>
      <c r="T4852" s="1" t="s">
        <v>5350</v>
      </c>
      <c r="U4852" s="1" t="str">
        <f>HYPERLINK("http://ictvonline.org/taxonomy/p/taxonomy-history?taxnode_id=202103469","ICTVonline=202103469")</f>
        <v>ICTVonline=202103469</v>
      </c>
    </row>
    <row r="4853" spans="1:21" x14ac:dyDescent="0.2">
      <c r="A4853" s="3">
        <v>4852</v>
      </c>
      <c r="B4853" s="1" t="s">
        <v>5250</v>
      </c>
      <c r="D4853" s="1" t="s">
        <v>5280</v>
      </c>
      <c r="F4853" s="1" t="s">
        <v>5347</v>
      </c>
      <c r="H4853" s="1" t="s">
        <v>5368</v>
      </c>
      <c r="J4853" s="1" t="s">
        <v>5369</v>
      </c>
      <c r="L4853" s="1" t="s">
        <v>1955</v>
      </c>
      <c r="N4853" s="1" t="s">
        <v>1956</v>
      </c>
      <c r="P4853" s="1" t="s">
        <v>3855</v>
      </c>
      <c r="Q4853" s="30" t="s">
        <v>2568</v>
      </c>
      <c r="R4853" s="33" t="s">
        <v>3474</v>
      </c>
      <c r="S4853">
        <v>35</v>
      </c>
      <c r="T4853" s="1" t="s">
        <v>5350</v>
      </c>
      <c r="U4853" s="1" t="str">
        <f>HYPERLINK("http://ictvonline.org/taxonomy/p/taxonomy-history?taxnode_id=202105839","ICTVonline=202105839")</f>
        <v>ICTVonline=202105839</v>
      </c>
    </row>
    <row r="4854" spans="1:21" x14ac:dyDescent="0.2">
      <c r="A4854" s="3">
        <v>4853</v>
      </c>
      <c r="B4854" s="1" t="s">
        <v>5250</v>
      </c>
      <c r="D4854" s="1" t="s">
        <v>5280</v>
      </c>
      <c r="F4854" s="1" t="s">
        <v>5347</v>
      </c>
      <c r="H4854" s="1" t="s">
        <v>5368</v>
      </c>
      <c r="J4854" s="1" t="s">
        <v>5369</v>
      </c>
      <c r="L4854" s="1" t="s">
        <v>1955</v>
      </c>
      <c r="N4854" s="1" t="s">
        <v>1956</v>
      </c>
      <c r="P4854" s="1" t="s">
        <v>1740</v>
      </c>
      <c r="Q4854" s="30" t="s">
        <v>2568</v>
      </c>
      <c r="R4854" s="33" t="s">
        <v>3474</v>
      </c>
      <c r="S4854">
        <v>35</v>
      </c>
      <c r="T4854" s="1" t="s">
        <v>5350</v>
      </c>
      <c r="U4854" s="1" t="str">
        <f>HYPERLINK("http://ictvonline.org/taxonomy/p/taxonomy-history?taxnode_id=202103470","ICTVonline=202103470")</f>
        <v>ICTVonline=202103470</v>
      </c>
    </row>
    <row r="4855" spans="1:21" x14ac:dyDescent="0.2">
      <c r="A4855" s="3">
        <v>4854</v>
      </c>
      <c r="B4855" s="1" t="s">
        <v>5250</v>
      </c>
      <c r="D4855" s="1" t="s">
        <v>5280</v>
      </c>
      <c r="F4855" s="1" t="s">
        <v>5347</v>
      </c>
      <c r="H4855" s="1" t="s">
        <v>5368</v>
      </c>
      <c r="J4855" s="1" t="s">
        <v>5369</v>
      </c>
      <c r="L4855" s="1" t="s">
        <v>1955</v>
      </c>
      <c r="N4855" s="1" t="s">
        <v>1956</v>
      </c>
      <c r="P4855" s="1" t="s">
        <v>2307</v>
      </c>
      <c r="Q4855" s="30" t="s">
        <v>2568</v>
      </c>
      <c r="R4855" s="33" t="s">
        <v>3474</v>
      </c>
      <c r="S4855">
        <v>35</v>
      </c>
      <c r="T4855" s="1" t="s">
        <v>5350</v>
      </c>
      <c r="U4855" s="1" t="str">
        <f>HYPERLINK("http://ictvonline.org/taxonomy/p/taxonomy-history?taxnode_id=202103471","ICTVonline=202103471")</f>
        <v>ICTVonline=202103471</v>
      </c>
    </row>
    <row r="4856" spans="1:21" x14ac:dyDescent="0.2">
      <c r="A4856" s="3">
        <v>4855</v>
      </c>
      <c r="B4856" s="1" t="s">
        <v>5250</v>
      </c>
      <c r="D4856" s="1" t="s">
        <v>5280</v>
      </c>
      <c r="F4856" s="1" t="s">
        <v>5347</v>
      </c>
      <c r="H4856" s="1" t="s">
        <v>5368</v>
      </c>
      <c r="J4856" s="1" t="s">
        <v>5369</v>
      </c>
      <c r="L4856" s="1" t="s">
        <v>1955</v>
      </c>
      <c r="N4856" s="1" t="s">
        <v>1956</v>
      </c>
      <c r="P4856" s="1" t="s">
        <v>4846</v>
      </c>
      <c r="Q4856" s="30" t="s">
        <v>2568</v>
      </c>
      <c r="R4856" s="33" t="s">
        <v>3474</v>
      </c>
      <c r="S4856">
        <v>35</v>
      </c>
      <c r="T4856" s="1" t="s">
        <v>5350</v>
      </c>
      <c r="U4856" s="1" t="str">
        <f>HYPERLINK("http://ictvonline.org/taxonomy/p/taxonomy-history?taxnode_id=202106715","ICTVonline=202106715")</f>
        <v>ICTVonline=202106715</v>
      </c>
    </row>
    <row r="4857" spans="1:21" x14ac:dyDescent="0.2">
      <c r="A4857" s="3">
        <v>4856</v>
      </c>
      <c r="B4857" s="1" t="s">
        <v>5250</v>
      </c>
      <c r="D4857" s="1" t="s">
        <v>5280</v>
      </c>
      <c r="F4857" s="1" t="s">
        <v>5347</v>
      </c>
      <c r="H4857" s="1" t="s">
        <v>5368</v>
      </c>
      <c r="J4857" s="1" t="s">
        <v>5369</v>
      </c>
      <c r="L4857" s="1" t="s">
        <v>1955</v>
      </c>
      <c r="N4857" s="1" t="s">
        <v>1956</v>
      </c>
      <c r="P4857" s="1" t="s">
        <v>1741</v>
      </c>
      <c r="Q4857" s="30" t="s">
        <v>2568</v>
      </c>
      <c r="R4857" s="33" t="s">
        <v>3474</v>
      </c>
      <c r="S4857">
        <v>35</v>
      </c>
      <c r="T4857" s="1" t="s">
        <v>5350</v>
      </c>
      <c r="U4857" s="1" t="str">
        <f>HYPERLINK("http://ictvonline.org/taxonomy/p/taxonomy-history?taxnode_id=202103472","ICTVonline=202103472")</f>
        <v>ICTVonline=202103472</v>
      </c>
    </row>
    <row r="4858" spans="1:21" x14ac:dyDescent="0.2">
      <c r="A4858" s="3">
        <v>4857</v>
      </c>
      <c r="B4858" s="1" t="s">
        <v>5250</v>
      </c>
      <c r="D4858" s="1" t="s">
        <v>5280</v>
      </c>
      <c r="F4858" s="1" t="s">
        <v>5347</v>
      </c>
      <c r="H4858" s="1" t="s">
        <v>5368</v>
      </c>
      <c r="J4858" s="1" t="s">
        <v>5369</v>
      </c>
      <c r="L4858" s="1" t="s">
        <v>1955</v>
      </c>
      <c r="N4858" s="1" t="s">
        <v>1956</v>
      </c>
      <c r="P4858" s="1" t="s">
        <v>1742</v>
      </c>
      <c r="Q4858" s="30" t="s">
        <v>2568</v>
      </c>
      <c r="R4858" s="33" t="s">
        <v>3474</v>
      </c>
      <c r="S4858">
        <v>35</v>
      </c>
      <c r="T4858" s="1" t="s">
        <v>5350</v>
      </c>
      <c r="U4858" s="1" t="str">
        <f>HYPERLINK("http://ictvonline.org/taxonomy/p/taxonomy-history?taxnode_id=202103473","ICTVonline=202103473")</f>
        <v>ICTVonline=202103473</v>
      </c>
    </row>
    <row r="4859" spans="1:21" x14ac:dyDescent="0.2">
      <c r="A4859" s="3">
        <v>4858</v>
      </c>
      <c r="B4859" s="1" t="s">
        <v>5250</v>
      </c>
      <c r="D4859" s="1" t="s">
        <v>5280</v>
      </c>
      <c r="F4859" s="1" t="s">
        <v>5347</v>
      </c>
      <c r="H4859" s="1" t="s">
        <v>5368</v>
      </c>
      <c r="J4859" s="1" t="s">
        <v>5369</v>
      </c>
      <c r="L4859" s="1" t="s">
        <v>1955</v>
      </c>
      <c r="N4859" s="1" t="s">
        <v>1956</v>
      </c>
      <c r="P4859" s="1" t="s">
        <v>5386</v>
      </c>
      <c r="Q4859" s="30" t="s">
        <v>2969</v>
      </c>
      <c r="R4859" s="33" t="s">
        <v>3472</v>
      </c>
      <c r="S4859">
        <v>35</v>
      </c>
      <c r="T4859" s="1" t="s">
        <v>5371</v>
      </c>
      <c r="U4859" s="1" t="str">
        <f>HYPERLINK("http://ictvonline.org/taxonomy/p/taxonomy-history?taxnode_id=202107532","ICTVonline=202107532")</f>
        <v>ICTVonline=202107532</v>
      </c>
    </row>
    <row r="4860" spans="1:21" x14ac:dyDescent="0.2">
      <c r="A4860" s="3">
        <v>4859</v>
      </c>
      <c r="B4860" s="1" t="s">
        <v>5250</v>
      </c>
      <c r="D4860" s="1" t="s">
        <v>5280</v>
      </c>
      <c r="F4860" s="1" t="s">
        <v>5347</v>
      </c>
      <c r="H4860" s="1" t="s">
        <v>5368</v>
      </c>
      <c r="J4860" s="1" t="s">
        <v>5369</v>
      </c>
      <c r="L4860" s="1" t="s">
        <v>1955</v>
      </c>
      <c r="N4860" s="1" t="s">
        <v>1956</v>
      </c>
      <c r="P4860" s="1" t="s">
        <v>6422</v>
      </c>
      <c r="Q4860" s="30" t="s">
        <v>2969</v>
      </c>
      <c r="R4860" s="33" t="s">
        <v>3472</v>
      </c>
      <c r="S4860">
        <v>36</v>
      </c>
      <c r="T4860" s="1" t="s">
        <v>6403</v>
      </c>
      <c r="U4860" s="1" t="str">
        <f>HYPERLINK("http://ictvonline.org/taxonomy/p/taxonomy-history?taxnode_id=202109136","ICTVonline=202109136")</f>
        <v>ICTVonline=202109136</v>
      </c>
    </row>
    <row r="4861" spans="1:21" x14ac:dyDescent="0.2">
      <c r="A4861" s="3">
        <v>4860</v>
      </c>
      <c r="B4861" s="1" t="s">
        <v>5250</v>
      </c>
      <c r="D4861" s="1" t="s">
        <v>5280</v>
      </c>
      <c r="F4861" s="1" t="s">
        <v>5347</v>
      </c>
      <c r="H4861" s="1" t="s">
        <v>5368</v>
      </c>
      <c r="J4861" s="1" t="s">
        <v>5369</v>
      </c>
      <c r="L4861" s="1" t="s">
        <v>1955</v>
      </c>
      <c r="N4861" s="1" t="s">
        <v>1956</v>
      </c>
      <c r="P4861" s="1" t="s">
        <v>4847</v>
      </c>
      <c r="Q4861" s="30" t="s">
        <v>2568</v>
      </c>
      <c r="R4861" s="33" t="s">
        <v>3474</v>
      </c>
      <c r="S4861">
        <v>35</v>
      </c>
      <c r="T4861" s="1" t="s">
        <v>5350</v>
      </c>
      <c r="U4861" s="1" t="str">
        <f>HYPERLINK("http://ictvonline.org/taxonomy/p/taxonomy-history?taxnode_id=202106716","ICTVonline=202106716")</f>
        <v>ICTVonline=202106716</v>
      </c>
    </row>
    <row r="4862" spans="1:21" x14ac:dyDescent="0.2">
      <c r="A4862" s="3">
        <v>4861</v>
      </c>
      <c r="B4862" s="1" t="s">
        <v>5250</v>
      </c>
      <c r="D4862" s="1" t="s">
        <v>5280</v>
      </c>
      <c r="F4862" s="1" t="s">
        <v>5347</v>
      </c>
      <c r="H4862" s="1" t="s">
        <v>5368</v>
      </c>
      <c r="J4862" s="1" t="s">
        <v>5369</v>
      </c>
      <c r="L4862" s="1" t="s">
        <v>1955</v>
      </c>
      <c r="N4862" s="1" t="s">
        <v>1956</v>
      </c>
      <c r="P4862" s="1" t="s">
        <v>1743</v>
      </c>
      <c r="Q4862" s="30" t="s">
        <v>2568</v>
      </c>
      <c r="R4862" s="33" t="s">
        <v>3474</v>
      </c>
      <c r="S4862">
        <v>35</v>
      </c>
      <c r="T4862" s="1" t="s">
        <v>5350</v>
      </c>
      <c r="U4862" s="1" t="str">
        <f>HYPERLINK("http://ictvonline.org/taxonomy/p/taxonomy-history?taxnode_id=202103474","ICTVonline=202103474")</f>
        <v>ICTVonline=202103474</v>
      </c>
    </row>
    <row r="4863" spans="1:21" x14ac:dyDescent="0.2">
      <c r="A4863" s="3">
        <v>4862</v>
      </c>
      <c r="B4863" s="1" t="s">
        <v>5250</v>
      </c>
      <c r="D4863" s="1" t="s">
        <v>5280</v>
      </c>
      <c r="F4863" s="1" t="s">
        <v>5347</v>
      </c>
      <c r="H4863" s="1" t="s">
        <v>5368</v>
      </c>
      <c r="J4863" s="1" t="s">
        <v>5369</v>
      </c>
      <c r="L4863" s="1" t="s">
        <v>1955</v>
      </c>
      <c r="N4863" s="1" t="s">
        <v>1956</v>
      </c>
      <c r="P4863" s="1" t="s">
        <v>1744</v>
      </c>
      <c r="Q4863" s="30" t="s">
        <v>2568</v>
      </c>
      <c r="R4863" s="33" t="s">
        <v>3474</v>
      </c>
      <c r="S4863">
        <v>35</v>
      </c>
      <c r="T4863" s="1" t="s">
        <v>5350</v>
      </c>
      <c r="U4863" s="1" t="str">
        <f>HYPERLINK("http://ictvonline.org/taxonomy/p/taxonomy-history?taxnode_id=202103475","ICTVonline=202103475")</f>
        <v>ICTVonline=202103475</v>
      </c>
    </row>
    <row r="4864" spans="1:21" x14ac:dyDescent="0.2">
      <c r="A4864" s="3">
        <v>4863</v>
      </c>
      <c r="B4864" s="1" t="s">
        <v>5250</v>
      </c>
      <c r="D4864" s="1" t="s">
        <v>5280</v>
      </c>
      <c r="F4864" s="1" t="s">
        <v>5347</v>
      </c>
      <c r="H4864" s="1" t="s">
        <v>5368</v>
      </c>
      <c r="J4864" s="1" t="s">
        <v>5369</v>
      </c>
      <c r="L4864" s="1" t="s">
        <v>1955</v>
      </c>
      <c r="N4864" s="1" t="s">
        <v>1956</v>
      </c>
      <c r="P4864" s="1" t="s">
        <v>1745</v>
      </c>
      <c r="Q4864" s="30" t="s">
        <v>2568</v>
      </c>
      <c r="R4864" s="33" t="s">
        <v>3474</v>
      </c>
      <c r="S4864">
        <v>35</v>
      </c>
      <c r="T4864" s="1" t="s">
        <v>5350</v>
      </c>
      <c r="U4864" s="1" t="str">
        <f>HYPERLINK("http://ictvonline.org/taxonomy/p/taxonomy-history?taxnode_id=202103476","ICTVonline=202103476")</f>
        <v>ICTVonline=202103476</v>
      </c>
    </row>
    <row r="4865" spans="1:21" x14ac:dyDescent="0.2">
      <c r="A4865" s="3">
        <v>4864</v>
      </c>
      <c r="B4865" s="1" t="s">
        <v>5250</v>
      </c>
      <c r="D4865" s="1" t="s">
        <v>5280</v>
      </c>
      <c r="F4865" s="1" t="s">
        <v>5347</v>
      </c>
      <c r="H4865" s="1" t="s">
        <v>5368</v>
      </c>
      <c r="J4865" s="1" t="s">
        <v>5369</v>
      </c>
      <c r="L4865" s="1" t="s">
        <v>1955</v>
      </c>
      <c r="N4865" s="1" t="s">
        <v>1956</v>
      </c>
      <c r="P4865" s="1" t="s">
        <v>821</v>
      </c>
      <c r="Q4865" s="30" t="s">
        <v>2568</v>
      </c>
      <c r="R4865" s="33" t="s">
        <v>3474</v>
      </c>
      <c r="S4865">
        <v>35</v>
      </c>
      <c r="T4865" s="1" t="s">
        <v>5350</v>
      </c>
      <c r="U4865" s="1" t="str">
        <f>HYPERLINK("http://ictvonline.org/taxonomy/p/taxonomy-history?taxnode_id=202103477","ICTVonline=202103477")</f>
        <v>ICTVonline=202103477</v>
      </c>
    </row>
    <row r="4866" spans="1:21" x14ac:dyDescent="0.2">
      <c r="A4866" s="3">
        <v>4865</v>
      </c>
      <c r="B4866" s="1" t="s">
        <v>5250</v>
      </c>
      <c r="D4866" s="1" t="s">
        <v>5280</v>
      </c>
      <c r="F4866" s="1" t="s">
        <v>5347</v>
      </c>
      <c r="H4866" s="1" t="s">
        <v>5368</v>
      </c>
      <c r="J4866" s="1" t="s">
        <v>5369</v>
      </c>
      <c r="L4866" s="1" t="s">
        <v>1955</v>
      </c>
      <c r="N4866" s="1" t="s">
        <v>1956</v>
      </c>
      <c r="P4866" s="1" t="s">
        <v>822</v>
      </c>
      <c r="Q4866" s="30" t="s">
        <v>2568</v>
      </c>
      <c r="R4866" s="33" t="s">
        <v>3474</v>
      </c>
      <c r="S4866">
        <v>35</v>
      </c>
      <c r="T4866" s="1" t="s">
        <v>5350</v>
      </c>
      <c r="U4866" s="1" t="str">
        <f>HYPERLINK("http://ictvonline.org/taxonomy/p/taxonomy-history?taxnode_id=202103478","ICTVonline=202103478")</f>
        <v>ICTVonline=202103478</v>
      </c>
    </row>
    <row r="4867" spans="1:21" x14ac:dyDescent="0.2">
      <c r="A4867" s="3">
        <v>4866</v>
      </c>
      <c r="B4867" s="1" t="s">
        <v>5250</v>
      </c>
      <c r="D4867" s="1" t="s">
        <v>5280</v>
      </c>
      <c r="F4867" s="1" t="s">
        <v>5347</v>
      </c>
      <c r="H4867" s="1" t="s">
        <v>5368</v>
      </c>
      <c r="J4867" s="1" t="s">
        <v>5369</v>
      </c>
      <c r="L4867" s="1" t="s">
        <v>1955</v>
      </c>
      <c r="N4867" s="1" t="s">
        <v>1956</v>
      </c>
      <c r="P4867" s="1" t="s">
        <v>1746</v>
      </c>
      <c r="Q4867" s="30" t="s">
        <v>2568</v>
      </c>
      <c r="R4867" s="33" t="s">
        <v>3474</v>
      </c>
      <c r="S4867">
        <v>35</v>
      </c>
      <c r="T4867" s="1" t="s">
        <v>5350</v>
      </c>
      <c r="U4867" s="1" t="str">
        <f>HYPERLINK("http://ictvonline.org/taxonomy/p/taxonomy-history?taxnode_id=202103479","ICTVonline=202103479")</f>
        <v>ICTVonline=202103479</v>
      </c>
    </row>
    <row r="4868" spans="1:21" x14ac:dyDescent="0.2">
      <c r="A4868" s="3">
        <v>4867</v>
      </c>
      <c r="B4868" s="1" t="s">
        <v>5250</v>
      </c>
      <c r="D4868" s="1" t="s">
        <v>5280</v>
      </c>
      <c r="F4868" s="1" t="s">
        <v>5347</v>
      </c>
      <c r="H4868" s="1" t="s">
        <v>5368</v>
      </c>
      <c r="J4868" s="1" t="s">
        <v>5369</v>
      </c>
      <c r="L4868" s="1" t="s">
        <v>1955</v>
      </c>
      <c r="N4868" s="1" t="s">
        <v>1956</v>
      </c>
      <c r="P4868" s="1" t="s">
        <v>1807</v>
      </c>
      <c r="Q4868" s="30" t="s">
        <v>2568</v>
      </c>
      <c r="R4868" s="33" t="s">
        <v>3474</v>
      </c>
      <c r="S4868">
        <v>35</v>
      </c>
      <c r="T4868" s="1" t="s">
        <v>5350</v>
      </c>
      <c r="U4868" s="1" t="str">
        <f>HYPERLINK("http://ictvonline.org/taxonomy/p/taxonomy-history?taxnode_id=202103480","ICTVonline=202103480")</f>
        <v>ICTVonline=202103480</v>
      </c>
    </row>
    <row r="4869" spans="1:21" x14ac:dyDescent="0.2">
      <c r="A4869" s="3">
        <v>4868</v>
      </c>
      <c r="B4869" s="1" t="s">
        <v>5250</v>
      </c>
      <c r="D4869" s="1" t="s">
        <v>5280</v>
      </c>
      <c r="F4869" s="1" t="s">
        <v>5347</v>
      </c>
      <c r="H4869" s="1" t="s">
        <v>5368</v>
      </c>
      <c r="J4869" s="1" t="s">
        <v>5369</v>
      </c>
      <c r="L4869" s="1" t="s">
        <v>1955</v>
      </c>
      <c r="N4869" s="1" t="s">
        <v>1956</v>
      </c>
      <c r="P4869" s="1" t="s">
        <v>770</v>
      </c>
      <c r="Q4869" s="30" t="s">
        <v>2568</v>
      </c>
      <c r="R4869" s="33" t="s">
        <v>3474</v>
      </c>
      <c r="S4869">
        <v>35</v>
      </c>
      <c r="T4869" s="1" t="s">
        <v>5350</v>
      </c>
      <c r="U4869" s="1" t="str">
        <f>HYPERLINK("http://ictvonline.org/taxonomy/p/taxonomy-history?taxnode_id=202103481","ICTVonline=202103481")</f>
        <v>ICTVonline=202103481</v>
      </c>
    </row>
    <row r="4870" spans="1:21" x14ac:dyDescent="0.2">
      <c r="A4870" s="3">
        <v>4869</v>
      </c>
      <c r="B4870" s="1" t="s">
        <v>5250</v>
      </c>
      <c r="D4870" s="1" t="s">
        <v>5280</v>
      </c>
      <c r="F4870" s="1" t="s">
        <v>5347</v>
      </c>
      <c r="H4870" s="1" t="s">
        <v>5368</v>
      </c>
      <c r="J4870" s="1" t="s">
        <v>5369</v>
      </c>
      <c r="L4870" s="1" t="s">
        <v>1955</v>
      </c>
      <c r="N4870" s="1" t="s">
        <v>1956</v>
      </c>
      <c r="P4870" s="1" t="s">
        <v>3856</v>
      </c>
      <c r="Q4870" s="30" t="s">
        <v>2568</v>
      </c>
      <c r="R4870" s="33" t="s">
        <v>3474</v>
      </c>
      <c r="S4870">
        <v>35</v>
      </c>
      <c r="T4870" s="1" t="s">
        <v>5350</v>
      </c>
      <c r="U4870" s="1" t="str">
        <f>HYPERLINK("http://ictvonline.org/taxonomy/p/taxonomy-history?taxnode_id=202105840","ICTVonline=202105840")</f>
        <v>ICTVonline=202105840</v>
      </c>
    </row>
    <row r="4871" spans="1:21" x14ac:dyDescent="0.2">
      <c r="A4871" s="3">
        <v>4870</v>
      </c>
      <c r="B4871" s="1" t="s">
        <v>5250</v>
      </c>
      <c r="D4871" s="1" t="s">
        <v>5280</v>
      </c>
      <c r="F4871" s="1" t="s">
        <v>5347</v>
      </c>
      <c r="H4871" s="1" t="s">
        <v>5368</v>
      </c>
      <c r="J4871" s="1" t="s">
        <v>5369</v>
      </c>
      <c r="L4871" s="1" t="s">
        <v>1955</v>
      </c>
      <c r="N4871" s="1" t="s">
        <v>1956</v>
      </c>
      <c r="P4871" s="1" t="s">
        <v>771</v>
      </c>
      <c r="Q4871" s="30" t="s">
        <v>2568</v>
      </c>
      <c r="R4871" s="33" t="s">
        <v>3474</v>
      </c>
      <c r="S4871">
        <v>35</v>
      </c>
      <c r="T4871" s="1" t="s">
        <v>5350</v>
      </c>
      <c r="U4871" s="1" t="str">
        <f>HYPERLINK("http://ictvonline.org/taxonomy/p/taxonomy-history?taxnode_id=202103482","ICTVonline=202103482")</f>
        <v>ICTVonline=202103482</v>
      </c>
    </row>
    <row r="4872" spans="1:21" x14ac:dyDescent="0.2">
      <c r="A4872" s="3">
        <v>4871</v>
      </c>
      <c r="B4872" s="1" t="s">
        <v>5250</v>
      </c>
      <c r="D4872" s="1" t="s">
        <v>5280</v>
      </c>
      <c r="F4872" s="1" t="s">
        <v>5347</v>
      </c>
      <c r="H4872" s="1" t="s">
        <v>5368</v>
      </c>
      <c r="J4872" s="1" t="s">
        <v>5369</v>
      </c>
      <c r="L4872" s="1" t="s">
        <v>1955</v>
      </c>
      <c r="N4872" s="1" t="s">
        <v>1956</v>
      </c>
      <c r="P4872" s="1" t="s">
        <v>772</v>
      </c>
      <c r="Q4872" s="30" t="s">
        <v>2568</v>
      </c>
      <c r="R4872" s="33" t="s">
        <v>3474</v>
      </c>
      <c r="S4872">
        <v>35</v>
      </c>
      <c r="T4872" s="1" t="s">
        <v>5350</v>
      </c>
      <c r="U4872" s="1" t="str">
        <f>HYPERLINK("http://ictvonline.org/taxonomy/p/taxonomy-history?taxnode_id=202103483","ICTVonline=202103483")</f>
        <v>ICTVonline=202103483</v>
      </c>
    </row>
    <row r="4873" spans="1:21" x14ac:dyDescent="0.2">
      <c r="A4873" s="3">
        <v>4872</v>
      </c>
      <c r="B4873" s="1" t="s">
        <v>5250</v>
      </c>
      <c r="D4873" s="1" t="s">
        <v>5280</v>
      </c>
      <c r="F4873" s="1" t="s">
        <v>5347</v>
      </c>
      <c r="H4873" s="1" t="s">
        <v>5368</v>
      </c>
      <c r="J4873" s="1" t="s">
        <v>5369</v>
      </c>
      <c r="L4873" s="1" t="s">
        <v>1955</v>
      </c>
      <c r="N4873" s="1" t="s">
        <v>1956</v>
      </c>
      <c r="P4873" s="1" t="s">
        <v>1708</v>
      </c>
      <c r="Q4873" s="30" t="s">
        <v>2568</v>
      </c>
      <c r="R4873" s="33" t="s">
        <v>3474</v>
      </c>
      <c r="S4873">
        <v>35</v>
      </c>
      <c r="T4873" s="1" t="s">
        <v>5350</v>
      </c>
      <c r="U4873" s="1" t="str">
        <f>HYPERLINK("http://ictvonline.org/taxonomy/p/taxonomy-history?taxnode_id=202103484","ICTVonline=202103484")</f>
        <v>ICTVonline=202103484</v>
      </c>
    </row>
    <row r="4874" spans="1:21" x14ac:dyDescent="0.2">
      <c r="A4874" s="3">
        <v>4873</v>
      </c>
      <c r="B4874" s="1" t="s">
        <v>5250</v>
      </c>
      <c r="D4874" s="1" t="s">
        <v>5280</v>
      </c>
      <c r="F4874" s="1" t="s">
        <v>5347</v>
      </c>
      <c r="H4874" s="1" t="s">
        <v>5368</v>
      </c>
      <c r="J4874" s="1" t="s">
        <v>5369</v>
      </c>
      <c r="L4874" s="1" t="s">
        <v>1955</v>
      </c>
      <c r="N4874" s="1" t="s">
        <v>1956</v>
      </c>
      <c r="P4874" s="1" t="s">
        <v>3857</v>
      </c>
      <c r="Q4874" s="30" t="s">
        <v>2568</v>
      </c>
      <c r="R4874" s="33" t="s">
        <v>3474</v>
      </c>
      <c r="S4874">
        <v>35</v>
      </c>
      <c r="T4874" s="1" t="s">
        <v>5350</v>
      </c>
      <c r="U4874" s="1" t="str">
        <f>HYPERLINK("http://ictvonline.org/taxonomy/p/taxonomy-history?taxnode_id=202105841","ICTVonline=202105841")</f>
        <v>ICTVonline=202105841</v>
      </c>
    </row>
    <row r="4875" spans="1:21" x14ac:dyDescent="0.2">
      <c r="A4875" s="3">
        <v>4874</v>
      </c>
      <c r="B4875" s="1" t="s">
        <v>5250</v>
      </c>
      <c r="D4875" s="1" t="s">
        <v>5280</v>
      </c>
      <c r="F4875" s="1" t="s">
        <v>5347</v>
      </c>
      <c r="H4875" s="1" t="s">
        <v>5368</v>
      </c>
      <c r="J4875" s="1" t="s">
        <v>5369</v>
      </c>
      <c r="L4875" s="1" t="s">
        <v>1955</v>
      </c>
      <c r="N4875" s="1" t="s">
        <v>1956</v>
      </c>
      <c r="P4875" s="1" t="s">
        <v>6423</v>
      </c>
      <c r="Q4875" s="30" t="s">
        <v>2969</v>
      </c>
      <c r="R4875" s="33" t="s">
        <v>3472</v>
      </c>
      <c r="S4875">
        <v>36</v>
      </c>
      <c r="T4875" s="1" t="s">
        <v>6403</v>
      </c>
      <c r="U4875" s="1" t="str">
        <f>HYPERLINK("http://ictvonline.org/taxonomy/p/taxonomy-history?taxnode_id=202109137","ICTVonline=202109137")</f>
        <v>ICTVonline=202109137</v>
      </c>
    </row>
    <row r="4876" spans="1:21" x14ac:dyDescent="0.2">
      <c r="A4876" s="3">
        <v>4875</v>
      </c>
      <c r="B4876" s="1" t="s">
        <v>5250</v>
      </c>
      <c r="D4876" s="1" t="s">
        <v>5280</v>
      </c>
      <c r="F4876" s="1" t="s">
        <v>5347</v>
      </c>
      <c r="H4876" s="1" t="s">
        <v>5368</v>
      </c>
      <c r="J4876" s="1" t="s">
        <v>5369</v>
      </c>
      <c r="L4876" s="1" t="s">
        <v>1955</v>
      </c>
      <c r="N4876" s="1" t="s">
        <v>1956</v>
      </c>
      <c r="P4876" s="1" t="s">
        <v>2308</v>
      </c>
      <c r="Q4876" s="30" t="s">
        <v>2568</v>
      </c>
      <c r="R4876" s="33" t="s">
        <v>3474</v>
      </c>
      <c r="S4876">
        <v>35</v>
      </c>
      <c r="T4876" s="1" t="s">
        <v>5350</v>
      </c>
      <c r="U4876" s="1" t="str">
        <f>HYPERLINK("http://ictvonline.org/taxonomy/p/taxonomy-history?taxnode_id=202103485","ICTVonline=202103485")</f>
        <v>ICTVonline=202103485</v>
      </c>
    </row>
    <row r="4877" spans="1:21" x14ac:dyDescent="0.2">
      <c r="A4877" s="3">
        <v>4876</v>
      </c>
      <c r="B4877" s="1" t="s">
        <v>5250</v>
      </c>
      <c r="D4877" s="1" t="s">
        <v>5280</v>
      </c>
      <c r="F4877" s="1" t="s">
        <v>5347</v>
      </c>
      <c r="H4877" s="1" t="s">
        <v>5368</v>
      </c>
      <c r="J4877" s="1" t="s">
        <v>5369</v>
      </c>
      <c r="L4877" s="1" t="s">
        <v>1955</v>
      </c>
      <c r="N4877" s="1" t="s">
        <v>1956</v>
      </c>
      <c r="P4877" s="1" t="s">
        <v>956</v>
      </c>
      <c r="Q4877" s="30" t="s">
        <v>2568</v>
      </c>
      <c r="R4877" s="33" t="s">
        <v>3474</v>
      </c>
      <c r="S4877">
        <v>35</v>
      </c>
      <c r="T4877" s="1" t="s">
        <v>5350</v>
      </c>
      <c r="U4877" s="1" t="str">
        <f>HYPERLINK("http://ictvonline.org/taxonomy/p/taxonomy-history?taxnode_id=202103486","ICTVonline=202103486")</f>
        <v>ICTVonline=202103486</v>
      </c>
    </row>
    <row r="4878" spans="1:21" x14ac:dyDescent="0.2">
      <c r="A4878" s="3">
        <v>4877</v>
      </c>
      <c r="B4878" s="1" t="s">
        <v>5250</v>
      </c>
      <c r="D4878" s="1" t="s">
        <v>5280</v>
      </c>
      <c r="F4878" s="1" t="s">
        <v>5347</v>
      </c>
      <c r="H4878" s="1" t="s">
        <v>5368</v>
      </c>
      <c r="J4878" s="1" t="s">
        <v>5369</v>
      </c>
      <c r="L4878" s="1" t="s">
        <v>1955</v>
      </c>
      <c r="N4878" s="1" t="s">
        <v>1956</v>
      </c>
      <c r="P4878" s="1" t="s">
        <v>2309</v>
      </c>
      <c r="Q4878" s="30" t="s">
        <v>2568</v>
      </c>
      <c r="R4878" s="33" t="s">
        <v>3474</v>
      </c>
      <c r="S4878">
        <v>35</v>
      </c>
      <c r="T4878" s="1" t="s">
        <v>5350</v>
      </c>
      <c r="U4878" s="1" t="str">
        <f>HYPERLINK("http://ictvonline.org/taxonomy/p/taxonomy-history?taxnode_id=202103487","ICTVonline=202103487")</f>
        <v>ICTVonline=202103487</v>
      </c>
    </row>
    <row r="4879" spans="1:21" x14ac:dyDescent="0.2">
      <c r="A4879" s="3">
        <v>4878</v>
      </c>
      <c r="B4879" s="1" t="s">
        <v>5250</v>
      </c>
      <c r="D4879" s="1" t="s">
        <v>5280</v>
      </c>
      <c r="F4879" s="1" t="s">
        <v>5347</v>
      </c>
      <c r="H4879" s="1" t="s">
        <v>5368</v>
      </c>
      <c r="J4879" s="1" t="s">
        <v>5369</v>
      </c>
      <c r="L4879" s="1" t="s">
        <v>1955</v>
      </c>
      <c r="N4879" s="1" t="s">
        <v>1956</v>
      </c>
      <c r="P4879" s="1" t="s">
        <v>957</v>
      </c>
      <c r="Q4879" s="30" t="s">
        <v>2568</v>
      </c>
      <c r="R4879" s="33" t="s">
        <v>3474</v>
      </c>
      <c r="S4879">
        <v>35</v>
      </c>
      <c r="T4879" s="1" t="s">
        <v>5350</v>
      </c>
      <c r="U4879" s="1" t="str">
        <f>HYPERLINK("http://ictvonline.org/taxonomy/p/taxonomy-history?taxnode_id=202103488","ICTVonline=202103488")</f>
        <v>ICTVonline=202103488</v>
      </c>
    </row>
    <row r="4880" spans="1:21" x14ac:dyDescent="0.2">
      <c r="A4880" s="3">
        <v>4879</v>
      </c>
      <c r="B4880" s="1" t="s">
        <v>5250</v>
      </c>
      <c r="D4880" s="1" t="s">
        <v>5280</v>
      </c>
      <c r="F4880" s="1" t="s">
        <v>5347</v>
      </c>
      <c r="H4880" s="1" t="s">
        <v>5368</v>
      </c>
      <c r="J4880" s="1" t="s">
        <v>5369</v>
      </c>
      <c r="L4880" s="1" t="s">
        <v>1955</v>
      </c>
      <c r="N4880" s="1" t="s">
        <v>1956</v>
      </c>
      <c r="P4880" s="1" t="s">
        <v>958</v>
      </c>
      <c r="Q4880" s="30" t="s">
        <v>2568</v>
      </c>
      <c r="R4880" s="33" t="s">
        <v>3474</v>
      </c>
      <c r="S4880">
        <v>35</v>
      </c>
      <c r="T4880" s="1" t="s">
        <v>5350</v>
      </c>
      <c r="U4880" s="1" t="str">
        <f>HYPERLINK("http://ictvonline.org/taxonomy/p/taxonomy-history?taxnode_id=202103489","ICTVonline=202103489")</f>
        <v>ICTVonline=202103489</v>
      </c>
    </row>
    <row r="4881" spans="1:21" x14ac:dyDescent="0.2">
      <c r="A4881" s="3">
        <v>4880</v>
      </c>
      <c r="B4881" s="1" t="s">
        <v>5250</v>
      </c>
      <c r="D4881" s="1" t="s">
        <v>5280</v>
      </c>
      <c r="F4881" s="1" t="s">
        <v>5347</v>
      </c>
      <c r="H4881" s="1" t="s">
        <v>5368</v>
      </c>
      <c r="J4881" s="1" t="s">
        <v>5369</v>
      </c>
      <c r="L4881" s="1" t="s">
        <v>1955</v>
      </c>
      <c r="N4881" s="1" t="s">
        <v>1956</v>
      </c>
      <c r="P4881" s="1" t="s">
        <v>3858</v>
      </c>
      <c r="Q4881" s="30" t="s">
        <v>2568</v>
      </c>
      <c r="R4881" s="33" t="s">
        <v>3474</v>
      </c>
      <c r="S4881">
        <v>35</v>
      </c>
      <c r="T4881" s="1" t="s">
        <v>5350</v>
      </c>
      <c r="U4881" s="1" t="str">
        <f>HYPERLINK("http://ictvonline.org/taxonomy/p/taxonomy-history?taxnode_id=202105842","ICTVonline=202105842")</f>
        <v>ICTVonline=202105842</v>
      </c>
    </row>
    <row r="4882" spans="1:21" x14ac:dyDescent="0.2">
      <c r="A4882" s="3">
        <v>4881</v>
      </c>
      <c r="B4882" s="1" t="s">
        <v>5250</v>
      </c>
      <c r="D4882" s="1" t="s">
        <v>5280</v>
      </c>
      <c r="F4882" s="1" t="s">
        <v>5347</v>
      </c>
      <c r="H4882" s="1" t="s">
        <v>5368</v>
      </c>
      <c r="J4882" s="1" t="s">
        <v>5369</v>
      </c>
      <c r="L4882" s="1" t="s">
        <v>1955</v>
      </c>
      <c r="N4882" s="1" t="s">
        <v>1956</v>
      </c>
      <c r="P4882" s="1" t="s">
        <v>3859</v>
      </c>
      <c r="Q4882" s="30" t="s">
        <v>2568</v>
      </c>
      <c r="R4882" s="33" t="s">
        <v>3474</v>
      </c>
      <c r="S4882">
        <v>35</v>
      </c>
      <c r="T4882" s="1" t="s">
        <v>5350</v>
      </c>
      <c r="U4882" s="1" t="str">
        <f>HYPERLINK("http://ictvonline.org/taxonomy/p/taxonomy-history?taxnode_id=202105843","ICTVonline=202105843")</f>
        <v>ICTVonline=202105843</v>
      </c>
    </row>
    <row r="4883" spans="1:21" x14ac:dyDescent="0.2">
      <c r="A4883" s="3">
        <v>4882</v>
      </c>
      <c r="B4883" s="1" t="s">
        <v>5250</v>
      </c>
      <c r="D4883" s="1" t="s">
        <v>5280</v>
      </c>
      <c r="F4883" s="1" t="s">
        <v>5347</v>
      </c>
      <c r="H4883" s="1" t="s">
        <v>5368</v>
      </c>
      <c r="J4883" s="1" t="s">
        <v>5369</v>
      </c>
      <c r="L4883" s="1" t="s">
        <v>1955</v>
      </c>
      <c r="N4883" s="1" t="s">
        <v>1956</v>
      </c>
      <c r="P4883" s="1" t="s">
        <v>2959</v>
      </c>
      <c r="Q4883" s="30" t="s">
        <v>2568</v>
      </c>
      <c r="R4883" s="33" t="s">
        <v>3474</v>
      </c>
      <c r="S4883">
        <v>35</v>
      </c>
      <c r="T4883" s="1" t="s">
        <v>5350</v>
      </c>
      <c r="U4883" s="1" t="str">
        <f>HYPERLINK("http://ictvonline.org/taxonomy/p/taxonomy-history?taxnode_id=202103490","ICTVonline=202103490")</f>
        <v>ICTVonline=202103490</v>
      </c>
    </row>
    <row r="4884" spans="1:21" x14ac:dyDescent="0.2">
      <c r="A4884" s="3">
        <v>4883</v>
      </c>
      <c r="B4884" s="1" t="s">
        <v>5250</v>
      </c>
      <c r="D4884" s="1" t="s">
        <v>5280</v>
      </c>
      <c r="F4884" s="1" t="s">
        <v>5347</v>
      </c>
      <c r="H4884" s="1" t="s">
        <v>5368</v>
      </c>
      <c r="J4884" s="1" t="s">
        <v>5369</v>
      </c>
      <c r="L4884" s="1" t="s">
        <v>1955</v>
      </c>
      <c r="N4884" s="1" t="s">
        <v>1956</v>
      </c>
      <c r="P4884" s="1" t="s">
        <v>6424</v>
      </c>
      <c r="Q4884" s="30" t="s">
        <v>2969</v>
      </c>
      <c r="R4884" s="33" t="s">
        <v>3472</v>
      </c>
      <c r="S4884">
        <v>36</v>
      </c>
      <c r="T4884" s="1" t="s">
        <v>6403</v>
      </c>
      <c r="U4884" s="1" t="str">
        <f>HYPERLINK("http://ictvonline.org/taxonomy/p/taxonomy-history?taxnode_id=202109138","ICTVonline=202109138")</f>
        <v>ICTVonline=202109138</v>
      </c>
    </row>
    <row r="4885" spans="1:21" x14ac:dyDescent="0.2">
      <c r="A4885" s="3">
        <v>4884</v>
      </c>
      <c r="B4885" s="1" t="s">
        <v>5250</v>
      </c>
      <c r="D4885" s="1" t="s">
        <v>5280</v>
      </c>
      <c r="F4885" s="1" t="s">
        <v>5347</v>
      </c>
      <c r="H4885" s="1" t="s">
        <v>5368</v>
      </c>
      <c r="J4885" s="1" t="s">
        <v>5369</v>
      </c>
      <c r="L4885" s="1" t="s">
        <v>1955</v>
      </c>
      <c r="N4885" s="1" t="s">
        <v>1956</v>
      </c>
      <c r="P4885" s="1" t="s">
        <v>3860</v>
      </c>
      <c r="Q4885" s="30" t="s">
        <v>2568</v>
      </c>
      <c r="R4885" s="33" t="s">
        <v>3474</v>
      </c>
      <c r="S4885">
        <v>35</v>
      </c>
      <c r="T4885" s="1" t="s">
        <v>5350</v>
      </c>
      <c r="U4885" s="1" t="str">
        <f>HYPERLINK("http://ictvonline.org/taxonomy/p/taxonomy-history?taxnode_id=202105844","ICTVonline=202105844")</f>
        <v>ICTVonline=202105844</v>
      </c>
    </row>
    <row r="4886" spans="1:21" x14ac:dyDescent="0.2">
      <c r="A4886" s="3">
        <v>4885</v>
      </c>
      <c r="B4886" s="1" t="s">
        <v>5250</v>
      </c>
      <c r="D4886" s="1" t="s">
        <v>5280</v>
      </c>
      <c r="F4886" s="1" t="s">
        <v>5347</v>
      </c>
      <c r="H4886" s="1" t="s">
        <v>5368</v>
      </c>
      <c r="J4886" s="1" t="s">
        <v>5369</v>
      </c>
      <c r="L4886" s="1" t="s">
        <v>1955</v>
      </c>
      <c r="N4886" s="1" t="s">
        <v>1956</v>
      </c>
      <c r="P4886" s="1" t="s">
        <v>4848</v>
      </c>
      <c r="Q4886" s="30" t="s">
        <v>2568</v>
      </c>
      <c r="R4886" s="33" t="s">
        <v>3474</v>
      </c>
      <c r="S4886">
        <v>35</v>
      </c>
      <c r="T4886" s="1" t="s">
        <v>5350</v>
      </c>
      <c r="U4886" s="1" t="str">
        <f>HYPERLINK("http://ictvonline.org/taxonomy/p/taxonomy-history?taxnode_id=202106717","ICTVonline=202106717")</f>
        <v>ICTVonline=202106717</v>
      </c>
    </row>
    <row r="4887" spans="1:21" x14ac:dyDescent="0.2">
      <c r="A4887" s="3">
        <v>4886</v>
      </c>
      <c r="B4887" s="1" t="s">
        <v>5250</v>
      </c>
      <c r="D4887" s="1" t="s">
        <v>5280</v>
      </c>
      <c r="F4887" s="1" t="s">
        <v>5347</v>
      </c>
      <c r="H4887" s="1" t="s">
        <v>5368</v>
      </c>
      <c r="J4887" s="1" t="s">
        <v>5369</v>
      </c>
      <c r="L4887" s="1" t="s">
        <v>1955</v>
      </c>
      <c r="N4887" s="1" t="s">
        <v>1956</v>
      </c>
      <c r="P4887" s="1" t="s">
        <v>1034</v>
      </c>
      <c r="Q4887" s="30" t="s">
        <v>2568</v>
      </c>
      <c r="R4887" s="33" t="s">
        <v>3474</v>
      </c>
      <c r="S4887">
        <v>35</v>
      </c>
      <c r="T4887" s="1" t="s">
        <v>5350</v>
      </c>
      <c r="U4887" s="1" t="str">
        <f>HYPERLINK("http://ictvonline.org/taxonomy/p/taxonomy-history?taxnode_id=202103491","ICTVonline=202103491")</f>
        <v>ICTVonline=202103491</v>
      </c>
    </row>
    <row r="4888" spans="1:21" x14ac:dyDescent="0.2">
      <c r="A4888" s="3">
        <v>4887</v>
      </c>
      <c r="B4888" s="1" t="s">
        <v>5250</v>
      </c>
      <c r="D4888" s="1" t="s">
        <v>5280</v>
      </c>
      <c r="F4888" s="1" t="s">
        <v>5347</v>
      </c>
      <c r="H4888" s="1" t="s">
        <v>5368</v>
      </c>
      <c r="J4888" s="1" t="s">
        <v>5369</v>
      </c>
      <c r="L4888" s="1" t="s">
        <v>1955</v>
      </c>
      <c r="N4888" s="1" t="s">
        <v>1956</v>
      </c>
      <c r="P4888" s="1" t="s">
        <v>2960</v>
      </c>
      <c r="Q4888" s="30" t="s">
        <v>2568</v>
      </c>
      <c r="R4888" s="33" t="s">
        <v>3474</v>
      </c>
      <c r="S4888">
        <v>35</v>
      </c>
      <c r="T4888" s="1" t="s">
        <v>5350</v>
      </c>
      <c r="U4888" s="1" t="str">
        <f>HYPERLINK("http://ictvonline.org/taxonomy/p/taxonomy-history?taxnode_id=202103492","ICTVonline=202103492")</f>
        <v>ICTVonline=202103492</v>
      </c>
    </row>
    <row r="4889" spans="1:21" x14ac:dyDescent="0.2">
      <c r="A4889" s="3">
        <v>4888</v>
      </c>
      <c r="B4889" s="1" t="s">
        <v>5250</v>
      </c>
      <c r="D4889" s="1" t="s">
        <v>5280</v>
      </c>
      <c r="F4889" s="1" t="s">
        <v>5347</v>
      </c>
      <c r="H4889" s="1" t="s">
        <v>5368</v>
      </c>
      <c r="J4889" s="1" t="s">
        <v>5369</v>
      </c>
      <c r="L4889" s="1" t="s">
        <v>1955</v>
      </c>
      <c r="N4889" s="1" t="s">
        <v>1956</v>
      </c>
      <c r="P4889" s="1" t="s">
        <v>3861</v>
      </c>
      <c r="Q4889" s="30" t="s">
        <v>2568</v>
      </c>
      <c r="R4889" s="33" t="s">
        <v>3474</v>
      </c>
      <c r="S4889">
        <v>35</v>
      </c>
      <c r="T4889" s="1" t="s">
        <v>5350</v>
      </c>
      <c r="U4889" s="1" t="str">
        <f>HYPERLINK("http://ictvonline.org/taxonomy/p/taxonomy-history?taxnode_id=202105845","ICTVonline=202105845")</f>
        <v>ICTVonline=202105845</v>
      </c>
    </row>
    <row r="4890" spans="1:21" x14ac:dyDescent="0.2">
      <c r="A4890" s="3">
        <v>4889</v>
      </c>
      <c r="B4890" s="1" t="s">
        <v>5250</v>
      </c>
      <c r="D4890" s="1" t="s">
        <v>5280</v>
      </c>
      <c r="F4890" s="1" t="s">
        <v>5347</v>
      </c>
      <c r="H4890" s="1" t="s">
        <v>5368</v>
      </c>
      <c r="J4890" s="1" t="s">
        <v>5369</v>
      </c>
      <c r="L4890" s="1" t="s">
        <v>1955</v>
      </c>
      <c r="N4890" s="1" t="s">
        <v>1956</v>
      </c>
      <c r="P4890" s="1" t="s">
        <v>1035</v>
      </c>
      <c r="Q4890" s="30" t="s">
        <v>2568</v>
      </c>
      <c r="R4890" s="33" t="s">
        <v>3474</v>
      </c>
      <c r="S4890">
        <v>35</v>
      </c>
      <c r="T4890" s="1" t="s">
        <v>5350</v>
      </c>
      <c r="U4890" s="1" t="str">
        <f>HYPERLINK("http://ictvonline.org/taxonomy/p/taxonomy-history?taxnode_id=202103493","ICTVonline=202103493")</f>
        <v>ICTVonline=202103493</v>
      </c>
    </row>
    <row r="4891" spans="1:21" x14ac:dyDescent="0.2">
      <c r="A4891" s="3">
        <v>4890</v>
      </c>
      <c r="B4891" s="1" t="s">
        <v>5250</v>
      </c>
      <c r="D4891" s="1" t="s">
        <v>5280</v>
      </c>
      <c r="F4891" s="1" t="s">
        <v>5347</v>
      </c>
      <c r="H4891" s="1" t="s">
        <v>5368</v>
      </c>
      <c r="J4891" s="1" t="s">
        <v>5369</v>
      </c>
      <c r="L4891" s="1" t="s">
        <v>1955</v>
      </c>
      <c r="N4891" s="1" t="s">
        <v>1956</v>
      </c>
      <c r="P4891" s="1" t="s">
        <v>2310</v>
      </c>
      <c r="Q4891" s="30" t="s">
        <v>2568</v>
      </c>
      <c r="R4891" s="33" t="s">
        <v>3474</v>
      </c>
      <c r="S4891">
        <v>35</v>
      </c>
      <c r="T4891" s="1" t="s">
        <v>5350</v>
      </c>
      <c r="U4891" s="1" t="str">
        <f>HYPERLINK("http://ictvonline.org/taxonomy/p/taxonomy-history?taxnode_id=202103494","ICTVonline=202103494")</f>
        <v>ICTVonline=202103494</v>
      </c>
    </row>
    <row r="4892" spans="1:21" x14ac:dyDescent="0.2">
      <c r="A4892" s="3">
        <v>4891</v>
      </c>
      <c r="B4892" s="1" t="s">
        <v>5250</v>
      </c>
      <c r="D4892" s="1" t="s">
        <v>5280</v>
      </c>
      <c r="F4892" s="1" t="s">
        <v>5347</v>
      </c>
      <c r="H4892" s="1" t="s">
        <v>5368</v>
      </c>
      <c r="J4892" s="1" t="s">
        <v>5369</v>
      </c>
      <c r="L4892" s="1" t="s">
        <v>1955</v>
      </c>
      <c r="N4892" s="1" t="s">
        <v>1956</v>
      </c>
      <c r="P4892" s="1" t="s">
        <v>2311</v>
      </c>
      <c r="Q4892" s="30" t="s">
        <v>2568</v>
      </c>
      <c r="R4892" s="33" t="s">
        <v>3474</v>
      </c>
      <c r="S4892">
        <v>35</v>
      </c>
      <c r="T4892" s="1" t="s">
        <v>5350</v>
      </c>
      <c r="U4892" s="1" t="str">
        <f>HYPERLINK("http://ictvonline.org/taxonomy/p/taxonomy-history?taxnode_id=202103495","ICTVonline=202103495")</f>
        <v>ICTVonline=202103495</v>
      </c>
    </row>
    <row r="4893" spans="1:21" x14ac:dyDescent="0.2">
      <c r="A4893" s="3">
        <v>4892</v>
      </c>
      <c r="B4893" s="1" t="s">
        <v>5250</v>
      </c>
      <c r="D4893" s="1" t="s">
        <v>5280</v>
      </c>
      <c r="F4893" s="1" t="s">
        <v>5347</v>
      </c>
      <c r="H4893" s="1" t="s">
        <v>5368</v>
      </c>
      <c r="J4893" s="1" t="s">
        <v>5369</v>
      </c>
      <c r="L4893" s="1" t="s">
        <v>1955</v>
      </c>
      <c r="N4893" s="1" t="s">
        <v>1956</v>
      </c>
      <c r="P4893" s="1" t="s">
        <v>4849</v>
      </c>
      <c r="Q4893" s="30" t="s">
        <v>2568</v>
      </c>
      <c r="R4893" s="33" t="s">
        <v>3474</v>
      </c>
      <c r="S4893">
        <v>35</v>
      </c>
      <c r="T4893" s="1" t="s">
        <v>5350</v>
      </c>
      <c r="U4893" s="1" t="str">
        <f>HYPERLINK("http://ictvonline.org/taxonomy/p/taxonomy-history?taxnode_id=202106718","ICTVonline=202106718")</f>
        <v>ICTVonline=202106718</v>
      </c>
    </row>
    <row r="4894" spans="1:21" x14ac:dyDescent="0.2">
      <c r="A4894" s="3">
        <v>4893</v>
      </c>
      <c r="B4894" s="1" t="s">
        <v>5250</v>
      </c>
      <c r="D4894" s="1" t="s">
        <v>5280</v>
      </c>
      <c r="F4894" s="1" t="s">
        <v>5347</v>
      </c>
      <c r="H4894" s="1" t="s">
        <v>5368</v>
      </c>
      <c r="J4894" s="1" t="s">
        <v>5369</v>
      </c>
      <c r="L4894" s="1" t="s">
        <v>1955</v>
      </c>
      <c r="N4894" s="1" t="s">
        <v>1956</v>
      </c>
      <c r="P4894" s="1" t="s">
        <v>3862</v>
      </c>
      <c r="Q4894" s="30" t="s">
        <v>2568</v>
      </c>
      <c r="R4894" s="33" t="s">
        <v>3474</v>
      </c>
      <c r="S4894">
        <v>35</v>
      </c>
      <c r="T4894" s="1" t="s">
        <v>5350</v>
      </c>
      <c r="U4894" s="1" t="str">
        <f>HYPERLINK("http://ictvonline.org/taxonomy/p/taxonomy-history?taxnode_id=202105846","ICTVonline=202105846")</f>
        <v>ICTVonline=202105846</v>
      </c>
    </row>
    <row r="4895" spans="1:21" x14ac:dyDescent="0.2">
      <c r="A4895" s="3">
        <v>4894</v>
      </c>
      <c r="B4895" s="1" t="s">
        <v>5250</v>
      </c>
      <c r="D4895" s="1" t="s">
        <v>5280</v>
      </c>
      <c r="F4895" s="1" t="s">
        <v>5347</v>
      </c>
      <c r="H4895" s="1" t="s">
        <v>5368</v>
      </c>
      <c r="J4895" s="1" t="s">
        <v>5369</v>
      </c>
      <c r="L4895" s="1" t="s">
        <v>1955</v>
      </c>
      <c r="N4895" s="1" t="s">
        <v>1956</v>
      </c>
      <c r="P4895" s="1" t="s">
        <v>3863</v>
      </c>
      <c r="Q4895" s="30" t="s">
        <v>2568</v>
      </c>
      <c r="R4895" s="33" t="s">
        <v>3474</v>
      </c>
      <c r="S4895">
        <v>35</v>
      </c>
      <c r="T4895" s="1" t="s">
        <v>5350</v>
      </c>
      <c r="U4895" s="1" t="str">
        <f>HYPERLINK("http://ictvonline.org/taxonomy/p/taxonomy-history?taxnode_id=202105847","ICTVonline=202105847")</f>
        <v>ICTVonline=202105847</v>
      </c>
    </row>
    <row r="4896" spans="1:21" x14ac:dyDescent="0.2">
      <c r="A4896" s="3">
        <v>4895</v>
      </c>
      <c r="B4896" s="1" t="s">
        <v>5250</v>
      </c>
      <c r="D4896" s="1" t="s">
        <v>5280</v>
      </c>
      <c r="F4896" s="1" t="s">
        <v>5347</v>
      </c>
      <c r="H4896" s="1" t="s">
        <v>5368</v>
      </c>
      <c r="J4896" s="1" t="s">
        <v>5369</v>
      </c>
      <c r="L4896" s="1" t="s">
        <v>1955</v>
      </c>
      <c r="N4896" s="1" t="s">
        <v>1956</v>
      </c>
      <c r="P4896" s="1" t="s">
        <v>3864</v>
      </c>
      <c r="Q4896" s="30" t="s">
        <v>2568</v>
      </c>
      <c r="R4896" s="33" t="s">
        <v>3474</v>
      </c>
      <c r="S4896">
        <v>35</v>
      </c>
      <c r="T4896" s="1" t="s">
        <v>5350</v>
      </c>
      <c r="U4896" s="1" t="str">
        <f>HYPERLINK("http://ictvonline.org/taxonomy/p/taxonomy-history?taxnode_id=202105848","ICTVonline=202105848")</f>
        <v>ICTVonline=202105848</v>
      </c>
    </row>
    <row r="4897" spans="1:21" x14ac:dyDescent="0.2">
      <c r="A4897" s="3">
        <v>4896</v>
      </c>
      <c r="B4897" s="1" t="s">
        <v>5250</v>
      </c>
      <c r="D4897" s="1" t="s">
        <v>5280</v>
      </c>
      <c r="F4897" s="1" t="s">
        <v>5347</v>
      </c>
      <c r="H4897" s="1" t="s">
        <v>5368</v>
      </c>
      <c r="J4897" s="1" t="s">
        <v>5369</v>
      </c>
      <c r="L4897" s="1" t="s">
        <v>1955</v>
      </c>
      <c r="N4897" s="1" t="s">
        <v>1956</v>
      </c>
      <c r="P4897" s="1" t="s">
        <v>3865</v>
      </c>
      <c r="Q4897" s="30" t="s">
        <v>2568</v>
      </c>
      <c r="R4897" s="33" t="s">
        <v>3474</v>
      </c>
      <c r="S4897">
        <v>35</v>
      </c>
      <c r="T4897" s="1" t="s">
        <v>5350</v>
      </c>
      <c r="U4897" s="1" t="str">
        <f>HYPERLINK("http://ictvonline.org/taxonomy/p/taxonomy-history?taxnode_id=202105849","ICTVonline=202105849")</f>
        <v>ICTVonline=202105849</v>
      </c>
    </row>
    <row r="4898" spans="1:21" x14ac:dyDescent="0.2">
      <c r="A4898" s="3">
        <v>4897</v>
      </c>
      <c r="B4898" s="1" t="s">
        <v>5250</v>
      </c>
      <c r="D4898" s="1" t="s">
        <v>5280</v>
      </c>
      <c r="F4898" s="1" t="s">
        <v>5347</v>
      </c>
      <c r="H4898" s="1" t="s">
        <v>5368</v>
      </c>
      <c r="J4898" s="1" t="s">
        <v>5369</v>
      </c>
      <c r="L4898" s="1" t="s">
        <v>1955</v>
      </c>
      <c r="N4898" s="1" t="s">
        <v>1956</v>
      </c>
      <c r="P4898" s="1" t="s">
        <v>3866</v>
      </c>
      <c r="Q4898" s="30" t="s">
        <v>2568</v>
      </c>
      <c r="R4898" s="33" t="s">
        <v>3474</v>
      </c>
      <c r="S4898">
        <v>35</v>
      </c>
      <c r="T4898" s="1" t="s">
        <v>5350</v>
      </c>
      <c r="U4898" s="1" t="str">
        <f>HYPERLINK("http://ictvonline.org/taxonomy/p/taxonomy-history?taxnode_id=202105850","ICTVonline=202105850")</f>
        <v>ICTVonline=202105850</v>
      </c>
    </row>
    <row r="4899" spans="1:21" x14ac:dyDescent="0.2">
      <c r="A4899" s="3">
        <v>4898</v>
      </c>
      <c r="B4899" s="1" t="s">
        <v>5250</v>
      </c>
      <c r="D4899" s="1" t="s">
        <v>5280</v>
      </c>
      <c r="F4899" s="1" t="s">
        <v>5347</v>
      </c>
      <c r="H4899" s="1" t="s">
        <v>5368</v>
      </c>
      <c r="J4899" s="1" t="s">
        <v>5369</v>
      </c>
      <c r="L4899" s="1" t="s">
        <v>1955</v>
      </c>
      <c r="N4899" s="1" t="s">
        <v>1956</v>
      </c>
      <c r="P4899" s="1" t="s">
        <v>3867</v>
      </c>
      <c r="Q4899" s="30" t="s">
        <v>2568</v>
      </c>
      <c r="R4899" s="33" t="s">
        <v>3474</v>
      </c>
      <c r="S4899">
        <v>35</v>
      </c>
      <c r="T4899" s="1" t="s">
        <v>5350</v>
      </c>
      <c r="U4899" s="1" t="str">
        <f>HYPERLINK("http://ictvonline.org/taxonomy/p/taxonomy-history?taxnode_id=202105851","ICTVonline=202105851")</f>
        <v>ICTVonline=202105851</v>
      </c>
    </row>
    <row r="4900" spans="1:21" x14ac:dyDescent="0.2">
      <c r="A4900" s="3">
        <v>4899</v>
      </c>
      <c r="B4900" s="1" t="s">
        <v>5250</v>
      </c>
      <c r="D4900" s="1" t="s">
        <v>5280</v>
      </c>
      <c r="F4900" s="1" t="s">
        <v>5347</v>
      </c>
      <c r="H4900" s="1" t="s">
        <v>5368</v>
      </c>
      <c r="J4900" s="1" t="s">
        <v>5369</v>
      </c>
      <c r="L4900" s="1" t="s">
        <v>1955</v>
      </c>
      <c r="N4900" s="1" t="s">
        <v>1956</v>
      </c>
      <c r="P4900" s="1" t="s">
        <v>2312</v>
      </c>
      <c r="Q4900" s="30" t="s">
        <v>2568</v>
      </c>
      <c r="R4900" s="33" t="s">
        <v>3474</v>
      </c>
      <c r="S4900">
        <v>35</v>
      </c>
      <c r="T4900" s="1" t="s">
        <v>5350</v>
      </c>
      <c r="U4900" s="1" t="str">
        <f>HYPERLINK("http://ictvonline.org/taxonomy/p/taxonomy-history?taxnode_id=202103496","ICTVonline=202103496")</f>
        <v>ICTVonline=202103496</v>
      </c>
    </row>
    <row r="4901" spans="1:21" x14ac:dyDescent="0.2">
      <c r="A4901" s="3">
        <v>4900</v>
      </c>
      <c r="B4901" s="1" t="s">
        <v>5250</v>
      </c>
      <c r="D4901" s="1" t="s">
        <v>5280</v>
      </c>
      <c r="F4901" s="1" t="s">
        <v>5347</v>
      </c>
      <c r="H4901" s="1" t="s">
        <v>5368</v>
      </c>
      <c r="J4901" s="1" t="s">
        <v>5369</v>
      </c>
      <c r="L4901" s="1" t="s">
        <v>1955</v>
      </c>
      <c r="N4901" s="1" t="s">
        <v>1956</v>
      </c>
      <c r="P4901" s="1" t="s">
        <v>3868</v>
      </c>
      <c r="Q4901" s="30" t="s">
        <v>2568</v>
      </c>
      <c r="R4901" s="33" t="s">
        <v>3474</v>
      </c>
      <c r="S4901">
        <v>35</v>
      </c>
      <c r="T4901" s="1" t="s">
        <v>5350</v>
      </c>
      <c r="U4901" s="1" t="str">
        <f>HYPERLINK("http://ictvonline.org/taxonomy/p/taxonomy-history?taxnode_id=202105852","ICTVonline=202105852")</f>
        <v>ICTVonline=202105852</v>
      </c>
    </row>
    <row r="4902" spans="1:21" x14ac:dyDescent="0.2">
      <c r="A4902" s="3">
        <v>4901</v>
      </c>
      <c r="B4902" s="1" t="s">
        <v>5250</v>
      </c>
      <c r="D4902" s="1" t="s">
        <v>5280</v>
      </c>
      <c r="F4902" s="1" t="s">
        <v>5347</v>
      </c>
      <c r="H4902" s="1" t="s">
        <v>5368</v>
      </c>
      <c r="J4902" s="1" t="s">
        <v>5369</v>
      </c>
      <c r="L4902" s="1" t="s">
        <v>1955</v>
      </c>
      <c r="N4902" s="1" t="s">
        <v>3354</v>
      </c>
      <c r="P4902" s="1" t="s">
        <v>3355</v>
      </c>
      <c r="Q4902" s="30" t="s">
        <v>2568</v>
      </c>
      <c r="R4902" s="33" t="s">
        <v>3474</v>
      </c>
      <c r="S4902">
        <v>35</v>
      </c>
      <c r="T4902" s="1" t="s">
        <v>5350</v>
      </c>
      <c r="U4902" s="1" t="str">
        <f>HYPERLINK("http://ictvonline.org/taxonomy/p/taxonomy-history?taxnode_id=202103498","ICTVonline=202103498")</f>
        <v>ICTVonline=202103498</v>
      </c>
    </row>
    <row r="4903" spans="1:21" x14ac:dyDescent="0.2">
      <c r="A4903" s="3">
        <v>4902</v>
      </c>
      <c r="B4903" s="1" t="s">
        <v>5250</v>
      </c>
      <c r="D4903" s="1" t="s">
        <v>5280</v>
      </c>
      <c r="F4903" s="1" t="s">
        <v>5347</v>
      </c>
      <c r="H4903" s="1" t="s">
        <v>5368</v>
      </c>
      <c r="J4903" s="1" t="s">
        <v>5369</v>
      </c>
      <c r="L4903" s="1" t="s">
        <v>1955</v>
      </c>
      <c r="N4903" s="1" t="s">
        <v>3354</v>
      </c>
      <c r="P4903" s="1" t="s">
        <v>3356</v>
      </c>
      <c r="Q4903" s="30" t="s">
        <v>2568</v>
      </c>
      <c r="R4903" s="33" t="s">
        <v>8665</v>
      </c>
      <c r="S4903">
        <v>36</v>
      </c>
      <c r="T4903" s="1" t="s">
        <v>8661</v>
      </c>
      <c r="U4903" s="1" t="str">
        <f>HYPERLINK("http://ictvonline.org/taxonomy/p/taxonomy-history?taxnode_id=202103499","ICTVonline=202103499")</f>
        <v>ICTVonline=202103499</v>
      </c>
    </row>
    <row r="4904" spans="1:21" x14ac:dyDescent="0.2">
      <c r="A4904" s="3">
        <v>4903</v>
      </c>
      <c r="B4904" s="1" t="s">
        <v>5250</v>
      </c>
      <c r="D4904" s="1" t="s">
        <v>5280</v>
      </c>
      <c r="F4904" s="1" t="s">
        <v>5347</v>
      </c>
      <c r="H4904" s="1" t="s">
        <v>5368</v>
      </c>
      <c r="J4904" s="1" t="s">
        <v>5369</v>
      </c>
      <c r="L4904" s="1" t="s">
        <v>1955</v>
      </c>
      <c r="N4904" s="1" t="s">
        <v>3354</v>
      </c>
      <c r="P4904" s="1" t="s">
        <v>3357</v>
      </c>
      <c r="Q4904" s="30" t="s">
        <v>2568</v>
      </c>
      <c r="R4904" s="33" t="s">
        <v>3474</v>
      </c>
      <c r="S4904">
        <v>35</v>
      </c>
      <c r="T4904" s="1" t="s">
        <v>5350</v>
      </c>
      <c r="U4904" s="1" t="str">
        <f>HYPERLINK("http://ictvonline.org/taxonomy/p/taxonomy-history?taxnode_id=202103500","ICTVonline=202103500")</f>
        <v>ICTVonline=202103500</v>
      </c>
    </row>
    <row r="4905" spans="1:21" x14ac:dyDescent="0.2">
      <c r="A4905" s="3">
        <v>4904</v>
      </c>
      <c r="B4905" s="1" t="s">
        <v>5250</v>
      </c>
      <c r="D4905" s="1" t="s">
        <v>5280</v>
      </c>
      <c r="F4905" s="1" t="s">
        <v>5347</v>
      </c>
      <c r="H4905" s="1" t="s">
        <v>5368</v>
      </c>
      <c r="J4905" s="1" t="s">
        <v>5369</v>
      </c>
      <c r="L4905" s="1" t="s">
        <v>1955</v>
      </c>
      <c r="N4905" s="1" t="s">
        <v>3354</v>
      </c>
      <c r="P4905" s="1" t="s">
        <v>3358</v>
      </c>
      <c r="Q4905" s="30" t="s">
        <v>2568</v>
      </c>
      <c r="R4905" s="33" t="s">
        <v>3474</v>
      </c>
      <c r="S4905">
        <v>35</v>
      </c>
      <c r="T4905" s="1" t="s">
        <v>5350</v>
      </c>
      <c r="U4905" s="1" t="str">
        <f>HYPERLINK("http://ictvonline.org/taxonomy/p/taxonomy-history?taxnode_id=202103501","ICTVonline=202103501")</f>
        <v>ICTVonline=202103501</v>
      </c>
    </row>
    <row r="4906" spans="1:21" x14ac:dyDescent="0.2">
      <c r="A4906" s="3">
        <v>4905</v>
      </c>
      <c r="B4906" s="1" t="s">
        <v>5250</v>
      </c>
      <c r="D4906" s="1" t="s">
        <v>5280</v>
      </c>
      <c r="F4906" s="1" t="s">
        <v>5347</v>
      </c>
      <c r="H4906" s="1" t="s">
        <v>5368</v>
      </c>
      <c r="J4906" s="1" t="s">
        <v>5369</v>
      </c>
      <c r="L4906" s="1" t="s">
        <v>1955</v>
      </c>
      <c r="N4906" s="1" t="s">
        <v>6425</v>
      </c>
      <c r="P4906" s="1" t="s">
        <v>6426</v>
      </c>
      <c r="Q4906" s="30" t="s">
        <v>2969</v>
      </c>
      <c r="R4906" s="33" t="s">
        <v>3472</v>
      </c>
      <c r="S4906">
        <v>36</v>
      </c>
      <c r="T4906" s="1" t="s">
        <v>6427</v>
      </c>
      <c r="U4906" s="1" t="str">
        <f>HYPERLINK("http://ictvonline.org/taxonomy/p/taxonomy-history?taxnode_id=202109175","ICTVonline=202109175")</f>
        <v>ICTVonline=202109175</v>
      </c>
    </row>
    <row r="4907" spans="1:21" x14ac:dyDescent="0.2">
      <c r="A4907" s="3">
        <v>4906</v>
      </c>
      <c r="B4907" s="1" t="s">
        <v>5250</v>
      </c>
      <c r="D4907" s="1" t="s">
        <v>5280</v>
      </c>
      <c r="F4907" s="1" t="s">
        <v>5347</v>
      </c>
      <c r="H4907" s="1" t="s">
        <v>5368</v>
      </c>
      <c r="J4907" s="1" t="s">
        <v>5369</v>
      </c>
      <c r="L4907" s="1" t="s">
        <v>1955</v>
      </c>
      <c r="N4907" s="1" t="s">
        <v>6425</v>
      </c>
      <c r="P4907" s="1" t="s">
        <v>3361</v>
      </c>
      <c r="Q4907" s="30" t="s">
        <v>2969</v>
      </c>
      <c r="R4907" s="33" t="s">
        <v>3474</v>
      </c>
      <c r="S4907">
        <v>36</v>
      </c>
      <c r="T4907" s="1" t="s">
        <v>6427</v>
      </c>
      <c r="U4907" s="1" t="str">
        <f>HYPERLINK("http://ictvonline.org/taxonomy/p/taxonomy-history?taxnode_id=202103548","ICTVonline=202103548")</f>
        <v>ICTVonline=202103548</v>
      </c>
    </row>
    <row r="4908" spans="1:21" x14ac:dyDescent="0.2">
      <c r="A4908" s="3">
        <v>4907</v>
      </c>
      <c r="B4908" s="1" t="s">
        <v>5250</v>
      </c>
      <c r="D4908" s="1" t="s">
        <v>5280</v>
      </c>
      <c r="F4908" s="1" t="s">
        <v>5347</v>
      </c>
      <c r="H4908" s="1" t="s">
        <v>5368</v>
      </c>
      <c r="J4908" s="1" t="s">
        <v>5369</v>
      </c>
      <c r="L4908" s="1" t="s">
        <v>1955</v>
      </c>
      <c r="N4908" s="1" t="s">
        <v>6425</v>
      </c>
      <c r="P4908" s="1" t="s">
        <v>6428</v>
      </c>
      <c r="Q4908" s="30" t="s">
        <v>2969</v>
      </c>
      <c r="R4908" s="33" t="s">
        <v>3472</v>
      </c>
      <c r="S4908">
        <v>36</v>
      </c>
      <c r="T4908" s="1" t="s">
        <v>6429</v>
      </c>
      <c r="U4908" s="1" t="str">
        <f>HYPERLINK("http://ictvonline.org/taxonomy/p/taxonomy-history?taxnode_id=202109792","ICTVonline=202109792")</f>
        <v>ICTVonline=202109792</v>
      </c>
    </row>
    <row r="4909" spans="1:21" x14ac:dyDescent="0.2">
      <c r="A4909" s="3">
        <v>4908</v>
      </c>
      <c r="B4909" s="1" t="s">
        <v>5250</v>
      </c>
      <c r="D4909" s="1" t="s">
        <v>5280</v>
      </c>
      <c r="F4909" s="1" t="s">
        <v>5347</v>
      </c>
      <c r="H4909" s="1" t="s">
        <v>5368</v>
      </c>
      <c r="J4909" s="1" t="s">
        <v>5369</v>
      </c>
      <c r="L4909" s="1" t="s">
        <v>1955</v>
      </c>
      <c r="N4909" s="1" t="s">
        <v>6425</v>
      </c>
      <c r="P4909" s="1" t="s">
        <v>6430</v>
      </c>
      <c r="Q4909" s="30" t="s">
        <v>2969</v>
      </c>
      <c r="R4909" s="33" t="s">
        <v>3472</v>
      </c>
      <c r="S4909">
        <v>36</v>
      </c>
      <c r="T4909" s="1" t="s">
        <v>6427</v>
      </c>
      <c r="U4909" s="1" t="str">
        <f>HYPERLINK("http://ictvonline.org/taxonomy/p/taxonomy-history?taxnode_id=202109176","ICTVonline=202109176")</f>
        <v>ICTVonline=202109176</v>
      </c>
    </row>
    <row r="4910" spans="1:21" x14ac:dyDescent="0.2">
      <c r="A4910" s="3">
        <v>4909</v>
      </c>
      <c r="B4910" s="1" t="s">
        <v>5250</v>
      </c>
      <c r="D4910" s="1" t="s">
        <v>5280</v>
      </c>
      <c r="F4910" s="1" t="s">
        <v>5347</v>
      </c>
      <c r="H4910" s="1" t="s">
        <v>5368</v>
      </c>
      <c r="J4910" s="1" t="s">
        <v>5369</v>
      </c>
      <c r="L4910" s="1" t="s">
        <v>1955</v>
      </c>
      <c r="N4910" s="1" t="s">
        <v>1036</v>
      </c>
      <c r="P4910" s="1" t="s">
        <v>1037</v>
      </c>
      <c r="Q4910" s="30" t="s">
        <v>2568</v>
      </c>
      <c r="R4910" s="33" t="s">
        <v>8665</v>
      </c>
      <c r="S4910">
        <v>36</v>
      </c>
      <c r="T4910" s="1" t="s">
        <v>8661</v>
      </c>
      <c r="U4910" s="1" t="str">
        <f>HYPERLINK("http://ictvonline.org/taxonomy/p/taxonomy-history?taxnode_id=202103503","ICTVonline=202103503")</f>
        <v>ICTVonline=202103503</v>
      </c>
    </row>
    <row r="4911" spans="1:21" x14ac:dyDescent="0.2">
      <c r="A4911" s="3">
        <v>4910</v>
      </c>
      <c r="B4911" s="1" t="s">
        <v>5250</v>
      </c>
      <c r="D4911" s="1" t="s">
        <v>5280</v>
      </c>
      <c r="F4911" s="1" t="s">
        <v>5347</v>
      </c>
      <c r="H4911" s="1" t="s">
        <v>5368</v>
      </c>
      <c r="J4911" s="1" t="s">
        <v>5369</v>
      </c>
      <c r="L4911" s="1" t="s">
        <v>1955</v>
      </c>
      <c r="N4911" s="1" t="s">
        <v>1036</v>
      </c>
      <c r="P4911" s="1" t="s">
        <v>637</v>
      </c>
      <c r="Q4911" s="30" t="s">
        <v>2568</v>
      </c>
      <c r="R4911" s="33" t="s">
        <v>3474</v>
      </c>
      <c r="S4911">
        <v>35</v>
      </c>
      <c r="T4911" s="1" t="s">
        <v>5350</v>
      </c>
      <c r="U4911" s="1" t="str">
        <f>HYPERLINK("http://ictvonline.org/taxonomy/p/taxonomy-history?taxnode_id=202103504","ICTVonline=202103504")</f>
        <v>ICTVonline=202103504</v>
      </c>
    </row>
    <row r="4912" spans="1:21" x14ac:dyDescent="0.2">
      <c r="A4912" s="3">
        <v>4911</v>
      </c>
      <c r="B4912" s="1" t="s">
        <v>5250</v>
      </c>
      <c r="D4912" s="1" t="s">
        <v>5280</v>
      </c>
      <c r="F4912" s="1" t="s">
        <v>5347</v>
      </c>
      <c r="H4912" s="1" t="s">
        <v>5368</v>
      </c>
      <c r="J4912" s="1" t="s">
        <v>5369</v>
      </c>
      <c r="L4912" s="1" t="s">
        <v>1955</v>
      </c>
      <c r="N4912" s="1" t="s">
        <v>1036</v>
      </c>
      <c r="P4912" s="1" t="s">
        <v>2094</v>
      </c>
      <c r="Q4912" s="30" t="s">
        <v>2568</v>
      </c>
      <c r="R4912" s="33" t="s">
        <v>3474</v>
      </c>
      <c r="S4912">
        <v>35</v>
      </c>
      <c r="T4912" s="1" t="s">
        <v>5350</v>
      </c>
      <c r="U4912" s="1" t="str">
        <f>HYPERLINK("http://ictvonline.org/taxonomy/p/taxonomy-history?taxnode_id=202103505","ICTVonline=202103505")</f>
        <v>ICTVonline=202103505</v>
      </c>
    </row>
    <row r="4913" spans="1:21" x14ac:dyDescent="0.2">
      <c r="A4913" s="3">
        <v>4912</v>
      </c>
      <c r="B4913" s="1" t="s">
        <v>5250</v>
      </c>
      <c r="D4913" s="1" t="s">
        <v>5280</v>
      </c>
      <c r="F4913" s="1" t="s">
        <v>5347</v>
      </c>
      <c r="H4913" s="1" t="s">
        <v>5368</v>
      </c>
      <c r="J4913" s="1" t="s">
        <v>5369</v>
      </c>
      <c r="L4913" s="1" t="s">
        <v>1955</v>
      </c>
      <c r="N4913" s="1" t="s">
        <v>2095</v>
      </c>
      <c r="P4913" s="1" t="s">
        <v>2096</v>
      </c>
      <c r="Q4913" s="30" t="s">
        <v>2568</v>
      </c>
      <c r="R4913" s="33" t="s">
        <v>8665</v>
      </c>
      <c r="S4913">
        <v>36</v>
      </c>
      <c r="T4913" s="1" t="s">
        <v>8661</v>
      </c>
      <c r="U4913" s="1" t="str">
        <f>HYPERLINK("http://ictvonline.org/taxonomy/p/taxonomy-history?taxnode_id=202103507","ICTVonline=202103507")</f>
        <v>ICTVonline=202103507</v>
      </c>
    </row>
    <row r="4914" spans="1:21" x14ac:dyDescent="0.2">
      <c r="A4914" s="3">
        <v>4913</v>
      </c>
      <c r="B4914" s="1" t="s">
        <v>5250</v>
      </c>
      <c r="D4914" s="1" t="s">
        <v>5280</v>
      </c>
      <c r="F4914" s="1" t="s">
        <v>5347</v>
      </c>
      <c r="H4914" s="1" t="s">
        <v>5368</v>
      </c>
      <c r="J4914" s="1" t="s">
        <v>5369</v>
      </c>
      <c r="L4914" s="1" t="s">
        <v>1955</v>
      </c>
      <c r="N4914" s="1" t="s">
        <v>3359</v>
      </c>
      <c r="P4914" s="1" t="s">
        <v>3360</v>
      </c>
      <c r="Q4914" s="30" t="s">
        <v>2568</v>
      </c>
      <c r="R4914" s="33" t="s">
        <v>8665</v>
      </c>
      <c r="S4914">
        <v>36</v>
      </c>
      <c r="T4914" s="1" t="s">
        <v>8661</v>
      </c>
      <c r="U4914" s="1" t="str">
        <f>HYPERLINK("http://ictvonline.org/taxonomy/p/taxonomy-history?taxnode_id=202103509","ICTVonline=202103509")</f>
        <v>ICTVonline=202103509</v>
      </c>
    </row>
    <row r="4915" spans="1:21" x14ac:dyDescent="0.2">
      <c r="A4915" s="3">
        <v>4914</v>
      </c>
      <c r="B4915" s="1" t="s">
        <v>5250</v>
      </c>
      <c r="D4915" s="1" t="s">
        <v>5280</v>
      </c>
      <c r="F4915" s="1" t="s">
        <v>5347</v>
      </c>
      <c r="H4915" s="1" t="s">
        <v>5368</v>
      </c>
      <c r="J4915" s="1" t="s">
        <v>5369</v>
      </c>
      <c r="L4915" s="1" t="s">
        <v>1955</v>
      </c>
      <c r="N4915" s="1" t="s">
        <v>3359</v>
      </c>
      <c r="P4915" s="1" t="s">
        <v>4850</v>
      </c>
      <c r="Q4915" s="30" t="s">
        <v>2568</v>
      </c>
      <c r="R4915" s="33" t="s">
        <v>3474</v>
      </c>
      <c r="S4915">
        <v>35</v>
      </c>
      <c r="T4915" s="1" t="s">
        <v>5350</v>
      </c>
      <c r="U4915" s="1" t="str">
        <f>HYPERLINK("http://ictvonline.org/taxonomy/p/taxonomy-history?taxnode_id=202106690","ICTVonline=202106690")</f>
        <v>ICTVonline=202106690</v>
      </c>
    </row>
    <row r="4916" spans="1:21" x14ac:dyDescent="0.2">
      <c r="A4916" s="3">
        <v>4915</v>
      </c>
      <c r="B4916" s="1" t="s">
        <v>5250</v>
      </c>
      <c r="D4916" s="1" t="s">
        <v>5280</v>
      </c>
      <c r="F4916" s="1" t="s">
        <v>5347</v>
      </c>
      <c r="H4916" s="1" t="s">
        <v>5368</v>
      </c>
      <c r="J4916" s="1" t="s">
        <v>5369</v>
      </c>
      <c r="L4916" s="1" t="s">
        <v>1955</v>
      </c>
      <c r="N4916" s="1" t="s">
        <v>3359</v>
      </c>
      <c r="P4916" s="1" t="s">
        <v>4851</v>
      </c>
      <c r="Q4916" s="30" t="s">
        <v>2568</v>
      </c>
      <c r="R4916" s="33" t="s">
        <v>3474</v>
      </c>
      <c r="S4916">
        <v>35</v>
      </c>
      <c r="T4916" s="1" t="s">
        <v>5350</v>
      </c>
      <c r="U4916" s="1" t="str">
        <f>HYPERLINK("http://ictvonline.org/taxonomy/p/taxonomy-history?taxnode_id=202106689","ICTVonline=202106689")</f>
        <v>ICTVonline=202106689</v>
      </c>
    </row>
    <row r="4917" spans="1:21" x14ac:dyDescent="0.2">
      <c r="A4917" s="3">
        <v>4916</v>
      </c>
      <c r="B4917" s="1" t="s">
        <v>5250</v>
      </c>
      <c r="D4917" s="1" t="s">
        <v>5280</v>
      </c>
      <c r="F4917" s="1" t="s">
        <v>5347</v>
      </c>
      <c r="H4917" s="1" t="s">
        <v>5368</v>
      </c>
      <c r="J4917" s="1" t="s">
        <v>5369</v>
      </c>
      <c r="L4917" s="1" t="s">
        <v>1955</v>
      </c>
      <c r="N4917" s="1" t="s">
        <v>6431</v>
      </c>
      <c r="P4917" s="1" t="s">
        <v>6432</v>
      </c>
      <c r="Q4917" s="30" t="s">
        <v>2969</v>
      </c>
      <c r="R4917" s="33" t="s">
        <v>3472</v>
      </c>
      <c r="S4917">
        <v>36</v>
      </c>
      <c r="T4917" s="1" t="s">
        <v>6427</v>
      </c>
      <c r="U4917" s="1" t="str">
        <f>HYPERLINK("http://ictvonline.org/taxonomy/p/taxonomy-history?taxnode_id=202109169","ICTVonline=202109169")</f>
        <v>ICTVonline=202109169</v>
      </c>
    </row>
    <row r="4918" spans="1:21" x14ac:dyDescent="0.2">
      <c r="A4918" s="3">
        <v>4917</v>
      </c>
      <c r="B4918" s="1" t="s">
        <v>5250</v>
      </c>
      <c r="D4918" s="1" t="s">
        <v>5280</v>
      </c>
      <c r="F4918" s="1" t="s">
        <v>5347</v>
      </c>
      <c r="H4918" s="1" t="s">
        <v>5368</v>
      </c>
      <c r="J4918" s="1" t="s">
        <v>5369</v>
      </c>
      <c r="L4918" s="1" t="s">
        <v>1955</v>
      </c>
      <c r="N4918" s="1" t="s">
        <v>6431</v>
      </c>
      <c r="P4918" s="1" t="s">
        <v>6433</v>
      </c>
      <c r="Q4918" s="30" t="s">
        <v>2969</v>
      </c>
      <c r="R4918" s="33" t="s">
        <v>3472</v>
      </c>
      <c r="S4918">
        <v>36</v>
      </c>
      <c r="T4918" s="1" t="s">
        <v>6427</v>
      </c>
      <c r="U4918" s="1" t="str">
        <f>HYPERLINK("http://ictvonline.org/taxonomy/p/taxonomy-history?taxnode_id=202109170","ICTVonline=202109170")</f>
        <v>ICTVonline=202109170</v>
      </c>
    </row>
    <row r="4919" spans="1:21" x14ac:dyDescent="0.2">
      <c r="A4919" s="3">
        <v>4918</v>
      </c>
      <c r="B4919" s="1" t="s">
        <v>5250</v>
      </c>
      <c r="D4919" s="1" t="s">
        <v>5280</v>
      </c>
      <c r="F4919" s="1" t="s">
        <v>5347</v>
      </c>
      <c r="H4919" s="1" t="s">
        <v>5368</v>
      </c>
      <c r="J4919" s="1" t="s">
        <v>5369</v>
      </c>
      <c r="L4919" s="1" t="s">
        <v>1955</v>
      </c>
      <c r="N4919" s="1" t="s">
        <v>6431</v>
      </c>
      <c r="P4919" s="1" t="s">
        <v>6434</v>
      </c>
      <c r="Q4919" s="30" t="s">
        <v>2969</v>
      </c>
      <c r="R4919" s="33" t="s">
        <v>3472</v>
      </c>
      <c r="S4919">
        <v>36</v>
      </c>
      <c r="T4919" s="1" t="s">
        <v>6427</v>
      </c>
      <c r="U4919" s="1" t="str">
        <f>HYPERLINK("http://ictvonline.org/taxonomy/p/taxonomy-history?taxnode_id=202109171","ICTVonline=202109171")</f>
        <v>ICTVonline=202109171</v>
      </c>
    </row>
    <row r="4920" spans="1:21" x14ac:dyDescent="0.2">
      <c r="A4920" s="3">
        <v>4919</v>
      </c>
      <c r="B4920" s="1" t="s">
        <v>5250</v>
      </c>
      <c r="D4920" s="1" t="s">
        <v>5280</v>
      </c>
      <c r="F4920" s="1" t="s">
        <v>5347</v>
      </c>
      <c r="H4920" s="1" t="s">
        <v>5368</v>
      </c>
      <c r="J4920" s="1" t="s">
        <v>5369</v>
      </c>
      <c r="L4920" s="1" t="s">
        <v>1955</v>
      </c>
      <c r="N4920" s="1" t="s">
        <v>638</v>
      </c>
      <c r="P4920" s="1" t="s">
        <v>2961</v>
      </c>
      <c r="Q4920" s="30" t="s">
        <v>2568</v>
      </c>
      <c r="R4920" s="33" t="s">
        <v>3474</v>
      </c>
      <c r="S4920">
        <v>35</v>
      </c>
      <c r="T4920" s="1" t="s">
        <v>5350</v>
      </c>
      <c r="U4920" s="1" t="str">
        <f>HYPERLINK("http://ictvonline.org/taxonomy/p/taxonomy-history?taxnode_id=202103511","ICTVonline=202103511")</f>
        <v>ICTVonline=202103511</v>
      </c>
    </row>
    <row r="4921" spans="1:21" x14ac:dyDescent="0.2">
      <c r="A4921" s="3">
        <v>4920</v>
      </c>
      <c r="B4921" s="1" t="s">
        <v>5250</v>
      </c>
      <c r="D4921" s="1" t="s">
        <v>5280</v>
      </c>
      <c r="F4921" s="1" t="s">
        <v>5347</v>
      </c>
      <c r="H4921" s="1" t="s">
        <v>5368</v>
      </c>
      <c r="J4921" s="1" t="s">
        <v>5369</v>
      </c>
      <c r="L4921" s="1" t="s">
        <v>1955</v>
      </c>
      <c r="N4921" s="1" t="s">
        <v>638</v>
      </c>
      <c r="P4921" s="1" t="s">
        <v>2097</v>
      </c>
      <c r="Q4921" s="30" t="s">
        <v>2568</v>
      </c>
      <c r="R4921" s="33" t="s">
        <v>3474</v>
      </c>
      <c r="S4921">
        <v>35</v>
      </c>
      <c r="T4921" s="1" t="s">
        <v>5350</v>
      </c>
      <c r="U4921" s="1" t="str">
        <f>HYPERLINK("http://ictvonline.org/taxonomy/p/taxonomy-history?taxnode_id=202103512","ICTVonline=202103512")</f>
        <v>ICTVonline=202103512</v>
      </c>
    </row>
    <row r="4922" spans="1:21" x14ac:dyDescent="0.2">
      <c r="A4922" s="3">
        <v>4921</v>
      </c>
      <c r="B4922" s="1" t="s">
        <v>5250</v>
      </c>
      <c r="D4922" s="1" t="s">
        <v>5280</v>
      </c>
      <c r="F4922" s="1" t="s">
        <v>5347</v>
      </c>
      <c r="H4922" s="1" t="s">
        <v>5368</v>
      </c>
      <c r="J4922" s="1" t="s">
        <v>5369</v>
      </c>
      <c r="L4922" s="1" t="s">
        <v>1955</v>
      </c>
      <c r="N4922" s="1" t="s">
        <v>638</v>
      </c>
      <c r="P4922" s="1" t="s">
        <v>2098</v>
      </c>
      <c r="Q4922" s="30" t="s">
        <v>2568</v>
      </c>
      <c r="R4922" s="33" t="s">
        <v>3474</v>
      </c>
      <c r="S4922">
        <v>35</v>
      </c>
      <c r="T4922" s="1" t="s">
        <v>5350</v>
      </c>
      <c r="U4922" s="1" t="str">
        <f>HYPERLINK("http://ictvonline.org/taxonomy/p/taxonomy-history?taxnode_id=202103513","ICTVonline=202103513")</f>
        <v>ICTVonline=202103513</v>
      </c>
    </row>
    <row r="4923" spans="1:21" x14ac:dyDescent="0.2">
      <c r="A4923" s="3">
        <v>4922</v>
      </c>
      <c r="B4923" s="1" t="s">
        <v>5250</v>
      </c>
      <c r="D4923" s="1" t="s">
        <v>5280</v>
      </c>
      <c r="F4923" s="1" t="s">
        <v>5347</v>
      </c>
      <c r="H4923" s="1" t="s">
        <v>5368</v>
      </c>
      <c r="J4923" s="1" t="s">
        <v>5369</v>
      </c>
      <c r="L4923" s="1" t="s">
        <v>1955</v>
      </c>
      <c r="N4923" s="1" t="s">
        <v>638</v>
      </c>
      <c r="P4923" s="1" t="s">
        <v>2099</v>
      </c>
      <c r="Q4923" s="30" t="s">
        <v>2568</v>
      </c>
      <c r="R4923" s="33" t="s">
        <v>3474</v>
      </c>
      <c r="S4923">
        <v>35</v>
      </c>
      <c r="T4923" s="1" t="s">
        <v>5350</v>
      </c>
      <c r="U4923" s="1" t="str">
        <f>HYPERLINK("http://ictvonline.org/taxonomy/p/taxonomy-history?taxnode_id=202103514","ICTVonline=202103514")</f>
        <v>ICTVonline=202103514</v>
      </c>
    </row>
    <row r="4924" spans="1:21" x14ac:dyDescent="0.2">
      <c r="A4924" s="3">
        <v>4923</v>
      </c>
      <c r="B4924" s="1" t="s">
        <v>5250</v>
      </c>
      <c r="D4924" s="1" t="s">
        <v>5280</v>
      </c>
      <c r="F4924" s="1" t="s">
        <v>5347</v>
      </c>
      <c r="H4924" s="1" t="s">
        <v>5368</v>
      </c>
      <c r="J4924" s="1" t="s">
        <v>5369</v>
      </c>
      <c r="L4924" s="1" t="s">
        <v>1955</v>
      </c>
      <c r="N4924" s="1" t="s">
        <v>638</v>
      </c>
      <c r="P4924" s="1" t="s">
        <v>2100</v>
      </c>
      <c r="Q4924" s="30" t="s">
        <v>2568</v>
      </c>
      <c r="R4924" s="33" t="s">
        <v>3474</v>
      </c>
      <c r="S4924">
        <v>35</v>
      </c>
      <c r="T4924" s="1" t="s">
        <v>5350</v>
      </c>
      <c r="U4924" s="1" t="str">
        <f>HYPERLINK("http://ictvonline.org/taxonomy/p/taxonomy-history?taxnode_id=202103515","ICTVonline=202103515")</f>
        <v>ICTVonline=202103515</v>
      </c>
    </row>
    <row r="4925" spans="1:21" x14ac:dyDescent="0.2">
      <c r="A4925" s="3">
        <v>4924</v>
      </c>
      <c r="B4925" s="1" t="s">
        <v>5250</v>
      </c>
      <c r="D4925" s="1" t="s">
        <v>5280</v>
      </c>
      <c r="F4925" s="1" t="s">
        <v>5347</v>
      </c>
      <c r="H4925" s="1" t="s">
        <v>5368</v>
      </c>
      <c r="J4925" s="1" t="s">
        <v>5369</v>
      </c>
      <c r="L4925" s="1" t="s">
        <v>1955</v>
      </c>
      <c r="N4925" s="1" t="s">
        <v>638</v>
      </c>
      <c r="P4925" s="1" t="s">
        <v>2101</v>
      </c>
      <c r="Q4925" s="30" t="s">
        <v>2568</v>
      </c>
      <c r="R4925" s="33" t="s">
        <v>3474</v>
      </c>
      <c r="S4925">
        <v>35</v>
      </c>
      <c r="T4925" s="1" t="s">
        <v>5350</v>
      </c>
      <c r="U4925" s="1" t="str">
        <f>HYPERLINK("http://ictvonline.org/taxonomy/p/taxonomy-history?taxnode_id=202103516","ICTVonline=202103516")</f>
        <v>ICTVonline=202103516</v>
      </c>
    </row>
    <row r="4926" spans="1:21" x14ac:dyDescent="0.2">
      <c r="A4926" s="3">
        <v>4925</v>
      </c>
      <c r="B4926" s="1" t="s">
        <v>5250</v>
      </c>
      <c r="D4926" s="1" t="s">
        <v>5280</v>
      </c>
      <c r="F4926" s="1" t="s">
        <v>5347</v>
      </c>
      <c r="H4926" s="1" t="s">
        <v>5368</v>
      </c>
      <c r="J4926" s="1" t="s">
        <v>5369</v>
      </c>
      <c r="L4926" s="1" t="s">
        <v>1955</v>
      </c>
      <c r="N4926" s="1" t="s">
        <v>638</v>
      </c>
      <c r="P4926" s="1" t="s">
        <v>6435</v>
      </c>
      <c r="Q4926" s="30" t="s">
        <v>2969</v>
      </c>
      <c r="R4926" s="33" t="s">
        <v>3472</v>
      </c>
      <c r="S4926">
        <v>36</v>
      </c>
      <c r="T4926" s="1" t="s">
        <v>6436</v>
      </c>
      <c r="U4926" s="1" t="str">
        <f>HYPERLINK("http://ictvonline.org/taxonomy/p/taxonomy-history?taxnode_id=202109104","ICTVonline=202109104")</f>
        <v>ICTVonline=202109104</v>
      </c>
    </row>
    <row r="4927" spans="1:21" x14ac:dyDescent="0.2">
      <c r="A4927" s="3">
        <v>4926</v>
      </c>
      <c r="B4927" s="1" t="s">
        <v>5250</v>
      </c>
      <c r="D4927" s="1" t="s">
        <v>5280</v>
      </c>
      <c r="F4927" s="1" t="s">
        <v>5347</v>
      </c>
      <c r="H4927" s="1" t="s">
        <v>5368</v>
      </c>
      <c r="J4927" s="1" t="s">
        <v>5369</v>
      </c>
      <c r="L4927" s="1" t="s">
        <v>1955</v>
      </c>
      <c r="N4927" s="1" t="s">
        <v>638</v>
      </c>
      <c r="P4927" s="1" t="s">
        <v>3869</v>
      </c>
      <c r="Q4927" s="30" t="s">
        <v>2568</v>
      </c>
      <c r="R4927" s="33" t="s">
        <v>3474</v>
      </c>
      <c r="S4927">
        <v>35</v>
      </c>
      <c r="T4927" s="1" t="s">
        <v>5350</v>
      </c>
      <c r="U4927" s="1" t="str">
        <f>HYPERLINK("http://ictvonline.org/taxonomy/p/taxonomy-history?taxnode_id=202105853","ICTVonline=202105853")</f>
        <v>ICTVonline=202105853</v>
      </c>
    </row>
    <row r="4928" spans="1:21" x14ac:dyDescent="0.2">
      <c r="A4928" s="3">
        <v>4927</v>
      </c>
      <c r="B4928" s="1" t="s">
        <v>5250</v>
      </c>
      <c r="D4928" s="1" t="s">
        <v>5280</v>
      </c>
      <c r="F4928" s="1" t="s">
        <v>5347</v>
      </c>
      <c r="H4928" s="1" t="s">
        <v>5368</v>
      </c>
      <c r="J4928" s="1" t="s">
        <v>5369</v>
      </c>
      <c r="L4928" s="1" t="s">
        <v>1955</v>
      </c>
      <c r="N4928" s="1" t="s">
        <v>638</v>
      </c>
      <c r="P4928" s="1" t="s">
        <v>2102</v>
      </c>
      <c r="Q4928" s="30" t="s">
        <v>2568</v>
      </c>
      <c r="R4928" s="33" t="s">
        <v>3474</v>
      </c>
      <c r="S4928">
        <v>35</v>
      </c>
      <c r="T4928" s="1" t="s">
        <v>5350</v>
      </c>
      <c r="U4928" s="1" t="str">
        <f>HYPERLINK("http://ictvonline.org/taxonomy/p/taxonomy-history?taxnode_id=202103517","ICTVonline=202103517")</f>
        <v>ICTVonline=202103517</v>
      </c>
    </row>
    <row r="4929" spans="1:21" x14ac:dyDescent="0.2">
      <c r="A4929" s="3">
        <v>4928</v>
      </c>
      <c r="B4929" s="1" t="s">
        <v>5250</v>
      </c>
      <c r="D4929" s="1" t="s">
        <v>5280</v>
      </c>
      <c r="F4929" s="1" t="s">
        <v>5347</v>
      </c>
      <c r="H4929" s="1" t="s">
        <v>5368</v>
      </c>
      <c r="J4929" s="1" t="s">
        <v>5369</v>
      </c>
      <c r="L4929" s="1" t="s">
        <v>1955</v>
      </c>
      <c r="N4929" s="1" t="s">
        <v>638</v>
      </c>
      <c r="P4929" s="1" t="s">
        <v>1379</v>
      </c>
      <c r="Q4929" s="30" t="s">
        <v>2568</v>
      </c>
      <c r="R4929" s="33" t="s">
        <v>3474</v>
      </c>
      <c r="S4929">
        <v>35</v>
      </c>
      <c r="T4929" s="1" t="s">
        <v>5350</v>
      </c>
      <c r="U4929" s="1" t="str">
        <f>HYPERLINK("http://ictvonline.org/taxonomy/p/taxonomy-history?taxnode_id=202103518","ICTVonline=202103518")</f>
        <v>ICTVonline=202103518</v>
      </c>
    </row>
    <row r="4930" spans="1:21" x14ac:dyDescent="0.2">
      <c r="A4930" s="3">
        <v>4929</v>
      </c>
      <c r="B4930" s="1" t="s">
        <v>5250</v>
      </c>
      <c r="D4930" s="1" t="s">
        <v>5280</v>
      </c>
      <c r="F4930" s="1" t="s">
        <v>5347</v>
      </c>
      <c r="H4930" s="1" t="s">
        <v>5368</v>
      </c>
      <c r="J4930" s="1" t="s">
        <v>5369</v>
      </c>
      <c r="L4930" s="1" t="s">
        <v>1955</v>
      </c>
      <c r="N4930" s="1" t="s">
        <v>638</v>
      </c>
      <c r="P4930" s="1" t="s">
        <v>2103</v>
      </c>
      <c r="Q4930" s="30" t="s">
        <v>2568</v>
      </c>
      <c r="R4930" s="33" t="s">
        <v>3474</v>
      </c>
      <c r="S4930">
        <v>35</v>
      </c>
      <c r="T4930" s="1" t="s">
        <v>5350</v>
      </c>
      <c r="U4930" s="1" t="str">
        <f>HYPERLINK("http://ictvonline.org/taxonomy/p/taxonomy-history?taxnode_id=202103519","ICTVonline=202103519")</f>
        <v>ICTVonline=202103519</v>
      </c>
    </row>
    <row r="4931" spans="1:21" x14ac:dyDescent="0.2">
      <c r="A4931" s="3">
        <v>4930</v>
      </c>
      <c r="B4931" s="1" t="s">
        <v>5250</v>
      </c>
      <c r="D4931" s="1" t="s">
        <v>5280</v>
      </c>
      <c r="F4931" s="1" t="s">
        <v>5347</v>
      </c>
      <c r="H4931" s="1" t="s">
        <v>5368</v>
      </c>
      <c r="J4931" s="1" t="s">
        <v>5369</v>
      </c>
      <c r="L4931" s="1" t="s">
        <v>1955</v>
      </c>
      <c r="N4931" s="1" t="s">
        <v>638</v>
      </c>
      <c r="P4931" s="1" t="s">
        <v>2104</v>
      </c>
      <c r="Q4931" s="30" t="s">
        <v>2568</v>
      </c>
      <c r="R4931" s="33" t="s">
        <v>3474</v>
      </c>
      <c r="S4931">
        <v>35</v>
      </c>
      <c r="T4931" s="1" t="s">
        <v>5350</v>
      </c>
      <c r="U4931" s="1" t="str">
        <f>HYPERLINK("http://ictvonline.org/taxonomy/p/taxonomy-history?taxnode_id=202103520","ICTVonline=202103520")</f>
        <v>ICTVonline=202103520</v>
      </c>
    </row>
    <row r="4932" spans="1:21" x14ac:dyDescent="0.2">
      <c r="A4932" s="3">
        <v>4931</v>
      </c>
      <c r="B4932" s="1" t="s">
        <v>5250</v>
      </c>
      <c r="D4932" s="1" t="s">
        <v>5280</v>
      </c>
      <c r="F4932" s="1" t="s">
        <v>5347</v>
      </c>
      <c r="H4932" s="1" t="s">
        <v>5368</v>
      </c>
      <c r="J4932" s="1" t="s">
        <v>5369</v>
      </c>
      <c r="L4932" s="1" t="s">
        <v>1955</v>
      </c>
      <c r="N4932" s="1" t="s">
        <v>638</v>
      </c>
      <c r="P4932" s="1" t="s">
        <v>1380</v>
      </c>
      <c r="Q4932" s="30" t="s">
        <v>2568</v>
      </c>
      <c r="R4932" s="33" t="s">
        <v>3474</v>
      </c>
      <c r="S4932">
        <v>35</v>
      </c>
      <c r="T4932" s="1" t="s">
        <v>5350</v>
      </c>
      <c r="U4932" s="1" t="str">
        <f>HYPERLINK("http://ictvonline.org/taxonomy/p/taxonomy-history?taxnode_id=202103521","ICTVonline=202103521")</f>
        <v>ICTVonline=202103521</v>
      </c>
    </row>
    <row r="4933" spans="1:21" x14ac:dyDescent="0.2">
      <c r="A4933" s="3">
        <v>4932</v>
      </c>
      <c r="B4933" s="1" t="s">
        <v>5250</v>
      </c>
      <c r="D4933" s="1" t="s">
        <v>5280</v>
      </c>
      <c r="F4933" s="1" t="s">
        <v>5347</v>
      </c>
      <c r="H4933" s="1" t="s">
        <v>5368</v>
      </c>
      <c r="J4933" s="1" t="s">
        <v>5369</v>
      </c>
      <c r="L4933" s="1" t="s">
        <v>1955</v>
      </c>
      <c r="N4933" s="1" t="s">
        <v>638</v>
      </c>
      <c r="P4933" s="1" t="s">
        <v>3870</v>
      </c>
      <c r="Q4933" s="30" t="s">
        <v>2568</v>
      </c>
      <c r="R4933" s="33" t="s">
        <v>3474</v>
      </c>
      <c r="S4933">
        <v>35</v>
      </c>
      <c r="T4933" s="1" t="s">
        <v>5350</v>
      </c>
      <c r="U4933" s="1" t="str">
        <f>HYPERLINK("http://ictvonline.org/taxonomy/p/taxonomy-history?taxnode_id=202105854","ICTVonline=202105854")</f>
        <v>ICTVonline=202105854</v>
      </c>
    </row>
    <row r="4934" spans="1:21" x14ac:dyDescent="0.2">
      <c r="A4934" s="3">
        <v>4933</v>
      </c>
      <c r="B4934" s="1" t="s">
        <v>5250</v>
      </c>
      <c r="D4934" s="1" t="s">
        <v>5280</v>
      </c>
      <c r="F4934" s="1" t="s">
        <v>5347</v>
      </c>
      <c r="H4934" s="1" t="s">
        <v>5368</v>
      </c>
      <c r="J4934" s="1" t="s">
        <v>5369</v>
      </c>
      <c r="L4934" s="1" t="s">
        <v>1955</v>
      </c>
      <c r="N4934" s="1" t="s">
        <v>638</v>
      </c>
      <c r="P4934" s="1" t="s">
        <v>6437</v>
      </c>
      <c r="Q4934" s="30" t="s">
        <v>2969</v>
      </c>
      <c r="R4934" s="33" t="s">
        <v>3472</v>
      </c>
      <c r="S4934">
        <v>36</v>
      </c>
      <c r="T4934" s="1" t="s">
        <v>6436</v>
      </c>
      <c r="U4934" s="1" t="str">
        <f>HYPERLINK("http://ictvonline.org/taxonomy/p/taxonomy-history?taxnode_id=202109105","ICTVonline=202109105")</f>
        <v>ICTVonline=202109105</v>
      </c>
    </row>
    <row r="4935" spans="1:21" x14ac:dyDescent="0.2">
      <c r="A4935" s="3">
        <v>4934</v>
      </c>
      <c r="B4935" s="1" t="s">
        <v>5250</v>
      </c>
      <c r="D4935" s="1" t="s">
        <v>5280</v>
      </c>
      <c r="F4935" s="1" t="s">
        <v>5347</v>
      </c>
      <c r="H4935" s="1" t="s">
        <v>5368</v>
      </c>
      <c r="J4935" s="1" t="s">
        <v>5369</v>
      </c>
      <c r="L4935" s="1" t="s">
        <v>1955</v>
      </c>
      <c r="N4935" s="1" t="s">
        <v>638</v>
      </c>
      <c r="P4935" s="1" t="s">
        <v>2105</v>
      </c>
      <c r="Q4935" s="30" t="s">
        <v>2568</v>
      </c>
      <c r="R4935" s="33" t="s">
        <v>3474</v>
      </c>
      <c r="S4935">
        <v>35</v>
      </c>
      <c r="T4935" s="1" t="s">
        <v>5350</v>
      </c>
      <c r="U4935" s="1" t="str">
        <f>HYPERLINK("http://ictvonline.org/taxonomy/p/taxonomy-history?taxnode_id=202103522","ICTVonline=202103522")</f>
        <v>ICTVonline=202103522</v>
      </c>
    </row>
    <row r="4936" spans="1:21" x14ac:dyDescent="0.2">
      <c r="A4936" s="3">
        <v>4935</v>
      </c>
      <c r="B4936" s="1" t="s">
        <v>5250</v>
      </c>
      <c r="D4936" s="1" t="s">
        <v>5280</v>
      </c>
      <c r="F4936" s="1" t="s">
        <v>5347</v>
      </c>
      <c r="H4936" s="1" t="s">
        <v>5368</v>
      </c>
      <c r="J4936" s="1" t="s">
        <v>5369</v>
      </c>
      <c r="L4936" s="1" t="s">
        <v>1955</v>
      </c>
      <c r="N4936" s="1" t="s">
        <v>638</v>
      </c>
      <c r="P4936" s="1" t="s">
        <v>542</v>
      </c>
      <c r="Q4936" s="30" t="s">
        <v>2568</v>
      </c>
      <c r="R4936" s="33" t="s">
        <v>3474</v>
      </c>
      <c r="S4936">
        <v>35</v>
      </c>
      <c r="T4936" s="1" t="s">
        <v>5350</v>
      </c>
      <c r="U4936" s="1" t="str">
        <f>HYPERLINK("http://ictvonline.org/taxonomy/p/taxonomy-history?taxnode_id=202103523","ICTVonline=202103523")</f>
        <v>ICTVonline=202103523</v>
      </c>
    </row>
    <row r="4937" spans="1:21" x14ac:dyDescent="0.2">
      <c r="A4937" s="3">
        <v>4936</v>
      </c>
      <c r="B4937" s="1" t="s">
        <v>5250</v>
      </c>
      <c r="D4937" s="1" t="s">
        <v>5280</v>
      </c>
      <c r="F4937" s="1" t="s">
        <v>5347</v>
      </c>
      <c r="H4937" s="1" t="s">
        <v>5368</v>
      </c>
      <c r="J4937" s="1" t="s">
        <v>5369</v>
      </c>
      <c r="L4937" s="1" t="s">
        <v>1955</v>
      </c>
      <c r="N4937" s="1" t="s">
        <v>638</v>
      </c>
      <c r="P4937" s="1" t="s">
        <v>5387</v>
      </c>
      <c r="Q4937" s="30" t="s">
        <v>2969</v>
      </c>
      <c r="R4937" s="33" t="s">
        <v>3472</v>
      </c>
      <c r="S4937">
        <v>35</v>
      </c>
      <c r="T4937" s="1" t="s">
        <v>5388</v>
      </c>
      <c r="U4937" s="1" t="str">
        <f>HYPERLINK("http://ictvonline.org/taxonomy/p/taxonomy-history?taxnode_id=202108695","ICTVonline=202108695")</f>
        <v>ICTVonline=202108695</v>
      </c>
    </row>
    <row r="4938" spans="1:21" x14ac:dyDescent="0.2">
      <c r="A4938" s="3">
        <v>4937</v>
      </c>
      <c r="B4938" s="1" t="s">
        <v>5250</v>
      </c>
      <c r="D4938" s="1" t="s">
        <v>5280</v>
      </c>
      <c r="F4938" s="1" t="s">
        <v>5347</v>
      </c>
      <c r="H4938" s="1" t="s">
        <v>5368</v>
      </c>
      <c r="J4938" s="1" t="s">
        <v>5369</v>
      </c>
      <c r="L4938" s="1" t="s">
        <v>1955</v>
      </c>
      <c r="N4938" s="1" t="s">
        <v>638</v>
      </c>
      <c r="P4938" s="1" t="s">
        <v>2106</v>
      </c>
      <c r="Q4938" s="30" t="s">
        <v>2568</v>
      </c>
      <c r="R4938" s="33" t="s">
        <v>3474</v>
      </c>
      <c r="S4938">
        <v>35</v>
      </c>
      <c r="T4938" s="1" t="s">
        <v>5350</v>
      </c>
      <c r="U4938" s="1" t="str">
        <f>HYPERLINK("http://ictvonline.org/taxonomy/p/taxonomy-history?taxnode_id=202103524","ICTVonline=202103524")</f>
        <v>ICTVonline=202103524</v>
      </c>
    </row>
    <row r="4939" spans="1:21" x14ac:dyDescent="0.2">
      <c r="A4939" s="3">
        <v>4938</v>
      </c>
      <c r="B4939" s="1" t="s">
        <v>5250</v>
      </c>
      <c r="D4939" s="1" t="s">
        <v>5280</v>
      </c>
      <c r="F4939" s="1" t="s">
        <v>5347</v>
      </c>
      <c r="H4939" s="1" t="s">
        <v>5368</v>
      </c>
      <c r="J4939" s="1" t="s">
        <v>5369</v>
      </c>
      <c r="L4939" s="1" t="s">
        <v>1955</v>
      </c>
      <c r="N4939" s="1" t="s">
        <v>638</v>
      </c>
      <c r="P4939" s="1" t="s">
        <v>1381</v>
      </c>
      <c r="Q4939" s="30" t="s">
        <v>2568</v>
      </c>
      <c r="R4939" s="33" t="s">
        <v>8665</v>
      </c>
      <c r="S4939">
        <v>36</v>
      </c>
      <c r="T4939" s="1" t="s">
        <v>8661</v>
      </c>
      <c r="U4939" s="1" t="str">
        <f>HYPERLINK("http://ictvonline.org/taxonomy/p/taxonomy-history?taxnode_id=202103525","ICTVonline=202103525")</f>
        <v>ICTVonline=202103525</v>
      </c>
    </row>
    <row r="4940" spans="1:21" x14ac:dyDescent="0.2">
      <c r="A4940" s="3">
        <v>4939</v>
      </c>
      <c r="B4940" s="1" t="s">
        <v>5250</v>
      </c>
      <c r="D4940" s="1" t="s">
        <v>5280</v>
      </c>
      <c r="F4940" s="1" t="s">
        <v>5347</v>
      </c>
      <c r="H4940" s="1" t="s">
        <v>5368</v>
      </c>
      <c r="J4940" s="1" t="s">
        <v>5369</v>
      </c>
      <c r="L4940" s="1" t="s">
        <v>1955</v>
      </c>
      <c r="N4940" s="1" t="s">
        <v>638</v>
      </c>
      <c r="P4940" s="1" t="s">
        <v>4852</v>
      </c>
      <c r="Q4940" s="30" t="s">
        <v>2568</v>
      </c>
      <c r="R4940" s="33" t="s">
        <v>3474</v>
      </c>
      <c r="S4940">
        <v>35</v>
      </c>
      <c r="T4940" s="1" t="s">
        <v>5350</v>
      </c>
      <c r="U4940" s="1" t="str">
        <f>HYPERLINK("http://ictvonline.org/taxonomy/p/taxonomy-history?taxnode_id=202106685","ICTVonline=202106685")</f>
        <v>ICTVonline=202106685</v>
      </c>
    </row>
    <row r="4941" spans="1:21" x14ac:dyDescent="0.2">
      <c r="A4941" s="3">
        <v>4940</v>
      </c>
      <c r="B4941" s="1" t="s">
        <v>5250</v>
      </c>
      <c r="D4941" s="1" t="s">
        <v>5280</v>
      </c>
      <c r="F4941" s="1" t="s">
        <v>5347</v>
      </c>
      <c r="H4941" s="1" t="s">
        <v>5368</v>
      </c>
      <c r="J4941" s="1" t="s">
        <v>5369</v>
      </c>
      <c r="L4941" s="1" t="s">
        <v>1955</v>
      </c>
      <c r="N4941" s="1" t="s">
        <v>638</v>
      </c>
      <c r="P4941" s="1" t="s">
        <v>6438</v>
      </c>
      <c r="Q4941" s="30" t="s">
        <v>2969</v>
      </c>
      <c r="R4941" s="33" t="s">
        <v>3472</v>
      </c>
      <c r="S4941">
        <v>36</v>
      </c>
      <c r="T4941" s="1" t="s">
        <v>6436</v>
      </c>
      <c r="U4941" s="1" t="str">
        <f>HYPERLINK("http://ictvonline.org/taxonomy/p/taxonomy-history?taxnode_id=202109106","ICTVonline=202109106")</f>
        <v>ICTVonline=202109106</v>
      </c>
    </row>
    <row r="4942" spans="1:21" x14ac:dyDescent="0.2">
      <c r="A4942" s="3">
        <v>4941</v>
      </c>
      <c r="B4942" s="1" t="s">
        <v>5250</v>
      </c>
      <c r="D4942" s="1" t="s">
        <v>5280</v>
      </c>
      <c r="F4942" s="1" t="s">
        <v>5347</v>
      </c>
      <c r="H4942" s="1" t="s">
        <v>5368</v>
      </c>
      <c r="J4942" s="1" t="s">
        <v>5369</v>
      </c>
      <c r="L4942" s="1" t="s">
        <v>1955</v>
      </c>
      <c r="N4942" s="1" t="s">
        <v>638</v>
      </c>
      <c r="P4942" s="1" t="s">
        <v>354</v>
      </c>
      <c r="Q4942" s="30" t="s">
        <v>2568</v>
      </c>
      <c r="R4942" s="33" t="s">
        <v>3474</v>
      </c>
      <c r="S4942">
        <v>35</v>
      </c>
      <c r="T4942" s="1" t="s">
        <v>5350</v>
      </c>
      <c r="U4942" s="1" t="str">
        <f>HYPERLINK("http://ictvonline.org/taxonomy/p/taxonomy-history?taxnode_id=202103526","ICTVonline=202103526")</f>
        <v>ICTVonline=202103526</v>
      </c>
    </row>
    <row r="4943" spans="1:21" x14ac:dyDescent="0.2">
      <c r="A4943" s="3">
        <v>4942</v>
      </c>
      <c r="B4943" s="1" t="s">
        <v>5250</v>
      </c>
      <c r="D4943" s="1" t="s">
        <v>5280</v>
      </c>
      <c r="F4943" s="1" t="s">
        <v>5347</v>
      </c>
      <c r="H4943" s="1" t="s">
        <v>5368</v>
      </c>
      <c r="J4943" s="1" t="s">
        <v>5369</v>
      </c>
      <c r="L4943" s="1" t="s">
        <v>1955</v>
      </c>
      <c r="N4943" s="1" t="s">
        <v>638</v>
      </c>
      <c r="P4943" s="1" t="s">
        <v>2107</v>
      </c>
      <c r="Q4943" s="30" t="s">
        <v>2568</v>
      </c>
      <c r="R4943" s="33" t="s">
        <v>3474</v>
      </c>
      <c r="S4943">
        <v>35</v>
      </c>
      <c r="T4943" s="1" t="s">
        <v>5350</v>
      </c>
      <c r="U4943" s="1" t="str">
        <f>HYPERLINK("http://ictvonline.org/taxonomy/p/taxonomy-history?taxnode_id=202103527","ICTVonline=202103527")</f>
        <v>ICTVonline=202103527</v>
      </c>
    </row>
    <row r="4944" spans="1:21" x14ac:dyDescent="0.2">
      <c r="A4944" s="3">
        <v>4943</v>
      </c>
      <c r="B4944" s="1" t="s">
        <v>5250</v>
      </c>
      <c r="D4944" s="1" t="s">
        <v>5280</v>
      </c>
      <c r="F4944" s="1" t="s">
        <v>5347</v>
      </c>
      <c r="H4944" s="1" t="s">
        <v>5368</v>
      </c>
      <c r="J4944" s="1" t="s">
        <v>5369</v>
      </c>
      <c r="L4944" s="1" t="s">
        <v>1955</v>
      </c>
      <c r="N4944" s="1" t="s">
        <v>638</v>
      </c>
      <c r="P4944" s="1" t="s">
        <v>355</v>
      </c>
      <c r="Q4944" s="30" t="s">
        <v>2568</v>
      </c>
      <c r="R4944" s="33" t="s">
        <v>3474</v>
      </c>
      <c r="S4944">
        <v>35</v>
      </c>
      <c r="T4944" s="1" t="s">
        <v>5350</v>
      </c>
      <c r="U4944" s="1" t="str">
        <f>HYPERLINK("http://ictvonline.org/taxonomy/p/taxonomy-history?taxnode_id=202103528","ICTVonline=202103528")</f>
        <v>ICTVonline=202103528</v>
      </c>
    </row>
    <row r="4945" spans="1:21" x14ac:dyDescent="0.2">
      <c r="A4945" s="3">
        <v>4944</v>
      </c>
      <c r="B4945" s="1" t="s">
        <v>5250</v>
      </c>
      <c r="D4945" s="1" t="s">
        <v>5280</v>
      </c>
      <c r="F4945" s="1" t="s">
        <v>5347</v>
      </c>
      <c r="H4945" s="1" t="s">
        <v>5368</v>
      </c>
      <c r="J4945" s="1" t="s">
        <v>5369</v>
      </c>
      <c r="L4945" s="1" t="s">
        <v>1955</v>
      </c>
      <c r="N4945" s="1" t="s">
        <v>638</v>
      </c>
      <c r="P4945" s="1" t="s">
        <v>2108</v>
      </c>
      <c r="Q4945" s="30" t="s">
        <v>2568</v>
      </c>
      <c r="R4945" s="33" t="s">
        <v>3474</v>
      </c>
      <c r="S4945">
        <v>35</v>
      </c>
      <c r="T4945" s="1" t="s">
        <v>5350</v>
      </c>
      <c r="U4945" s="1" t="str">
        <f>HYPERLINK("http://ictvonline.org/taxonomy/p/taxonomy-history?taxnode_id=202103529","ICTVonline=202103529")</f>
        <v>ICTVonline=202103529</v>
      </c>
    </row>
    <row r="4946" spans="1:21" x14ac:dyDescent="0.2">
      <c r="A4946" s="3">
        <v>4945</v>
      </c>
      <c r="B4946" s="1" t="s">
        <v>5250</v>
      </c>
      <c r="D4946" s="1" t="s">
        <v>5280</v>
      </c>
      <c r="F4946" s="1" t="s">
        <v>5347</v>
      </c>
      <c r="H4946" s="1" t="s">
        <v>5368</v>
      </c>
      <c r="J4946" s="1" t="s">
        <v>5369</v>
      </c>
      <c r="L4946" s="1" t="s">
        <v>1955</v>
      </c>
      <c r="N4946" s="1" t="s">
        <v>638</v>
      </c>
      <c r="P4946" s="1" t="s">
        <v>2109</v>
      </c>
      <c r="Q4946" s="30" t="s">
        <v>2568</v>
      </c>
      <c r="R4946" s="33" t="s">
        <v>3474</v>
      </c>
      <c r="S4946">
        <v>35</v>
      </c>
      <c r="T4946" s="1" t="s">
        <v>5350</v>
      </c>
      <c r="U4946" s="1" t="str">
        <f>HYPERLINK("http://ictvonline.org/taxonomy/p/taxonomy-history?taxnode_id=202103530","ICTVonline=202103530")</f>
        <v>ICTVonline=202103530</v>
      </c>
    </row>
    <row r="4947" spans="1:21" x14ac:dyDescent="0.2">
      <c r="A4947" s="3">
        <v>4946</v>
      </c>
      <c r="B4947" s="1" t="s">
        <v>5250</v>
      </c>
      <c r="D4947" s="1" t="s">
        <v>5280</v>
      </c>
      <c r="F4947" s="1" t="s">
        <v>5347</v>
      </c>
      <c r="H4947" s="1" t="s">
        <v>5368</v>
      </c>
      <c r="J4947" s="1" t="s">
        <v>5369</v>
      </c>
      <c r="L4947" s="1" t="s">
        <v>1955</v>
      </c>
      <c r="N4947" s="1" t="s">
        <v>638</v>
      </c>
      <c r="P4947" s="1" t="s">
        <v>4853</v>
      </c>
      <c r="Q4947" s="30" t="s">
        <v>2568</v>
      </c>
      <c r="R4947" s="33" t="s">
        <v>3474</v>
      </c>
      <c r="S4947">
        <v>35</v>
      </c>
      <c r="T4947" s="1" t="s">
        <v>5350</v>
      </c>
      <c r="U4947" s="1" t="str">
        <f>HYPERLINK("http://ictvonline.org/taxonomy/p/taxonomy-history?taxnode_id=202106686","ICTVonline=202106686")</f>
        <v>ICTVonline=202106686</v>
      </c>
    </row>
    <row r="4948" spans="1:21" x14ac:dyDescent="0.2">
      <c r="A4948" s="3">
        <v>4947</v>
      </c>
      <c r="B4948" s="1" t="s">
        <v>5250</v>
      </c>
      <c r="D4948" s="1" t="s">
        <v>5280</v>
      </c>
      <c r="F4948" s="1" t="s">
        <v>5347</v>
      </c>
      <c r="H4948" s="1" t="s">
        <v>5368</v>
      </c>
      <c r="J4948" s="1" t="s">
        <v>5369</v>
      </c>
      <c r="L4948" s="1" t="s">
        <v>1955</v>
      </c>
      <c r="N4948" s="1" t="s">
        <v>638</v>
      </c>
      <c r="P4948" s="1" t="s">
        <v>4854</v>
      </c>
      <c r="Q4948" s="30" t="s">
        <v>2568</v>
      </c>
      <c r="R4948" s="33" t="s">
        <v>3474</v>
      </c>
      <c r="S4948">
        <v>35</v>
      </c>
      <c r="T4948" s="1" t="s">
        <v>5350</v>
      </c>
      <c r="U4948" s="1" t="str">
        <f>HYPERLINK("http://ictvonline.org/taxonomy/p/taxonomy-history?taxnode_id=202106687","ICTVonline=202106687")</f>
        <v>ICTVonline=202106687</v>
      </c>
    </row>
    <row r="4949" spans="1:21" x14ac:dyDescent="0.2">
      <c r="A4949" s="3">
        <v>4948</v>
      </c>
      <c r="B4949" s="1" t="s">
        <v>5250</v>
      </c>
      <c r="D4949" s="1" t="s">
        <v>5280</v>
      </c>
      <c r="F4949" s="1" t="s">
        <v>5347</v>
      </c>
      <c r="H4949" s="1" t="s">
        <v>5368</v>
      </c>
      <c r="J4949" s="1" t="s">
        <v>5369</v>
      </c>
      <c r="L4949" s="1" t="s">
        <v>1955</v>
      </c>
      <c r="N4949" s="1" t="s">
        <v>638</v>
      </c>
      <c r="P4949" s="1" t="s">
        <v>2110</v>
      </c>
      <c r="Q4949" s="30" t="s">
        <v>2568</v>
      </c>
      <c r="R4949" s="33" t="s">
        <v>3474</v>
      </c>
      <c r="S4949">
        <v>35</v>
      </c>
      <c r="T4949" s="1" t="s">
        <v>5350</v>
      </c>
      <c r="U4949" s="1" t="str">
        <f>HYPERLINK("http://ictvonline.org/taxonomy/p/taxonomy-history?taxnode_id=202103531","ICTVonline=202103531")</f>
        <v>ICTVonline=202103531</v>
      </c>
    </row>
    <row r="4950" spans="1:21" x14ac:dyDescent="0.2">
      <c r="A4950" s="3">
        <v>4949</v>
      </c>
      <c r="B4950" s="1" t="s">
        <v>5250</v>
      </c>
      <c r="D4950" s="1" t="s">
        <v>5280</v>
      </c>
      <c r="F4950" s="1" t="s">
        <v>5347</v>
      </c>
      <c r="H4950" s="1" t="s">
        <v>5368</v>
      </c>
      <c r="J4950" s="1" t="s">
        <v>5369</v>
      </c>
      <c r="L4950" s="1" t="s">
        <v>1955</v>
      </c>
      <c r="N4950" s="1" t="s">
        <v>638</v>
      </c>
      <c r="P4950" s="1" t="s">
        <v>6439</v>
      </c>
      <c r="Q4950" s="30" t="s">
        <v>2969</v>
      </c>
      <c r="R4950" s="33" t="s">
        <v>3472</v>
      </c>
      <c r="S4950">
        <v>36</v>
      </c>
      <c r="T4950" s="1" t="s">
        <v>6436</v>
      </c>
      <c r="U4950" s="1" t="str">
        <f>HYPERLINK("http://ictvonline.org/taxonomy/p/taxonomy-history?taxnode_id=202109107","ICTVonline=202109107")</f>
        <v>ICTVonline=202109107</v>
      </c>
    </row>
    <row r="4951" spans="1:21" x14ac:dyDescent="0.2">
      <c r="A4951" s="3">
        <v>4950</v>
      </c>
      <c r="B4951" s="1" t="s">
        <v>5250</v>
      </c>
      <c r="D4951" s="1" t="s">
        <v>5280</v>
      </c>
      <c r="F4951" s="1" t="s">
        <v>5347</v>
      </c>
      <c r="H4951" s="1" t="s">
        <v>5368</v>
      </c>
      <c r="J4951" s="1" t="s">
        <v>5369</v>
      </c>
      <c r="L4951" s="1" t="s">
        <v>1955</v>
      </c>
      <c r="N4951" s="1" t="s">
        <v>638</v>
      </c>
      <c r="P4951" s="1" t="s">
        <v>3871</v>
      </c>
      <c r="Q4951" s="30" t="s">
        <v>2568</v>
      </c>
      <c r="R4951" s="33" t="s">
        <v>3474</v>
      </c>
      <c r="S4951">
        <v>35</v>
      </c>
      <c r="T4951" s="1" t="s">
        <v>5350</v>
      </c>
      <c r="U4951" s="1" t="str">
        <f>HYPERLINK("http://ictvonline.org/taxonomy/p/taxonomy-history?taxnode_id=202103532","ICTVonline=202103532")</f>
        <v>ICTVonline=202103532</v>
      </c>
    </row>
    <row r="4952" spans="1:21" x14ac:dyDescent="0.2">
      <c r="A4952" s="3">
        <v>4951</v>
      </c>
      <c r="B4952" s="1" t="s">
        <v>5250</v>
      </c>
      <c r="D4952" s="1" t="s">
        <v>5280</v>
      </c>
      <c r="F4952" s="1" t="s">
        <v>5347</v>
      </c>
      <c r="H4952" s="1" t="s">
        <v>5368</v>
      </c>
      <c r="J4952" s="1" t="s">
        <v>5369</v>
      </c>
      <c r="L4952" s="1" t="s">
        <v>1955</v>
      </c>
      <c r="N4952" s="1" t="s">
        <v>638</v>
      </c>
      <c r="P4952" s="1" t="s">
        <v>3872</v>
      </c>
      <c r="Q4952" s="30" t="s">
        <v>2568</v>
      </c>
      <c r="R4952" s="33" t="s">
        <v>3474</v>
      </c>
      <c r="S4952">
        <v>35</v>
      </c>
      <c r="T4952" s="1" t="s">
        <v>5350</v>
      </c>
      <c r="U4952" s="1" t="str">
        <f>HYPERLINK("http://ictvonline.org/taxonomy/p/taxonomy-history?taxnode_id=202103533","ICTVonline=202103533")</f>
        <v>ICTVonline=202103533</v>
      </c>
    </row>
    <row r="4953" spans="1:21" x14ac:dyDescent="0.2">
      <c r="A4953" s="3">
        <v>4952</v>
      </c>
      <c r="B4953" s="1" t="s">
        <v>5250</v>
      </c>
      <c r="D4953" s="1" t="s">
        <v>5280</v>
      </c>
      <c r="F4953" s="1" t="s">
        <v>5347</v>
      </c>
      <c r="H4953" s="1" t="s">
        <v>5368</v>
      </c>
      <c r="J4953" s="1" t="s">
        <v>5369</v>
      </c>
      <c r="L4953" s="1" t="s">
        <v>1955</v>
      </c>
      <c r="N4953" s="1" t="s">
        <v>638</v>
      </c>
      <c r="P4953" s="1" t="s">
        <v>3873</v>
      </c>
      <c r="Q4953" s="30" t="s">
        <v>2568</v>
      </c>
      <c r="R4953" s="33" t="s">
        <v>3474</v>
      </c>
      <c r="S4953">
        <v>35</v>
      </c>
      <c r="T4953" s="1" t="s">
        <v>5350</v>
      </c>
      <c r="U4953" s="1" t="str">
        <f>HYPERLINK("http://ictvonline.org/taxonomy/p/taxonomy-history?taxnode_id=202105855","ICTVonline=202105855")</f>
        <v>ICTVonline=202105855</v>
      </c>
    </row>
    <row r="4954" spans="1:21" x14ac:dyDescent="0.2">
      <c r="A4954" s="3">
        <v>4953</v>
      </c>
      <c r="B4954" s="1" t="s">
        <v>5250</v>
      </c>
      <c r="D4954" s="1" t="s">
        <v>5280</v>
      </c>
      <c r="F4954" s="1" t="s">
        <v>5347</v>
      </c>
      <c r="H4954" s="1" t="s">
        <v>5368</v>
      </c>
      <c r="J4954" s="1" t="s">
        <v>5369</v>
      </c>
      <c r="L4954" s="1" t="s">
        <v>1955</v>
      </c>
      <c r="N4954" s="1" t="s">
        <v>638</v>
      </c>
      <c r="P4954" s="1" t="s">
        <v>356</v>
      </c>
      <c r="Q4954" s="30" t="s">
        <v>2568</v>
      </c>
      <c r="R4954" s="33" t="s">
        <v>3474</v>
      </c>
      <c r="S4954">
        <v>35</v>
      </c>
      <c r="T4954" s="1" t="s">
        <v>5350</v>
      </c>
      <c r="U4954" s="1" t="str">
        <f>HYPERLINK("http://ictvonline.org/taxonomy/p/taxonomy-history?taxnode_id=202103534","ICTVonline=202103534")</f>
        <v>ICTVonline=202103534</v>
      </c>
    </row>
    <row r="4955" spans="1:21" x14ac:dyDescent="0.2">
      <c r="A4955" s="3">
        <v>4954</v>
      </c>
      <c r="B4955" s="1" t="s">
        <v>5250</v>
      </c>
      <c r="D4955" s="1" t="s">
        <v>5280</v>
      </c>
      <c r="F4955" s="1" t="s">
        <v>5347</v>
      </c>
      <c r="H4955" s="1" t="s">
        <v>5368</v>
      </c>
      <c r="J4955" s="1" t="s">
        <v>5369</v>
      </c>
      <c r="L4955" s="1" t="s">
        <v>1955</v>
      </c>
      <c r="N4955" s="1" t="s">
        <v>638</v>
      </c>
      <c r="P4955" s="1" t="s">
        <v>357</v>
      </c>
      <c r="Q4955" s="30" t="s">
        <v>2568</v>
      </c>
      <c r="R4955" s="33" t="s">
        <v>3474</v>
      </c>
      <c r="S4955">
        <v>35</v>
      </c>
      <c r="T4955" s="1" t="s">
        <v>5350</v>
      </c>
      <c r="U4955" s="1" t="str">
        <f>HYPERLINK("http://ictvonline.org/taxonomy/p/taxonomy-history?taxnode_id=202103535","ICTVonline=202103535")</f>
        <v>ICTVonline=202103535</v>
      </c>
    </row>
    <row r="4956" spans="1:21" x14ac:dyDescent="0.2">
      <c r="A4956" s="3">
        <v>4955</v>
      </c>
      <c r="B4956" s="1" t="s">
        <v>5250</v>
      </c>
      <c r="D4956" s="1" t="s">
        <v>5280</v>
      </c>
      <c r="F4956" s="1" t="s">
        <v>5347</v>
      </c>
      <c r="H4956" s="1" t="s">
        <v>5368</v>
      </c>
      <c r="J4956" s="1" t="s">
        <v>5369</v>
      </c>
      <c r="L4956" s="1" t="s">
        <v>1955</v>
      </c>
      <c r="N4956" s="1" t="s">
        <v>638</v>
      </c>
      <c r="P4956" s="1" t="s">
        <v>358</v>
      </c>
      <c r="Q4956" s="30" t="s">
        <v>2568</v>
      </c>
      <c r="R4956" s="33" t="s">
        <v>3474</v>
      </c>
      <c r="S4956">
        <v>35</v>
      </c>
      <c r="T4956" s="1" t="s">
        <v>5350</v>
      </c>
      <c r="U4956" s="1" t="str">
        <f>HYPERLINK("http://ictvonline.org/taxonomy/p/taxonomy-history?taxnode_id=202103536","ICTVonline=202103536")</f>
        <v>ICTVonline=202103536</v>
      </c>
    </row>
    <row r="4957" spans="1:21" x14ac:dyDescent="0.2">
      <c r="A4957" s="3">
        <v>4956</v>
      </c>
      <c r="B4957" s="1" t="s">
        <v>5250</v>
      </c>
      <c r="D4957" s="1" t="s">
        <v>5280</v>
      </c>
      <c r="F4957" s="1" t="s">
        <v>5347</v>
      </c>
      <c r="H4957" s="1" t="s">
        <v>5368</v>
      </c>
      <c r="J4957" s="1" t="s">
        <v>5369</v>
      </c>
      <c r="L4957" s="1" t="s">
        <v>1955</v>
      </c>
      <c r="N4957" s="1" t="s">
        <v>638</v>
      </c>
      <c r="P4957" s="1" t="s">
        <v>3874</v>
      </c>
      <c r="Q4957" s="30" t="s">
        <v>2568</v>
      </c>
      <c r="R4957" s="33" t="s">
        <v>3474</v>
      </c>
      <c r="S4957">
        <v>35</v>
      </c>
      <c r="T4957" s="1" t="s">
        <v>5350</v>
      </c>
      <c r="U4957" s="1" t="str">
        <f>HYPERLINK("http://ictvonline.org/taxonomy/p/taxonomy-history?taxnode_id=202105856","ICTVonline=202105856")</f>
        <v>ICTVonline=202105856</v>
      </c>
    </row>
    <row r="4958" spans="1:21" x14ac:dyDescent="0.2">
      <c r="A4958" s="3">
        <v>4957</v>
      </c>
      <c r="B4958" s="1" t="s">
        <v>5250</v>
      </c>
      <c r="D4958" s="1" t="s">
        <v>5280</v>
      </c>
      <c r="F4958" s="1" t="s">
        <v>5347</v>
      </c>
      <c r="H4958" s="1" t="s">
        <v>5368</v>
      </c>
      <c r="J4958" s="1" t="s">
        <v>5369</v>
      </c>
      <c r="L4958" s="1" t="s">
        <v>1955</v>
      </c>
      <c r="N4958" s="1" t="s">
        <v>638</v>
      </c>
      <c r="P4958" s="1" t="s">
        <v>2962</v>
      </c>
      <c r="Q4958" s="30" t="s">
        <v>2568</v>
      </c>
      <c r="R4958" s="33" t="s">
        <v>3474</v>
      </c>
      <c r="S4958">
        <v>35</v>
      </c>
      <c r="T4958" s="1" t="s">
        <v>5350</v>
      </c>
      <c r="U4958" s="1" t="str">
        <f>HYPERLINK("http://ictvonline.org/taxonomy/p/taxonomy-history?taxnode_id=202103537","ICTVonline=202103537")</f>
        <v>ICTVonline=202103537</v>
      </c>
    </row>
    <row r="4959" spans="1:21" x14ac:dyDescent="0.2">
      <c r="A4959" s="3">
        <v>4958</v>
      </c>
      <c r="B4959" s="1" t="s">
        <v>5250</v>
      </c>
      <c r="D4959" s="1" t="s">
        <v>5280</v>
      </c>
      <c r="F4959" s="1" t="s">
        <v>5347</v>
      </c>
      <c r="H4959" s="1" t="s">
        <v>5368</v>
      </c>
      <c r="J4959" s="1" t="s">
        <v>5369</v>
      </c>
      <c r="L4959" s="1" t="s">
        <v>1955</v>
      </c>
      <c r="N4959" s="1" t="s">
        <v>638</v>
      </c>
      <c r="P4959" s="1" t="s">
        <v>3875</v>
      </c>
      <c r="Q4959" s="30" t="s">
        <v>2568</v>
      </c>
      <c r="R4959" s="33" t="s">
        <v>3474</v>
      </c>
      <c r="S4959">
        <v>35</v>
      </c>
      <c r="T4959" s="1" t="s">
        <v>5350</v>
      </c>
      <c r="U4959" s="1" t="str">
        <f>HYPERLINK("http://ictvonline.org/taxonomy/p/taxonomy-history?taxnode_id=202105857","ICTVonline=202105857")</f>
        <v>ICTVonline=202105857</v>
      </c>
    </row>
    <row r="4960" spans="1:21" x14ac:dyDescent="0.2">
      <c r="A4960" s="3">
        <v>4959</v>
      </c>
      <c r="B4960" s="1" t="s">
        <v>5250</v>
      </c>
      <c r="D4960" s="1" t="s">
        <v>5280</v>
      </c>
      <c r="F4960" s="1" t="s">
        <v>5347</v>
      </c>
      <c r="H4960" s="1" t="s">
        <v>5368</v>
      </c>
      <c r="J4960" s="1" t="s">
        <v>5369</v>
      </c>
      <c r="L4960" s="1" t="s">
        <v>1955</v>
      </c>
      <c r="N4960" s="1" t="s">
        <v>638</v>
      </c>
      <c r="P4960" s="1" t="s">
        <v>2963</v>
      </c>
      <c r="Q4960" s="30" t="s">
        <v>2568</v>
      </c>
      <c r="R4960" s="33" t="s">
        <v>3474</v>
      </c>
      <c r="S4960">
        <v>35</v>
      </c>
      <c r="T4960" s="1" t="s">
        <v>5350</v>
      </c>
      <c r="U4960" s="1" t="str">
        <f>HYPERLINK("http://ictvonline.org/taxonomy/p/taxonomy-history?taxnode_id=202103538","ICTVonline=202103538")</f>
        <v>ICTVonline=202103538</v>
      </c>
    </row>
    <row r="4961" spans="1:21" x14ac:dyDescent="0.2">
      <c r="A4961" s="3">
        <v>4960</v>
      </c>
      <c r="B4961" s="1" t="s">
        <v>5250</v>
      </c>
      <c r="D4961" s="1" t="s">
        <v>5280</v>
      </c>
      <c r="F4961" s="1" t="s">
        <v>5347</v>
      </c>
      <c r="H4961" s="1" t="s">
        <v>5368</v>
      </c>
      <c r="J4961" s="1" t="s">
        <v>5369</v>
      </c>
      <c r="L4961" s="1" t="s">
        <v>1955</v>
      </c>
      <c r="N4961" s="1" t="s">
        <v>638</v>
      </c>
      <c r="P4961" s="1" t="s">
        <v>359</v>
      </c>
      <c r="Q4961" s="30" t="s">
        <v>2568</v>
      </c>
      <c r="R4961" s="33" t="s">
        <v>3474</v>
      </c>
      <c r="S4961">
        <v>35</v>
      </c>
      <c r="T4961" s="1" t="s">
        <v>5350</v>
      </c>
      <c r="U4961" s="1" t="str">
        <f>HYPERLINK("http://ictvonline.org/taxonomy/p/taxonomy-history?taxnode_id=202103539","ICTVonline=202103539")</f>
        <v>ICTVonline=202103539</v>
      </c>
    </row>
    <row r="4962" spans="1:21" x14ac:dyDescent="0.2">
      <c r="A4962" s="3">
        <v>4961</v>
      </c>
      <c r="B4962" s="1" t="s">
        <v>5250</v>
      </c>
      <c r="D4962" s="1" t="s">
        <v>5280</v>
      </c>
      <c r="F4962" s="1" t="s">
        <v>5347</v>
      </c>
      <c r="H4962" s="1" t="s">
        <v>5368</v>
      </c>
      <c r="J4962" s="1" t="s">
        <v>5369</v>
      </c>
      <c r="L4962" s="1" t="s">
        <v>1955</v>
      </c>
      <c r="N4962" s="1" t="s">
        <v>638</v>
      </c>
      <c r="P4962" s="1" t="s">
        <v>543</v>
      </c>
      <c r="Q4962" s="30" t="s">
        <v>2568</v>
      </c>
      <c r="R4962" s="33" t="s">
        <v>3474</v>
      </c>
      <c r="S4962">
        <v>35</v>
      </c>
      <c r="T4962" s="1" t="s">
        <v>5350</v>
      </c>
      <c r="U4962" s="1" t="str">
        <f>HYPERLINK("http://ictvonline.org/taxonomy/p/taxonomy-history?taxnode_id=202103540","ICTVonline=202103540")</f>
        <v>ICTVonline=202103540</v>
      </c>
    </row>
    <row r="4963" spans="1:21" x14ac:dyDescent="0.2">
      <c r="A4963" s="3">
        <v>4962</v>
      </c>
      <c r="B4963" s="1" t="s">
        <v>5250</v>
      </c>
      <c r="D4963" s="1" t="s">
        <v>5280</v>
      </c>
      <c r="F4963" s="1" t="s">
        <v>5347</v>
      </c>
      <c r="H4963" s="1" t="s">
        <v>5368</v>
      </c>
      <c r="J4963" s="1" t="s">
        <v>5369</v>
      </c>
      <c r="L4963" s="1" t="s">
        <v>1955</v>
      </c>
      <c r="N4963" s="1" t="s">
        <v>638</v>
      </c>
      <c r="P4963" s="1" t="s">
        <v>2111</v>
      </c>
      <c r="Q4963" s="30" t="s">
        <v>2568</v>
      </c>
      <c r="R4963" s="33" t="s">
        <v>3474</v>
      </c>
      <c r="S4963">
        <v>35</v>
      </c>
      <c r="T4963" s="1" t="s">
        <v>5350</v>
      </c>
      <c r="U4963" s="1" t="str">
        <f>HYPERLINK("http://ictvonline.org/taxonomy/p/taxonomy-history?taxnode_id=202103541","ICTVonline=202103541")</f>
        <v>ICTVonline=202103541</v>
      </c>
    </row>
    <row r="4964" spans="1:21" x14ac:dyDescent="0.2">
      <c r="A4964" s="3">
        <v>4963</v>
      </c>
      <c r="B4964" s="1" t="s">
        <v>5250</v>
      </c>
      <c r="D4964" s="1" t="s">
        <v>5280</v>
      </c>
      <c r="F4964" s="1" t="s">
        <v>5347</v>
      </c>
      <c r="H4964" s="1" t="s">
        <v>5368</v>
      </c>
      <c r="J4964" s="1" t="s">
        <v>5369</v>
      </c>
      <c r="L4964" s="1" t="s">
        <v>1955</v>
      </c>
      <c r="N4964" s="1" t="s">
        <v>638</v>
      </c>
      <c r="P4964" s="1" t="s">
        <v>360</v>
      </c>
      <c r="Q4964" s="30" t="s">
        <v>2568</v>
      </c>
      <c r="R4964" s="33" t="s">
        <v>3474</v>
      </c>
      <c r="S4964">
        <v>35</v>
      </c>
      <c r="T4964" s="1" t="s">
        <v>5350</v>
      </c>
      <c r="U4964" s="1" t="str">
        <f>HYPERLINK("http://ictvonline.org/taxonomy/p/taxonomy-history?taxnode_id=202103542","ICTVonline=202103542")</f>
        <v>ICTVonline=202103542</v>
      </c>
    </row>
    <row r="4965" spans="1:21" x14ac:dyDescent="0.2">
      <c r="A4965" s="3">
        <v>4964</v>
      </c>
      <c r="B4965" s="1" t="s">
        <v>5250</v>
      </c>
      <c r="D4965" s="1" t="s">
        <v>5280</v>
      </c>
      <c r="F4965" s="1" t="s">
        <v>5347</v>
      </c>
      <c r="H4965" s="1" t="s">
        <v>5368</v>
      </c>
      <c r="J4965" s="1" t="s">
        <v>5369</v>
      </c>
      <c r="L4965" s="1" t="s">
        <v>1955</v>
      </c>
      <c r="N4965" s="1" t="s">
        <v>6440</v>
      </c>
      <c r="P4965" s="1" t="s">
        <v>6441</v>
      </c>
      <c r="Q4965" s="30" t="s">
        <v>2969</v>
      </c>
      <c r="R4965" s="33" t="s">
        <v>3472</v>
      </c>
      <c r="S4965">
        <v>36</v>
      </c>
      <c r="T4965" s="1" t="s">
        <v>6427</v>
      </c>
      <c r="U4965" s="1" t="str">
        <f>HYPERLINK("http://ictvonline.org/taxonomy/p/taxonomy-history?taxnode_id=202109181","ICTVonline=202109181")</f>
        <v>ICTVonline=202109181</v>
      </c>
    </row>
    <row r="4966" spans="1:21" x14ac:dyDescent="0.2">
      <c r="A4966" s="3">
        <v>4965</v>
      </c>
      <c r="B4966" s="1" t="s">
        <v>5250</v>
      </c>
      <c r="D4966" s="1" t="s">
        <v>5280</v>
      </c>
      <c r="F4966" s="1" t="s">
        <v>5347</v>
      </c>
      <c r="H4966" s="1" t="s">
        <v>5368</v>
      </c>
      <c r="J4966" s="1" t="s">
        <v>5369</v>
      </c>
      <c r="L4966" s="1" t="s">
        <v>1955</v>
      </c>
      <c r="N4966" s="1" t="s">
        <v>6440</v>
      </c>
      <c r="P4966" s="1" t="s">
        <v>6442</v>
      </c>
      <c r="Q4966" s="30" t="s">
        <v>2969</v>
      </c>
      <c r="R4966" s="33" t="s">
        <v>3472</v>
      </c>
      <c r="S4966">
        <v>36</v>
      </c>
      <c r="T4966" s="1" t="s">
        <v>6429</v>
      </c>
      <c r="U4966" s="1" t="str">
        <f>HYPERLINK("http://ictvonline.org/taxonomy/p/taxonomy-history?taxnode_id=202109791","ICTVonline=202109791")</f>
        <v>ICTVonline=202109791</v>
      </c>
    </row>
    <row r="4967" spans="1:21" x14ac:dyDescent="0.2">
      <c r="A4967" s="3">
        <v>4966</v>
      </c>
      <c r="B4967" s="1" t="s">
        <v>5250</v>
      </c>
      <c r="D4967" s="1" t="s">
        <v>5280</v>
      </c>
      <c r="F4967" s="1" t="s">
        <v>5347</v>
      </c>
      <c r="H4967" s="1" t="s">
        <v>5368</v>
      </c>
      <c r="J4967" s="1" t="s">
        <v>5369</v>
      </c>
      <c r="L4967" s="1" t="s">
        <v>1955</v>
      </c>
      <c r="N4967" s="1" t="s">
        <v>6443</v>
      </c>
      <c r="P4967" s="1" t="s">
        <v>6444</v>
      </c>
      <c r="Q4967" s="30" t="s">
        <v>2969</v>
      </c>
      <c r="R4967" s="33" t="s">
        <v>3472</v>
      </c>
      <c r="S4967">
        <v>36</v>
      </c>
      <c r="T4967" s="1" t="s">
        <v>6427</v>
      </c>
      <c r="U4967" s="1" t="str">
        <f>HYPERLINK("http://ictvonline.org/taxonomy/p/taxonomy-history?taxnode_id=202109173","ICTVonline=202109173")</f>
        <v>ICTVonline=202109173</v>
      </c>
    </row>
    <row r="4968" spans="1:21" x14ac:dyDescent="0.2">
      <c r="A4968" s="3">
        <v>4967</v>
      </c>
      <c r="B4968" s="1" t="s">
        <v>5250</v>
      </c>
      <c r="D4968" s="1" t="s">
        <v>5280</v>
      </c>
      <c r="F4968" s="1" t="s">
        <v>5347</v>
      </c>
      <c r="H4968" s="1" t="s">
        <v>5368</v>
      </c>
      <c r="J4968" s="1" t="s">
        <v>5369</v>
      </c>
      <c r="L4968" s="1" t="s">
        <v>1955</v>
      </c>
      <c r="N4968" s="1" t="s">
        <v>6445</v>
      </c>
      <c r="P4968" s="1" t="s">
        <v>6446</v>
      </c>
      <c r="Q4968" s="30" t="s">
        <v>2969</v>
      </c>
      <c r="R4968" s="33" t="s">
        <v>3472</v>
      </c>
      <c r="S4968">
        <v>36</v>
      </c>
      <c r="T4968" s="1" t="s">
        <v>6427</v>
      </c>
      <c r="U4968" s="1" t="str">
        <f>HYPERLINK("http://ictvonline.org/taxonomy/p/taxonomy-history?taxnode_id=202109178","ICTVonline=202109178")</f>
        <v>ICTVonline=202109178</v>
      </c>
    </row>
    <row r="4969" spans="1:21" x14ac:dyDescent="0.2">
      <c r="A4969" s="3">
        <v>4968</v>
      </c>
      <c r="B4969" s="1" t="s">
        <v>5250</v>
      </c>
      <c r="D4969" s="1" t="s">
        <v>5280</v>
      </c>
      <c r="F4969" s="1" t="s">
        <v>5347</v>
      </c>
      <c r="H4969" s="1" t="s">
        <v>5368</v>
      </c>
      <c r="J4969" s="1" t="s">
        <v>5369</v>
      </c>
      <c r="L4969" s="1" t="s">
        <v>1955</v>
      </c>
      <c r="N4969" s="1" t="s">
        <v>6445</v>
      </c>
      <c r="P4969" s="1" t="s">
        <v>6447</v>
      </c>
      <c r="Q4969" s="30" t="s">
        <v>2969</v>
      </c>
      <c r="R4969" s="33" t="s">
        <v>3472</v>
      </c>
      <c r="S4969">
        <v>36</v>
      </c>
      <c r="T4969" s="1" t="s">
        <v>6427</v>
      </c>
      <c r="U4969" s="1" t="str">
        <f>HYPERLINK("http://ictvonline.org/taxonomy/p/taxonomy-history?taxnode_id=202109179","ICTVonline=202109179")</f>
        <v>ICTVonline=202109179</v>
      </c>
    </row>
    <row r="4970" spans="1:21" x14ac:dyDescent="0.2">
      <c r="A4970" s="3">
        <v>4969</v>
      </c>
      <c r="B4970" s="1" t="s">
        <v>5250</v>
      </c>
      <c r="D4970" s="1" t="s">
        <v>5280</v>
      </c>
      <c r="F4970" s="1" t="s">
        <v>5347</v>
      </c>
      <c r="H4970" s="1" t="s">
        <v>5368</v>
      </c>
      <c r="J4970" s="1" t="s">
        <v>5369</v>
      </c>
      <c r="L4970" s="1" t="s">
        <v>1955</v>
      </c>
      <c r="N4970" s="1" t="s">
        <v>361</v>
      </c>
      <c r="P4970" s="1" t="s">
        <v>362</v>
      </c>
      <c r="Q4970" s="30" t="s">
        <v>2568</v>
      </c>
      <c r="R4970" s="33" t="s">
        <v>8665</v>
      </c>
      <c r="S4970">
        <v>36</v>
      </c>
      <c r="T4970" s="1" t="s">
        <v>8661</v>
      </c>
      <c r="U4970" s="1" t="str">
        <f>HYPERLINK("http://ictvonline.org/taxonomy/p/taxonomy-history?taxnode_id=202103544","ICTVonline=202103544")</f>
        <v>ICTVonline=202103544</v>
      </c>
    </row>
    <row r="4971" spans="1:21" x14ac:dyDescent="0.2">
      <c r="A4971" s="3">
        <v>4970</v>
      </c>
      <c r="B4971" s="1" t="s">
        <v>5250</v>
      </c>
      <c r="D4971" s="1" t="s">
        <v>5280</v>
      </c>
      <c r="F4971" s="1" t="s">
        <v>5347</v>
      </c>
      <c r="H4971" s="1" t="s">
        <v>5368</v>
      </c>
      <c r="J4971" s="1" t="s">
        <v>5369</v>
      </c>
      <c r="L4971" s="1" t="s">
        <v>1955</v>
      </c>
      <c r="N4971" s="1" t="s">
        <v>2112</v>
      </c>
      <c r="P4971" s="1" t="s">
        <v>5389</v>
      </c>
      <c r="Q4971" s="30" t="s">
        <v>2969</v>
      </c>
      <c r="R4971" s="33" t="s">
        <v>3472</v>
      </c>
      <c r="S4971">
        <v>35</v>
      </c>
      <c r="T4971" s="1" t="s">
        <v>5390</v>
      </c>
      <c r="U4971" s="1" t="str">
        <f>HYPERLINK("http://ictvonline.org/taxonomy/p/taxonomy-history?taxnode_id=202108673","ICTVonline=202108673")</f>
        <v>ICTVonline=202108673</v>
      </c>
    </row>
    <row r="4972" spans="1:21" x14ac:dyDescent="0.2">
      <c r="A4972" s="3">
        <v>4971</v>
      </c>
      <c r="B4972" s="1" t="s">
        <v>5250</v>
      </c>
      <c r="D4972" s="1" t="s">
        <v>5280</v>
      </c>
      <c r="F4972" s="1" t="s">
        <v>5347</v>
      </c>
      <c r="H4972" s="1" t="s">
        <v>5368</v>
      </c>
      <c r="J4972" s="1" t="s">
        <v>5369</v>
      </c>
      <c r="L4972" s="1" t="s">
        <v>1955</v>
      </c>
      <c r="N4972" s="1" t="s">
        <v>2112</v>
      </c>
      <c r="P4972" s="1" t="s">
        <v>2113</v>
      </c>
      <c r="Q4972" s="30" t="s">
        <v>2568</v>
      </c>
      <c r="R4972" s="33" t="s">
        <v>8665</v>
      </c>
      <c r="S4972">
        <v>36</v>
      </c>
      <c r="T4972" s="1" t="s">
        <v>8661</v>
      </c>
      <c r="U4972" s="1" t="str">
        <f>HYPERLINK("http://ictvonline.org/taxonomy/p/taxonomy-history?taxnode_id=202103546","ICTVonline=202103546")</f>
        <v>ICTVonline=202103546</v>
      </c>
    </row>
    <row r="4973" spans="1:21" x14ac:dyDescent="0.2">
      <c r="A4973" s="3">
        <v>4972</v>
      </c>
      <c r="B4973" s="1" t="s">
        <v>5250</v>
      </c>
      <c r="D4973" s="1" t="s">
        <v>5280</v>
      </c>
      <c r="F4973" s="1" t="s">
        <v>5347</v>
      </c>
      <c r="H4973" s="1" t="s">
        <v>5368</v>
      </c>
      <c r="J4973" s="1" t="s">
        <v>5369</v>
      </c>
      <c r="L4973" s="1" t="s">
        <v>1955</v>
      </c>
      <c r="N4973" s="1" t="s">
        <v>2112</v>
      </c>
      <c r="P4973" s="1" t="s">
        <v>3876</v>
      </c>
      <c r="Q4973" s="30" t="s">
        <v>2568</v>
      </c>
      <c r="R4973" s="33" t="s">
        <v>3474</v>
      </c>
      <c r="S4973">
        <v>35</v>
      </c>
      <c r="T4973" s="1" t="s">
        <v>5350</v>
      </c>
      <c r="U4973" s="1" t="str">
        <f>HYPERLINK("http://ictvonline.org/taxonomy/p/taxonomy-history?taxnode_id=202105858","ICTVonline=202105858")</f>
        <v>ICTVonline=202105858</v>
      </c>
    </row>
    <row r="4974" spans="1:21" x14ac:dyDescent="0.2">
      <c r="A4974" s="3">
        <v>4973</v>
      </c>
      <c r="B4974" s="1" t="s">
        <v>5250</v>
      </c>
      <c r="D4974" s="1" t="s">
        <v>5280</v>
      </c>
      <c r="F4974" s="1" t="s">
        <v>5347</v>
      </c>
      <c r="H4974" s="1" t="s">
        <v>5368</v>
      </c>
      <c r="J4974" s="1" t="s">
        <v>5369</v>
      </c>
      <c r="L4974" s="1" t="s">
        <v>2964</v>
      </c>
      <c r="N4974" s="1" t="s">
        <v>2965</v>
      </c>
      <c r="P4974" s="1" t="s">
        <v>6448</v>
      </c>
      <c r="Q4974" s="30" t="s">
        <v>2891</v>
      </c>
      <c r="R4974" s="33" t="s">
        <v>3472</v>
      </c>
      <c r="S4974">
        <v>36</v>
      </c>
      <c r="T4974" s="1" t="s">
        <v>6449</v>
      </c>
      <c r="U4974" s="1" t="str">
        <f>HYPERLINK("http://ictvonline.org/taxonomy/p/taxonomy-history?taxnode_id=202108943","ICTVonline=202108943")</f>
        <v>ICTVonline=202108943</v>
      </c>
    </row>
    <row r="4975" spans="1:21" x14ac:dyDescent="0.2">
      <c r="A4975" s="3">
        <v>4974</v>
      </c>
      <c r="B4975" s="1" t="s">
        <v>5250</v>
      </c>
      <c r="D4975" s="1" t="s">
        <v>5280</v>
      </c>
      <c r="F4975" s="1" t="s">
        <v>5347</v>
      </c>
      <c r="H4975" s="1" t="s">
        <v>5368</v>
      </c>
      <c r="J4975" s="1" t="s">
        <v>5369</v>
      </c>
      <c r="L4975" s="1" t="s">
        <v>2964</v>
      </c>
      <c r="N4975" s="1" t="s">
        <v>2965</v>
      </c>
      <c r="P4975" s="1" t="s">
        <v>6450</v>
      </c>
      <c r="Q4975" s="30" t="s">
        <v>2891</v>
      </c>
      <c r="R4975" s="33" t="s">
        <v>3472</v>
      </c>
      <c r="S4975">
        <v>36</v>
      </c>
      <c r="T4975" s="1" t="s">
        <v>6449</v>
      </c>
      <c r="U4975" s="1" t="str">
        <f>HYPERLINK("http://ictvonline.org/taxonomy/p/taxonomy-history?taxnode_id=202108968","ICTVonline=202108968")</f>
        <v>ICTVonline=202108968</v>
      </c>
    </row>
    <row r="4976" spans="1:21" x14ac:dyDescent="0.2">
      <c r="A4976" s="3">
        <v>4975</v>
      </c>
      <c r="B4976" s="1" t="s">
        <v>5250</v>
      </c>
      <c r="D4976" s="1" t="s">
        <v>5280</v>
      </c>
      <c r="F4976" s="1" t="s">
        <v>5347</v>
      </c>
      <c r="H4976" s="1" t="s">
        <v>5368</v>
      </c>
      <c r="J4976" s="1" t="s">
        <v>5369</v>
      </c>
      <c r="L4976" s="1" t="s">
        <v>2964</v>
      </c>
      <c r="N4976" s="1" t="s">
        <v>2965</v>
      </c>
      <c r="P4976" s="1" t="s">
        <v>6451</v>
      </c>
      <c r="Q4976" s="30" t="s">
        <v>2891</v>
      </c>
      <c r="R4976" s="33" t="s">
        <v>3472</v>
      </c>
      <c r="S4976">
        <v>36</v>
      </c>
      <c r="T4976" s="1" t="s">
        <v>6449</v>
      </c>
      <c r="U4976" s="1" t="str">
        <f>HYPERLINK("http://ictvonline.org/taxonomy/p/taxonomy-history?taxnode_id=202108937","ICTVonline=202108937")</f>
        <v>ICTVonline=202108937</v>
      </c>
    </row>
    <row r="4977" spans="1:21" x14ac:dyDescent="0.2">
      <c r="A4977" s="3">
        <v>4976</v>
      </c>
      <c r="B4977" s="1" t="s">
        <v>5250</v>
      </c>
      <c r="D4977" s="1" t="s">
        <v>5280</v>
      </c>
      <c r="F4977" s="1" t="s">
        <v>5347</v>
      </c>
      <c r="H4977" s="1" t="s">
        <v>5368</v>
      </c>
      <c r="J4977" s="1" t="s">
        <v>5369</v>
      </c>
      <c r="L4977" s="1" t="s">
        <v>2964</v>
      </c>
      <c r="N4977" s="1" t="s">
        <v>2965</v>
      </c>
      <c r="P4977" s="1" t="s">
        <v>6452</v>
      </c>
      <c r="Q4977" s="30" t="s">
        <v>2891</v>
      </c>
      <c r="R4977" s="33" t="s">
        <v>3472</v>
      </c>
      <c r="S4977">
        <v>36</v>
      </c>
      <c r="T4977" s="1" t="s">
        <v>6449</v>
      </c>
      <c r="U4977" s="1" t="str">
        <f>HYPERLINK("http://ictvonline.org/taxonomy/p/taxonomy-history?taxnode_id=202108994","ICTVonline=202108994")</f>
        <v>ICTVonline=202108994</v>
      </c>
    </row>
    <row r="4978" spans="1:21" x14ac:dyDescent="0.2">
      <c r="A4978" s="3">
        <v>4977</v>
      </c>
      <c r="B4978" s="1" t="s">
        <v>5250</v>
      </c>
      <c r="D4978" s="1" t="s">
        <v>5280</v>
      </c>
      <c r="F4978" s="1" t="s">
        <v>5347</v>
      </c>
      <c r="H4978" s="1" t="s">
        <v>5368</v>
      </c>
      <c r="J4978" s="1" t="s">
        <v>5369</v>
      </c>
      <c r="L4978" s="1" t="s">
        <v>2964</v>
      </c>
      <c r="N4978" s="1" t="s">
        <v>2965</v>
      </c>
      <c r="P4978" s="1" t="s">
        <v>6453</v>
      </c>
      <c r="Q4978" s="30" t="s">
        <v>2891</v>
      </c>
      <c r="R4978" s="33" t="s">
        <v>3472</v>
      </c>
      <c r="S4978">
        <v>36</v>
      </c>
      <c r="T4978" s="1" t="s">
        <v>6449</v>
      </c>
      <c r="U4978" s="1" t="str">
        <f>HYPERLINK("http://ictvonline.org/taxonomy/p/taxonomy-history?taxnode_id=202108938","ICTVonline=202108938")</f>
        <v>ICTVonline=202108938</v>
      </c>
    </row>
    <row r="4979" spans="1:21" x14ac:dyDescent="0.2">
      <c r="A4979" s="3">
        <v>4978</v>
      </c>
      <c r="B4979" s="1" t="s">
        <v>5250</v>
      </c>
      <c r="D4979" s="1" t="s">
        <v>5280</v>
      </c>
      <c r="F4979" s="1" t="s">
        <v>5347</v>
      </c>
      <c r="H4979" s="1" t="s">
        <v>5368</v>
      </c>
      <c r="J4979" s="1" t="s">
        <v>5369</v>
      </c>
      <c r="L4979" s="1" t="s">
        <v>2964</v>
      </c>
      <c r="N4979" s="1" t="s">
        <v>2965</v>
      </c>
      <c r="P4979" s="1" t="s">
        <v>6454</v>
      </c>
      <c r="Q4979" s="30" t="s">
        <v>2891</v>
      </c>
      <c r="R4979" s="33" t="s">
        <v>3472</v>
      </c>
      <c r="S4979">
        <v>36</v>
      </c>
      <c r="T4979" s="1" t="s">
        <v>6449</v>
      </c>
      <c r="U4979" s="1" t="str">
        <f>HYPERLINK("http://ictvonline.org/taxonomy/p/taxonomy-history?taxnode_id=202108960","ICTVonline=202108960")</f>
        <v>ICTVonline=202108960</v>
      </c>
    </row>
    <row r="4980" spans="1:21" x14ac:dyDescent="0.2">
      <c r="A4980" s="3">
        <v>4979</v>
      </c>
      <c r="B4980" s="1" t="s">
        <v>5250</v>
      </c>
      <c r="D4980" s="1" t="s">
        <v>5280</v>
      </c>
      <c r="F4980" s="1" t="s">
        <v>5347</v>
      </c>
      <c r="H4980" s="1" t="s">
        <v>5368</v>
      </c>
      <c r="J4980" s="1" t="s">
        <v>5369</v>
      </c>
      <c r="L4980" s="1" t="s">
        <v>2964</v>
      </c>
      <c r="N4980" s="1" t="s">
        <v>2965</v>
      </c>
      <c r="P4980" s="1" t="s">
        <v>6455</v>
      </c>
      <c r="Q4980" s="30" t="s">
        <v>2891</v>
      </c>
      <c r="R4980" s="33" t="s">
        <v>3472</v>
      </c>
      <c r="S4980">
        <v>36</v>
      </c>
      <c r="T4980" s="1" t="s">
        <v>6449</v>
      </c>
      <c r="U4980" s="1" t="str">
        <f>HYPERLINK("http://ictvonline.org/taxonomy/p/taxonomy-history?taxnode_id=202108961","ICTVonline=202108961")</f>
        <v>ICTVonline=202108961</v>
      </c>
    </row>
    <row r="4981" spans="1:21" x14ac:dyDescent="0.2">
      <c r="A4981" s="3">
        <v>4980</v>
      </c>
      <c r="B4981" s="1" t="s">
        <v>5250</v>
      </c>
      <c r="D4981" s="1" t="s">
        <v>5280</v>
      </c>
      <c r="F4981" s="1" t="s">
        <v>5347</v>
      </c>
      <c r="H4981" s="1" t="s">
        <v>5368</v>
      </c>
      <c r="J4981" s="1" t="s">
        <v>5369</v>
      </c>
      <c r="L4981" s="1" t="s">
        <v>2964</v>
      </c>
      <c r="N4981" s="1" t="s">
        <v>2965</v>
      </c>
      <c r="P4981" s="1" t="s">
        <v>6456</v>
      </c>
      <c r="Q4981" s="30" t="s">
        <v>2891</v>
      </c>
      <c r="R4981" s="33" t="s">
        <v>3472</v>
      </c>
      <c r="S4981">
        <v>36</v>
      </c>
      <c r="T4981" s="1" t="s">
        <v>6449</v>
      </c>
      <c r="U4981" s="1" t="str">
        <f>HYPERLINK("http://ictvonline.org/taxonomy/p/taxonomy-history?taxnode_id=202108999","ICTVonline=202108999")</f>
        <v>ICTVonline=202108999</v>
      </c>
    </row>
    <row r="4982" spans="1:21" x14ac:dyDescent="0.2">
      <c r="A4982" s="3">
        <v>4981</v>
      </c>
      <c r="B4982" s="1" t="s">
        <v>5250</v>
      </c>
      <c r="D4982" s="1" t="s">
        <v>5280</v>
      </c>
      <c r="F4982" s="1" t="s">
        <v>5347</v>
      </c>
      <c r="H4982" s="1" t="s">
        <v>5368</v>
      </c>
      <c r="J4982" s="1" t="s">
        <v>5369</v>
      </c>
      <c r="L4982" s="1" t="s">
        <v>2964</v>
      </c>
      <c r="N4982" s="1" t="s">
        <v>2965</v>
      </c>
      <c r="P4982" s="1" t="s">
        <v>6457</v>
      </c>
      <c r="Q4982" s="30" t="s">
        <v>2891</v>
      </c>
      <c r="R4982" s="33" t="s">
        <v>3472</v>
      </c>
      <c r="S4982">
        <v>36</v>
      </c>
      <c r="T4982" s="1" t="s">
        <v>6449</v>
      </c>
      <c r="U4982" s="1" t="str">
        <f>HYPERLINK("http://ictvonline.org/taxonomy/p/taxonomy-history?taxnode_id=202108987","ICTVonline=202108987")</f>
        <v>ICTVonline=202108987</v>
      </c>
    </row>
    <row r="4983" spans="1:21" x14ac:dyDescent="0.2">
      <c r="A4983" s="3">
        <v>4982</v>
      </c>
      <c r="B4983" s="1" t="s">
        <v>5250</v>
      </c>
      <c r="D4983" s="1" t="s">
        <v>5280</v>
      </c>
      <c r="F4983" s="1" t="s">
        <v>5347</v>
      </c>
      <c r="H4983" s="1" t="s">
        <v>5368</v>
      </c>
      <c r="J4983" s="1" t="s">
        <v>5369</v>
      </c>
      <c r="L4983" s="1" t="s">
        <v>2964</v>
      </c>
      <c r="N4983" s="1" t="s">
        <v>2965</v>
      </c>
      <c r="P4983" s="1" t="s">
        <v>6458</v>
      </c>
      <c r="Q4983" s="30" t="s">
        <v>2891</v>
      </c>
      <c r="R4983" s="33" t="s">
        <v>3472</v>
      </c>
      <c r="S4983">
        <v>36</v>
      </c>
      <c r="T4983" s="1" t="s">
        <v>6449</v>
      </c>
      <c r="U4983" s="1" t="str">
        <f>HYPERLINK("http://ictvonline.org/taxonomy/p/taxonomy-history?taxnode_id=202109011","ICTVonline=202109011")</f>
        <v>ICTVonline=202109011</v>
      </c>
    </row>
    <row r="4984" spans="1:21" x14ac:dyDescent="0.2">
      <c r="A4984" s="3">
        <v>4983</v>
      </c>
      <c r="B4984" s="1" t="s">
        <v>5250</v>
      </c>
      <c r="D4984" s="1" t="s">
        <v>5280</v>
      </c>
      <c r="F4984" s="1" t="s">
        <v>5347</v>
      </c>
      <c r="H4984" s="1" t="s">
        <v>5368</v>
      </c>
      <c r="J4984" s="1" t="s">
        <v>5369</v>
      </c>
      <c r="L4984" s="1" t="s">
        <v>2964</v>
      </c>
      <c r="N4984" s="1" t="s">
        <v>2965</v>
      </c>
      <c r="P4984" s="1" t="s">
        <v>6459</v>
      </c>
      <c r="Q4984" s="30" t="s">
        <v>2891</v>
      </c>
      <c r="R4984" s="33" t="s">
        <v>3472</v>
      </c>
      <c r="S4984">
        <v>36</v>
      </c>
      <c r="T4984" s="1" t="s">
        <v>6449</v>
      </c>
      <c r="U4984" s="1" t="str">
        <f>HYPERLINK("http://ictvonline.org/taxonomy/p/taxonomy-history?taxnode_id=202108942","ICTVonline=202108942")</f>
        <v>ICTVonline=202108942</v>
      </c>
    </row>
    <row r="4985" spans="1:21" x14ac:dyDescent="0.2">
      <c r="A4985" s="3">
        <v>4984</v>
      </c>
      <c r="B4985" s="1" t="s">
        <v>5250</v>
      </c>
      <c r="D4985" s="1" t="s">
        <v>5280</v>
      </c>
      <c r="F4985" s="1" t="s">
        <v>5347</v>
      </c>
      <c r="H4985" s="1" t="s">
        <v>5368</v>
      </c>
      <c r="J4985" s="1" t="s">
        <v>5369</v>
      </c>
      <c r="L4985" s="1" t="s">
        <v>2964</v>
      </c>
      <c r="N4985" s="1" t="s">
        <v>2965</v>
      </c>
      <c r="P4985" s="1" t="s">
        <v>6460</v>
      </c>
      <c r="Q4985" s="30" t="s">
        <v>2891</v>
      </c>
      <c r="R4985" s="33" t="s">
        <v>3472</v>
      </c>
      <c r="S4985">
        <v>36</v>
      </c>
      <c r="T4985" s="1" t="s">
        <v>6449</v>
      </c>
      <c r="U4985" s="1" t="str">
        <f>HYPERLINK("http://ictvonline.org/taxonomy/p/taxonomy-history?taxnode_id=202108973","ICTVonline=202108973")</f>
        <v>ICTVonline=202108973</v>
      </c>
    </row>
    <row r="4986" spans="1:21" x14ac:dyDescent="0.2">
      <c r="A4986" s="3">
        <v>4985</v>
      </c>
      <c r="B4986" s="1" t="s">
        <v>5250</v>
      </c>
      <c r="D4986" s="1" t="s">
        <v>5280</v>
      </c>
      <c r="F4986" s="1" t="s">
        <v>5347</v>
      </c>
      <c r="H4986" s="1" t="s">
        <v>5368</v>
      </c>
      <c r="J4986" s="1" t="s">
        <v>5369</v>
      </c>
      <c r="L4986" s="1" t="s">
        <v>2964</v>
      </c>
      <c r="N4986" s="1" t="s">
        <v>2965</v>
      </c>
      <c r="P4986" s="1" t="s">
        <v>6461</v>
      </c>
      <c r="Q4986" s="30" t="s">
        <v>2568</v>
      </c>
      <c r="R4986" s="33" t="s">
        <v>3475</v>
      </c>
      <c r="S4986">
        <v>36</v>
      </c>
      <c r="T4986" s="1" t="s">
        <v>6449</v>
      </c>
      <c r="U4986" s="1" t="str">
        <f>HYPERLINK("http://ictvonline.org/taxonomy/p/taxonomy-history?taxnode_id=202103553","ICTVonline=202103553")</f>
        <v>ICTVonline=202103553</v>
      </c>
    </row>
    <row r="4987" spans="1:21" x14ac:dyDescent="0.2">
      <c r="A4987" s="3">
        <v>4986</v>
      </c>
      <c r="B4987" s="1" t="s">
        <v>5250</v>
      </c>
      <c r="D4987" s="1" t="s">
        <v>5280</v>
      </c>
      <c r="F4987" s="1" t="s">
        <v>5347</v>
      </c>
      <c r="H4987" s="1" t="s">
        <v>5368</v>
      </c>
      <c r="J4987" s="1" t="s">
        <v>5369</v>
      </c>
      <c r="L4987" s="1" t="s">
        <v>2964</v>
      </c>
      <c r="N4987" s="1" t="s">
        <v>2965</v>
      </c>
      <c r="P4987" s="1" t="s">
        <v>6462</v>
      </c>
      <c r="Q4987" s="30" t="s">
        <v>2568</v>
      </c>
      <c r="R4987" s="33" t="s">
        <v>3475</v>
      </c>
      <c r="S4987">
        <v>36</v>
      </c>
      <c r="T4987" s="1" t="s">
        <v>6449</v>
      </c>
      <c r="U4987" s="1" t="str">
        <f>HYPERLINK("http://ictvonline.org/taxonomy/p/taxonomy-history?taxnode_id=202103554","ICTVonline=202103554")</f>
        <v>ICTVonline=202103554</v>
      </c>
    </row>
    <row r="4988" spans="1:21" x14ac:dyDescent="0.2">
      <c r="A4988" s="3">
        <v>4987</v>
      </c>
      <c r="B4988" s="1" t="s">
        <v>5250</v>
      </c>
      <c r="D4988" s="1" t="s">
        <v>5280</v>
      </c>
      <c r="F4988" s="1" t="s">
        <v>5347</v>
      </c>
      <c r="H4988" s="1" t="s">
        <v>5368</v>
      </c>
      <c r="J4988" s="1" t="s">
        <v>5369</v>
      </c>
      <c r="L4988" s="1" t="s">
        <v>2964</v>
      </c>
      <c r="N4988" s="1" t="s">
        <v>2965</v>
      </c>
      <c r="P4988" s="1" t="s">
        <v>6463</v>
      </c>
      <c r="Q4988" s="30" t="s">
        <v>2568</v>
      </c>
      <c r="R4988" s="33" t="s">
        <v>3475</v>
      </c>
      <c r="S4988">
        <v>36</v>
      </c>
      <c r="T4988" s="1" t="s">
        <v>6449</v>
      </c>
      <c r="U4988" s="1" t="str">
        <f>HYPERLINK("http://ictvonline.org/taxonomy/p/taxonomy-history?taxnode_id=202103555","ICTVonline=202103555")</f>
        <v>ICTVonline=202103555</v>
      </c>
    </row>
    <row r="4989" spans="1:21" x14ac:dyDescent="0.2">
      <c r="A4989" s="3">
        <v>4988</v>
      </c>
      <c r="B4989" s="1" t="s">
        <v>5250</v>
      </c>
      <c r="D4989" s="1" t="s">
        <v>5280</v>
      </c>
      <c r="F4989" s="1" t="s">
        <v>5347</v>
      </c>
      <c r="H4989" s="1" t="s">
        <v>5368</v>
      </c>
      <c r="J4989" s="1" t="s">
        <v>5369</v>
      </c>
      <c r="L4989" s="1" t="s">
        <v>2964</v>
      </c>
      <c r="N4989" s="1" t="s">
        <v>2965</v>
      </c>
      <c r="P4989" s="1" t="s">
        <v>6464</v>
      </c>
      <c r="Q4989" s="30" t="s">
        <v>2891</v>
      </c>
      <c r="R4989" s="33" t="s">
        <v>3472</v>
      </c>
      <c r="S4989">
        <v>36</v>
      </c>
      <c r="T4989" s="1" t="s">
        <v>6449</v>
      </c>
      <c r="U4989" s="1" t="str">
        <f>HYPERLINK("http://ictvonline.org/taxonomy/p/taxonomy-history?taxnode_id=202108984","ICTVonline=202108984")</f>
        <v>ICTVonline=202108984</v>
      </c>
    </row>
    <row r="4990" spans="1:21" x14ac:dyDescent="0.2">
      <c r="A4990" s="3">
        <v>4989</v>
      </c>
      <c r="B4990" s="1" t="s">
        <v>5250</v>
      </c>
      <c r="D4990" s="1" t="s">
        <v>5280</v>
      </c>
      <c r="F4990" s="1" t="s">
        <v>5347</v>
      </c>
      <c r="H4990" s="1" t="s">
        <v>5368</v>
      </c>
      <c r="J4990" s="1" t="s">
        <v>5369</v>
      </c>
      <c r="L4990" s="1" t="s">
        <v>2964</v>
      </c>
      <c r="N4990" s="1" t="s">
        <v>2965</v>
      </c>
      <c r="P4990" s="1" t="s">
        <v>6465</v>
      </c>
      <c r="Q4990" s="30" t="s">
        <v>2891</v>
      </c>
      <c r="R4990" s="33" t="s">
        <v>3475</v>
      </c>
      <c r="S4990">
        <v>36</v>
      </c>
      <c r="T4990" s="1" t="s">
        <v>6449</v>
      </c>
      <c r="U4990" s="1" t="str">
        <f>HYPERLINK("http://ictvonline.org/taxonomy/p/taxonomy-history?taxnode_id=202103556","ICTVonline=202103556")</f>
        <v>ICTVonline=202103556</v>
      </c>
    </row>
    <row r="4991" spans="1:21" x14ac:dyDescent="0.2">
      <c r="A4991" s="3">
        <v>4990</v>
      </c>
      <c r="B4991" s="1" t="s">
        <v>5250</v>
      </c>
      <c r="D4991" s="1" t="s">
        <v>5280</v>
      </c>
      <c r="F4991" s="1" t="s">
        <v>5347</v>
      </c>
      <c r="H4991" s="1" t="s">
        <v>5368</v>
      </c>
      <c r="J4991" s="1" t="s">
        <v>5369</v>
      </c>
      <c r="L4991" s="1" t="s">
        <v>2964</v>
      </c>
      <c r="N4991" s="1" t="s">
        <v>2965</v>
      </c>
      <c r="P4991" s="1" t="s">
        <v>6466</v>
      </c>
      <c r="Q4991" s="30" t="s">
        <v>2568</v>
      </c>
      <c r="R4991" s="33" t="s">
        <v>3475</v>
      </c>
      <c r="S4991">
        <v>36</v>
      </c>
      <c r="T4991" s="1" t="s">
        <v>6449</v>
      </c>
      <c r="U4991" s="1" t="str">
        <f>HYPERLINK("http://ictvonline.org/taxonomy/p/taxonomy-history?taxnode_id=202103558","ICTVonline=202103558")</f>
        <v>ICTVonline=202103558</v>
      </c>
    </row>
    <row r="4992" spans="1:21" x14ac:dyDescent="0.2">
      <c r="A4992" s="3">
        <v>4991</v>
      </c>
      <c r="B4992" s="1" t="s">
        <v>5250</v>
      </c>
      <c r="D4992" s="1" t="s">
        <v>5280</v>
      </c>
      <c r="F4992" s="1" t="s">
        <v>5347</v>
      </c>
      <c r="H4992" s="1" t="s">
        <v>5368</v>
      </c>
      <c r="J4992" s="1" t="s">
        <v>5369</v>
      </c>
      <c r="L4992" s="1" t="s">
        <v>2964</v>
      </c>
      <c r="N4992" s="1" t="s">
        <v>2965</v>
      </c>
      <c r="P4992" s="1" t="s">
        <v>6467</v>
      </c>
      <c r="Q4992" s="30" t="s">
        <v>2568</v>
      </c>
      <c r="R4992" s="33" t="s">
        <v>3475</v>
      </c>
      <c r="S4992">
        <v>36</v>
      </c>
      <c r="T4992" s="1" t="s">
        <v>6449</v>
      </c>
      <c r="U4992" s="1" t="str">
        <f>HYPERLINK("http://ictvonline.org/taxonomy/p/taxonomy-history?taxnode_id=202103559","ICTVonline=202103559")</f>
        <v>ICTVonline=202103559</v>
      </c>
    </row>
    <row r="4993" spans="1:21" x14ac:dyDescent="0.2">
      <c r="A4993" s="3">
        <v>4992</v>
      </c>
      <c r="B4993" s="1" t="s">
        <v>5250</v>
      </c>
      <c r="D4993" s="1" t="s">
        <v>5280</v>
      </c>
      <c r="F4993" s="1" t="s">
        <v>5347</v>
      </c>
      <c r="H4993" s="1" t="s">
        <v>5368</v>
      </c>
      <c r="J4993" s="1" t="s">
        <v>5369</v>
      </c>
      <c r="L4993" s="1" t="s">
        <v>2964</v>
      </c>
      <c r="N4993" s="1" t="s">
        <v>2965</v>
      </c>
      <c r="P4993" s="1" t="s">
        <v>6468</v>
      </c>
      <c r="Q4993" s="30" t="s">
        <v>2568</v>
      </c>
      <c r="R4993" s="33" t="s">
        <v>3475</v>
      </c>
      <c r="S4993">
        <v>36</v>
      </c>
      <c r="T4993" s="1" t="s">
        <v>6449</v>
      </c>
      <c r="U4993" s="1" t="str">
        <f>HYPERLINK("http://ictvonline.org/taxonomy/p/taxonomy-history?taxnode_id=202103557","ICTVonline=202103557")</f>
        <v>ICTVonline=202103557</v>
      </c>
    </row>
    <row r="4994" spans="1:21" x14ac:dyDescent="0.2">
      <c r="A4994" s="3">
        <v>4993</v>
      </c>
      <c r="B4994" s="1" t="s">
        <v>5250</v>
      </c>
      <c r="D4994" s="1" t="s">
        <v>5280</v>
      </c>
      <c r="F4994" s="1" t="s">
        <v>5347</v>
      </c>
      <c r="H4994" s="1" t="s">
        <v>5368</v>
      </c>
      <c r="J4994" s="1" t="s">
        <v>5369</v>
      </c>
      <c r="L4994" s="1" t="s">
        <v>2964</v>
      </c>
      <c r="N4994" s="1" t="s">
        <v>2965</v>
      </c>
      <c r="P4994" s="1" t="s">
        <v>6469</v>
      </c>
      <c r="Q4994" s="30" t="s">
        <v>2891</v>
      </c>
      <c r="R4994" s="33" t="s">
        <v>3472</v>
      </c>
      <c r="S4994">
        <v>36</v>
      </c>
      <c r="T4994" s="1" t="s">
        <v>6449</v>
      </c>
      <c r="U4994" s="1" t="str">
        <f>HYPERLINK("http://ictvonline.org/taxonomy/p/taxonomy-history?taxnode_id=202108971","ICTVonline=202108971")</f>
        <v>ICTVonline=202108971</v>
      </c>
    </row>
    <row r="4995" spans="1:21" x14ac:dyDescent="0.2">
      <c r="A4995" s="3">
        <v>4994</v>
      </c>
      <c r="B4995" s="1" t="s">
        <v>5250</v>
      </c>
      <c r="D4995" s="1" t="s">
        <v>5280</v>
      </c>
      <c r="F4995" s="1" t="s">
        <v>5347</v>
      </c>
      <c r="H4995" s="1" t="s">
        <v>5368</v>
      </c>
      <c r="J4995" s="1" t="s">
        <v>5369</v>
      </c>
      <c r="L4995" s="1" t="s">
        <v>2964</v>
      </c>
      <c r="N4995" s="1" t="s">
        <v>2965</v>
      </c>
      <c r="P4995" s="1" t="s">
        <v>6470</v>
      </c>
      <c r="Q4995" s="30" t="s">
        <v>2891</v>
      </c>
      <c r="R4995" s="33" t="s">
        <v>3472</v>
      </c>
      <c r="S4995">
        <v>36</v>
      </c>
      <c r="T4995" s="1" t="s">
        <v>6449</v>
      </c>
      <c r="U4995" s="1" t="str">
        <f>HYPERLINK("http://ictvonline.org/taxonomy/p/taxonomy-history?taxnode_id=202108964","ICTVonline=202108964")</f>
        <v>ICTVonline=202108964</v>
      </c>
    </row>
    <row r="4996" spans="1:21" x14ac:dyDescent="0.2">
      <c r="A4996" s="3">
        <v>4995</v>
      </c>
      <c r="B4996" s="1" t="s">
        <v>5250</v>
      </c>
      <c r="D4996" s="1" t="s">
        <v>5280</v>
      </c>
      <c r="F4996" s="1" t="s">
        <v>5347</v>
      </c>
      <c r="H4996" s="1" t="s">
        <v>5368</v>
      </c>
      <c r="J4996" s="1" t="s">
        <v>5369</v>
      </c>
      <c r="L4996" s="1" t="s">
        <v>2964</v>
      </c>
      <c r="N4996" s="1" t="s">
        <v>2965</v>
      </c>
      <c r="P4996" s="1" t="s">
        <v>6471</v>
      </c>
      <c r="Q4996" s="30" t="s">
        <v>2891</v>
      </c>
      <c r="R4996" s="33" t="s">
        <v>3472</v>
      </c>
      <c r="S4996">
        <v>36</v>
      </c>
      <c r="T4996" s="1" t="s">
        <v>6449</v>
      </c>
      <c r="U4996" s="1" t="str">
        <f>HYPERLINK("http://ictvonline.org/taxonomy/p/taxonomy-history?taxnode_id=202109012","ICTVonline=202109012")</f>
        <v>ICTVonline=202109012</v>
      </c>
    </row>
    <row r="4997" spans="1:21" x14ac:dyDescent="0.2">
      <c r="A4997" s="3">
        <v>4996</v>
      </c>
      <c r="B4997" s="1" t="s">
        <v>5250</v>
      </c>
      <c r="D4997" s="1" t="s">
        <v>5280</v>
      </c>
      <c r="F4997" s="1" t="s">
        <v>5347</v>
      </c>
      <c r="H4997" s="1" t="s">
        <v>5368</v>
      </c>
      <c r="J4997" s="1" t="s">
        <v>5369</v>
      </c>
      <c r="L4997" s="1" t="s">
        <v>2964</v>
      </c>
      <c r="N4997" s="1" t="s">
        <v>2965</v>
      </c>
      <c r="P4997" s="1" t="s">
        <v>6472</v>
      </c>
      <c r="Q4997" s="30" t="s">
        <v>2891</v>
      </c>
      <c r="R4997" s="33" t="s">
        <v>3472</v>
      </c>
      <c r="S4997">
        <v>36</v>
      </c>
      <c r="T4997" s="1" t="s">
        <v>6449</v>
      </c>
      <c r="U4997" s="1" t="str">
        <f>HYPERLINK("http://ictvonline.org/taxonomy/p/taxonomy-history?taxnode_id=202109013","ICTVonline=202109013")</f>
        <v>ICTVonline=202109013</v>
      </c>
    </row>
    <row r="4998" spans="1:21" x14ac:dyDescent="0.2">
      <c r="A4998" s="3">
        <v>4997</v>
      </c>
      <c r="B4998" s="1" t="s">
        <v>5250</v>
      </c>
      <c r="D4998" s="1" t="s">
        <v>5280</v>
      </c>
      <c r="F4998" s="1" t="s">
        <v>5347</v>
      </c>
      <c r="H4998" s="1" t="s">
        <v>5368</v>
      </c>
      <c r="J4998" s="1" t="s">
        <v>5369</v>
      </c>
      <c r="L4998" s="1" t="s">
        <v>2964</v>
      </c>
      <c r="N4998" s="1" t="s">
        <v>2965</v>
      </c>
      <c r="P4998" s="1" t="s">
        <v>6473</v>
      </c>
      <c r="Q4998" s="30" t="s">
        <v>2891</v>
      </c>
      <c r="R4998" s="33" t="s">
        <v>3472</v>
      </c>
      <c r="S4998">
        <v>36</v>
      </c>
      <c r="T4998" s="1" t="s">
        <v>6449</v>
      </c>
      <c r="U4998" s="1" t="str">
        <f>HYPERLINK("http://ictvonline.org/taxonomy/p/taxonomy-history?taxnode_id=202109014","ICTVonline=202109014")</f>
        <v>ICTVonline=202109014</v>
      </c>
    </row>
    <row r="4999" spans="1:21" x14ac:dyDescent="0.2">
      <c r="A4999" s="3">
        <v>4998</v>
      </c>
      <c r="B4999" s="1" t="s">
        <v>5250</v>
      </c>
      <c r="D4999" s="1" t="s">
        <v>5280</v>
      </c>
      <c r="F4999" s="1" t="s">
        <v>5347</v>
      </c>
      <c r="H4999" s="1" t="s">
        <v>5368</v>
      </c>
      <c r="J4999" s="1" t="s">
        <v>5369</v>
      </c>
      <c r="L4999" s="1" t="s">
        <v>2964</v>
      </c>
      <c r="N4999" s="1" t="s">
        <v>2965</v>
      </c>
      <c r="P4999" s="1" t="s">
        <v>6474</v>
      </c>
      <c r="Q4999" s="30" t="s">
        <v>2891</v>
      </c>
      <c r="R4999" s="33" t="s">
        <v>3472</v>
      </c>
      <c r="S4999">
        <v>36</v>
      </c>
      <c r="T4999" s="1" t="s">
        <v>6449</v>
      </c>
      <c r="U4999" s="1" t="str">
        <f>HYPERLINK("http://ictvonline.org/taxonomy/p/taxonomy-history?taxnode_id=202109017","ICTVonline=202109017")</f>
        <v>ICTVonline=202109017</v>
      </c>
    </row>
    <row r="5000" spans="1:21" x14ac:dyDescent="0.2">
      <c r="A5000" s="3">
        <v>4999</v>
      </c>
      <c r="B5000" s="1" t="s">
        <v>5250</v>
      </c>
      <c r="D5000" s="1" t="s">
        <v>5280</v>
      </c>
      <c r="F5000" s="1" t="s">
        <v>5347</v>
      </c>
      <c r="H5000" s="1" t="s">
        <v>5368</v>
      </c>
      <c r="J5000" s="1" t="s">
        <v>5369</v>
      </c>
      <c r="L5000" s="1" t="s">
        <v>2964</v>
      </c>
      <c r="N5000" s="1" t="s">
        <v>2965</v>
      </c>
      <c r="P5000" s="1" t="s">
        <v>6475</v>
      </c>
      <c r="Q5000" s="30" t="s">
        <v>2891</v>
      </c>
      <c r="R5000" s="33" t="s">
        <v>3472</v>
      </c>
      <c r="S5000">
        <v>36</v>
      </c>
      <c r="T5000" s="1" t="s">
        <v>6449</v>
      </c>
      <c r="U5000" s="1" t="str">
        <f>HYPERLINK("http://ictvonline.org/taxonomy/p/taxonomy-history?taxnode_id=202108977","ICTVonline=202108977")</f>
        <v>ICTVonline=202108977</v>
      </c>
    </row>
    <row r="5001" spans="1:21" x14ac:dyDescent="0.2">
      <c r="A5001" s="3">
        <v>5000</v>
      </c>
      <c r="B5001" s="1" t="s">
        <v>5250</v>
      </c>
      <c r="D5001" s="1" t="s">
        <v>5280</v>
      </c>
      <c r="F5001" s="1" t="s">
        <v>5347</v>
      </c>
      <c r="H5001" s="1" t="s">
        <v>5368</v>
      </c>
      <c r="J5001" s="1" t="s">
        <v>5369</v>
      </c>
      <c r="L5001" s="1" t="s">
        <v>2964</v>
      </c>
      <c r="N5001" s="1" t="s">
        <v>2965</v>
      </c>
      <c r="P5001" s="1" t="s">
        <v>6476</v>
      </c>
      <c r="Q5001" s="30" t="s">
        <v>2891</v>
      </c>
      <c r="R5001" s="33" t="s">
        <v>3472</v>
      </c>
      <c r="S5001">
        <v>36</v>
      </c>
      <c r="T5001" s="1" t="s">
        <v>6449</v>
      </c>
      <c r="U5001" s="1" t="str">
        <f>HYPERLINK("http://ictvonline.org/taxonomy/p/taxonomy-history?taxnode_id=202108980","ICTVonline=202108980")</f>
        <v>ICTVonline=202108980</v>
      </c>
    </row>
    <row r="5002" spans="1:21" x14ac:dyDescent="0.2">
      <c r="A5002" s="3">
        <v>5001</v>
      </c>
      <c r="B5002" s="1" t="s">
        <v>5250</v>
      </c>
      <c r="D5002" s="1" t="s">
        <v>5280</v>
      </c>
      <c r="F5002" s="1" t="s">
        <v>5347</v>
      </c>
      <c r="H5002" s="1" t="s">
        <v>5368</v>
      </c>
      <c r="J5002" s="1" t="s">
        <v>5369</v>
      </c>
      <c r="L5002" s="1" t="s">
        <v>2964</v>
      </c>
      <c r="N5002" s="1" t="s">
        <v>2965</v>
      </c>
      <c r="P5002" s="1" t="s">
        <v>6477</v>
      </c>
      <c r="Q5002" s="30" t="s">
        <v>2891</v>
      </c>
      <c r="R5002" s="33" t="s">
        <v>3472</v>
      </c>
      <c r="S5002">
        <v>36</v>
      </c>
      <c r="T5002" s="1" t="s">
        <v>6449</v>
      </c>
      <c r="U5002" s="1" t="str">
        <f>HYPERLINK("http://ictvonline.org/taxonomy/p/taxonomy-history?taxnode_id=202108955","ICTVonline=202108955")</f>
        <v>ICTVonline=202108955</v>
      </c>
    </row>
    <row r="5003" spans="1:21" x14ac:dyDescent="0.2">
      <c r="A5003" s="3">
        <v>5002</v>
      </c>
      <c r="B5003" s="1" t="s">
        <v>5250</v>
      </c>
      <c r="D5003" s="1" t="s">
        <v>5280</v>
      </c>
      <c r="F5003" s="1" t="s">
        <v>5347</v>
      </c>
      <c r="H5003" s="1" t="s">
        <v>5368</v>
      </c>
      <c r="J5003" s="1" t="s">
        <v>5369</v>
      </c>
      <c r="L5003" s="1" t="s">
        <v>2964</v>
      </c>
      <c r="N5003" s="1" t="s">
        <v>2965</v>
      </c>
      <c r="P5003" s="1" t="s">
        <v>6478</v>
      </c>
      <c r="Q5003" s="30" t="s">
        <v>2891</v>
      </c>
      <c r="R5003" s="33" t="s">
        <v>3475</v>
      </c>
      <c r="S5003">
        <v>36</v>
      </c>
      <c r="T5003" s="1" t="s">
        <v>6449</v>
      </c>
      <c r="U5003" s="1" t="str">
        <f>HYPERLINK("http://ictvonline.org/taxonomy/p/taxonomy-history?taxnode_id=202103560","ICTVonline=202103560")</f>
        <v>ICTVonline=202103560</v>
      </c>
    </row>
    <row r="5004" spans="1:21" x14ac:dyDescent="0.2">
      <c r="A5004" s="3">
        <v>5003</v>
      </c>
      <c r="B5004" s="1" t="s">
        <v>5250</v>
      </c>
      <c r="D5004" s="1" t="s">
        <v>5280</v>
      </c>
      <c r="F5004" s="1" t="s">
        <v>5347</v>
      </c>
      <c r="H5004" s="1" t="s">
        <v>5368</v>
      </c>
      <c r="J5004" s="1" t="s">
        <v>5369</v>
      </c>
      <c r="L5004" s="1" t="s">
        <v>2964</v>
      </c>
      <c r="N5004" s="1" t="s">
        <v>2965</v>
      </c>
      <c r="P5004" s="1" t="s">
        <v>6479</v>
      </c>
      <c r="Q5004" s="30" t="s">
        <v>2891</v>
      </c>
      <c r="R5004" s="33" t="s">
        <v>3472</v>
      </c>
      <c r="S5004">
        <v>36</v>
      </c>
      <c r="T5004" s="1" t="s">
        <v>6449</v>
      </c>
      <c r="U5004" s="1" t="str">
        <f>HYPERLINK("http://ictvonline.org/taxonomy/p/taxonomy-history?taxnode_id=202108990","ICTVonline=202108990")</f>
        <v>ICTVonline=202108990</v>
      </c>
    </row>
    <row r="5005" spans="1:21" x14ac:dyDescent="0.2">
      <c r="A5005" s="3">
        <v>5004</v>
      </c>
      <c r="B5005" s="1" t="s">
        <v>5250</v>
      </c>
      <c r="D5005" s="1" t="s">
        <v>5280</v>
      </c>
      <c r="F5005" s="1" t="s">
        <v>5347</v>
      </c>
      <c r="H5005" s="1" t="s">
        <v>5368</v>
      </c>
      <c r="J5005" s="1" t="s">
        <v>5369</v>
      </c>
      <c r="L5005" s="1" t="s">
        <v>2964</v>
      </c>
      <c r="N5005" s="1" t="s">
        <v>2965</v>
      </c>
      <c r="P5005" s="1" t="s">
        <v>6480</v>
      </c>
      <c r="Q5005" s="30" t="s">
        <v>2568</v>
      </c>
      <c r="R5005" s="33" t="s">
        <v>3475</v>
      </c>
      <c r="S5005">
        <v>36</v>
      </c>
      <c r="T5005" s="1" t="s">
        <v>6449</v>
      </c>
      <c r="U5005" s="1" t="str">
        <f>HYPERLINK("http://ictvonline.org/taxonomy/p/taxonomy-history?taxnode_id=202103561","ICTVonline=202103561")</f>
        <v>ICTVonline=202103561</v>
      </c>
    </row>
    <row r="5006" spans="1:21" x14ac:dyDescent="0.2">
      <c r="A5006" s="3">
        <v>5005</v>
      </c>
      <c r="B5006" s="1" t="s">
        <v>5250</v>
      </c>
      <c r="D5006" s="1" t="s">
        <v>5280</v>
      </c>
      <c r="F5006" s="1" t="s">
        <v>5347</v>
      </c>
      <c r="H5006" s="1" t="s">
        <v>5368</v>
      </c>
      <c r="J5006" s="1" t="s">
        <v>5369</v>
      </c>
      <c r="L5006" s="1" t="s">
        <v>2964</v>
      </c>
      <c r="N5006" s="1" t="s">
        <v>2965</v>
      </c>
      <c r="P5006" s="1" t="s">
        <v>6481</v>
      </c>
      <c r="Q5006" s="30" t="s">
        <v>2891</v>
      </c>
      <c r="R5006" s="33" t="s">
        <v>3472</v>
      </c>
      <c r="S5006">
        <v>36</v>
      </c>
      <c r="T5006" s="1" t="s">
        <v>6449</v>
      </c>
      <c r="U5006" s="1" t="str">
        <f>HYPERLINK("http://ictvonline.org/taxonomy/p/taxonomy-history?taxnode_id=202108959","ICTVonline=202108959")</f>
        <v>ICTVonline=202108959</v>
      </c>
    </row>
    <row r="5007" spans="1:21" x14ac:dyDescent="0.2">
      <c r="A5007" s="3">
        <v>5006</v>
      </c>
      <c r="B5007" s="1" t="s">
        <v>5250</v>
      </c>
      <c r="D5007" s="1" t="s">
        <v>5280</v>
      </c>
      <c r="F5007" s="1" t="s">
        <v>5347</v>
      </c>
      <c r="H5007" s="1" t="s">
        <v>5368</v>
      </c>
      <c r="J5007" s="1" t="s">
        <v>5369</v>
      </c>
      <c r="L5007" s="1" t="s">
        <v>2964</v>
      </c>
      <c r="N5007" s="1" t="s">
        <v>2965</v>
      </c>
      <c r="P5007" s="1" t="s">
        <v>6482</v>
      </c>
      <c r="Q5007" s="30" t="s">
        <v>2891</v>
      </c>
      <c r="R5007" s="33" t="s">
        <v>3472</v>
      </c>
      <c r="S5007">
        <v>36</v>
      </c>
      <c r="T5007" s="1" t="s">
        <v>6449</v>
      </c>
      <c r="U5007" s="1" t="str">
        <f>HYPERLINK("http://ictvonline.org/taxonomy/p/taxonomy-history?taxnode_id=202108970","ICTVonline=202108970")</f>
        <v>ICTVonline=202108970</v>
      </c>
    </row>
    <row r="5008" spans="1:21" x14ac:dyDescent="0.2">
      <c r="A5008" s="3">
        <v>5007</v>
      </c>
      <c r="B5008" s="1" t="s">
        <v>5250</v>
      </c>
      <c r="D5008" s="1" t="s">
        <v>5280</v>
      </c>
      <c r="F5008" s="1" t="s">
        <v>5347</v>
      </c>
      <c r="H5008" s="1" t="s">
        <v>5368</v>
      </c>
      <c r="J5008" s="1" t="s">
        <v>5369</v>
      </c>
      <c r="L5008" s="1" t="s">
        <v>2964</v>
      </c>
      <c r="N5008" s="1" t="s">
        <v>2965</v>
      </c>
      <c r="P5008" s="1" t="s">
        <v>6483</v>
      </c>
      <c r="Q5008" s="30" t="s">
        <v>2891</v>
      </c>
      <c r="R5008" s="33" t="s">
        <v>3475</v>
      </c>
      <c r="S5008">
        <v>36</v>
      </c>
      <c r="T5008" s="1" t="s">
        <v>6449</v>
      </c>
      <c r="U5008" s="1" t="str">
        <f>HYPERLINK("http://ictvonline.org/taxonomy/p/taxonomy-history?taxnode_id=202103562","ICTVonline=202103562")</f>
        <v>ICTVonline=202103562</v>
      </c>
    </row>
    <row r="5009" spans="1:21" x14ac:dyDescent="0.2">
      <c r="A5009" s="3">
        <v>5008</v>
      </c>
      <c r="B5009" s="1" t="s">
        <v>5250</v>
      </c>
      <c r="D5009" s="1" t="s">
        <v>5280</v>
      </c>
      <c r="F5009" s="1" t="s">
        <v>5347</v>
      </c>
      <c r="H5009" s="1" t="s">
        <v>5368</v>
      </c>
      <c r="J5009" s="1" t="s">
        <v>5369</v>
      </c>
      <c r="L5009" s="1" t="s">
        <v>2964</v>
      </c>
      <c r="N5009" s="1" t="s">
        <v>2965</v>
      </c>
      <c r="P5009" s="1" t="s">
        <v>6484</v>
      </c>
      <c r="Q5009" s="30" t="s">
        <v>2891</v>
      </c>
      <c r="R5009" s="33" t="s">
        <v>3475</v>
      </c>
      <c r="S5009">
        <v>36</v>
      </c>
      <c r="T5009" s="1" t="s">
        <v>6449</v>
      </c>
      <c r="U5009" s="1" t="str">
        <f>HYPERLINK("http://ictvonline.org/taxonomy/p/taxonomy-history?taxnode_id=202103563","ICTVonline=202103563")</f>
        <v>ICTVonline=202103563</v>
      </c>
    </row>
    <row r="5010" spans="1:21" x14ac:dyDescent="0.2">
      <c r="A5010" s="3">
        <v>5009</v>
      </c>
      <c r="B5010" s="1" t="s">
        <v>5250</v>
      </c>
      <c r="D5010" s="1" t="s">
        <v>5280</v>
      </c>
      <c r="F5010" s="1" t="s">
        <v>5347</v>
      </c>
      <c r="H5010" s="1" t="s">
        <v>5368</v>
      </c>
      <c r="J5010" s="1" t="s">
        <v>5369</v>
      </c>
      <c r="L5010" s="1" t="s">
        <v>2964</v>
      </c>
      <c r="N5010" s="1" t="s">
        <v>2965</v>
      </c>
      <c r="P5010" s="1" t="s">
        <v>6485</v>
      </c>
      <c r="Q5010" s="30" t="s">
        <v>2891</v>
      </c>
      <c r="R5010" s="33" t="s">
        <v>3475</v>
      </c>
      <c r="S5010">
        <v>36</v>
      </c>
      <c r="T5010" s="1" t="s">
        <v>6449</v>
      </c>
      <c r="U5010" s="1" t="str">
        <f>HYPERLINK("http://ictvonline.org/taxonomy/p/taxonomy-history?taxnode_id=202103564","ICTVonline=202103564")</f>
        <v>ICTVonline=202103564</v>
      </c>
    </row>
    <row r="5011" spans="1:21" x14ac:dyDescent="0.2">
      <c r="A5011" s="3">
        <v>5010</v>
      </c>
      <c r="B5011" s="1" t="s">
        <v>5250</v>
      </c>
      <c r="D5011" s="1" t="s">
        <v>5280</v>
      </c>
      <c r="F5011" s="1" t="s">
        <v>5347</v>
      </c>
      <c r="H5011" s="1" t="s">
        <v>5368</v>
      </c>
      <c r="J5011" s="1" t="s">
        <v>5369</v>
      </c>
      <c r="L5011" s="1" t="s">
        <v>2964</v>
      </c>
      <c r="N5011" s="1" t="s">
        <v>2965</v>
      </c>
      <c r="P5011" s="1" t="s">
        <v>6486</v>
      </c>
      <c r="Q5011" s="30" t="s">
        <v>2891</v>
      </c>
      <c r="R5011" s="33" t="s">
        <v>3475</v>
      </c>
      <c r="S5011">
        <v>36</v>
      </c>
      <c r="T5011" s="1" t="s">
        <v>6449</v>
      </c>
      <c r="U5011" s="1" t="str">
        <f>HYPERLINK("http://ictvonline.org/taxonomy/p/taxonomy-history?taxnode_id=202103565","ICTVonline=202103565")</f>
        <v>ICTVonline=202103565</v>
      </c>
    </row>
    <row r="5012" spans="1:21" x14ac:dyDescent="0.2">
      <c r="A5012" s="3">
        <v>5011</v>
      </c>
      <c r="B5012" s="1" t="s">
        <v>5250</v>
      </c>
      <c r="D5012" s="1" t="s">
        <v>5280</v>
      </c>
      <c r="F5012" s="1" t="s">
        <v>5347</v>
      </c>
      <c r="H5012" s="1" t="s">
        <v>5368</v>
      </c>
      <c r="J5012" s="1" t="s">
        <v>5369</v>
      </c>
      <c r="L5012" s="1" t="s">
        <v>2964</v>
      </c>
      <c r="N5012" s="1" t="s">
        <v>2965</v>
      </c>
      <c r="P5012" s="1" t="s">
        <v>6487</v>
      </c>
      <c r="Q5012" s="30" t="s">
        <v>2891</v>
      </c>
      <c r="R5012" s="33" t="s">
        <v>3472</v>
      </c>
      <c r="S5012">
        <v>36</v>
      </c>
      <c r="T5012" s="1" t="s">
        <v>6449</v>
      </c>
      <c r="U5012" s="1" t="str">
        <f>HYPERLINK("http://ictvonline.org/taxonomy/p/taxonomy-history?taxnode_id=202108966","ICTVonline=202108966")</f>
        <v>ICTVonline=202108966</v>
      </c>
    </row>
    <row r="5013" spans="1:21" x14ac:dyDescent="0.2">
      <c r="A5013" s="3">
        <v>5012</v>
      </c>
      <c r="B5013" s="1" t="s">
        <v>5250</v>
      </c>
      <c r="D5013" s="1" t="s">
        <v>5280</v>
      </c>
      <c r="F5013" s="1" t="s">
        <v>5347</v>
      </c>
      <c r="H5013" s="1" t="s">
        <v>5368</v>
      </c>
      <c r="J5013" s="1" t="s">
        <v>5369</v>
      </c>
      <c r="L5013" s="1" t="s">
        <v>2964</v>
      </c>
      <c r="N5013" s="1" t="s">
        <v>2965</v>
      </c>
      <c r="P5013" s="1" t="s">
        <v>6488</v>
      </c>
      <c r="Q5013" s="30" t="s">
        <v>2891</v>
      </c>
      <c r="R5013" s="33" t="s">
        <v>3472</v>
      </c>
      <c r="S5013">
        <v>36</v>
      </c>
      <c r="T5013" s="1" t="s">
        <v>6449</v>
      </c>
      <c r="U5013" s="1" t="str">
        <f>HYPERLINK("http://ictvonline.org/taxonomy/p/taxonomy-history?taxnode_id=202108983","ICTVonline=202108983")</f>
        <v>ICTVonline=202108983</v>
      </c>
    </row>
    <row r="5014" spans="1:21" x14ac:dyDescent="0.2">
      <c r="A5014" s="3">
        <v>5013</v>
      </c>
      <c r="B5014" s="1" t="s">
        <v>5250</v>
      </c>
      <c r="D5014" s="1" t="s">
        <v>5280</v>
      </c>
      <c r="F5014" s="1" t="s">
        <v>5347</v>
      </c>
      <c r="H5014" s="1" t="s">
        <v>5368</v>
      </c>
      <c r="J5014" s="1" t="s">
        <v>5369</v>
      </c>
      <c r="L5014" s="1" t="s">
        <v>2964</v>
      </c>
      <c r="N5014" s="1" t="s">
        <v>2965</v>
      </c>
      <c r="P5014" s="1" t="s">
        <v>6489</v>
      </c>
      <c r="Q5014" s="30" t="s">
        <v>2891</v>
      </c>
      <c r="R5014" s="33" t="s">
        <v>3472</v>
      </c>
      <c r="S5014">
        <v>36</v>
      </c>
      <c r="T5014" s="1" t="s">
        <v>6449</v>
      </c>
      <c r="U5014" s="1" t="str">
        <f>HYPERLINK("http://ictvonline.org/taxonomy/p/taxonomy-history?taxnode_id=202108988","ICTVonline=202108988")</f>
        <v>ICTVonline=202108988</v>
      </c>
    </row>
    <row r="5015" spans="1:21" x14ac:dyDescent="0.2">
      <c r="A5015" s="3">
        <v>5014</v>
      </c>
      <c r="B5015" s="1" t="s">
        <v>5250</v>
      </c>
      <c r="D5015" s="1" t="s">
        <v>5280</v>
      </c>
      <c r="F5015" s="1" t="s">
        <v>5347</v>
      </c>
      <c r="H5015" s="1" t="s">
        <v>5368</v>
      </c>
      <c r="J5015" s="1" t="s">
        <v>5369</v>
      </c>
      <c r="L5015" s="1" t="s">
        <v>2964</v>
      </c>
      <c r="N5015" s="1" t="s">
        <v>2965</v>
      </c>
      <c r="P5015" s="1" t="s">
        <v>6490</v>
      </c>
      <c r="Q5015" s="30" t="s">
        <v>2891</v>
      </c>
      <c r="R5015" s="33" t="s">
        <v>3472</v>
      </c>
      <c r="S5015">
        <v>36</v>
      </c>
      <c r="T5015" s="1" t="s">
        <v>6449</v>
      </c>
      <c r="U5015" s="1" t="str">
        <f>HYPERLINK("http://ictvonline.org/taxonomy/p/taxonomy-history?taxnode_id=202108991","ICTVonline=202108991")</f>
        <v>ICTVonline=202108991</v>
      </c>
    </row>
    <row r="5016" spans="1:21" x14ac:dyDescent="0.2">
      <c r="A5016" s="3">
        <v>5015</v>
      </c>
      <c r="B5016" s="1" t="s">
        <v>5250</v>
      </c>
      <c r="D5016" s="1" t="s">
        <v>5280</v>
      </c>
      <c r="F5016" s="1" t="s">
        <v>5347</v>
      </c>
      <c r="H5016" s="1" t="s">
        <v>5368</v>
      </c>
      <c r="J5016" s="1" t="s">
        <v>5369</v>
      </c>
      <c r="L5016" s="1" t="s">
        <v>2964</v>
      </c>
      <c r="N5016" s="1" t="s">
        <v>2965</v>
      </c>
      <c r="P5016" s="1" t="s">
        <v>6491</v>
      </c>
      <c r="Q5016" s="30" t="s">
        <v>2891</v>
      </c>
      <c r="R5016" s="33" t="s">
        <v>3472</v>
      </c>
      <c r="S5016">
        <v>36</v>
      </c>
      <c r="T5016" s="1" t="s">
        <v>6449</v>
      </c>
      <c r="U5016" s="1" t="str">
        <f>HYPERLINK("http://ictvonline.org/taxonomy/p/taxonomy-history?taxnode_id=202108998","ICTVonline=202108998")</f>
        <v>ICTVonline=202108998</v>
      </c>
    </row>
    <row r="5017" spans="1:21" x14ac:dyDescent="0.2">
      <c r="A5017" s="3">
        <v>5016</v>
      </c>
      <c r="B5017" s="1" t="s">
        <v>5250</v>
      </c>
      <c r="D5017" s="1" t="s">
        <v>5280</v>
      </c>
      <c r="F5017" s="1" t="s">
        <v>5347</v>
      </c>
      <c r="H5017" s="1" t="s">
        <v>5368</v>
      </c>
      <c r="J5017" s="1" t="s">
        <v>5369</v>
      </c>
      <c r="L5017" s="1" t="s">
        <v>2964</v>
      </c>
      <c r="N5017" s="1" t="s">
        <v>2965</v>
      </c>
      <c r="P5017" s="1" t="s">
        <v>6492</v>
      </c>
      <c r="Q5017" s="30" t="s">
        <v>2891</v>
      </c>
      <c r="R5017" s="33" t="s">
        <v>3472</v>
      </c>
      <c r="S5017">
        <v>36</v>
      </c>
      <c r="T5017" s="1" t="s">
        <v>6449</v>
      </c>
      <c r="U5017" s="1" t="str">
        <f>HYPERLINK("http://ictvonline.org/taxonomy/p/taxonomy-history?taxnode_id=202109008","ICTVonline=202109008")</f>
        <v>ICTVonline=202109008</v>
      </c>
    </row>
    <row r="5018" spans="1:21" x14ac:dyDescent="0.2">
      <c r="A5018" s="3">
        <v>5017</v>
      </c>
      <c r="B5018" s="1" t="s">
        <v>5250</v>
      </c>
      <c r="D5018" s="1" t="s">
        <v>5280</v>
      </c>
      <c r="F5018" s="1" t="s">
        <v>5347</v>
      </c>
      <c r="H5018" s="1" t="s">
        <v>5368</v>
      </c>
      <c r="J5018" s="1" t="s">
        <v>5369</v>
      </c>
      <c r="L5018" s="1" t="s">
        <v>2964</v>
      </c>
      <c r="N5018" s="1" t="s">
        <v>2965</v>
      </c>
      <c r="P5018" s="1" t="s">
        <v>6493</v>
      </c>
      <c r="Q5018" s="30" t="s">
        <v>2891</v>
      </c>
      <c r="R5018" s="33" t="s">
        <v>3472</v>
      </c>
      <c r="S5018">
        <v>36</v>
      </c>
      <c r="T5018" s="1" t="s">
        <v>6449</v>
      </c>
      <c r="U5018" s="1" t="str">
        <f>HYPERLINK("http://ictvonline.org/taxonomy/p/taxonomy-history?taxnode_id=202109010","ICTVonline=202109010")</f>
        <v>ICTVonline=202109010</v>
      </c>
    </row>
    <row r="5019" spans="1:21" x14ac:dyDescent="0.2">
      <c r="A5019" s="3">
        <v>5018</v>
      </c>
      <c r="B5019" s="1" t="s">
        <v>5250</v>
      </c>
      <c r="D5019" s="1" t="s">
        <v>5280</v>
      </c>
      <c r="F5019" s="1" t="s">
        <v>5347</v>
      </c>
      <c r="H5019" s="1" t="s">
        <v>5368</v>
      </c>
      <c r="J5019" s="1" t="s">
        <v>5369</v>
      </c>
      <c r="L5019" s="1" t="s">
        <v>2964</v>
      </c>
      <c r="N5019" s="1" t="s">
        <v>2965</v>
      </c>
      <c r="P5019" s="1" t="s">
        <v>6494</v>
      </c>
      <c r="Q5019" s="30" t="s">
        <v>2891</v>
      </c>
      <c r="R5019" s="33" t="s">
        <v>3472</v>
      </c>
      <c r="S5019">
        <v>36</v>
      </c>
      <c r="T5019" s="1" t="s">
        <v>6449</v>
      </c>
      <c r="U5019" s="1" t="str">
        <f>HYPERLINK("http://ictvonline.org/taxonomy/p/taxonomy-history?taxnode_id=202108946","ICTVonline=202108946")</f>
        <v>ICTVonline=202108946</v>
      </c>
    </row>
    <row r="5020" spans="1:21" x14ac:dyDescent="0.2">
      <c r="A5020" s="3">
        <v>5019</v>
      </c>
      <c r="B5020" s="1" t="s">
        <v>5250</v>
      </c>
      <c r="D5020" s="1" t="s">
        <v>5280</v>
      </c>
      <c r="F5020" s="1" t="s">
        <v>5347</v>
      </c>
      <c r="H5020" s="1" t="s">
        <v>5368</v>
      </c>
      <c r="J5020" s="1" t="s">
        <v>5369</v>
      </c>
      <c r="L5020" s="1" t="s">
        <v>2964</v>
      </c>
      <c r="N5020" s="1" t="s">
        <v>2965</v>
      </c>
      <c r="P5020" s="1" t="s">
        <v>6495</v>
      </c>
      <c r="Q5020" s="30" t="s">
        <v>2891</v>
      </c>
      <c r="R5020" s="33" t="s">
        <v>3472</v>
      </c>
      <c r="S5020">
        <v>36</v>
      </c>
      <c r="T5020" s="1" t="s">
        <v>6449</v>
      </c>
      <c r="U5020" s="1" t="str">
        <f>HYPERLINK("http://ictvonline.org/taxonomy/p/taxonomy-history?taxnode_id=202108956","ICTVonline=202108956")</f>
        <v>ICTVonline=202108956</v>
      </c>
    </row>
    <row r="5021" spans="1:21" x14ac:dyDescent="0.2">
      <c r="A5021" s="3">
        <v>5020</v>
      </c>
      <c r="B5021" s="1" t="s">
        <v>5250</v>
      </c>
      <c r="D5021" s="1" t="s">
        <v>5280</v>
      </c>
      <c r="F5021" s="1" t="s">
        <v>5347</v>
      </c>
      <c r="H5021" s="1" t="s">
        <v>5368</v>
      </c>
      <c r="J5021" s="1" t="s">
        <v>5369</v>
      </c>
      <c r="L5021" s="1" t="s">
        <v>2964</v>
      </c>
      <c r="N5021" s="1" t="s">
        <v>2965</v>
      </c>
      <c r="P5021" s="1" t="s">
        <v>6496</v>
      </c>
      <c r="Q5021" s="30" t="s">
        <v>2891</v>
      </c>
      <c r="R5021" s="33" t="s">
        <v>3472</v>
      </c>
      <c r="S5021">
        <v>36</v>
      </c>
      <c r="T5021" s="1" t="s">
        <v>6449</v>
      </c>
      <c r="U5021" s="1" t="str">
        <f>HYPERLINK("http://ictvonline.org/taxonomy/p/taxonomy-history?taxnode_id=202109005","ICTVonline=202109005")</f>
        <v>ICTVonline=202109005</v>
      </c>
    </row>
    <row r="5022" spans="1:21" x14ac:dyDescent="0.2">
      <c r="A5022" s="3">
        <v>5021</v>
      </c>
      <c r="B5022" s="1" t="s">
        <v>5250</v>
      </c>
      <c r="D5022" s="1" t="s">
        <v>5280</v>
      </c>
      <c r="F5022" s="1" t="s">
        <v>5347</v>
      </c>
      <c r="H5022" s="1" t="s">
        <v>5368</v>
      </c>
      <c r="J5022" s="1" t="s">
        <v>5369</v>
      </c>
      <c r="L5022" s="1" t="s">
        <v>2964</v>
      </c>
      <c r="N5022" s="1" t="s">
        <v>2965</v>
      </c>
      <c r="P5022" s="1" t="s">
        <v>6497</v>
      </c>
      <c r="Q5022" s="30" t="s">
        <v>2891</v>
      </c>
      <c r="R5022" s="33" t="s">
        <v>3472</v>
      </c>
      <c r="S5022">
        <v>36</v>
      </c>
      <c r="T5022" s="1" t="s">
        <v>6449</v>
      </c>
      <c r="U5022" s="1" t="str">
        <f>HYPERLINK("http://ictvonline.org/taxonomy/p/taxonomy-history?taxnode_id=202109006","ICTVonline=202109006")</f>
        <v>ICTVonline=202109006</v>
      </c>
    </row>
    <row r="5023" spans="1:21" x14ac:dyDescent="0.2">
      <c r="A5023" s="3">
        <v>5022</v>
      </c>
      <c r="B5023" s="1" t="s">
        <v>5250</v>
      </c>
      <c r="D5023" s="1" t="s">
        <v>5280</v>
      </c>
      <c r="F5023" s="1" t="s">
        <v>5347</v>
      </c>
      <c r="H5023" s="1" t="s">
        <v>5368</v>
      </c>
      <c r="J5023" s="1" t="s">
        <v>5369</v>
      </c>
      <c r="L5023" s="1" t="s">
        <v>2964</v>
      </c>
      <c r="N5023" s="1" t="s">
        <v>2965</v>
      </c>
      <c r="P5023" s="1" t="s">
        <v>6498</v>
      </c>
      <c r="Q5023" s="30" t="s">
        <v>2891</v>
      </c>
      <c r="R5023" s="33" t="s">
        <v>3472</v>
      </c>
      <c r="S5023">
        <v>36</v>
      </c>
      <c r="T5023" s="1" t="s">
        <v>6449</v>
      </c>
      <c r="U5023" s="1" t="str">
        <f>HYPERLINK("http://ictvonline.org/taxonomy/p/taxonomy-history?taxnode_id=202108954","ICTVonline=202108954")</f>
        <v>ICTVonline=202108954</v>
      </c>
    </row>
    <row r="5024" spans="1:21" x14ac:dyDescent="0.2">
      <c r="A5024" s="3">
        <v>5023</v>
      </c>
      <c r="B5024" s="1" t="s">
        <v>5250</v>
      </c>
      <c r="D5024" s="1" t="s">
        <v>5280</v>
      </c>
      <c r="F5024" s="1" t="s">
        <v>5347</v>
      </c>
      <c r="H5024" s="1" t="s">
        <v>5368</v>
      </c>
      <c r="J5024" s="1" t="s">
        <v>5369</v>
      </c>
      <c r="L5024" s="1" t="s">
        <v>2964</v>
      </c>
      <c r="N5024" s="1" t="s">
        <v>2965</v>
      </c>
      <c r="P5024" s="1" t="s">
        <v>6499</v>
      </c>
      <c r="Q5024" s="30" t="s">
        <v>2891</v>
      </c>
      <c r="R5024" s="33" t="s">
        <v>3472</v>
      </c>
      <c r="S5024">
        <v>36</v>
      </c>
      <c r="T5024" s="1" t="s">
        <v>6449</v>
      </c>
      <c r="U5024" s="1" t="str">
        <f>HYPERLINK("http://ictvonline.org/taxonomy/p/taxonomy-history?taxnode_id=202108958","ICTVonline=202108958")</f>
        <v>ICTVonline=202108958</v>
      </c>
    </row>
    <row r="5025" spans="1:21" x14ac:dyDescent="0.2">
      <c r="A5025" s="3">
        <v>5024</v>
      </c>
      <c r="B5025" s="1" t="s">
        <v>5250</v>
      </c>
      <c r="D5025" s="1" t="s">
        <v>5280</v>
      </c>
      <c r="F5025" s="1" t="s">
        <v>5347</v>
      </c>
      <c r="H5025" s="1" t="s">
        <v>5368</v>
      </c>
      <c r="J5025" s="1" t="s">
        <v>5369</v>
      </c>
      <c r="L5025" s="1" t="s">
        <v>2964</v>
      </c>
      <c r="N5025" s="1" t="s">
        <v>2965</v>
      </c>
      <c r="P5025" s="1" t="s">
        <v>6500</v>
      </c>
      <c r="Q5025" s="30" t="s">
        <v>2891</v>
      </c>
      <c r="R5025" s="33" t="s">
        <v>3472</v>
      </c>
      <c r="S5025">
        <v>36</v>
      </c>
      <c r="T5025" s="1" t="s">
        <v>6449</v>
      </c>
      <c r="U5025" s="1" t="str">
        <f>HYPERLINK("http://ictvonline.org/taxonomy/p/taxonomy-history?taxnode_id=202109002","ICTVonline=202109002")</f>
        <v>ICTVonline=202109002</v>
      </c>
    </row>
    <row r="5026" spans="1:21" x14ac:dyDescent="0.2">
      <c r="A5026" s="3">
        <v>5025</v>
      </c>
      <c r="B5026" s="1" t="s">
        <v>5250</v>
      </c>
      <c r="D5026" s="1" t="s">
        <v>5280</v>
      </c>
      <c r="F5026" s="1" t="s">
        <v>5347</v>
      </c>
      <c r="H5026" s="1" t="s">
        <v>5368</v>
      </c>
      <c r="J5026" s="1" t="s">
        <v>5369</v>
      </c>
      <c r="L5026" s="1" t="s">
        <v>2964</v>
      </c>
      <c r="N5026" s="1" t="s">
        <v>2965</v>
      </c>
      <c r="P5026" s="1" t="s">
        <v>6501</v>
      </c>
      <c r="Q5026" s="30" t="s">
        <v>2891</v>
      </c>
      <c r="R5026" s="33" t="s">
        <v>3472</v>
      </c>
      <c r="S5026">
        <v>36</v>
      </c>
      <c r="T5026" s="1" t="s">
        <v>6449</v>
      </c>
      <c r="U5026" s="1" t="str">
        <f>HYPERLINK("http://ictvonline.org/taxonomy/p/taxonomy-history?taxnode_id=202108995","ICTVonline=202108995")</f>
        <v>ICTVonline=202108995</v>
      </c>
    </row>
    <row r="5027" spans="1:21" x14ac:dyDescent="0.2">
      <c r="A5027" s="3">
        <v>5026</v>
      </c>
      <c r="B5027" s="1" t="s">
        <v>5250</v>
      </c>
      <c r="D5027" s="1" t="s">
        <v>5280</v>
      </c>
      <c r="F5027" s="1" t="s">
        <v>5347</v>
      </c>
      <c r="H5027" s="1" t="s">
        <v>5368</v>
      </c>
      <c r="J5027" s="1" t="s">
        <v>5369</v>
      </c>
      <c r="L5027" s="1" t="s">
        <v>2964</v>
      </c>
      <c r="N5027" s="1" t="s">
        <v>2965</v>
      </c>
      <c r="P5027" s="1" t="s">
        <v>6502</v>
      </c>
      <c r="Q5027" s="30" t="s">
        <v>2891</v>
      </c>
      <c r="R5027" s="33" t="s">
        <v>3475</v>
      </c>
      <c r="S5027">
        <v>36</v>
      </c>
      <c r="T5027" s="1" t="s">
        <v>6449</v>
      </c>
      <c r="U5027" s="1" t="str">
        <f>HYPERLINK("http://ictvonline.org/taxonomy/p/taxonomy-history?taxnode_id=202103566","ICTVonline=202103566")</f>
        <v>ICTVonline=202103566</v>
      </c>
    </row>
    <row r="5028" spans="1:21" x14ac:dyDescent="0.2">
      <c r="A5028" s="3">
        <v>5027</v>
      </c>
      <c r="B5028" s="1" t="s">
        <v>5250</v>
      </c>
      <c r="D5028" s="1" t="s">
        <v>5280</v>
      </c>
      <c r="F5028" s="1" t="s">
        <v>5347</v>
      </c>
      <c r="H5028" s="1" t="s">
        <v>5368</v>
      </c>
      <c r="J5028" s="1" t="s">
        <v>5369</v>
      </c>
      <c r="L5028" s="1" t="s">
        <v>2964</v>
      </c>
      <c r="N5028" s="1" t="s">
        <v>2965</v>
      </c>
      <c r="P5028" s="1" t="s">
        <v>6503</v>
      </c>
      <c r="Q5028" s="30" t="s">
        <v>2891</v>
      </c>
      <c r="R5028" s="33" t="s">
        <v>3472</v>
      </c>
      <c r="S5028">
        <v>36</v>
      </c>
      <c r="T5028" s="1" t="s">
        <v>6449</v>
      </c>
      <c r="U5028" s="1" t="str">
        <f>HYPERLINK("http://ictvonline.org/taxonomy/p/taxonomy-history?taxnode_id=202108979","ICTVonline=202108979")</f>
        <v>ICTVonline=202108979</v>
      </c>
    </row>
    <row r="5029" spans="1:21" x14ac:dyDescent="0.2">
      <c r="A5029" s="3">
        <v>5028</v>
      </c>
      <c r="B5029" s="1" t="s">
        <v>5250</v>
      </c>
      <c r="D5029" s="1" t="s">
        <v>5280</v>
      </c>
      <c r="F5029" s="1" t="s">
        <v>5347</v>
      </c>
      <c r="H5029" s="1" t="s">
        <v>5368</v>
      </c>
      <c r="J5029" s="1" t="s">
        <v>5369</v>
      </c>
      <c r="L5029" s="1" t="s">
        <v>2964</v>
      </c>
      <c r="N5029" s="1" t="s">
        <v>2965</v>
      </c>
      <c r="P5029" s="1" t="s">
        <v>6504</v>
      </c>
      <c r="Q5029" s="30" t="s">
        <v>2568</v>
      </c>
      <c r="R5029" s="33" t="s">
        <v>3475</v>
      </c>
      <c r="S5029">
        <v>36</v>
      </c>
      <c r="T5029" s="1" t="s">
        <v>6449</v>
      </c>
      <c r="U5029" s="1" t="str">
        <f>HYPERLINK("http://ictvonline.org/taxonomy/p/taxonomy-history?taxnode_id=202103567","ICTVonline=202103567")</f>
        <v>ICTVonline=202103567</v>
      </c>
    </row>
    <row r="5030" spans="1:21" x14ac:dyDescent="0.2">
      <c r="A5030" s="3">
        <v>5029</v>
      </c>
      <c r="B5030" s="1" t="s">
        <v>5250</v>
      </c>
      <c r="D5030" s="1" t="s">
        <v>5280</v>
      </c>
      <c r="F5030" s="1" t="s">
        <v>5347</v>
      </c>
      <c r="H5030" s="1" t="s">
        <v>5368</v>
      </c>
      <c r="J5030" s="1" t="s">
        <v>5369</v>
      </c>
      <c r="L5030" s="1" t="s">
        <v>2964</v>
      </c>
      <c r="N5030" s="1" t="s">
        <v>2965</v>
      </c>
      <c r="P5030" s="1" t="s">
        <v>6505</v>
      </c>
      <c r="Q5030" s="30" t="s">
        <v>2891</v>
      </c>
      <c r="R5030" s="33" t="s">
        <v>3472</v>
      </c>
      <c r="S5030">
        <v>36</v>
      </c>
      <c r="T5030" s="1" t="s">
        <v>6449</v>
      </c>
      <c r="U5030" s="1" t="str">
        <f>HYPERLINK("http://ictvonline.org/taxonomy/p/taxonomy-history?taxnode_id=202108940","ICTVonline=202108940")</f>
        <v>ICTVonline=202108940</v>
      </c>
    </row>
    <row r="5031" spans="1:21" x14ac:dyDescent="0.2">
      <c r="A5031" s="3">
        <v>5030</v>
      </c>
      <c r="B5031" s="1" t="s">
        <v>5250</v>
      </c>
      <c r="D5031" s="1" t="s">
        <v>5280</v>
      </c>
      <c r="F5031" s="1" t="s">
        <v>5347</v>
      </c>
      <c r="H5031" s="1" t="s">
        <v>5368</v>
      </c>
      <c r="J5031" s="1" t="s">
        <v>5369</v>
      </c>
      <c r="L5031" s="1" t="s">
        <v>2964</v>
      </c>
      <c r="N5031" s="1" t="s">
        <v>2965</v>
      </c>
      <c r="P5031" s="1" t="s">
        <v>6506</v>
      </c>
      <c r="Q5031" s="30" t="s">
        <v>2891</v>
      </c>
      <c r="R5031" s="33" t="s">
        <v>3472</v>
      </c>
      <c r="S5031">
        <v>36</v>
      </c>
      <c r="T5031" s="1" t="s">
        <v>6449</v>
      </c>
      <c r="U5031" s="1" t="str">
        <f>HYPERLINK("http://ictvonline.org/taxonomy/p/taxonomy-history?taxnode_id=202108965","ICTVonline=202108965")</f>
        <v>ICTVonline=202108965</v>
      </c>
    </row>
    <row r="5032" spans="1:21" x14ac:dyDescent="0.2">
      <c r="A5032" s="3">
        <v>5031</v>
      </c>
      <c r="B5032" s="1" t="s">
        <v>5250</v>
      </c>
      <c r="D5032" s="1" t="s">
        <v>5280</v>
      </c>
      <c r="F5032" s="1" t="s">
        <v>5347</v>
      </c>
      <c r="H5032" s="1" t="s">
        <v>5368</v>
      </c>
      <c r="J5032" s="1" t="s">
        <v>5369</v>
      </c>
      <c r="L5032" s="1" t="s">
        <v>2964</v>
      </c>
      <c r="N5032" s="1" t="s">
        <v>2965</v>
      </c>
      <c r="P5032" s="1" t="s">
        <v>6507</v>
      </c>
      <c r="Q5032" s="30" t="s">
        <v>2891</v>
      </c>
      <c r="R5032" s="33" t="s">
        <v>3472</v>
      </c>
      <c r="S5032">
        <v>36</v>
      </c>
      <c r="T5032" s="1" t="s">
        <v>6449</v>
      </c>
      <c r="U5032" s="1" t="str">
        <f>HYPERLINK("http://ictvonline.org/taxonomy/p/taxonomy-history?taxnode_id=202109018","ICTVonline=202109018")</f>
        <v>ICTVonline=202109018</v>
      </c>
    </row>
    <row r="5033" spans="1:21" x14ac:dyDescent="0.2">
      <c r="A5033" s="3">
        <v>5032</v>
      </c>
      <c r="B5033" s="1" t="s">
        <v>5250</v>
      </c>
      <c r="D5033" s="1" t="s">
        <v>5280</v>
      </c>
      <c r="F5033" s="1" t="s">
        <v>5347</v>
      </c>
      <c r="H5033" s="1" t="s">
        <v>5368</v>
      </c>
      <c r="J5033" s="1" t="s">
        <v>5369</v>
      </c>
      <c r="L5033" s="1" t="s">
        <v>2964</v>
      </c>
      <c r="N5033" s="1" t="s">
        <v>2965</v>
      </c>
      <c r="P5033" s="1" t="s">
        <v>6508</v>
      </c>
      <c r="Q5033" s="30" t="s">
        <v>2891</v>
      </c>
      <c r="R5033" s="33" t="s">
        <v>3472</v>
      </c>
      <c r="S5033">
        <v>36</v>
      </c>
      <c r="T5033" s="1" t="s">
        <v>6449</v>
      </c>
      <c r="U5033" s="1" t="str">
        <f>HYPERLINK("http://ictvonline.org/taxonomy/p/taxonomy-history?taxnode_id=202108936","ICTVonline=202108936")</f>
        <v>ICTVonline=202108936</v>
      </c>
    </row>
    <row r="5034" spans="1:21" x14ac:dyDescent="0.2">
      <c r="A5034" s="3">
        <v>5033</v>
      </c>
      <c r="B5034" s="1" t="s">
        <v>5250</v>
      </c>
      <c r="D5034" s="1" t="s">
        <v>5280</v>
      </c>
      <c r="F5034" s="1" t="s">
        <v>5347</v>
      </c>
      <c r="H5034" s="1" t="s">
        <v>5368</v>
      </c>
      <c r="J5034" s="1" t="s">
        <v>5369</v>
      </c>
      <c r="L5034" s="1" t="s">
        <v>2964</v>
      </c>
      <c r="N5034" s="1" t="s">
        <v>2965</v>
      </c>
      <c r="P5034" s="1" t="s">
        <v>6509</v>
      </c>
      <c r="Q5034" s="30" t="s">
        <v>2891</v>
      </c>
      <c r="R5034" s="33" t="s">
        <v>3472</v>
      </c>
      <c r="S5034">
        <v>36</v>
      </c>
      <c r="T5034" s="1" t="s">
        <v>6449</v>
      </c>
      <c r="U5034" s="1" t="str">
        <f>HYPERLINK("http://ictvonline.org/taxonomy/p/taxonomy-history?taxnode_id=202109015","ICTVonline=202109015")</f>
        <v>ICTVonline=202109015</v>
      </c>
    </row>
    <row r="5035" spans="1:21" x14ac:dyDescent="0.2">
      <c r="A5035" s="3">
        <v>5034</v>
      </c>
      <c r="B5035" s="1" t="s">
        <v>5250</v>
      </c>
      <c r="D5035" s="1" t="s">
        <v>5280</v>
      </c>
      <c r="F5035" s="1" t="s">
        <v>5347</v>
      </c>
      <c r="H5035" s="1" t="s">
        <v>5368</v>
      </c>
      <c r="J5035" s="1" t="s">
        <v>5369</v>
      </c>
      <c r="L5035" s="1" t="s">
        <v>2964</v>
      </c>
      <c r="N5035" s="1" t="s">
        <v>2965</v>
      </c>
      <c r="P5035" s="1" t="s">
        <v>6510</v>
      </c>
      <c r="Q5035" s="30" t="s">
        <v>2891</v>
      </c>
      <c r="R5035" s="33" t="s">
        <v>3472</v>
      </c>
      <c r="S5035">
        <v>36</v>
      </c>
      <c r="T5035" s="1" t="s">
        <v>6449</v>
      </c>
      <c r="U5035" s="1" t="str">
        <f>HYPERLINK("http://ictvonline.org/taxonomy/p/taxonomy-history?taxnode_id=202109016","ICTVonline=202109016")</f>
        <v>ICTVonline=202109016</v>
      </c>
    </row>
    <row r="5036" spans="1:21" x14ac:dyDescent="0.2">
      <c r="A5036" s="3">
        <v>5035</v>
      </c>
      <c r="B5036" s="1" t="s">
        <v>5250</v>
      </c>
      <c r="D5036" s="1" t="s">
        <v>5280</v>
      </c>
      <c r="F5036" s="1" t="s">
        <v>5347</v>
      </c>
      <c r="H5036" s="1" t="s">
        <v>5368</v>
      </c>
      <c r="J5036" s="1" t="s">
        <v>5369</v>
      </c>
      <c r="L5036" s="1" t="s">
        <v>2964</v>
      </c>
      <c r="N5036" s="1" t="s">
        <v>2965</v>
      </c>
      <c r="P5036" s="1" t="s">
        <v>6511</v>
      </c>
      <c r="Q5036" s="30" t="s">
        <v>2891</v>
      </c>
      <c r="R5036" s="33" t="s">
        <v>3472</v>
      </c>
      <c r="S5036">
        <v>36</v>
      </c>
      <c r="T5036" s="1" t="s">
        <v>6449</v>
      </c>
      <c r="U5036" s="1" t="str">
        <f>HYPERLINK("http://ictvonline.org/taxonomy/p/taxonomy-history?taxnode_id=202108962","ICTVonline=202108962")</f>
        <v>ICTVonline=202108962</v>
      </c>
    </row>
    <row r="5037" spans="1:21" x14ac:dyDescent="0.2">
      <c r="A5037" s="3">
        <v>5036</v>
      </c>
      <c r="B5037" s="1" t="s">
        <v>5250</v>
      </c>
      <c r="D5037" s="1" t="s">
        <v>5280</v>
      </c>
      <c r="F5037" s="1" t="s">
        <v>5347</v>
      </c>
      <c r="H5037" s="1" t="s">
        <v>5368</v>
      </c>
      <c r="J5037" s="1" t="s">
        <v>5369</v>
      </c>
      <c r="L5037" s="1" t="s">
        <v>2964</v>
      </c>
      <c r="N5037" s="1" t="s">
        <v>2965</v>
      </c>
      <c r="P5037" s="1" t="s">
        <v>6512</v>
      </c>
      <c r="Q5037" s="30" t="s">
        <v>2891</v>
      </c>
      <c r="R5037" s="33" t="s">
        <v>3472</v>
      </c>
      <c r="S5037">
        <v>36</v>
      </c>
      <c r="T5037" s="1" t="s">
        <v>6449</v>
      </c>
      <c r="U5037" s="1" t="str">
        <f>HYPERLINK("http://ictvonline.org/taxonomy/p/taxonomy-history?taxnode_id=202109000","ICTVonline=202109000")</f>
        <v>ICTVonline=202109000</v>
      </c>
    </row>
    <row r="5038" spans="1:21" x14ac:dyDescent="0.2">
      <c r="A5038" s="3">
        <v>5037</v>
      </c>
      <c r="B5038" s="1" t="s">
        <v>5250</v>
      </c>
      <c r="D5038" s="1" t="s">
        <v>5280</v>
      </c>
      <c r="F5038" s="1" t="s">
        <v>5347</v>
      </c>
      <c r="H5038" s="1" t="s">
        <v>5368</v>
      </c>
      <c r="J5038" s="1" t="s">
        <v>5369</v>
      </c>
      <c r="L5038" s="1" t="s">
        <v>2964</v>
      </c>
      <c r="N5038" s="1" t="s">
        <v>2965</v>
      </c>
      <c r="P5038" s="1" t="s">
        <v>6513</v>
      </c>
      <c r="Q5038" s="30" t="s">
        <v>2891</v>
      </c>
      <c r="R5038" s="33" t="s">
        <v>3472</v>
      </c>
      <c r="S5038">
        <v>36</v>
      </c>
      <c r="T5038" s="1" t="s">
        <v>6449</v>
      </c>
      <c r="U5038" s="1" t="str">
        <f>HYPERLINK("http://ictvonline.org/taxonomy/p/taxonomy-history?taxnode_id=202108967","ICTVonline=202108967")</f>
        <v>ICTVonline=202108967</v>
      </c>
    </row>
    <row r="5039" spans="1:21" x14ac:dyDescent="0.2">
      <c r="A5039" s="3">
        <v>5038</v>
      </c>
      <c r="B5039" s="1" t="s">
        <v>5250</v>
      </c>
      <c r="D5039" s="1" t="s">
        <v>5280</v>
      </c>
      <c r="F5039" s="1" t="s">
        <v>5347</v>
      </c>
      <c r="H5039" s="1" t="s">
        <v>5368</v>
      </c>
      <c r="J5039" s="1" t="s">
        <v>5369</v>
      </c>
      <c r="L5039" s="1" t="s">
        <v>2964</v>
      </c>
      <c r="N5039" s="1" t="s">
        <v>2965</v>
      </c>
      <c r="P5039" s="1" t="s">
        <v>6514</v>
      </c>
      <c r="Q5039" s="30" t="s">
        <v>2891</v>
      </c>
      <c r="R5039" s="33" t="s">
        <v>3472</v>
      </c>
      <c r="S5039">
        <v>36</v>
      </c>
      <c r="T5039" s="1" t="s">
        <v>6449</v>
      </c>
      <c r="U5039" s="1" t="str">
        <f>HYPERLINK("http://ictvonline.org/taxonomy/p/taxonomy-history?taxnode_id=202109001","ICTVonline=202109001")</f>
        <v>ICTVonline=202109001</v>
      </c>
    </row>
    <row r="5040" spans="1:21" x14ac:dyDescent="0.2">
      <c r="A5040" s="3">
        <v>5039</v>
      </c>
      <c r="B5040" s="1" t="s">
        <v>5250</v>
      </c>
      <c r="D5040" s="1" t="s">
        <v>5280</v>
      </c>
      <c r="F5040" s="1" t="s">
        <v>5347</v>
      </c>
      <c r="H5040" s="1" t="s">
        <v>5368</v>
      </c>
      <c r="J5040" s="1" t="s">
        <v>5369</v>
      </c>
      <c r="L5040" s="1" t="s">
        <v>2964</v>
      </c>
      <c r="N5040" s="1" t="s">
        <v>2965</v>
      </c>
      <c r="P5040" s="1" t="s">
        <v>6515</v>
      </c>
      <c r="Q5040" s="30" t="s">
        <v>2891</v>
      </c>
      <c r="R5040" s="33" t="s">
        <v>3475</v>
      </c>
      <c r="S5040">
        <v>36</v>
      </c>
      <c r="T5040" s="1" t="s">
        <v>6449</v>
      </c>
      <c r="U5040" s="1" t="str">
        <f>HYPERLINK("http://ictvonline.org/taxonomy/p/taxonomy-history?taxnode_id=202103568","ICTVonline=202103568")</f>
        <v>ICTVonline=202103568</v>
      </c>
    </row>
    <row r="5041" spans="1:21" x14ac:dyDescent="0.2">
      <c r="A5041" s="3">
        <v>5040</v>
      </c>
      <c r="B5041" s="1" t="s">
        <v>5250</v>
      </c>
      <c r="D5041" s="1" t="s">
        <v>5280</v>
      </c>
      <c r="F5041" s="1" t="s">
        <v>5347</v>
      </c>
      <c r="H5041" s="1" t="s">
        <v>5368</v>
      </c>
      <c r="J5041" s="1" t="s">
        <v>5369</v>
      </c>
      <c r="L5041" s="1" t="s">
        <v>2964</v>
      </c>
      <c r="N5041" s="1" t="s">
        <v>2965</v>
      </c>
      <c r="P5041" s="1" t="s">
        <v>6516</v>
      </c>
      <c r="Q5041" s="30" t="s">
        <v>2568</v>
      </c>
      <c r="R5041" s="33" t="s">
        <v>3475</v>
      </c>
      <c r="S5041">
        <v>36</v>
      </c>
      <c r="T5041" s="1" t="s">
        <v>6449</v>
      </c>
      <c r="U5041" s="1" t="str">
        <f>HYPERLINK("http://ictvonline.org/taxonomy/p/taxonomy-history?taxnode_id=202103569","ICTVonline=202103569")</f>
        <v>ICTVonline=202103569</v>
      </c>
    </row>
    <row r="5042" spans="1:21" x14ac:dyDescent="0.2">
      <c r="A5042" s="3">
        <v>5041</v>
      </c>
      <c r="B5042" s="1" t="s">
        <v>5250</v>
      </c>
      <c r="D5042" s="1" t="s">
        <v>5280</v>
      </c>
      <c r="F5042" s="1" t="s">
        <v>5347</v>
      </c>
      <c r="H5042" s="1" t="s">
        <v>5368</v>
      </c>
      <c r="J5042" s="1" t="s">
        <v>5369</v>
      </c>
      <c r="L5042" s="1" t="s">
        <v>2964</v>
      </c>
      <c r="N5042" s="1" t="s">
        <v>2965</v>
      </c>
      <c r="P5042" s="1" t="s">
        <v>6517</v>
      </c>
      <c r="Q5042" s="30" t="s">
        <v>2891</v>
      </c>
      <c r="R5042" s="33" t="s">
        <v>3472</v>
      </c>
      <c r="S5042">
        <v>36</v>
      </c>
      <c r="T5042" s="1" t="s">
        <v>6449</v>
      </c>
      <c r="U5042" s="1" t="str">
        <f>HYPERLINK("http://ictvonline.org/taxonomy/p/taxonomy-history?taxnode_id=202109004","ICTVonline=202109004")</f>
        <v>ICTVonline=202109004</v>
      </c>
    </row>
    <row r="5043" spans="1:21" x14ac:dyDescent="0.2">
      <c r="A5043" s="3">
        <v>5042</v>
      </c>
      <c r="B5043" s="1" t="s">
        <v>5250</v>
      </c>
      <c r="D5043" s="1" t="s">
        <v>5280</v>
      </c>
      <c r="F5043" s="1" t="s">
        <v>5347</v>
      </c>
      <c r="H5043" s="1" t="s">
        <v>5368</v>
      </c>
      <c r="J5043" s="1" t="s">
        <v>5369</v>
      </c>
      <c r="L5043" s="1" t="s">
        <v>2964</v>
      </c>
      <c r="N5043" s="1" t="s">
        <v>2965</v>
      </c>
      <c r="P5043" s="1" t="s">
        <v>6518</v>
      </c>
      <c r="Q5043" s="30" t="s">
        <v>2891</v>
      </c>
      <c r="R5043" s="33" t="s">
        <v>3472</v>
      </c>
      <c r="S5043">
        <v>36</v>
      </c>
      <c r="T5043" s="1" t="s">
        <v>6449</v>
      </c>
      <c r="U5043" s="1" t="str">
        <f>HYPERLINK("http://ictvonline.org/taxonomy/p/taxonomy-history?taxnode_id=202108947","ICTVonline=202108947")</f>
        <v>ICTVonline=202108947</v>
      </c>
    </row>
    <row r="5044" spans="1:21" x14ac:dyDescent="0.2">
      <c r="A5044" s="3">
        <v>5043</v>
      </c>
      <c r="B5044" s="1" t="s">
        <v>5250</v>
      </c>
      <c r="D5044" s="1" t="s">
        <v>5280</v>
      </c>
      <c r="F5044" s="1" t="s">
        <v>5347</v>
      </c>
      <c r="H5044" s="1" t="s">
        <v>5368</v>
      </c>
      <c r="J5044" s="1" t="s">
        <v>5369</v>
      </c>
      <c r="L5044" s="1" t="s">
        <v>2964</v>
      </c>
      <c r="N5044" s="1" t="s">
        <v>2965</v>
      </c>
      <c r="P5044" s="1" t="s">
        <v>6519</v>
      </c>
      <c r="Q5044" s="30" t="s">
        <v>2891</v>
      </c>
      <c r="R5044" s="33" t="s">
        <v>3472</v>
      </c>
      <c r="S5044">
        <v>36</v>
      </c>
      <c r="T5044" s="1" t="s">
        <v>6449</v>
      </c>
      <c r="U5044" s="1" t="str">
        <f>HYPERLINK("http://ictvonline.org/taxonomy/p/taxonomy-history?taxnode_id=202108997","ICTVonline=202108997")</f>
        <v>ICTVonline=202108997</v>
      </c>
    </row>
    <row r="5045" spans="1:21" x14ac:dyDescent="0.2">
      <c r="A5045" s="3">
        <v>5044</v>
      </c>
      <c r="B5045" s="1" t="s">
        <v>5250</v>
      </c>
      <c r="D5045" s="1" t="s">
        <v>5280</v>
      </c>
      <c r="F5045" s="1" t="s">
        <v>5347</v>
      </c>
      <c r="H5045" s="1" t="s">
        <v>5368</v>
      </c>
      <c r="J5045" s="1" t="s">
        <v>5369</v>
      </c>
      <c r="L5045" s="1" t="s">
        <v>2964</v>
      </c>
      <c r="N5045" s="1" t="s">
        <v>2965</v>
      </c>
      <c r="P5045" s="1" t="s">
        <v>6520</v>
      </c>
      <c r="Q5045" s="30" t="s">
        <v>2891</v>
      </c>
      <c r="R5045" s="33" t="s">
        <v>3472</v>
      </c>
      <c r="S5045">
        <v>36</v>
      </c>
      <c r="T5045" s="1" t="s">
        <v>6449</v>
      </c>
      <c r="U5045" s="1" t="str">
        <f>HYPERLINK("http://ictvonline.org/taxonomy/p/taxonomy-history?taxnode_id=202108945","ICTVonline=202108945")</f>
        <v>ICTVonline=202108945</v>
      </c>
    </row>
    <row r="5046" spans="1:21" x14ac:dyDescent="0.2">
      <c r="A5046" s="3">
        <v>5045</v>
      </c>
      <c r="B5046" s="1" t="s">
        <v>5250</v>
      </c>
      <c r="D5046" s="1" t="s">
        <v>5280</v>
      </c>
      <c r="F5046" s="1" t="s">
        <v>5347</v>
      </c>
      <c r="H5046" s="1" t="s">
        <v>5368</v>
      </c>
      <c r="J5046" s="1" t="s">
        <v>5369</v>
      </c>
      <c r="L5046" s="1" t="s">
        <v>2964</v>
      </c>
      <c r="N5046" s="1" t="s">
        <v>2965</v>
      </c>
      <c r="P5046" s="1" t="s">
        <v>6521</v>
      </c>
      <c r="Q5046" s="30" t="s">
        <v>2891</v>
      </c>
      <c r="R5046" s="33" t="s">
        <v>3472</v>
      </c>
      <c r="S5046">
        <v>36</v>
      </c>
      <c r="T5046" s="1" t="s">
        <v>6449</v>
      </c>
      <c r="U5046" s="1" t="str">
        <f>HYPERLINK("http://ictvonline.org/taxonomy/p/taxonomy-history?taxnode_id=202108950","ICTVonline=202108950")</f>
        <v>ICTVonline=202108950</v>
      </c>
    </row>
    <row r="5047" spans="1:21" x14ac:dyDescent="0.2">
      <c r="A5047" s="3">
        <v>5046</v>
      </c>
      <c r="B5047" s="1" t="s">
        <v>5250</v>
      </c>
      <c r="D5047" s="1" t="s">
        <v>5280</v>
      </c>
      <c r="F5047" s="1" t="s">
        <v>5347</v>
      </c>
      <c r="H5047" s="1" t="s">
        <v>5368</v>
      </c>
      <c r="J5047" s="1" t="s">
        <v>5369</v>
      </c>
      <c r="L5047" s="1" t="s">
        <v>2964</v>
      </c>
      <c r="N5047" s="1" t="s">
        <v>2965</v>
      </c>
      <c r="P5047" s="1" t="s">
        <v>6522</v>
      </c>
      <c r="Q5047" s="30" t="s">
        <v>2891</v>
      </c>
      <c r="R5047" s="33" t="s">
        <v>3472</v>
      </c>
      <c r="S5047">
        <v>36</v>
      </c>
      <c r="T5047" s="1" t="s">
        <v>6449</v>
      </c>
      <c r="U5047" s="1" t="str">
        <f>HYPERLINK("http://ictvonline.org/taxonomy/p/taxonomy-history?taxnode_id=202108975","ICTVonline=202108975")</f>
        <v>ICTVonline=202108975</v>
      </c>
    </row>
    <row r="5048" spans="1:21" x14ac:dyDescent="0.2">
      <c r="A5048" s="3">
        <v>5047</v>
      </c>
      <c r="B5048" s="1" t="s">
        <v>5250</v>
      </c>
      <c r="D5048" s="1" t="s">
        <v>5280</v>
      </c>
      <c r="F5048" s="1" t="s">
        <v>5347</v>
      </c>
      <c r="H5048" s="1" t="s">
        <v>5368</v>
      </c>
      <c r="J5048" s="1" t="s">
        <v>5369</v>
      </c>
      <c r="L5048" s="1" t="s">
        <v>2964</v>
      </c>
      <c r="N5048" s="1" t="s">
        <v>2965</v>
      </c>
      <c r="P5048" s="1" t="s">
        <v>6523</v>
      </c>
      <c r="Q5048" s="30" t="s">
        <v>2891</v>
      </c>
      <c r="R5048" s="33" t="s">
        <v>3475</v>
      </c>
      <c r="S5048">
        <v>36</v>
      </c>
      <c r="T5048" s="1" t="s">
        <v>6449</v>
      </c>
      <c r="U5048" s="1" t="str">
        <f>HYPERLINK("http://ictvonline.org/taxonomy/p/taxonomy-history?taxnode_id=202103570","ICTVonline=202103570")</f>
        <v>ICTVonline=202103570</v>
      </c>
    </row>
    <row r="5049" spans="1:21" x14ac:dyDescent="0.2">
      <c r="A5049" s="3">
        <v>5048</v>
      </c>
      <c r="B5049" s="1" t="s">
        <v>5250</v>
      </c>
      <c r="D5049" s="1" t="s">
        <v>5280</v>
      </c>
      <c r="F5049" s="1" t="s">
        <v>5347</v>
      </c>
      <c r="H5049" s="1" t="s">
        <v>5368</v>
      </c>
      <c r="J5049" s="1" t="s">
        <v>5369</v>
      </c>
      <c r="L5049" s="1" t="s">
        <v>2964</v>
      </c>
      <c r="N5049" s="1" t="s">
        <v>2965</v>
      </c>
      <c r="P5049" s="1" t="s">
        <v>6524</v>
      </c>
      <c r="Q5049" s="30" t="s">
        <v>2568</v>
      </c>
      <c r="R5049" s="33" t="s">
        <v>3475</v>
      </c>
      <c r="S5049">
        <v>36</v>
      </c>
      <c r="T5049" s="1" t="s">
        <v>6449</v>
      </c>
      <c r="U5049" s="1" t="str">
        <f>HYPERLINK("http://ictvonline.org/taxonomy/p/taxonomy-history?taxnode_id=202103571","ICTVonline=202103571")</f>
        <v>ICTVonline=202103571</v>
      </c>
    </row>
    <row r="5050" spans="1:21" x14ac:dyDescent="0.2">
      <c r="A5050" s="3">
        <v>5049</v>
      </c>
      <c r="B5050" s="1" t="s">
        <v>5250</v>
      </c>
      <c r="D5050" s="1" t="s">
        <v>5280</v>
      </c>
      <c r="F5050" s="1" t="s">
        <v>5347</v>
      </c>
      <c r="H5050" s="1" t="s">
        <v>5368</v>
      </c>
      <c r="J5050" s="1" t="s">
        <v>5369</v>
      </c>
      <c r="L5050" s="1" t="s">
        <v>2964</v>
      </c>
      <c r="N5050" s="1" t="s">
        <v>2965</v>
      </c>
      <c r="P5050" s="1" t="s">
        <v>6525</v>
      </c>
      <c r="Q5050" s="30" t="s">
        <v>2891</v>
      </c>
      <c r="R5050" s="33" t="s">
        <v>3472</v>
      </c>
      <c r="S5050">
        <v>36</v>
      </c>
      <c r="T5050" s="1" t="s">
        <v>6449</v>
      </c>
      <c r="U5050" s="1" t="str">
        <f>HYPERLINK("http://ictvonline.org/taxonomy/p/taxonomy-history?taxnode_id=202108953","ICTVonline=202108953")</f>
        <v>ICTVonline=202108953</v>
      </c>
    </row>
    <row r="5051" spans="1:21" x14ac:dyDescent="0.2">
      <c r="A5051" s="3">
        <v>5050</v>
      </c>
      <c r="B5051" s="1" t="s">
        <v>5250</v>
      </c>
      <c r="D5051" s="1" t="s">
        <v>5280</v>
      </c>
      <c r="F5051" s="1" t="s">
        <v>5347</v>
      </c>
      <c r="H5051" s="1" t="s">
        <v>5368</v>
      </c>
      <c r="J5051" s="1" t="s">
        <v>5369</v>
      </c>
      <c r="L5051" s="1" t="s">
        <v>2964</v>
      </c>
      <c r="N5051" s="1" t="s">
        <v>2965</v>
      </c>
      <c r="P5051" s="1" t="s">
        <v>6526</v>
      </c>
      <c r="Q5051" s="30" t="s">
        <v>2891</v>
      </c>
      <c r="R5051" s="33" t="s">
        <v>3472</v>
      </c>
      <c r="S5051">
        <v>36</v>
      </c>
      <c r="T5051" s="1" t="s">
        <v>6449</v>
      </c>
      <c r="U5051" s="1" t="str">
        <f>HYPERLINK("http://ictvonline.org/taxonomy/p/taxonomy-history?taxnode_id=202108976","ICTVonline=202108976")</f>
        <v>ICTVonline=202108976</v>
      </c>
    </row>
    <row r="5052" spans="1:21" x14ac:dyDescent="0.2">
      <c r="A5052" s="3">
        <v>5051</v>
      </c>
      <c r="B5052" s="1" t="s">
        <v>5250</v>
      </c>
      <c r="D5052" s="1" t="s">
        <v>5280</v>
      </c>
      <c r="F5052" s="1" t="s">
        <v>5347</v>
      </c>
      <c r="H5052" s="1" t="s">
        <v>5368</v>
      </c>
      <c r="J5052" s="1" t="s">
        <v>5369</v>
      </c>
      <c r="L5052" s="1" t="s">
        <v>2964</v>
      </c>
      <c r="N5052" s="1" t="s">
        <v>2965</v>
      </c>
      <c r="P5052" s="1" t="s">
        <v>6527</v>
      </c>
      <c r="Q5052" s="30" t="s">
        <v>2891</v>
      </c>
      <c r="R5052" s="33" t="s">
        <v>3472</v>
      </c>
      <c r="S5052">
        <v>36</v>
      </c>
      <c r="T5052" s="1" t="s">
        <v>6449</v>
      </c>
      <c r="U5052" s="1" t="str">
        <f>HYPERLINK("http://ictvonline.org/taxonomy/p/taxonomy-history?taxnode_id=202108978","ICTVonline=202108978")</f>
        <v>ICTVonline=202108978</v>
      </c>
    </row>
    <row r="5053" spans="1:21" x14ac:dyDescent="0.2">
      <c r="A5053" s="3">
        <v>5052</v>
      </c>
      <c r="B5053" s="1" t="s">
        <v>5250</v>
      </c>
      <c r="D5053" s="1" t="s">
        <v>5280</v>
      </c>
      <c r="F5053" s="1" t="s">
        <v>5347</v>
      </c>
      <c r="H5053" s="1" t="s">
        <v>5368</v>
      </c>
      <c r="J5053" s="1" t="s">
        <v>5369</v>
      </c>
      <c r="L5053" s="1" t="s">
        <v>2964</v>
      </c>
      <c r="N5053" s="1" t="s">
        <v>2965</v>
      </c>
      <c r="P5053" s="1" t="s">
        <v>6528</v>
      </c>
      <c r="Q5053" s="30" t="s">
        <v>2891</v>
      </c>
      <c r="R5053" s="33" t="s">
        <v>3472</v>
      </c>
      <c r="S5053">
        <v>36</v>
      </c>
      <c r="T5053" s="1" t="s">
        <v>6449</v>
      </c>
      <c r="U5053" s="1" t="str">
        <f>HYPERLINK("http://ictvonline.org/taxonomy/p/taxonomy-history?taxnode_id=202108982","ICTVonline=202108982")</f>
        <v>ICTVonline=202108982</v>
      </c>
    </row>
    <row r="5054" spans="1:21" x14ac:dyDescent="0.2">
      <c r="A5054" s="3">
        <v>5053</v>
      </c>
      <c r="B5054" s="1" t="s">
        <v>5250</v>
      </c>
      <c r="D5054" s="1" t="s">
        <v>5280</v>
      </c>
      <c r="F5054" s="1" t="s">
        <v>5347</v>
      </c>
      <c r="H5054" s="1" t="s">
        <v>5368</v>
      </c>
      <c r="J5054" s="1" t="s">
        <v>5369</v>
      </c>
      <c r="L5054" s="1" t="s">
        <v>2964</v>
      </c>
      <c r="N5054" s="1" t="s">
        <v>2965</v>
      </c>
      <c r="P5054" s="1" t="s">
        <v>6529</v>
      </c>
      <c r="Q5054" s="30" t="s">
        <v>2891</v>
      </c>
      <c r="R5054" s="33" t="s">
        <v>3472</v>
      </c>
      <c r="S5054">
        <v>36</v>
      </c>
      <c r="T5054" s="1" t="s">
        <v>6449</v>
      </c>
      <c r="U5054" s="1" t="str">
        <f>HYPERLINK("http://ictvonline.org/taxonomy/p/taxonomy-history?taxnode_id=202108989","ICTVonline=202108989")</f>
        <v>ICTVonline=202108989</v>
      </c>
    </row>
    <row r="5055" spans="1:21" x14ac:dyDescent="0.2">
      <c r="A5055" s="3">
        <v>5054</v>
      </c>
      <c r="B5055" s="1" t="s">
        <v>5250</v>
      </c>
      <c r="D5055" s="1" t="s">
        <v>5280</v>
      </c>
      <c r="F5055" s="1" t="s">
        <v>5347</v>
      </c>
      <c r="H5055" s="1" t="s">
        <v>5368</v>
      </c>
      <c r="J5055" s="1" t="s">
        <v>5369</v>
      </c>
      <c r="L5055" s="1" t="s">
        <v>2964</v>
      </c>
      <c r="N5055" s="1" t="s">
        <v>2965</v>
      </c>
      <c r="P5055" s="1" t="s">
        <v>6530</v>
      </c>
      <c r="Q5055" s="30" t="s">
        <v>2891</v>
      </c>
      <c r="R5055" s="33" t="s">
        <v>3472</v>
      </c>
      <c r="S5055">
        <v>36</v>
      </c>
      <c r="T5055" s="1" t="s">
        <v>6449</v>
      </c>
      <c r="U5055" s="1" t="str">
        <f>HYPERLINK("http://ictvonline.org/taxonomy/p/taxonomy-history?taxnode_id=202108993","ICTVonline=202108993")</f>
        <v>ICTVonline=202108993</v>
      </c>
    </row>
    <row r="5056" spans="1:21" x14ac:dyDescent="0.2">
      <c r="A5056" s="3">
        <v>5055</v>
      </c>
      <c r="B5056" s="1" t="s">
        <v>5250</v>
      </c>
      <c r="D5056" s="1" t="s">
        <v>5280</v>
      </c>
      <c r="F5056" s="1" t="s">
        <v>5347</v>
      </c>
      <c r="H5056" s="1" t="s">
        <v>5368</v>
      </c>
      <c r="J5056" s="1" t="s">
        <v>5369</v>
      </c>
      <c r="L5056" s="1" t="s">
        <v>2964</v>
      </c>
      <c r="N5056" s="1" t="s">
        <v>2965</v>
      </c>
      <c r="P5056" s="1" t="s">
        <v>6531</v>
      </c>
      <c r="Q5056" s="30" t="s">
        <v>2891</v>
      </c>
      <c r="R5056" s="33" t="s">
        <v>3472</v>
      </c>
      <c r="S5056">
        <v>36</v>
      </c>
      <c r="T5056" s="1" t="s">
        <v>6449</v>
      </c>
      <c r="U5056" s="1" t="str">
        <f>HYPERLINK("http://ictvonline.org/taxonomy/p/taxonomy-history?taxnode_id=202109009","ICTVonline=202109009")</f>
        <v>ICTVonline=202109009</v>
      </c>
    </row>
    <row r="5057" spans="1:21" x14ac:dyDescent="0.2">
      <c r="A5057" s="3">
        <v>5056</v>
      </c>
      <c r="B5057" s="1" t="s">
        <v>5250</v>
      </c>
      <c r="D5057" s="1" t="s">
        <v>5280</v>
      </c>
      <c r="F5057" s="1" t="s">
        <v>5347</v>
      </c>
      <c r="H5057" s="1" t="s">
        <v>5368</v>
      </c>
      <c r="J5057" s="1" t="s">
        <v>5369</v>
      </c>
      <c r="L5057" s="1" t="s">
        <v>2964</v>
      </c>
      <c r="N5057" s="1" t="s">
        <v>2965</v>
      </c>
      <c r="P5057" s="1" t="s">
        <v>6532</v>
      </c>
      <c r="Q5057" s="30" t="s">
        <v>2891</v>
      </c>
      <c r="R5057" s="33" t="s">
        <v>3472</v>
      </c>
      <c r="S5057">
        <v>36</v>
      </c>
      <c r="T5057" s="1" t="s">
        <v>6449</v>
      </c>
      <c r="U5057" s="1" t="str">
        <f>HYPERLINK("http://ictvonline.org/taxonomy/p/taxonomy-history?taxnode_id=202108941","ICTVonline=202108941")</f>
        <v>ICTVonline=202108941</v>
      </c>
    </row>
    <row r="5058" spans="1:21" x14ac:dyDescent="0.2">
      <c r="A5058" s="3">
        <v>5057</v>
      </c>
      <c r="B5058" s="1" t="s">
        <v>5250</v>
      </c>
      <c r="D5058" s="1" t="s">
        <v>5280</v>
      </c>
      <c r="F5058" s="1" t="s">
        <v>5347</v>
      </c>
      <c r="H5058" s="1" t="s">
        <v>5368</v>
      </c>
      <c r="J5058" s="1" t="s">
        <v>5369</v>
      </c>
      <c r="L5058" s="1" t="s">
        <v>2964</v>
      </c>
      <c r="N5058" s="1" t="s">
        <v>2965</v>
      </c>
      <c r="P5058" s="1" t="s">
        <v>6533</v>
      </c>
      <c r="Q5058" s="30" t="s">
        <v>2891</v>
      </c>
      <c r="R5058" s="33" t="s">
        <v>3472</v>
      </c>
      <c r="S5058">
        <v>36</v>
      </c>
      <c r="T5058" s="1" t="s">
        <v>6449</v>
      </c>
      <c r="U5058" s="1" t="str">
        <f>HYPERLINK("http://ictvonline.org/taxonomy/p/taxonomy-history?taxnode_id=202108948","ICTVonline=202108948")</f>
        <v>ICTVonline=202108948</v>
      </c>
    </row>
    <row r="5059" spans="1:21" x14ac:dyDescent="0.2">
      <c r="A5059" s="3">
        <v>5058</v>
      </c>
      <c r="B5059" s="1" t="s">
        <v>5250</v>
      </c>
      <c r="D5059" s="1" t="s">
        <v>5280</v>
      </c>
      <c r="F5059" s="1" t="s">
        <v>5347</v>
      </c>
      <c r="H5059" s="1" t="s">
        <v>5368</v>
      </c>
      <c r="J5059" s="1" t="s">
        <v>5369</v>
      </c>
      <c r="L5059" s="1" t="s">
        <v>2964</v>
      </c>
      <c r="N5059" s="1" t="s">
        <v>2965</v>
      </c>
      <c r="P5059" s="1" t="s">
        <v>6534</v>
      </c>
      <c r="Q5059" s="30" t="s">
        <v>2891</v>
      </c>
      <c r="R5059" s="33" t="s">
        <v>3472</v>
      </c>
      <c r="S5059">
        <v>36</v>
      </c>
      <c r="T5059" s="1" t="s">
        <v>6449</v>
      </c>
      <c r="U5059" s="1" t="str">
        <f>HYPERLINK("http://ictvonline.org/taxonomy/p/taxonomy-history?taxnode_id=202108951","ICTVonline=202108951")</f>
        <v>ICTVonline=202108951</v>
      </c>
    </row>
    <row r="5060" spans="1:21" x14ac:dyDescent="0.2">
      <c r="A5060" s="3">
        <v>5059</v>
      </c>
      <c r="B5060" s="1" t="s">
        <v>5250</v>
      </c>
      <c r="D5060" s="1" t="s">
        <v>5280</v>
      </c>
      <c r="F5060" s="1" t="s">
        <v>5347</v>
      </c>
      <c r="H5060" s="1" t="s">
        <v>5368</v>
      </c>
      <c r="J5060" s="1" t="s">
        <v>5369</v>
      </c>
      <c r="L5060" s="1" t="s">
        <v>2964</v>
      </c>
      <c r="N5060" s="1" t="s">
        <v>2965</v>
      </c>
      <c r="P5060" s="1" t="s">
        <v>6535</v>
      </c>
      <c r="Q5060" s="30" t="s">
        <v>2891</v>
      </c>
      <c r="R5060" s="33" t="s">
        <v>3472</v>
      </c>
      <c r="S5060">
        <v>36</v>
      </c>
      <c r="T5060" s="1" t="s">
        <v>6449</v>
      </c>
      <c r="U5060" s="1" t="str">
        <f>HYPERLINK("http://ictvonline.org/taxonomy/p/taxonomy-history?taxnode_id=202108952","ICTVonline=202108952")</f>
        <v>ICTVonline=202108952</v>
      </c>
    </row>
    <row r="5061" spans="1:21" x14ac:dyDescent="0.2">
      <c r="A5061" s="3">
        <v>5060</v>
      </c>
      <c r="B5061" s="1" t="s">
        <v>5250</v>
      </c>
      <c r="D5061" s="1" t="s">
        <v>5280</v>
      </c>
      <c r="F5061" s="1" t="s">
        <v>5347</v>
      </c>
      <c r="H5061" s="1" t="s">
        <v>5368</v>
      </c>
      <c r="J5061" s="1" t="s">
        <v>5369</v>
      </c>
      <c r="L5061" s="1" t="s">
        <v>2964</v>
      </c>
      <c r="N5061" s="1" t="s">
        <v>2965</v>
      </c>
      <c r="P5061" s="1" t="s">
        <v>6536</v>
      </c>
      <c r="Q5061" s="30" t="s">
        <v>2891</v>
      </c>
      <c r="R5061" s="33" t="s">
        <v>3472</v>
      </c>
      <c r="S5061">
        <v>36</v>
      </c>
      <c r="T5061" s="1" t="s">
        <v>6449</v>
      </c>
      <c r="U5061" s="1" t="str">
        <f>HYPERLINK("http://ictvonline.org/taxonomy/p/taxonomy-history?taxnode_id=202108985","ICTVonline=202108985")</f>
        <v>ICTVonline=202108985</v>
      </c>
    </row>
    <row r="5062" spans="1:21" x14ac:dyDescent="0.2">
      <c r="A5062" s="3">
        <v>5061</v>
      </c>
      <c r="B5062" s="1" t="s">
        <v>5250</v>
      </c>
      <c r="D5062" s="1" t="s">
        <v>5280</v>
      </c>
      <c r="F5062" s="1" t="s">
        <v>5347</v>
      </c>
      <c r="H5062" s="1" t="s">
        <v>5368</v>
      </c>
      <c r="J5062" s="1" t="s">
        <v>5369</v>
      </c>
      <c r="L5062" s="1" t="s">
        <v>2964</v>
      </c>
      <c r="N5062" s="1" t="s">
        <v>2965</v>
      </c>
      <c r="P5062" s="1" t="s">
        <v>6537</v>
      </c>
      <c r="Q5062" s="30" t="s">
        <v>2568</v>
      </c>
      <c r="R5062" s="33" t="s">
        <v>3475</v>
      </c>
      <c r="S5062">
        <v>36</v>
      </c>
      <c r="T5062" s="1" t="s">
        <v>6449</v>
      </c>
      <c r="U5062" s="1" t="str">
        <f>HYPERLINK("http://ictvonline.org/taxonomy/p/taxonomy-history?taxnode_id=202103572","ICTVonline=202103572")</f>
        <v>ICTVonline=202103572</v>
      </c>
    </row>
    <row r="5063" spans="1:21" x14ac:dyDescent="0.2">
      <c r="A5063" s="3">
        <v>5062</v>
      </c>
      <c r="B5063" s="1" t="s">
        <v>5250</v>
      </c>
      <c r="D5063" s="1" t="s">
        <v>5280</v>
      </c>
      <c r="F5063" s="1" t="s">
        <v>5347</v>
      </c>
      <c r="H5063" s="1" t="s">
        <v>5368</v>
      </c>
      <c r="J5063" s="1" t="s">
        <v>5369</v>
      </c>
      <c r="L5063" s="1" t="s">
        <v>2964</v>
      </c>
      <c r="N5063" s="1" t="s">
        <v>2965</v>
      </c>
      <c r="P5063" s="1" t="s">
        <v>6538</v>
      </c>
      <c r="Q5063" s="30" t="s">
        <v>2568</v>
      </c>
      <c r="R5063" s="33" t="s">
        <v>3475</v>
      </c>
      <c r="S5063">
        <v>36</v>
      </c>
      <c r="T5063" s="1" t="s">
        <v>6449</v>
      </c>
      <c r="U5063" s="1" t="str">
        <f>HYPERLINK("http://ictvonline.org/taxonomy/p/taxonomy-history?taxnode_id=202103573","ICTVonline=202103573")</f>
        <v>ICTVonline=202103573</v>
      </c>
    </row>
    <row r="5064" spans="1:21" x14ac:dyDescent="0.2">
      <c r="A5064" s="3">
        <v>5063</v>
      </c>
      <c r="B5064" s="1" t="s">
        <v>5250</v>
      </c>
      <c r="D5064" s="1" t="s">
        <v>5280</v>
      </c>
      <c r="F5064" s="1" t="s">
        <v>5347</v>
      </c>
      <c r="H5064" s="1" t="s">
        <v>5368</v>
      </c>
      <c r="J5064" s="1" t="s">
        <v>5369</v>
      </c>
      <c r="L5064" s="1" t="s">
        <v>2964</v>
      </c>
      <c r="N5064" s="1" t="s">
        <v>2965</v>
      </c>
      <c r="P5064" s="1" t="s">
        <v>6539</v>
      </c>
      <c r="Q5064" s="30" t="s">
        <v>2891</v>
      </c>
      <c r="R5064" s="33" t="s">
        <v>3472</v>
      </c>
      <c r="S5064">
        <v>36</v>
      </c>
      <c r="T5064" s="1" t="s">
        <v>6449</v>
      </c>
      <c r="U5064" s="1" t="str">
        <f>HYPERLINK("http://ictvonline.org/taxonomy/p/taxonomy-history?taxnode_id=202108969","ICTVonline=202108969")</f>
        <v>ICTVonline=202108969</v>
      </c>
    </row>
    <row r="5065" spans="1:21" x14ac:dyDescent="0.2">
      <c r="A5065" s="3">
        <v>5064</v>
      </c>
      <c r="B5065" s="1" t="s">
        <v>5250</v>
      </c>
      <c r="D5065" s="1" t="s">
        <v>5280</v>
      </c>
      <c r="F5065" s="1" t="s">
        <v>5347</v>
      </c>
      <c r="H5065" s="1" t="s">
        <v>5368</v>
      </c>
      <c r="J5065" s="1" t="s">
        <v>5369</v>
      </c>
      <c r="L5065" s="1" t="s">
        <v>2964</v>
      </c>
      <c r="N5065" s="1" t="s">
        <v>2965</v>
      </c>
      <c r="P5065" s="1" t="s">
        <v>6540</v>
      </c>
      <c r="Q5065" s="30" t="s">
        <v>2891</v>
      </c>
      <c r="R5065" s="33" t="s">
        <v>3472</v>
      </c>
      <c r="S5065">
        <v>36</v>
      </c>
      <c r="T5065" s="1" t="s">
        <v>6449</v>
      </c>
      <c r="U5065" s="1" t="str">
        <f>HYPERLINK("http://ictvonline.org/taxonomy/p/taxonomy-history?taxnode_id=202109007","ICTVonline=202109007")</f>
        <v>ICTVonline=202109007</v>
      </c>
    </row>
    <row r="5066" spans="1:21" x14ac:dyDescent="0.2">
      <c r="A5066" s="3">
        <v>5065</v>
      </c>
      <c r="B5066" s="1" t="s">
        <v>5250</v>
      </c>
      <c r="D5066" s="1" t="s">
        <v>5280</v>
      </c>
      <c r="F5066" s="1" t="s">
        <v>5347</v>
      </c>
      <c r="H5066" s="1" t="s">
        <v>5368</v>
      </c>
      <c r="J5066" s="1" t="s">
        <v>5369</v>
      </c>
      <c r="L5066" s="1" t="s">
        <v>2964</v>
      </c>
      <c r="N5066" s="1" t="s">
        <v>2965</v>
      </c>
      <c r="P5066" s="1" t="s">
        <v>6541</v>
      </c>
      <c r="Q5066" s="30" t="s">
        <v>2891</v>
      </c>
      <c r="R5066" s="33" t="s">
        <v>3472</v>
      </c>
      <c r="S5066">
        <v>36</v>
      </c>
      <c r="T5066" s="1" t="s">
        <v>6449</v>
      </c>
      <c r="U5066" s="1" t="str">
        <f>HYPERLINK("http://ictvonline.org/taxonomy/p/taxonomy-history?taxnode_id=202108974","ICTVonline=202108974")</f>
        <v>ICTVonline=202108974</v>
      </c>
    </row>
    <row r="5067" spans="1:21" x14ac:dyDescent="0.2">
      <c r="A5067" s="3">
        <v>5066</v>
      </c>
      <c r="B5067" s="1" t="s">
        <v>5250</v>
      </c>
      <c r="D5067" s="1" t="s">
        <v>5280</v>
      </c>
      <c r="F5067" s="1" t="s">
        <v>5347</v>
      </c>
      <c r="H5067" s="1" t="s">
        <v>5368</v>
      </c>
      <c r="J5067" s="1" t="s">
        <v>5369</v>
      </c>
      <c r="L5067" s="1" t="s">
        <v>2964</v>
      </c>
      <c r="N5067" s="1" t="s">
        <v>2965</v>
      </c>
      <c r="P5067" s="1" t="s">
        <v>6542</v>
      </c>
      <c r="Q5067" s="30" t="s">
        <v>2891</v>
      </c>
      <c r="R5067" s="33" t="s">
        <v>3472</v>
      </c>
      <c r="S5067">
        <v>36</v>
      </c>
      <c r="T5067" s="1" t="s">
        <v>6449</v>
      </c>
      <c r="U5067" s="1" t="str">
        <f>HYPERLINK("http://ictvonline.org/taxonomy/p/taxonomy-history?taxnode_id=202108986","ICTVonline=202108986")</f>
        <v>ICTVonline=202108986</v>
      </c>
    </row>
    <row r="5068" spans="1:21" x14ac:dyDescent="0.2">
      <c r="A5068" s="3">
        <v>5067</v>
      </c>
      <c r="B5068" s="1" t="s">
        <v>5250</v>
      </c>
      <c r="D5068" s="1" t="s">
        <v>5280</v>
      </c>
      <c r="F5068" s="1" t="s">
        <v>5347</v>
      </c>
      <c r="H5068" s="1" t="s">
        <v>5368</v>
      </c>
      <c r="J5068" s="1" t="s">
        <v>5369</v>
      </c>
      <c r="L5068" s="1" t="s">
        <v>2964</v>
      </c>
      <c r="N5068" s="1" t="s">
        <v>2965</v>
      </c>
      <c r="P5068" s="1" t="s">
        <v>6543</v>
      </c>
      <c r="Q5068" s="30" t="s">
        <v>2568</v>
      </c>
      <c r="R5068" s="33" t="s">
        <v>3475</v>
      </c>
      <c r="S5068">
        <v>36</v>
      </c>
      <c r="T5068" s="1" t="s">
        <v>6449</v>
      </c>
      <c r="U5068" s="1" t="str">
        <f>HYPERLINK("http://ictvonline.org/taxonomy/p/taxonomy-history?taxnode_id=202103574","ICTVonline=202103574")</f>
        <v>ICTVonline=202103574</v>
      </c>
    </row>
    <row r="5069" spans="1:21" x14ac:dyDescent="0.2">
      <c r="A5069" s="3">
        <v>5068</v>
      </c>
      <c r="B5069" s="1" t="s">
        <v>5250</v>
      </c>
      <c r="D5069" s="1" t="s">
        <v>5280</v>
      </c>
      <c r="F5069" s="1" t="s">
        <v>5347</v>
      </c>
      <c r="H5069" s="1" t="s">
        <v>5368</v>
      </c>
      <c r="J5069" s="1" t="s">
        <v>5369</v>
      </c>
      <c r="L5069" s="1" t="s">
        <v>2964</v>
      </c>
      <c r="N5069" s="1" t="s">
        <v>2965</v>
      </c>
      <c r="P5069" s="1" t="s">
        <v>6544</v>
      </c>
      <c r="Q5069" s="30" t="s">
        <v>2568</v>
      </c>
      <c r="R5069" s="33" t="s">
        <v>3475</v>
      </c>
      <c r="S5069">
        <v>36</v>
      </c>
      <c r="T5069" s="1" t="s">
        <v>6449</v>
      </c>
      <c r="U5069" s="1" t="str">
        <f>HYPERLINK("http://ictvonline.org/taxonomy/p/taxonomy-history?taxnode_id=202103575","ICTVonline=202103575")</f>
        <v>ICTVonline=202103575</v>
      </c>
    </row>
    <row r="5070" spans="1:21" x14ac:dyDescent="0.2">
      <c r="A5070" s="3">
        <v>5069</v>
      </c>
      <c r="B5070" s="1" t="s">
        <v>5250</v>
      </c>
      <c r="D5070" s="1" t="s">
        <v>5280</v>
      </c>
      <c r="F5070" s="1" t="s">
        <v>5347</v>
      </c>
      <c r="H5070" s="1" t="s">
        <v>5368</v>
      </c>
      <c r="J5070" s="1" t="s">
        <v>5369</v>
      </c>
      <c r="L5070" s="1" t="s">
        <v>2964</v>
      </c>
      <c r="N5070" s="1" t="s">
        <v>2965</v>
      </c>
      <c r="P5070" s="1" t="s">
        <v>6545</v>
      </c>
      <c r="Q5070" s="30" t="s">
        <v>2891</v>
      </c>
      <c r="R5070" s="33" t="s">
        <v>3475</v>
      </c>
      <c r="S5070">
        <v>36</v>
      </c>
      <c r="T5070" s="1" t="s">
        <v>6449</v>
      </c>
      <c r="U5070" s="1" t="str">
        <f>HYPERLINK("http://ictvonline.org/taxonomy/p/taxonomy-history?taxnode_id=202103576","ICTVonline=202103576")</f>
        <v>ICTVonline=202103576</v>
      </c>
    </row>
    <row r="5071" spans="1:21" x14ac:dyDescent="0.2">
      <c r="A5071" s="3">
        <v>5070</v>
      </c>
      <c r="B5071" s="1" t="s">
        <v>5250</v>
      </c>
      <c r="D5071" s="1" t="s">
        <v>5280</v>
      </c>
      <c r="F5071" s="1" t="s">
        <v>5347</v>
      </c>
      <c r="H5071" s="1" t="s">
        <v>5368</v>
      </c>
      <c r="J5071" s="1" t="s">
        <v>5369</v>
      </c>
      <c r="L5071" s="1" t="s">
        <v>2964</v>
      </c>
      <c r="N5071" s="1" t="s">
        <v>2965</v>
      </c>
      <c r="P5071" s="1" t="s">
        <v>6546</v>
      </c>
      <c r="Q5071" s="30" t="s">
        <v>2568</v>
      </c>
      <c r="R5071" s="33" t="s">
        <v>3475</v>
      </c>
      <c r="S5071">
        <v>36</v>
      </c>
      <c r="T5071" s="1" t="s">
        <v>6449</v>
      </c>
      <c r="U5071" s="1" t="str">
        <f>HYPERLINK("http://ictvonline.org/taxonomy/p/taxonomy-history?taxnode_id=202103577","ICTVonline=202103577")</f>
        <v>ICTVonline=202103577</v>
      </c>
    </row>
    <row r="5072" spans="1:21" x14ac:dyDescent="0.2">
      <c r="A5072" s="3">
        <v>5071</v>
      </c>
      <c r="B5072" s="1" t="s">
        <v>5250</v>
      </c>
      <c r="D5072" s="1" t="s">
        <v>5280</v>
      </c>
      <c r="F5072" s="1" t="s">
        <v>5347</v>
      </c>
      <c r="H5072" s="1" t="s">
        <v>5368</v>
      </c>
      <c r="J5072" s="1" t="s">
        <v>5369</v>
      </c>
      <c r="L5072" s="1" t="s">
        <v>2964</v>
      </c>
      <c r="N5072" s="1" t="s">
        <v>2965</v>
      </c>
      <c r="P5072" s="1" t="s">
        <v>6547</v>
      </c>
      <c r="Q5072" s="30" t="s">
        <v>2568</v>
      </c>
      <c r="R5072" s="33" t="s">
        <v>3475</v>
      </c>
      <c r="S5072">
        <v>36</v>
      </c>
      <c r="T5072" s="1" t="s">
        <v>6449</v>
      </c>
      <c r="U5072" s="1" t="str">
        <f>HYPERLINK("http://ictvonline.org/taxonomy/p/taxonomy-history?taxnode_id=202103578","ICTVonline=202103578")</f>
        <v>ICTVonline=202103578</v>
      </c>
    </row>
    <row r="5073" spans="1:21" x14ac:dyDescent="0.2">
      <c r="A5073" s="3">
        <v>5072</v>
      </c>
      <c r="B5073" s="1" t="s">
        <v>5250</v>
      </c>
      <c r="D5073" s="1" t="s">
        <v>5280</v>
      </c>
      <c r="F5073" s="1" t="s">
        <v>5347</v>
      </c>
      <c r="H5073" s="1" t="s">
        <v>5368</v>
      </c>
      <c r="J5073" s="1" t="s">
        <v>5369</v>
      </c>
      <c r="L5073" s="1" t="s">
        <v>2964</v>
      </c>
      <c r="N5073" s="1" t="s">
        <v>2965</v>
      </c>
      <c r="P5073" s="1" t="s">
        <v>6548</v>
      </c>
      <c r="Q5073" s="30" t="s">
        <v>2568</v>
      </c>
      <c r="R5073" s="33" t="s">
        <v>3475</v>
      </c>
      <c r="S5073">
        <v>36</v>
      </c>
      <c r="T5073" s="1" t="s">
        <v>6449</v>
      </c>
      <c r="U5073" s="1" t="str">
        <f>HYPERLINK("http://ictvonline.org/taxonomy/p/taxonomy-history?taxnode_id=202103579","ICTVonline=202103579")</f>
        <v>ICTVonline=202103579</v>
      </c>
    </row>
    <row r="5074" spans="1:21" x14ac:dyDescent="0.2">
      <c r="A5074" s="3">
        <v>5073</v>
      </c>
      <c r="B5074" s="1" t="s">
        <v>5250</v>
      </c>
      <c r="D5074" s="1" t="s">
        <v>5280</v>
      </c>
      <c r="F5074" s="1" t="s">
        <v>5347</v>
      </c>
      <c r="H5074" s="1" t="s">
        <v>5368</v>
      </c>
      <c r="J5074" s="1" t="s">
        <v>5369</v>
      </c>
      <c r="L5074" s="1" t="s">
        <v>2964</v>
      </c>
      <c r="N5074" s="1" t="s">
        <v>2965</v>
      </c>
      <c r="P5074" s="1" t="s">
        <v>6549</v>
      </c>
      <c r="Q5074" s="30" t="s">
        <v>2568</v>
      </c>
      <c r="R5074" s="33" t="s">
        <v>3475</v>
      </c>
      <c r="S5074">
        <v>36</v>
      </c>
      <c r="T5074" s="1" t="s">
        <v>6449</v>
      </c>
      <c r="U5074" s="1" t="str">
        <f>HYPERLINK("http://ictvonline.org/taxonomy/p/taxonomy-history?taxnode_id=202103580","ICTVonline=202103580")</f>
        <v>ICTVonline=202103580</v>
      </c>
    </row>
    <row r="5075" spans="1:21" x14ac:dyDescent="0.2">
      <c r="A5075" s="3">
        <v>5074</v>
      </c>
      <c r="B5075" s="1" t="s">
        <v>5250</v>
      </c>
      <c r="D5075" s="1" t="s">
        <v>5280</v>
      </c>
      <c r="F5075" s="1" t="s">
        <v>5347</v>
      </c>
      <c r="H5075" s="1" t="s">
        <v>5368</v>
      </c>
      <c r="J5075" s="1" t="s">
        <v>5369</v>
      </c>
      <c r="L5075" s="1" t="s">
        <v>2964</v>
      </c>
      <c r="N5075" s="1" t="s">
        <v>2965</v>
      </c>
      <c r="P5075" s="1" t="s">
        <v>6550</v>
      </c>
      <c r="Q5075" s="30" t="s">
        <v>2568</v>
      </c>
      <c r="R5075" s="33" t="s">
        <v>3475</v>
      </c>
      <c r="S5075">
        <v>36</v>
      </c>
      <c r="T5075" s="1" t="s">
        <v>6449</v>
      </c>
      <c r="U5075" s="1" t="str">
        <f>HYPERLINK("http://ictvonline.org/taxonomy/p/taxonomy-history?taxnode_id=202103581","ICTVonline=202103581")</f>
        <v>ICTVonline=202103581</v>
      </c>
    </row>
    <row r="5076" spans="1:21" x14ac:dyDescent="0.2">
      <c r="A5076" s="3">
        <v>5075</v>
      </c>
      <c r="B5076" s="1" t="s">
        <v>5250</v>
      </c>
      <c r="D5076" s="1" t="s">
        <v>5280</v>
      </c>
      <c r="F5076" s="1" t="s">
        <v>5347</v>
      </c>
      <c r="H5076" s="1" t="s">
        <v>5368</v>
      </c>
      <c r="J5076" s="1" t="s">
        <v>5369</v>
      </c>
      <c r="L5076" s="1" t="s">
        <v>2964</v>
      </c>
      <c r="N5076" s="1" t="s">
        <v>2965</v>
      </c>
      <c r="P5076" s="1" t="s">
        <v>6551</v>
      </c>
      <c r="Q5076" s="30" t="s">
        <v>2568</v>
      </c>
      <c r="R5076" s="33" t="s">
        <v>3475</v>
      </c>
      <c r="S5076">
        <v>36</v>
      </c>
      <c r="T5076" s="1" t="s">
        <v>6449</v>
      </c>
      <c r="U5076" s="1" t="str">
        <f>HYPERLINK("http://ictvonline.org/taxonomy/p/taxonomy-history?taxnode_id=202103582","ICTVonline=202103582")</f>
        <v>ICTVonline=202103582</v>
      </c>
    </row>
    <row r="5077" spans="1:21" x14ac:dyDescent="0.2">
      <c r="A5077" s="3">
        <v>5076</v>
      </c>
      <c r="B5077" s="1" t="s">
        <v>5250</v>
      </c>
      <c r="D5077" s="1" t="s">
        <v>5280</v>
      </c>
      <c r="F5077" s="1" t="s">
        <v>5347</v>
      </c>
      <c r="H5077" s="1" t="s">
        <v>5368</v>
      </c>
      <c r="J5077" s="1" t="s">
        <v>5369</v>
      </c>
      <c r="L5077" s="1" t="s">
        <v>2964</v>
      </c>
      <c r="N5077" s="1" t="s">
        <v>2965</v>
      </c>
      <c r="P5077" s="1" t="s">
        <v>6552</v>
      </c>
      <c r="Q5077" s="30" t="s">
        <v>2568</v>
      </c>
      <c r="R5077" s="33" t="s">
        <v>3475</v>
      </c>
      <c r="S5077">
        <v>36</v>
      </c>
      <c r="T5077" s="1" t="s">
        <v>6449</v>
      </c>
      <c r="U5077" s="1" t="str">
        <f>HYPERLINK("http://ictvonline.org/taxonomy/p/taxonomy-history?taxnode_id=202103583","ICTVonline=202103583")</f>
        <v>ICTVonline=202103583</v>
      </c>
    </row>
    <row r="5078" spans="1:21" x14ac:dyDescent="0.2">
      <c r="A5078" s="3">
        <v>5077</v>
      </c>
      <c r="B5078" s="1" t="s">
        <v>5250</v>
      </c>
      <c r="D5078" s="1" t="s">
        <v>5280</v>
      </c>
      <c r="F5078" s="1" t="s">
        <v>5347</v>
      </c>
      <c r="H5078" s="1" t="s">
        <v>5368</v>
      </c>
      <c r="J5078" s="1" t="s">
        <v>5369</v>
      </c>
      <c r="L5078" s="1" t="s">
        <v>2964</v>
      </c>
      <c r="N5078" s="1" t="s">
        <v>2965</v>
      </c>
      <c r="P5078" s="1" t="s">
        <v>6553</v>
      </c>
      <c r="Q5078" s="30" t="s">
        <v>2568</v>
      </c>
      <c r="R5078" s="33" t="s">
        <v>3475</v>
      </c>
      <c r="S5078">
        <v>36</v>
      </c>
      <c r="T5078" s="1" t="s">
        <v>6449</v>
      </c>
      <c r="U5078" s="1" t="str">
        <f>HYPERLINK("http://ictvonline.org/taxonomy/p/taxonomy-history?taxnode_id=202103584","ICTVonline=202103584")</f>
        <v>ICTVonline=202103584</v>
      </c>
    </row>
    <row r="5079" spans="1:21" x14ac:dyDescent="0.2">
      <c r="A5079" s="3">
        <v>5078</v>
      </c>
      <c r="B5079" s="1" t="s">
        <v>5250</v>
      </c>
      <c r="D5079" s="1" t="s">
        <v>5280</v>
      </c>
      <c r="F5079" s="1" t="s">
        <v>5347</v>
      </c>
      <c r="H5079" s="1" t="s">
        <v>5368</v>
      </c>
      <c r="J5079" s="1" t="s">
        <v>5369</v>
      </c>
      <c r="L5079" s="1" t="s">
        <v>2964</v>
      </c>
      <c r="N5079" s="1" t="s">
        <v>2965</v>
      </c>
      <c r="P5079" s="1" t="s">
        <v>6554</v>
      </c>
      <c r="Q5079" s="30" t="s">
        <v>2568</v>
      </c>
      <c r="R5079" s="33" t="s">
        <v>3475</v>
      </c>
      <c r="S5079">
        <v>36</v>
      </c>
      <c r="T5079" s="1" t="s">
        <v>6449</v>
      </c>
      <c r="U5079" s="1" t="str">
        <f>HYPERLINK("http://ictvonline.org/taxonomy/p/taxonomy-history?taxnode_id=202103585","ICTVonline=202103585")</f>
        <v>ICTVonline=202103585</v>
      </c>
    </row>
    <row r="5080" spans="1:21" x14ac:dyDescent="0.2">
      <c r="A5080" s="3">
        <v>5079</v>
      </c>
      <c r="B5080" s="1" t="s">
        <v>5250</v>
      </c>
      <c r="D5080" s="1" t="s">
        <v>5280</v>
      </c>
      <c r="F5080" s="1" t="s">
        <v>5347</v>
      </c>
      <c r="H5080" s="1" t="s">
        <v>5368</v>
      </c>
      <c r="J5080" s="1" t="s">
        <v>5369</v>
      </c>
      <c r="L5080" s="1" t="s">
        <v>2964</v>
      </c>
      <c r="N5080" s="1" t="s">
        <v>2965</v>
      </c>
      <c r="P5080" s="1" t="s">
        <v>6555</v>
      </c>
      <c r="Q5080" s="30" t="s">
        <v>2568</v>
      </c>
      <c r="R5080" s="33" t="s">
        <v>3475</v>
      </c>
      <c r="S5080">
        <v>36</v>
      </c>
      <c r="T5080" s="1" t="s">
        <v>6449</v>
      </c>
      <c r="U5080" s="1" t="str">
        <f>HYPERLINK("http://ictvonline.org/taxonomy/p/taxonomy-history?taxnode_id=202103586","ICTVonline=202103586")</f>
        <v>ICTVonline=202103586</v>
      </c>
    </row>
    <row r="5081" spans="1:21" x14ac:dyDescent="0.2">
      <c r="A5081" s="3">
        <v>5080</v>
      </c>
      <c r="B5081" s="1" t="s">
        <v>5250</v>
      </c>
      <c r="D5081" s="1" t="s">
        <v>5280</v>
      </c>
      <c r="F5081" s="1" t="s">
        <v>5347</v>
      </c>
      <c r="H5081" s="1" t="s">
        <v>5368</v>
      </c>
      <c r="J5081" s="1" t="s">
        <v>5369</v>
      </c>
      <c r="L5081" s="1" t="s">
        <v>2964</v>
      </c>
      <c r="N5081" s="1" t="s">
        <v>2965</v>
      </c>
      <c r="P5081" s="1" t="s">
        <v>6556</v>
      </c>
      <c r="Q5081" s="30" t="s">
        <v>2891</v>
      </c>
      <c r="R5081" s="33" t="s">
        <v>3472</v>
      </c>
      <c r="S5081">
        <v>36</v>
      </c>
      <c r="T5081" s="1" t="s">
        <v>6449</v>
      </c>
      <c r="U5081" s="1" t="str">
        <f>HYPERLINK("http://ictvonline.org/taxonomy/p/taxonomy-history?taxnode_id=202108957","ICTVonline=202108957")</f>
        <v>ICTVonline=202108957</v>
      </c>
    </row>
    <row r="5082" spans="1:21" x14ac:dyDescent="0.2">
      <c r="A5082" s="3">
        <v>5081</v>
      </c>
      <c r="B5082" s="1" t="s">
        <v>5250</v>
      </c>
      <c r="D5082" s="1" t="s">
        <v>5280</v>
      </c>
      <c r="F5082" s="1" t="s">
        <v>5347</v>
      </c>
      <c r="H5082" s="1" t="s">
        <v>5368</v>
      </c>
      <c r="J5082" s="1" t="s">
        <v>5369</v>
      </c>
      <c r="L5082" s="1" t="s">
        <v>2964</v>
      </c>
      <c r="N5082" s="1" t="s">
        <v>2965</v>
      </c>
      <c r="P5082" s="1" t="s">
        <v>6557</v>
      </c>
      <c r="Q5082" s="30" t="s">
        <v>2891</v>
      </c>
      <c r="R5082" s="33" t="s">
        <v>3475</v>
      </c>
      <c r="S5082">
        <v>36</v>
      </c>
      <c r="T5082" s="1" t="s">
        <v>6449</v>
      </c>
      <c r="U5082" s="1" t="str">
        <f>HYPERLINK("http://ictvonline.org/taxonomy/p/taxonomy-history?taxnode_id=202103587","ICTVonline=202103587")</f>
        <v>ICTVonline=202103587</v>
      </c>
    </row>
    <row r="5083" spans="1:21" x14ac:dyDescent="0.2">
      <c r="A5083" s="3">
        <v>5082</v>
      </c>
      <c r="B5083" s="1" t="s">
        <v>5250</v>
      </c>
      <c r="D5083" s="1" t="s">
        <v>5280</v>
      </c>
      <c r="F5083" s="1" t="s">
        <v>5347</v>
      </c>
      <c r="H5083" s="1" t="s">
        <v>5368</v>
      </c>
      <c r="J5083" s="1" t="s">
        <v>5369</v>
      </c>
      <c r="L5083" s="1" t="s">
        <v>2964</v>
      </c>
      <c r="N5083" s="1" t="s">
        <v>2965</v>
      </c>
      <c r="P5083" s="1" t="s">
        <v>6558</v>
      </c>
      <c r="Q5083" s="30" t="s">
        <v>2891</v>
      </c>
      <c r="R5083" s="33" t="s">
        <v>3472</v>
      </c>
      <c r="S5083">
        <v>36</v>
      </c>
      <c r="T5083" s="1" t="s">
        <v>6449</v>
      </c>
      <c r="U5083" s="1" t="str">
        <f>HYPERLINK("http://ictvonline.org/taxonomy/p/taxonomy-history?taxnode_id=202108949","ICTVonline=202108949")</f>
        <v>ICTVonline=202108949</v>
      </c>
    </row>
    <row r="5084" spans="1:21" x14ac:dyDescent="0.2">
      <c r="A5084" s="3">
        <v>5083</v>
      </c>
      <c r="B5084" s="1" t="s">
        <v>5250</v>
      </c>
      <c r="D5084" s="1" t="s">
        <v>5280</v>
      </c>
      <c r="F5084" s="1" t="s">
        <v>5347</v>
      </c>
      <c r="H5084" s="1" t="s">
        <v>5368</v>
      </c>
      <c r="J5084" s="1" t="s">
        <v>5369</v>
      </c>
      <c r="L5084" s="1" t="s">
        <v>2964</v>
      </c>
      <c r="N5084" s="1" t="s">
        <v>2965</v>
      </c>
      <c r="P5084" s="1" t="s">
        <v>6559</v>
      </c>
      <c r="Q5084" s="30" t="s">
        <v>2891</v>
      </c>
      <c r="R5084" s="33" t="s">
        <v>3472</v>
      </c>
      <c r="S5084">
        <v>36</v>
      </c>
      <c r="T5084" s="1" t="s">
        <v>6449</v>
      </c>
      <c r="U5084" s="1" t="str">
        <f>HYPERLINK("http://ictvonline.org/taxonomy/p/taxonomy-history?taxnode_id=202108944","ICTVonline=202108944")</f>
        <v>ICTVonline=202108944</v>
      </c>
    </row>
    <row r="5085" spans="1:21" x14ac:dyDescent="0.2">
      <c r="A5085" s="3">
        <v>5084</v>
      </c>
      <c r="B5085" s="1" t="s">
        <v>5250</v>
      </c>
      <c r="D5085" s="1" t="s">
        <v>5280</v>
      </c>
      <c r="F5085" s="1" t="s">
        <v>5347</v>
      </c>
      <c r="H5085" s="1" t="s">
        <v>5368</v>
      </c>
      <c r="J5085" s="1" t="s">
        <v>5369</v>
      </c>
      <c r="L5085" s="1" t="s">
        <v>2964</v>
      </c>
      <c r="N5085" s="1" t="s">
        <v>2965</v>
      </c>
      <c r="P5085" s="1" t="s">
        <v>6560</v>
      </c>
      <c r="Q5085" s="30" t="s">
        <v>2891</v>
      </c>
      <c r="R5085" s="33" t="s">
        <v>3472</v>
      </c>
      <c r="S5085">
        <v>36</v>
      </c>
      <c r="T5085" s="1" t="s">
        <v>6449</v>
      </c>
      <c r="U5085" s="1" t="str">
        <f>HYPERLINK("http://ictvonline.org/taxonomy/p/taxonomy-history?taxnode_id=202108972","ICTVonline=202108972")</f>
        <v>ICTVonline=202108972</v>
      </c>
    </row>
    <row r="5086" spans="1:21" x14ac:dyDescent="0.2">
      <c r="A5086" s="3">
        <v>5085</v>
      </c>
      <c r="B5086" s="1" t="s">
        <v>5250</v>
      </c>
      <c r="D5086" s="1" t="s">
        <v>5280</v>
      </c>
      <c r="F5086" s="1" t="s">
        <v>5347</v>
      </c>
      <c r="H5086" s="1" t="s">
        <v>5368</v>
      </c>
      <c r="J5086" s="1" t="s">
        <v>5369</v>
      </c>
      <c r="L5086" s="1" t="s">
        <v>2964</v>
      </c>
      <c r="N5086" s="1" t="s">
        <v>2965</v>
      </c>
      <c r="P5086" s="1" t="s">
        <v>6561</v>
      </c>
      <c r="Q5086" s="30" t="s">
        <v>2568</v>
      </c>
      <c r="R5086" s="33" t="s">
        <v>8666</v>
      </c>
      <c r="S5086">
        <v>36</v>
      </c>
      <c r="T5086" s="1" t="s">
        <v>8668</v>
      </c>
      <c r="U5086" s="1" t="str">
        <f>HYPERLINK("http://ictvonline.org/taxonomy/p/taxonomy-history?taxnode_id=202103588","ICTVonline=202103588")</f>
        <v>ICTVonline=202103588</v>
      </c>
    </row>
    <row r="5087" spans="1:21" x14ac:dyDescent="0.2">
      <c r="A5087" s="3">
        <v>5086</v>
      </c>
      <c r="B5087" s="1" t="s">
        <v>5250</v>
      </c>
      <c r="D5087" s="1" t="s">
        <v>5280</v>
      </c>
      <c r="F5087" s="1" t="s">
        <v>5347</v>
      </c>
      <c r="H5087" s="1" t="s">
        <v>5368</v>
      </c>
      <c r="J5087" s="1" t="s">
        <v>5369</v>
      </c>
      <c r="L5087" s="1" t="s">
        <v>2964</v>
      </c>
      <c r="N5087" s="1" t="s">
        <v>2965</v>
      </c>
      <c r="P5087" s="1" t="s">
        <v>6562</v>
      </c>
      <c r="Q5087" s="30" t="s">
        <v>2891</v>
      </c>
      <c r="R5087" s="33" t="s">
        <v>3475</v>
      </c>
      <c r="S5087">
        <v>36</v>
      </c>
      <c r="T5087" s="1" t="s">
        <v>6449</v>
      </c>
      <c r="U5087" s="1" t="str">
        <f>HYPERLINK("http://ictvonline.org/taxonomy/p/taxonomy-history?taxnode_id=202103589","ICTVonline=202103589")</f>
        <v>ICTVonline=202103589</v>
      </c>
    </row>
    <row r="5088" spans="1:21" x14ac:dyDescent="0.2">
      <c r="A5088" s="3">
        <v>5087</v>
      </c>
      <c r="B5088" s="1" t="s">
        <v>5250</v>
      </c>
      <c r="D5088" s="1" t="s">
        <v>5280</v>
      </c>
      <c r="F5088" s="1" t="s">
        <v>5347</v>
      </c>
      <c r="H5088" s="1" t="s">
        <v>5368</v>
      </c>
      <c r="J5088" s="1" t="s">
        <v>5369</v>
      </c>
      <c r="L5088" s="1" t="s">
        <v>2964</v>
      </c>
      <c r="N5088" s="1" t="s">
        <v>2965</v>
      </c>
      <c r="P5088" s="1" t="s">
        <v>6563</v>
      </c>
      <c r="Q5088" s="30" t="s">
        <v>2891</v>
      </c>
      <c r="R5088" s="33" t="s">
        <v>3475</v>
      </c>
      <c r="S5088">
        <v>36</v>
      </c>
      <c r="T5088" s="1" t="s">
        <v>6449</v>
      </c>
      <c r="U5088" s="1" t="str">
        <f>HYPERLINK("http://ictvonline.org/taxonomy/p/taxonomy-history?taxnode_id=202103590","ICTVonline=202103590")</f>
        <v>ICTVonline=202103590</v>
      </c>
    </row>
    <row r="5089" spans="1:21" x14ac:dyDescent="0.2">
      <c r="A5089" s="3">
        <v>5088</v>
      </c>
      <c r="B5089" s="1" t="s">
        <v>5250</v>
      </c>
      <c r="D5089" s="1" t="s">
        <v>5280</v>
      </c>
      <c r="F5089" s="1" t="s">
        <v>5347</v>
      </c>
      <c r="H5089" s="1" t="s">
        <v>5368</v>
      </c>
      <c r="J5089" s="1" t="s">
        <v>5369</v>
      </c>
      <c r="L5089" s="1" t="s">
        <v>2964</v>
      </c>
      <c r="N5089" s="1" t="s">
        <v>2965</v>
      </c>
      <c r="P5089" s="1" t="s">
        <v>6564</v>
      </c>
      <c r="Q5089" s="30" t="s">
        <v>2891</v>
      </c>
      <c r="R5089" s="33" t="s">
        <v>3475</v>
      </c>
      <c r="S5089">
        <v>36</v>
      </c>
      <c r="T5089" s="1" t="s">
        <v>6449</v>
      </c>
      <c r="U5089" s="1" t="str">
        <f>HYPERLINK("http://ictvonline.org/taxonomy/p/taxonomy-history?taxnode_id=202103591","ICTVonline=202103591")</f>
        <v>ICTVonline=202103591</v>
      </c>
    </row>
    <row r="5090" spans="1:21" x14ac:dyDescent="0.2">
      <c r="A5090" s="3">
        <v>5089</v>
      </c>
      <c r="B5090" s="1" t="s">
        <v>5250</v>
      </c>
      <c r="D5090" s="1" t="s">
        <v>5280</v>
      </c>
      <c r="F5090" s="1" t="s">
        <v>5347</v>
      </c>
      <c r="H5090" s="1" t="s">
        <v>5368</v>
      </c>
      <c r="J5090" s="1" t="s">
        <v>5369</v>
      </c>
      <c r="L5090" s="1" t="s">
        <v>2964</v>
      </c>
      <c r="N5090" s="1" t="s">
        <v>2965</v>
      </c>
      <c r="P5090" s="1" t="s">
        <v>6565</v>
      </c>
      <c r="Q5090" s="30" t="s">
        <v>2891</v>
      </c>
      <c r="R5090" s="33" t="s">
        <v>3475</v>
      </c>
      <c r="S5090">
        <v>36</v>
      </c>
      <c r="T5090" s="1" t="s">
        <v>6449</v>
      </c>
      <c r="U5090" s="1" t="str">
        <f>HYPERLINK("http://ictvonline.org/taxonomy/p/taxonomy-history?taxnode_id=202103592","ICTVonline=202103592")</f>
        <v>ICTVonline=202103592</v>
      </c>
    </row>
    <row r="5091" spans="1:21" x14ac:dyDescent="0.2">
      <c r="A5091" s="3">
        <v>5090</v>
      </c>
      <c r="B5091" s="1" t="s">
        <v>5250</v>
      </c>
      <c r="D5091" s="1" t="s">
        <v>5280</v>
      </c>
      <c r="F5091" s="1" t="s">
        <v>5347</v>
      </c>
      <c r="H5091" s="1" t="s">
        <v>5368</v>
      </c>
      <c r="J5091" s="1" t="s">
        <v>5369</v>
      </c>
      <c r="L5091" s="1" t="s">
        <v>2964</v>
      </c>
      <c r="N5091" s="1" t="s">
        <v>2965</v>
      </c>
      <c r="P5091" s="1" t="s">
        <v>6566</v>
      </c>
      <c r="Q5091" s="30" t="s">
        <v>2891</v>
      </c>
      <c r="R5091" s="33" t="s">
        <v>3475</v>
      </c>
      <c r="S5091">
        <v>36</v>
      </c>
      <c r="T5091" s="1" t="s">
        <v>6449</v>
      </c>
      <c r="U5091" s="1" t="str">
        <f>HYPERLINK("http://ictvonline.org/taxonomy/p/taxonomy-history?taxnode_id=202103593","ICTVonline=202103593")</f>
        <v>ICTVonline=202103593</v>
      </c>
    </row>
    <row r="5092" spans="1:21" x14ac:dyDescent="0.2">
      <c r="A5092" s="3">
        <v>5091</v>
      </c>
      <c r="B5092" s="1" t="s">
        <v>5250</v>
      </c>
      <c r="D5092" s="1" t="s">
        <v>5280</v>
      </c>
      <c r="F5092" s="1" t="s">
        <v>5347</v>
      </c>
      <c r="H5092" s="1" t="s">
        <v>5368</v>
      </c>
      <c r="J5092" s="1" t="s">
        <v>5369</v>
      </c>
      <c r="L5092" s="1" t="s">
        <v>2964</v>
      </c>
      <c r="N5092" s="1" t="s">
        <v>2965</v>
      </c>
      <c r="P5092" s="1" t="s">
        <v>6567</v>
      </c>
      <c r="Q5092" s="30" t="s">
        <v>2568</v>
      </c>
      <c r="R5092" s="33" t="s">
        <v>3475</v>
      </c>
      <c r="S5092">
        <v>36</v>
      </c>
      <c r="T5092" s="1" t="s">
        <v>6449</v>
      </c>
      <c r="U5092" s="1" t="str">
        <f>HYPERLINK("http://ictvonline.org/taxonomy/p/taxonomy-history?taxnode_id=202103594","ICTVonline=202103594")</f>
        <v>ICTVonline=202103594</v>
      </c>
    </row>
    <row r="5093" spans="1:21" x14ac:dyDescent="0.2">
      <c r="A5093" s="3">
        <v>5092</v>
      </c>
      <c r="B5093" s="1" t="s">
        <v>5250</v>
      </c>
      <c r="D5093" s="1" t="s">
        <v>5280</v>
      </c>
      <c r="F5093" s="1" t="s">
        <v>5347</v>
      </c>
      <c r="H5093" s="1" t="s">
        <v>5368</v>
      </c>
      <c r="J5093" s="1" t="s">
        <v>5369</v>
      </c>
      <c r="L5093" s="1" t="s">
        <v>2964</v>
      </c>
      <c r="N5093" s="1" t="s">
        <v>2965</v>
      </c>
      <c r="P5093" s="1" t="s">
        <v>6568</v>
      </c>
      <c r="Q5093" s="30" t="s">
        <v>2891</v>
      </c>
      <c r="R5093" s="33" t="s">
        <v>3472</v>
      </c>
      <c r="S5093">
        <v>36</v>
      </c>
      <c r="T5093" s="1" t="s">
        <v>6449</v>
      </c>
      <c r="U5093" s="1" t="str">
        <f>HYPERLINK("http://ictvonline.org/taxonomy/p/taxonomy-history?taxnode_id=202108981","ICTVonline=202108981")</f>
        <v>ICTVonline=202108981</v>
      </c>
    </row>
    <row r="5094" spans="1:21" x14ac:dyDescent="0.2">
      <c r="A5094" s="3">
        <v>5093</v>
      </c>
      <c r="B5094" s="1" t="s">
        <v>5250</v>
      </c>
      <c r="D5094" s="1" t="s">
        <v>5280</v>
      </c>
      <c r="F5094" s="1" t="s">
        <v>5347</v>
      </c>
      <c r="H5094" s="1" t="s">
        <v>5368</v>
      </c>
      <c r="J5094" s="1" t="s">
        <v>5369</v>
      </c>
      <c r="L5094" s="1" t="s">
        <v>2964</v>
      </c>
      <c r="N5094" s="1" t="s">
        <v>2965</v>
      </c>
      <c r="P5094" s="1" t="s">
        <v>6569</v>
      </c>
      <c r="Q5094" s="30" t="s">
        <v>2891</v>
      </c>
      <c r="R5094" s="33" t="s">
        <v>3472</v>
      </c>
      <c r="S5094">
        <v>36</v>
      </c>
      <c r="T5094" s="1" t="s">
        <v>6449</v>
      </c>
      <c r="U5094" s="1" t="str">
        <f>HYPERLINK("http://ictvonline.org/taxonomy/p/taxonomy-history?taxnode_id=202109003","ICTVonline=202109003")</f>
        <v>ICTVonline=202109003</v>
      </c>
    </row>
    <row r="5095" spans="1:21" x14ac:dyDescent="0.2">
      <c r="A5095" s="3">
        <v>5094</v>
      </c>
      <c r="B5095" s="1" t="s">
        <v>5250</v>
      </c>
      <c r="D5095" s="1" t="s">
        <v>5280</v>
      </c>
      <c r="F5095" s="1" t="s">
        <v>5347</v>
      </c>
      <c r="H5095" s="1" t="s">
        <v>5368</v>
      </c>
      <c r="J5095" s="1" t="s">
        <v>5369</v>
      </c>
      <c r="L5095" s="1" t="s">
        <v>2964</v>
      </c>
      <c r="N5095" s="1" t="s">
        <v>2965</v>
      </c>
      <c r="P5095" s="1" t="s">
        <v>6570</v>
      </c>
      <c r="Q5095" s="30" t="s">
        <v>2891</v>
      </c>
      <c r="R5095" s="33" t="s">
        <v>3475</v>
      </c>
      <c r="S5095">
        <v>36</v>
      </c>
      <c r="T5095" s="1" t="s">
        <v>6449</v>
      </c>
      <c r="U5095" s="1" t="str">
        <f>HYPERLINK("http://ictvonline.org/taxonomy/p/taxonomy-history?taxnode_id=202103595","ICTVonline=202103595")</f>
        <v>ICTVonline=202103595</v>
      </c>
    </row>
    <row r="5096" spans="1:21" x14ac:dyDescent="0.2">
      <c r="A5096" s="3">
        <v>5095</v>
      </c>
      <c r="B5096" s="1" t="s">
        <v>5250</v>
      </c>
      <c r="D5096" s="1" t="s">
        <v>5280</v>
      </c>
      <c r="F5096" s="1" t="s">
        <v>5347</v>
      </c>
      <c r="H5096" s="1" t="s">
        <v>5368</v>
      </c>
      <c r="J5096" s="1" t="s">
        <v>5369</v>
      </c>
      <c r="L5096" s="1" t="s">
        <v>2964</v>
      </c>
      <c r="N5096" s="1" t="s">
        <v>2965</v>
      </c>
      <c r="P5096" s="1" t="s">
        <v>6571</v>
      </c>
      <c r="Q5096" s="30" t="s">
        <v>2891</v>
      </c>
      <c r="R5096" s="33" t="s">
        <v>3472</v>
      </c>
      <c r="S5096">
        <v>36</v>
      </c>
      <c r="T5096" s="1" t="s">
        <v>6449</v>
      </c>
      <c r="U5096" s="1" t="str">
        <f>HYPERLINK("http://ictvonline.org/taxonomy/p/taxonomy-history?taxnode_id=202108992","ICTVonline=202108992")</f>
        <v>ICTVonline=202108992</v>
      </c>
    </row>
    <row r="5097" spans="1:21" x14ac:dyDescent="0.2">
      <c r="A5097" s="3">
        <v>5096</v>
      </c>
      <c r="B5097" s="1" t="s">
        <v>5250</v>
      </c>
      <c r="D5097" s="1" t="s">
        <v>5280</v>
      </c>
      <c r="F5097" s="1" t="s">
        <v>5347</v>
      </c>
      <c r="H5097" s="1" t="s">
        <v>5368</v>
      </c>
      <c r="J5097" s="1" t="s">
        <v>5369</v>
      </c>
      <c r="L5097" s="1" t="s">
        <v>2964</v>
      </c>
      <c r="N5097" s="1" t="s">
        <v>2965</v>
      </c>
      <c r="P5097" s="1" t="s">
        <v>6572</v>
      </c>
      <c r="Q5097" s="30" t="s">
        <v>2891</v>
      </c>
      <c r="R5097" s="33" t="s">
        <v>3472</v>
      </c>
      <c r="S5097">
        <v>36</v>
      </c>
      <c r="T5097" s="1" t="s">
        <v>6449</v>
      </c>
      <c r="U5097" s="1" t="str">
        <f>HYPERLINK("http://ictvonline.org/taxonomy/p/taxonomy-history?taxnode_id=202108939","ICTVonline=202108939")</f>
        <v>ICTVonline=202108939</v>
      </c>
    </row>
    <row r="5098" spans="1:21" x14ac:dyDescent="0.2">
      <c r="A5098" s="3">
        <v>5097</v>
      </c>
      <c r="B5098" s="1" t="s">
        <v>5250</v>
      </c>
      <c r="D5098" s="1" t="s">
        <v>5280</v>
      </c>
      <c r="F5098" s="1" t="s">
        <v>5347</v>
      </c>
      <c r="H5098" s="1" t="s">
        <v>5368</v>
      </c>
      <c r="J5098" s="1" t="s">
        <v>5369</v>
      </c>
      <c r="L5098" s="1" t="s">
        <v>2964</v>
      </c>
      <c r="N5098" s="1" t="s">
        <v>2965</v>
      </c>
      <c r="P5098" s="1" t="s">
        <v>6573</v>
      </c>
      <c r="Q5098" s="30" t="s">
        <v>2891</v>
      </c>
      <c r="R5098" s="33" t="s">
        <v>3472</v>
      </c>
      <c r="S5098">
        <v>36</v>
      </c>
      <c r="T5098" s="1" t="s">
        <v>6449</v>
      </c>
      <c r="U5098" s="1" t="str">
        <f>HYPERLINK("http://ictvonline.org/taxonomy/p/taxonomy-history?taxnode_id=202108963","ICTVonline=202108963")</f>
        <v>ICTVonline=202108963</v>
      </c>
    </row>
    <row r="5099" spans="1:21" x14ac:dyDescent="0.2">
      <c r="A5099" s="3">
        <v>5098</v>
      </c>
      <c r="B5099" s="1" t="s">
        <v>5250</v>
      </c>
      <c r="D5099" s="1" t="s">
        <v>5280</v>
      </c>
      <c r="F5099" s="1" t="s">
        <v>5347</v>
      </c>
      <c r="H5099" s="1" t="s">
        <v>5368</v>
      </c>
      <c r="J5099" s="1" t="s">
        <v>5369</v>
      </c>
      <c r="L5099" s="1" t="s">
        <v>2964</v>
      </c>
      <c r="N5099" s="1" t="s">
        <v>2965</v>
      </c>
      <c r="P5099" s="1" t="s">
        <v>6574</v>
      </c>
      <c r="Q5099" s="30" t="s">
        <v>2891</v>
      </c>
      <c r="R5099" s="33" t="s">
        <v>3472</v>
      </c>
      <c r="S5099">
        <v>36</v>
      </c>
      <c r="T5099" s="1" t="s">
        <v>6449</v>
      </c>
      <c r="U5099" s="1" t="str">
        <f>HYPERLINK("http://ictvonline.org/taxonomy/p/taxonomy-history?taxnode_id=202108996","ICTVonline=202108996")</f>
        <v>ICTVonline=202108996</v>
      </c>
    </row>
    <row r="5100" spans="1:21" x14ac:dyDescent="0.2">
      <c r="A5100" s="3">
        <v>5099</v>
      </c>
      <c r="B5100" s="1" t="s">
        <v>5250</v>
      </c>
      <c r="D5100" s="1" t="s">
        <v>5280</v>
      </c>
      <c r="F5100" s="1" t="s">
        <v>5347</v>
      </c>
      <c r="H5100" s="1" t="s">
        <v>5368</v>
      </c>
      <c r="J5100" s="1" t="s">
        <v>5369</v>
      </c>
      <c r="L5100" s="1" t="s">
        <v>2964</v>
      </c>
      <c r="N5100" s="1" t="s">
        <v>3362</v>
      </c>
      <c r="P5100" s="1" t="s">
        <v>6575</v>
      </c>
      <c r="Q5100" s="30" t="s">
        <v>2891</v>
      </c>
      <c r="R5100" s="33" t="s">
        <v>3472</v>
      </c>
      <c r="S5100">
        <v>36</v>
      </c>
      <c r="T5100" s="1" t="s">
        <v>6449</v>
      </c>
      <c r="U5100" s="1" t="str">
        <f>HYPERLINK("http://ictvonline.org/taxonomy/p/taxonomy-history?taxnode_id=202109022","ICTVonline=202109022")</f>
        <v>ICTVonline=202109022</v>
      </c>
    </row>
    <row r="5101" spans="1:21" x14ac:dyDescent="0.2">
      <c r="A5101" s="3">
        <v>5100</v>
      </c>
      <c r="B5101" s="1" t="s">
        <v>5250</v>
      </c>
      <c r="D5101" s="1" t="s">
        <v>5280</v>
      </c>
      <c r="F5101" s="1" t="s">
        <v>5347</v>
      </c>
      <c r="H5101" s="1" t="s">
        <v>5368</v>
      </c>
      <c r="J5101" s="1" t="s">
        <v>5369</v>
      </c>
      <c r="L5101" s="1" t="s">
        <v>2964</v>
      </c>
      <c r="N5101" s="1" t="s">
        <v>3362</v>
      </c>
      <c r="P5101" s="1" t="s">
        <v>6576</v>
      </c>
      <c r="Q5101" s="30" t="s">
        <v>2891</v>
      </c>
      <c r="R5101" s="33" t="s">
        <v>3472</v>
      </c>
      <c r="S5101">
        <v>36</v>
      </c>
      <c r="T5101" s="1" t="s">
        <v>6449</v>
      </c>
      <c r="U5101" s="1" t="str">
        <f>HYPERLINK("http://ictvonline.org/taxonomy/p/taxonomy-history?taxnode_id=202109029","ICTVonline=202109029")</f>
        <v>ICTVonline=202109029</v>
      </c>
    </row>
    <row r="5102" spans="1:21" x14ac:dyDescent="0.2">
      <c r="A5102" s="3">
        <v>5101</v>
      </c>
      <c r="B5102" s="1" t="s">
        <v>5250</v>
      </c>
      <c r="D5102" s="1" t="s">
        <v>5280</v>
      </c>
      <c r="F5102" s="1" t="s">
        <v>5347</v>
      </c>
      <c r="H5102" s="1" t="s">
        <v>5368</v>
      </c>
      <c r="J5102" s="1" t="s">
        <v>5369</v>
      </c>
      <c r="L5102" s="1" t="s">
        <v>2964</v>
      </c>
      <c r="N5102" s="1" t="s">
        <v>3362</v>
      </c>
      <c r="P5102" s="1" t="s">
        <v>6577</v>
      </c>
      <c r="Q5102" s="30" t="s">
        <v>2891</v>
      </c>
      <c r="R5102" s="33" t="s">
        <v>3472</v>
      </c>
      <c r="S5102">
        <v>36</v>
      </c>
      <c r="T5102" s="1" t="s">
        <v>6449</v>
      </c>
      <c r="U5102" s="1" t="str">
        <f>HYPERLINK("http://ictvonline.org/taxonomy/p/taxonomy-history?taxnode_id=202109026","ICTVonline=202109026")</f>
        <v>ICTVonline=202109026</v>
      </c>
    </row>
    <row r="5103" spans="1:21" x14ac:dyDescent="0.2">
      <c r="A5103" s="3">
        <v>5102</v>
      </c>
      <c r="B5103" s="1" t="s">
        <v>5250</v>
      </c>
      <c r="D5103" s="1" t="s">
        <v>5280</v>
      </c>
      <c r="F5103" s="1" t="s">
        <v>5347</v>
      </c>
      <c r="H5103" s="1" t="s">
        <v>5368</v>
      </c>
      <c r="J5103" s="1" t="s">
        <v>5369</v>
      </c>
      <c r="L5103" s="1" t="s">
        <v>2964</v>
      </c>
      <c r="N5103" s="1" t="s">
        <v>3362</v>
      </c>
      <c r="P5103" s="1" t="s">
        <v>6578</v>
      </c>
      <c r="Q5103" s="30" t="s">
        <v>2891</v>
      </c>
      <c r="R5103" s="33" t="s">
        <v>8666</v>
      </c>
      <c r="S5103">
        <v>36</v>
      </c>
      <c r="T5103" s="1" t="s">
        <v>8668</v>
      </c>
      <c r="U5103" s="1" t="str">
        <f>HYPERLINK("http://ictvonline.org/taxonomy/p/taxonomy-history?taxnode_id=202103597","ICTVonline=202103597")</f>
        <v>ICTVonline=202103597</v>
      </c>
    </row>
    <row r="5104" spans="1:21" x14ac:dyDescent="0.2">
      <c r="A5104" s="3">
        <v>5103</v>
      </c>
      <c r="B5104" s="1" t="s">
        <v>5250</v>
      </c>
      <c r="D5104" s="1" t="s">
        <v>5280</v>
      </c>
      <c r="F5104" s="1" t="s">
        <v>5347</v>
      </c>
      <c r="H5104" s="1" t="s">
        <v>5368</v>
      </c>
      <c r="J5104" s="1" t="s">
        <v>5369</v>
      </c>
      <c r="L5104" s="1" t="s">
        <v>2964</v>
      </c>
      <c r="N5104" s="1" t="s">
        <v>3362</v>
      </c>
      <c r="P5104" s="1" t="s">
        <v>6579</v>
      </c>
      <c r="Q5104" s="30" t="s">
        <v>2891</v>
      </c>
      <c r="R5104" s="33" t="s">
        <v>3472</v>
      </c>
      <c r="S5104">
        <v>36</v>
      </c>
      <c r="T5104" s="1" t="s">
        <v>6449</v>
      </c>
      <c r="U5104" s="1" t="str">
        <f>HYPERLINK("http://ictvonline.org/taxonomy/p/taxonomy-history?taxnode_id=202109024","ICTVonline=202109024")</f>
        <v>ICTVonline=202109024</v>
      </c>
    </row>
    <row r="5105" spans="1:21" x14ac:dyDescent="0.2">
      <c r="A5105" s="3">
        <v>5104</v>
      </c>
      <c r="B5105" s="1" t="s">
        <v>5250</v>
      </c>
      <c r="D5105" s="1" t="s">
        <v>5280</v>
      </c>
      <c r="F5105" s="1" t="s">
        <v>5347</v>
      </c>
      <c r="H5105" s="1" t="s">
        <v>5368</v>
      </c>
      <c r="J5105" s="1" t="s">
        <v>5369</v>
      </c>
      <c r="L5105" s="1" t="s">
        <v>2964</v>
      </c>
      <c r="N5105" s="1" t="s">
        <v>3362</v>
      </c>
      <c r="P5105" s="1" t="s">
        <v>6580</v>
      </c>
      <c r="Q5105" s="30" t="s">
        <v>2891</v>
      </c>
      <c r="R5105" s="33" t="s">
        <v>3472</v>
      </c>
      <c r="S5105">
        <v>36</v>
      </c>
      <c r="T5105" s="1" t="s">
        <v>6449</v>
      </c>
      <c r="U5105" s="1" t="str">
        <f>HYPERLINK("http://ictvonline.org/taxonomy/p/taxonomy-history?taxnode_id=202109025","ICTVonline=202109025")</f>
        <v>ICTVonline=202109025</v>
      </c>
    </row>
    <row r="5106" spans="1:21" x14ac:dyDescent="0.2">
      <c r="A5106" s="3">
        <v>5105</v>
      </c>
      <c r="B5106" s="1" t="s">
        <v>5250</v>
      </c>
      <c r="D5106" s="1" t="s">
        <v>5280</v>
      </c>
      <c r="F5106" s="1" t="s">
        <v>5347</v>
      </c>
      <c r="H5106" s="1" t="s">
        <v>5368</v>
      </c>
      <c r="J5106" s="1" t="s">
        <v>5369</v>
      </c>
      <c r="L5106" s="1" t="s">
        <v>2964</v>
      </c>
      <c r="N5106" s="1" t="s">
        <v>3362</v>
      </c>
      <c r="P5106" s="1" t="s">
        <v>6581</v>
      </c>
      <c r="Q5106" s="30" t="s">
        <v>2891</v>
      </c>
      <c r="R5106" s="33" t="s">
        <v>3472</v>
      </c>
      <c r="S5106">
        <v>36</v>
      </c>
      <c r="T5106" s="1" t="s">
        <v>6449</v>
      </c>
      <c r="U5106" s="1" t="str">
        <f>HYPERLINK("http://ictvonline.org/taxonomy/p/taxonomy-history?taxnode_id=202109027","ICTVonline=202109027")</f>
        <v>ICTVonline=202109027</v>
      </c>
    </row>
    <row r="5107" spans="1:21" x14ac:dyDescent="0.2">
      <c r="A5107" s="3">
        <v>5106</v>
      </c>
      <c r="B5107" s="1" t="s">
        <v>5250</v>
      </c>
      <c r="D5107" s="1" t="s">
        <v>5280</v>
      </c>
      <c r="F5107" s="1" t="s">
        <v>5347</v>
      </c>
      <c r="H5107" s="1" t="s">
        <v>5368</v>
      </c>
      <c r="J5107" s="1" t="s">
        <v>5369</v>
      </c>
      <c r="L5107" s="1" t="s">
        <v>2964</v>
      </c>
      <c r="N5107" s="1" t="s">
        <v>3362</v>
      </c>
      <c r="P5107" s="1" t="s">
        <v>6582</v>
      </c>
      <c r="Q5107" s="30" t="s">
        <v>2891</v>
      </c>
      <c r="R5107" s="33" t="s">
        <v>3472</v>
      </c>
      <c r="S5107">
        <v>36</v>
      </c>
      <c r="T5107" s="1" t="s">
        <v>6449</v>
      </c>
      <c r="U5107" s="1" t="str">
        <f>HYPERLINK("http://ictvonline.org/taxonomy/p/taxonomy-history?taxnode_id=202109021","ICTVonline=202109021")</f>
        <v>ICTVonline=202109021</v>
      </c>
    </row>
    <row r="5108" spans="1:21" x14ac:dyDescent="0.2">
      <c r="A5108" s="3">
        <v>5107</v>
      </c>
      <c r="B5108" s="1" t="s">
        <v>5250</v>
      </c>
      <c r="D5108" s="1" t="s">
        <v>5280</v>
      </c>
      <c r="F5108" s="1" t="s">
        <v>5347</v>
      </c>
      <c r="H5108" s="1" t="s">
        <v>5368</v>
      </c>
      <c r="J5108" s="1" t="s">
        <v>5369</v>
      </c>
      <c r="L5108" s="1" t="s">
        <v>2964</v>
      </c>
      <c r="N5108" s="1" t="s">
        <v>3362</v>
      </c>
      <c r="P5108" s="1" t="s">
        <v>6583</v>
      </c>
      <c r="Q5108" s="30" t="s">
        <v>2891</v>
      </c>
      <c r="R5108" s="33" t="s">
        <v>3472</v>
      </c>
      <c r="S5108">
        <v>36</v>
      </c>
      <c r="T5108" s="1" t="s">
        <v>6449</v>
      </c>
      <c r="U5108" s="1" t="str">
        <f>HYPERLINK("http://ictvonline.org/taxonomy/p/taxonomy-history?taxnode_id=202109019","ICTVonline=202109019")</f>
        <v>ICTVonline=202109019</v>
      </c>
    </row>
    <row r="5109" spans="1:21" x14ac:dyDescent="0.2">
      <c r="A5109" s="3">
        <v>5108</v>
      </c>
      <c r="B5109" s="1" t="s">
        <v>5250</v>
      </c>
      <c r="D5109" s="1" t="s">
        <v>5280</v>
      </c>
      <c r="F5109" s="1" t="s">
        <v>5347</v>
      </c>
      <c r="H5109" s="1" t="s">
        <v>5368</v>
      </c>
      <c r="J5109" s="1" t="s">
        <v>5369</v>
      </c>
      <c r="L5109" s="1" t="s">
        <v>2964</v>
      </c>
      <c r="N5109" s="1" t="s">
        <v>3362</v>
      </c>
      <c r="P5109" s="1" t="s">
        <v>6584</v>
      </c>
      <c r="Q5109" s="30" t="s">
        <v>2891</v>
      </c>
      <c r="R5109" s="33" t="s">
        <v>3472</v>
      </c>
      <c r="S5109">
        <v>36</v>
      </c>
      <c r="T5109" s="1" t="s">
        <v>6449</v>
      </c>
      <c r="U5109" s="1" t="str">
        <f>HYPERLINK("http://ictvonline.org/taxonomy/p/taxonomy-history?taxnode_id=202109023","ICTVonline=202109023")</f>
        <v>ICTVonline=202109023</v>
      </c>
    </row>
    <row r="5110" spans="1:21" x14ac:dyDescent="0.2">
      <c r="A5110" s="3">
        <v>5109</v>
      </c>
      <c r="B5110" s="1" t="s">
        <v>5250</v>
      </c>
      <c r="D5110" s="1" t="s">
        <v>5280</v>
      </c>
      <c r="F5110" s="1" t="s">
        <v>5347</v>
      </c>
      <c r="H5110" s="1" t="s">
        <v>5368</v>
      </c>
      <c r="J5110" s="1" t="s">
        <v>5369</v>
      </c>
      <c r="L5110" s="1" t="s">
        <v>2964</v>
      </c>
      <c r="N5110" s="1" t="s">
        <v>3362</v>
      </c>
      <c r="P5110" s="1" t="s">
        <v>6585</v>
      </c>
      <c r="Q5110" s="30" t="s">
        <v>2891</v>
      </c>
      <c r="R5110" s="33" t="s">
        <v>3472</v>
      </c>
      <c r="S5110">
        <v>36</v>
      </c>
      <c r="T5110" s="1" t="s">
        <v>6449</v>
      </c>
      <c r="U5110" s="1" t="str">
        <f>HYPERLINK("http://ictvonline.org/taxonomy/p/taxonomy-history?taxnode_id=202109020","ICTVonline=202109020")</f>
        <v>ICTVonline=202109020</v>
      </c>
    </row>
    <row r="5111" spans="1:21" x14ac:dyDescent="0.2">
      <c r="A5111" s="3">
        <v>5110</v>
      </c>
      <c r="B5111" s="1" t="s">
        <v>5250</v>
      </c>
      <c r="D5111" s="1" t="s">
        <v>5280</v>
      </c>
      <c r="F5111" s="1" t="s">
        <v>5347</v>
      </c>
      <c r="H5111" s="1" t="s">
        <v>5368</v>
      </c>
      <c r="J5111" s="1" t="s">
        <v>5369</v>
      </c>
      <c r="L5111" s="1" t="s">
        <v>2964</v>
      </c>
      <c r="N5111" s="1" t="s">
        <v>3362</v>
      </c>
      <c r="P5111" s="1" t="s">
        <v>6586</v>
      </c>
      <c r="Q5111" s="30" t="s">
        <v>2891</v>
      </c>
      <c r="R5111" s="33" t="s">
        <v>3472</v>
      </c>
      <c r="S5111">
        <v>36</v>
      </c>
      <c r="T5111" s="1" t="s">
        <v>6449</v>
      </c>
      <c r="U5111" s="1" t="str">
        <f>HYPERLINK("http://ictvonline.org/taxonomy/p/taxonomy-history?taxnode_id=202109028","ICTVonline=202109028")</f>
        <v>ICTVonline=202109028</v>
      </c>
    </row>
    <row r="5112" spans="1:21" x14ac:dyDescent="0.2">
      <c r="A5112" s="3">
        <v>5111</v>
      </c>
      <c r="B5112" s="1" t="s">
        <v>5250</v>
      </c>
      <c r="D5112" s="1" t="s">
        <v>5280</v>
      </c>
      <c r="F5112" s="1" t="s">
        <v>5347</v>
      </c>
      <c r="H5112" s="1" t="s">
        <v>5368</v>
      </c>
      <c r="J5112" s="1" t="s">
        <v>5369</v>
      </c>
      <c r="L5112" s="1" t="s">
        <v>2964</v>
      </c>
      <c r="N5112" s="1" t="s">
        <v>3363</v>
      </c>
      <c r="P5112" s="1" t="s">
        <v>6587</v>
      </c>
      <c r="Q5112" s="30" t="s">
        <v>2568</v>
      </c>
      <c r="R5112" s="33" t="s">
        <v>3475</v>
      </c>
      <c r="S5112">
        <v>36</v>
      </c>
      <c r="T5112" s="1" t="s">
        <v>6449</v>
      </c>
      <c r="U5112" s="1" t="str">
        <f>HYPERLINK("http://ictvonline.org/taxonomy/p/taxonomy-history?taxnode_id=202103599","ICTVonline=202103599")</f>
        <v>ICTVonline=202103599</v>
      </c>
    </row>
    <row r="5113" spans="1:21" x14ac:dyDescent="0.2">
      <c r="A5113" s="3">
        <v>5112</v>
      </c>
      <c r="B5113" s="1" t="s">
        <v>5250</v>
      </c>
      <c r="D5113" s="1" t="s">
        <v>5280</v>
      </c>
      <c r="F5113" s="1" t="s">
        <v>5347</v>
      </c>
      <c r="H5113" s="1" t="s">
        <v>5368</v>
      </c>
      <c r="J5113" s="1" t="s">
        <v>5369</v>
      </c>
      <c r="L5113" s="1" t="s">
        <v>2964</v>
      </c>
      <c r="N5113" s="1" t="s">
        <v>3363</v>
      </c>
      <c r="P5113" s="1" t="s">
        <v>6588</v>
      </c>
      <c r="Q5113" s="30" t="s">
        <v>2891</v>
      </c>
      <c r="R5113" s="33" t="s">
        <v>3472</v>
      </c>
      <c r="S5113">
        <v>36</v>
      </c>
      <c r="T5113" s="1" t="s">
        <v>6449</v>
      </c>
      <c r="U5113" s="1" t="str">
        <f>HYPERLINK("http://ictvonline.org/taxonomy/p/taxonomy-history?taxnode_id=202109031","ICTVonline=202109031")</f>
        <v>ICTVonline=202109031</v>
      </c>
    </row>
    <row r="5114" spans="1:21" x14ac:dyDescent="0.2">
      <c r="A5114" s="3">
        <v>5113</v>
      </c>
      <c r="B5114" s="1" t="s">
        <v>5250</v>
      </c>
      <c r="D5114" s="1" t="s">
        <v>5280</v>
      </c>
      <c r="F5114" s="1" t="s">
        <v>5347</v>
      </c>
      <c r="H5114" s="1" t="s">
        <v>5368</v>
      </c>
      <c r="J5114" s="1" t="s">
        <v>5369</v>
      </c>
      <c r="L5114" s="1" t="s">
        <v>2964</v>
      </c>
      <c r="N5114" s="1" t="s">
        <v>3363</v>
      </c>
      <c r="P5114" s="1" t="s">
        <v>6589</v>
      </c>
      <c r="Q5114" s="30" t="s">
        <v>2568</v>
      </c>
      <c r="R5114" s="33" t="s">
        <v>3475</v>
      </c>
      <c r="S5114">
        <v>36</v>
      </c>
      <c r="T5114" s="1" t="s">
        <v>6449</v>
      </c>
      <c r="U5114" s="1" t="str">
        <f>HYPERLINK("http://ictvonline.org/taxonomy/p/taxonomy-history?taxnode_id=202103600","ICTVonline=202103600")</f>
        <v>ICTVonline=202103600</v>
      </c>
    </row>
    <row r="5115" spans="1:21" x14ac:dyDescent="0.2">
      <c r="A5115" s="3">
        <v>5114</v>
      </c>
      <c r="B5115" s="1" t="s">
        <v>5250</v>
      </c>
      <c r="D5115" s="1" t="s">
        <v>5280</v>
      </c>
      <c r="F5115" s="1" t="s">
        <v>5347</v>
      </c>
      <c r="H5115" s="1" t="s">
        <v>5368</v>
      </c>
      <c r="J5115" s="1" t="s">
        <v>5369</v>
      </c>
      <c r="L5115" s="1" t="s">
        <v>2964</v>
      </c>
      <c r="N5115" s="1" t="s">
        <v>3363</v>
      </c>
      <c r="P5115" s="1" t="s">
        <v>6590</v>
      </c>
      <c r="Q5115" s="30" t="s">
        <v>2891</v>
      </c>
      <c r="R5115" s="33" t="s">
        <v>3472</v>
      </c>
      <c r="S5115">
        <v>36</v>
      </c>
      <c r="T5115" s="1" t="s">
        <v>6449</v>
      </c>
      <c r="U5115" s="1" t="str">
        <f>HYPERLINK("http://ictvonline.org/taxonomy/p/taxonomy-history?taxnode_id=202109032","ICTVonline=202109032")</f>
        <v>ICTVonline=202109032</v>
      </c>
    </row>
    <row r="5116" spans="1:21" x14ac:dyDescent="0.2">
      <c r="A5116" s="3">
        <v>5115</v>
      </c>
      <c r="B5116" s="1" t="s">
        <v>5250</v>
      </c>
      <c r="D5116" s="1" t="s">
        <v>5280</v>
      </c>
      <c r="F5116" s="1" t="s">
        <v>5347</v>
      </c>
      <c r="H5116" s="1" t="s">
        <v>5368</v>
      </c>
      <c r="J5116" s="1" t="s">
        <v>5369</v>
      </c>
      <c r="L5116" s="1" t="s">
        <v>2964</v>
      </c>
      <c r="N5116" s="1" t="s">
        <v>3363</v>
      </c>
      <c r="P5116" s="1" t="s">
        <v>6591</v>
      </c>
      <c r="Q5116" s="30" t="s">
        <v>2891</v>
      </c>
      <c r="R5116" s="33" t="s">
        <v>3472</v>
      </c>
      <c r="S5116">
        <v>36</v>
      </c>
      <c r="T5116" s="1" t="s">
        <v>6449</v>
      </c>
      <c r="U5116" s="1" t="str">
        <f>HYPERLINK("http://ictvonline.org/taxonomy/p/taxonomy-history?taxnode_id=202109030","ICTVonline=202109030")</f>
        <v>ICTVonline=202109030</v>
      </c>
    </row>
    <row r="5117" spans="1:21" x14ac:dyDescent="0.2">
      <c r="A5117" s="3">
        <v>5116</v>
      </c>
      <c r="B5117" s="1" t="s">
        <v>5250</v>
      </c>
      <c r="D5117" s="1" t="s">
        <v>5280</v>
      </c>
      <c r="F5117" s="1" t="s">
        <v>5347</v>
      </c>
      <c r="H5117" s="1" t="s">
        <v>5368</v>
      </c>
      <c r="J5117" s="1" t="s">
        <v>5369</v>
      </c>
      <c r="L5117" s="1" t="s">
        <v>2964</v>
      </c>
      <c r="N5117" s="1" t="s">
        <v>3363</v>
      </c>
      <c r="P5117" s="1" t="s">
        <v>6592</v>
      </c>
      <c r="Q5117" s="30" t="s">
        <v>2568</v>
      </c>
      <c r="R5117" s="33" t="s">
        <v>3475</v>
      </c>
      <c r="S5117">
        <v>36</v>
      </c>
      <c r="T5117" s="1" t="s">
        <v>6449</v>
      </c>
      <c r="U5117" s="1" t="str">
        <f>HYPERLINK("http://ictvonline.org/taxonomy/p/taxonomy-history?taxnode_id=202103601","ICTVonline=202103601")</f>
        <v>ICTVonline=202103601</v>
      </c>
    </row>
    <row r="5118" spans="1:21" x14ac:dyDescent="0.2">
      <c r="A5118" s="3">
        <v>5117</v>
      </c>
      <c r="B5118" s="1" t="s">
        <v>5250</v>
      </c>
      <c r="D5118" s="1" t="s">
        <v>5280</v>
      </c>
      <c r="F5118" s="1" t="s">
        <v>5347</v>
      </c>
      <c r="H5118" s="1" t="s">
        <v>5368</v>
      </c>
      <c r="J5118" s="1" t="s">
        <v>5369</v>
      </c>
      <c r="L5118" s="1" t="s">
        <v>2964</v>
      </c>
      <c r="N5118" s="1" t="s">
        <v>3363</v>
      </c>
      <c r="P5118" s="1" t="s">
        <v>6593</v>
      </c>
      <c r="Q5118" s="30" t="s">
        <v>2891</v>
      </c>
      <c r="R5118" s="33" t="s">
        <v>3475</v>
      </c>
      <c r="S5118">
        <v>36</v>
      </c>
      <c r="T5118" s="1" t="s">
        <v>6449</v>
      </c>
      <c r="U5118" s="1" t="str">
        <f>HYPERLINK("http://ictvonline.org/taxonomy/p/taxonomy-history?taxnode_id=202103602","ICTVonline=202103602")</f>
        <v>ICTVonline=202103602</v>
      </c>
    </row>
    <row r="5119" spans="1:21" x14ac:dyDescent="0.2">
      <c r="A5119" s="3">
        <v>5118</v>
      </c>
      <c r="B5119" s="1" t="s">
        <v>5250</v>
      </c>
      <c r="D5119" s="1" t="s">
        <v>5280</v>
      </c>
      <c r="F5119" s="1" t="s">
        <v>5347</v>
      </c>
      <c r="H5119" s="1" t="s">
        <v>5368</v>
      </c>
      <c r="J5119" s="1" t="s">
        <v>5369</v>
      </c>
      <c r="L5119" s="1" t="s">
        <v>2964</v>
      </c>
      <c r="N5119" s="1" t="s">
        <v>3363</v>
      </c>
      <c r="P5119" s="1" t="s">
        <v>6594</v>
      </c>
      <c r="Q5119" s="30" t="s">
        <v>2891</v>
      </c>
      <c r="R5119" s="33" t="s">
        <v>8666</v>
      </c>
      <c r="S5119">
        <v>36</v>
      </c>
      <c r="T5119" s="1" t="s">
        <v>8668</v>
      </c>
      <c r="U5119" s="1" t="str">
        <f>HYPERLINK("http://ictvonline.org/taxonomy/p/taxonomy-history?taxnode_id=202103603","ICTVonline=202103603")</f>
        <v>ICTVonline=202103603</v>
      </c>
    </row>
    <row r="5120" spans="1:21" x14ac:dyDescent="0.2">
      <c r="A5120" s="3">
        <v>5119</v>
      </c>
      <c r="B5120" s="1" t="s">
        <v>5250</v>
      </c>
      <c r="D5120" s="1" t="s">
        <v>5280</v>
      </c>
      <c r="F5120" s="1" t="s">
        <v>5347</v>
      </c>
      <c r="H5120" s="1" t="s">
        <v>5368</v>
      </c>
      <c r="J5120" s="1" t="s">
        <v>5369</v>
      </c>
      <c r="L5120" s="1" t="s">
        <v>2964</v>
      </c>
      <c r="N5120" s="1" t="s">
        <v>3364</v>
      </c>
      <c r="P5120" s="1" t="s">
        <v>6595</v>
      </c>
      <c r="Q5120" s="30" t="s">
        <v>2891</v>
      </c>
      <c r="R5120" s="33" t="s">
        <v>3472</v>
      </c>
      <c r="S5120">
        <v>36</v>
      </c>
      <c r="T5120" s="1" t="s">
        <v>6449</v>
      </c>
      <c r="U5120" s="1" t="str">
        <f>HYPERLINK("http://ictvonline.org/taxonomy/p/taxonomy-history?taxnode_id=202109054","ICTVonline=202109054")</f>
        <v>ICTVonline=202109054</v>
      </c>
    </row>
    <row r="5121" spans="1:21" x14ac:dyDescent="0.2">
      <c r="A5121" s="3">
        <v>5120</v>
      </c>
      <c r="B5121" s="1" t="s">
        <v>5250</v>
      </c>
      <c r="D5121" s="1" t="s">
        <v>5280</v>
      </c>
      <c r="F5121" s="1" t="s">
        <v>5347</v>
      </c>
      <c r="H5121" s="1" t="s">
        <v>5368</v>
      </c>
      <c r="J5121" s="1" t="s">
        <v>5369</v>
      </c>
      <c r="L5121" s="1" t="s">
        <v>2964</v>
      </c>
      <c r="N5121" s="1" t="s">
        <v>3364</v>
      </c>
      <c r="P5121" s="1" t="s">
        <v>6596</v>
      </c>
      <c r="Q5121" s="30" t="s">
        <v>2891</v>
      </c>
      <c r="R5121" s="33" t="s">
        <v>3472</v>
      </c>
      <c r="S5121">
        <v>36</v>
      </c>
      <c r="T5121" s="1" t="s">
        <v>6449</v>
      </c>
      <c r="U5121" s="1" t="str">
        <f>HYPERLINK("http://ictvonline.org/taxonomy/p/taxonomy-history?taxnode_id=202109055","ICTVonline=202109055")</f>
        <v>ICTVonline=202109055</v>
      </c>
    </row>
    <row r="5122" spans="1:21" x14ac:dyDescent="0.2">
      <c r="A5122" s="3">
        <v>5121</v>
      </c>
      <c r="B5122" s="1" t="s">
        <v>5250</v>
      </c>
      <c r="D5122" s="1" t="s">
        <v>5280</v>
      </c>
      <c r="F5122" s="1" t="s">
        <v>5347</v>
      </c>
      <c r="H5122" s="1" t="s">
        <v>5368</v>
      </c>
      <c r="J5122" s="1" t="s">
        <v>5369</v>
      </c>
      <c r="L5122" s="1" t="s">
        <v>2964</v>
      </c>
      <c r="N5122" s="1" t="s">
        <v>3364</v>
      </c>
      <c r="P5122" s="1" t="s">
        <v>6597</v>
      </c>
      <c r="Q5122" s="30" t="s">
        <v>2891</v>
      </c>
      <c r="R5122" s="33" t="s">
        <v>3472</v>
      </c>
      <c r="S5122">
        <v>36</v>
      </c>
      <c r="T5122" s="1" t="s">
        <v>6449</v>
      </c>
      <c r="U5122" s="1" t="str">
        <f>HYPERLINK("http://ictvonline.org/taxonomy/p/taxonomy-history?taxnode_id=202109062","ICTVonline=202109062")</f>
        <v>ICTVonline=202109062</v>
      </c>
    </row>
    <row r="5123" spans="1:21" x14ac:dyDescent="0.2">
      <c r="A5123" s="3">
        <v>5122</v>
      </c>
      <c r="B5123" s="1" t="s">
        <v>5250</v>
      </c>
      <c r="D5123" s="1" t="s">
        <v>5280</v>
      </c>
      <c r="F5123" s="1" t="s">
        <v>5347</v>
      </c>
      <c r="H5123" s="1" t="s">
        <v>5368</v>
      </c>
      <c r="J5123" s="1" t="s">
        <v>5369</v>
      </c>
      <c r="L5123" s="1" t="s">
        <v>2964</v>
      </c>
      <c r="N5123" s="1" t="s">
        <v>3364</v>
      </c>
      <c r="P5123" s="1" t="s">
        <v>6598</v>
      </c>
      <c r="Q5123" s="30" t="s">
        <v>2891</v>
      </c>
      <c r="R5123" s="33" t="s">
        <v>3475</v>
      </c>
      <c r="S5123">
        <v>36</v>
      </c>
      <c r="T5123" s="1" t="s">
        <v>6449</v>
      </c>
      <c r="U5123" s="1" t="str">
        <f>HYPERLINK("http://ictvonline.org/taxonomy/p/taxonomy-history?taxnode_id=202103605","ICTVonline=202103605")</f>
        <v>ICTVonline=202103605</v>
      </c>
    </row>
    <row r="5124" spans="1:21" x14ac:dyDescent="0.2">
      <c r="A5124" s="3">
        <v>5123</v>
      </c>
      <c r="B5124" s="1" t="s">
        <v>5250</v>
      </c>
      <c r="D5124" s="1" t="s">
        <v>5280</v>
      </c>
      <c r="F5124" s="1" t="s">
        <v>5347</v>
      </c>
      <c r="H5124" s="1" t="s">
        <v>5368</v>
      </c>
      <c r="J5124" s="1" t="s">
        <v>5369</v>
      </c>
      <c r="L5124" s="1" t="s">
        <v>2964</v>
      </c>
      <c r="N5124" s="1" t="s">
        <v>3364</v>
      </c>
      <c r="P5124" s="1" t="s">
        <v>6599</v>
      </c>
      <c r="Q5124" s="30" t="s">
        <v>2891</v>
      </c>
      <c r="R5124" s="33" t="s">
        <v>3472</v>
      </c>
      <c r="S5124">
        <v>36</v>
      </c>
      <c r="T5124" s="1" t="s">
        <v>6449</v>
      </c>
      <c r="U5124" s="1" t="str">
        <f>HYPERLINK("http://ictvonline.org/taxonomy/p/taxonomy-history?taxnode_id=202109065","ICTVonline=202109065")</f>
        <v>ICTVonline=202109065</v>
      </c>
    </row>
    <row r="5125" spans="1:21" x14ac:dyDescent="0.2">
      <c r="A5125" s="3">
        <v>5124</v>
      </c>
      <c r="B5125" s="1" t="s">
        <v>5250</v>
      </c>
      <c r="D5125" s="1" t="s">
        <v>5280</v>
      </c>
      <c r="F5125" s="1" t="s">
        <v>5347</v>
      </c>
      <c r="H5125" s="1" t="s">
        <v>5368</v>
      </c>
      <c r="J5125" s="1" t="s">
        <v>5369</v>
      </c>
      <c r="L5125" s="1" t="s">
        <v>2964</v>
      </c>
      <c r="N5125" s="1" t="s">
        <v>3364</v>
      </c>
      <c r="P5125" s="1" t="s">
        <v>6600</v>
      </c>
      <c r="Q5125" s="30" t="s">
        <v>2891</v>
      </c>
      <c r="R5125" s="33" t="s">
        <v>3475</v>
      </c>
      <c r="S5125">
        <v>36</v>
      </c>
      <c r="T5125" s="1" t="s">
        <v>6449</v>
      </c>
      <c r="U5125" s="1" t="str">
        <f>HYPERLINK("http://ictvonline.org/taxonomy/p/taxonomy-history?taxnode_id=202103607","ICTVonline=202103607")</f>
        <v>ICTVonline=202103607</v>
      </c>
    </row>
    <row r="5126" spans="1:21" x14ac:dyDescent="0.2">
      <c r="A5126" s="3">
        <v>5125</v>
      </c>
      <c r="B5126" s="1" t="s">
        <v>5250</v>
      </c>
      <c r="D5126" s="1" t="s">
        <v>5280</v>
      </c>
      <c r="F5126" s="1" t="s">
        <v>5347</v>
      </c>
      <c r="H5126" s="1" t="s">
        <v>5368</v>
      </c>
      <c r="J5126" s="1" t="s">
        <v>5369</v>
      </c>
      <c r="L5126" s="1" t="s">
        <v>2964</v>
      </c>
      <c r="N5126" s="1" t="s">
        <v>3364</v>
      </c>
      <c r="P5126" s="1" t="s">
        <v>6601</v>
      </c>
      <c r="Q5126" s="30" t="s">
        <v>2891</v>
      </c>
      <c r="R5126" s="33" t="s">
        <v>3475</v>
      </c>
      <c r="S5126">
        <v>36</v>
      </c>
      <c r="T5126" s="1" t="s">
        <v>6449</v>
      </c>
      <c r="U5126" s="1" t="str">
        <f>HYPERLINK("http://ictvonline.org/taxonomy/p/taxonomy-history?taxnode_id=202103606","ICTVonline=202103606")</f>
        <v>ICTVonline=202103606</v>
      </c>
    </row>
    <row r="5127" spans="1:21" x14ac:dyDescent="0.2">
      <c r="A5127" s="3">
        <v>5126</v>
      </c>
      <c r="B5127" s="1" t="s">
        <v>5250</v>
      </c>
      <c r="D5127" s="1" t="s">
        <v>5280</v>
      </c>
      <c r="F5127" s="1" t="s">
        <v>5347</v>
      </c>
      <c r="H5127" s="1" t="s">
        <v>5368</v>
      </c>
      <c r="J5127" s="1" t="s">
        <v>5369</v>
      </c>
      <c r="L5127" s="1" t="s">
        <v>2964</v>
      </c>
      <c r="N5127" s="1" t="s">
        <v>3364</v>
      </c>
      <c r="P5127" s="1" t="s">
        <v>6602</v>
      </c>
      <c r="Q5127" s="30" t="s">
        <v>2891</v>
      </c>
      <c r="R5127" s="33" t="s">
        <v>3475</v>
      </c>
      <c r="S5127">
        <v>36</v>
      </c>
      <c r="T5127" s="1" t="s">
        <v>6449</v>
      </c>
      <c r="U5127" s="1" t="str">
        <f>HYPERLINK("http://ictvonline.org/taxonomy/p/taxonomy-history?taxnode_id=202103608","ICTVonline=202103608")</f>
        <v>ICTVonline=202103608</v>
      </c>
    </row>
    <row r="5128" spans="1:21" x14ac:dyDescent="0.2">
      <c r="A5128" s="3">
        <v>5127</v>
      </c>
      <c r="B5128" s="1" t="s">
        <v>5250</v>
      </c>
      <c r="D5128" s="1" t="s">
        <v>5280</v>
      </c>
      <c r="F5128" s="1" t="s">
        <v>5347</v>
      </c>
      <c r="H5128" s="1" t="s">
        <v>5368</v>
      </c>
      <c r="J5128" s="1" t="s">
        <v>5369</v>
      </c>
      <c r="L5128" s="1" t="s">
        <v>2964</v>
      </c>
      <c r="N5128" s="1" t="s">
        <v>3364</v>
      </c>
      <c r="P5128" s="1" t="s">
        <v>6603</v>
      </c>
      <c r="Q5128" s="30" t="s">
        <v>2891</v>
      </c>
      <c r="R5128" s="33" t="s">
        <v>3472</v>
      </c>
      <c r="S5128">
        <v>36</v>
      </c>
      <c r="T5128" s="1" t="s">
        <v>6449</v>
      </c>
      <c r="U5128" s="1" t="str">
        <f>HYPERLINK("http://ictvonline.org/taxonomy/p/taxonomy-history?taxnode_id=202109038","ICTVonline=202109038")</f>
        <v>ICTVonline=202109038</v>
      </c>
    </row>
    <row r="5129" spans="1:21" x14ac:dyDescent="0.2">
      <c r="A5129" s="3">
        <v>5128</v>
      </c>
      <c r="B5129" s="1" t="s">
        <v>5250</v>
      </c>
      <c r="D5129" s="1" t="s">
        <v>5280</v>
      </c>
      <c r="F5129" s="1" t="s">
        <v>5347</v>
      </c>
      <c r="H5129" s="1" t="s">
        <v>5368</v>
      </c>
      <c r="J5129" s="1" t="s">
        <v>5369</v>
      </c>
      <c r="L5129" s="1" t="s">
        <v>2964</v>
      </c>
      <c r="N5129" s="1" t="s">
        <v>3364</v>
      </c>
      <c r="P5129" s="1" t="s">
        <v>6604</v>
      </c>
      <c r="Q5129" s="30" t="s">
        <v>2891</v>
      </c>
      <c r="R5129" s="33" t="s">
        <v>3472</v>
      </c>
      <c r="S5129">
        <v>36</v>
      </c>
      <c r="T5129" s="1" t="s">
        <v>6449</v>
      </c>
      <c r="U5129" s="1" t="str">
        <f>HYPERLINK("http://ictvonline.org/taxonomy/p/taxonomy-history?taxnode_id=202109061","ICTVonline=202109061")</f>
        <v>ICTVonline=202109061</v>
      </c>
    </row>
    <row r="5130" spans="1:21" x14ac:dyDescent="0.2">
      <c r="A5130" s="3">
        <v>5129</v>
      </c>
      <c r="B5130" s="1" t="s">
        <v>5250</v>
      </c>
      <c r="D5130" s="1" t="s">
        <v>5280</v>
      </c>
      <c r="F5130" s="1" t="s">
        <v>5347</v>
      </c>
      <c r="H5130" s="1" t="s">
        <v>5368</v>
      </c>
      <c r="J5130" s="1" t="s">
        <v>5369</v>
      </c>
      <c r="L5130" s="1" t="s">
        <v>2964</v>
      </c>
      <c r="N5130" s="1" t="s">
        <v>3364</v>
      </c>
      <c r="P5130" s="1" t="s">
        <v>6605</v>
      </c>
      <c r="Q5130" s="30" t="s">
        <v>2891</v>
      </c>
      <c r="R5130" s="33" t="s">
        <v>3472</v>
      </c>
      <c r="S5130">
        <v>36</v>
      </c>
      <c r="T5130" s="1" t="s">
        <v>6449</v>
      </c>
      <c r="U5130" s="1" t="str">
        <f>HYPERLINK("http://ictvonline.org/taxonomy/p/taxonomy-history?taxnode_id=202109039","ICTVonline=202109039")</f>
        <v>ICTVonline=202109039</v>
      </c>
    </row>
    <row r="5131" spans="1:21" x14ac:dyDescent="0.2">
      <c r="A5131" s="3">
        <v>5130</v>
      </c>
      <c r="B5131" s="1" t="s">
        <v>5250</v>
      </c>
      <c r="D5131" s="1" t="s">
        <v>5280</v>
      </c>
      <c r="F5131" s="1" t="s">
        <v>5347</v>
      </c>
      <c r="H5131" s="1" t="s">
        <v>5368</v>
      </c>
      <c r="J5131" s="1" t="s">
        <v>5369</v>
      </c>
      <c r="L5131" s="1" t="s">
        <v>2964</v>
      </c>
      <c r="N5131" s="1" t="s">
        <v>3364</v>
      </c>
      <c r="P5131" s="1" t="s">
        <v>6606</v>
      </c>
      <c r="Q5131" s="30" t="s">
        <v>2891</v>
      </c>
      <c r="R5131" s="33" t="s">
        <v>3472</v>
      </c>
      <c r="S5131">
        <v>36</v>
      </c>
      <c r="T5131" s="1" t="s">
        <v>6449</v>
      </c>
      <c r="U5131" s="1" t="str">
        <f>HYPERLINK("http://ictvonline.org/taxonomy/p/taxonomy-history?taxnode_id=202109040","ICTVonline=202109040")</f>
        <v>ICTVonline=202109040</v>
      </c>
    </row>
    <row r="5132" spans="1:21" x14ac:dyDescent="0.2">
      <c r="A5132" s="3">
        <v>5131</v>
      </c>
      <c r="B5132" s="1" t="s">
        <v>5250</v>
      </c>
      <c r="D5132" s="1" t="s">
        <v>5280</v>
      </c>
      <c r="F5132" s="1" t="s">
        <v>5347</v>
      </c>
      <c r="H5132" s="1" t="s">
        <v>5368</v>
      </c>
      <c r="J5132" s="1" t="s">
        <v>5369</v>
      </c>
      <c r="L5132" s="1" t="s">
        <v>2964</v>
      </c>
      <c r="N5132" s="1" t="s">
        <v>3364</v>
      </c>
      <c r="P5132" s="1" t="s">
        <v>6607</v>
      </c>
      <c r="Q5132" s="30" t="s">
        <v>2891</v>
      </c>
      <c r="R5132" s="33" t="s">
        <v>8666</v>
      </c>
      <c r="S5132">
        <v>36</v>
      </c>
      <c r="T5132" s="1" t="s">
        <v>8668</v>
      </c>
      <c r="U5132" s="1" t="str">
        <f>HYPERLINK("http://ictvonline.org/taxonomy/p/taxonomy-history?taxnode_id=202103609","ICTVonline=202103609")</f>
        <v>ICTVonline=202103609</v>
      </c>
    </row>
    <row r="5133" spans="1:21" x14ac:dyDescent="0.2">
      <c r="A5133" s="3">
        <v>5132</v>
      </c>
      <c r="B5133" s="1" t="s">
        <v>5250</v>
      </c>
      <c r="D5133" s="1" t="s">
        <v>5280</v>
      </c>
      <c r="F5133" s="1" t="s">
        <v>5347</v>
      </c>
      <c r="H5133" s="1" t="s">
        <v>5368</v>
      </c>
      <c r="J5133" s="1" t="s">
        <v>5369</v>
      </c>
      <c r="L5133" s="1" t="s">
        <v>2964</v>
      </c>
      <c r="N5133" s="1" t="s">
        <v>3364</v>
      </c>
      <c r="P5133" s="1" t="s">
        <v>6608</v>
      </c>
      <c r="Q5133" s="30" t="s">
        <v>2891</v>
      </c>
      <c r="R5133" s="33" t="s">
        <v>3472</v>
      </c>
      <c r="S5133">
        <v>36</v>
      </c>
      <c r="T5133" s="1" t="s">
        <v>6449</v>
      </c>
      <c r="U5133" s="1" t="str">
        <f>HYPERLINK("http://ictvonline.org/taxonomy/p/taxonomy-history?taxnode_id=202109035","ICTVonline=202109035")</f>
        <v>ICTVonline=202109035</v>
      </c>
    </row>
    <row r="5134" spans="1:21" x14ac:dyDescent="0.2">
      <c r="A5134" s="3">
        <v>5133</v>
      </c>
      <c r="B5134" s="1" t="s">
        <v>5250</v>
      </c>
      <c r="D5134" s="1" t="s">
        <v>5280</v>
      </c>
      <c r="F5134" s="1" t="s">
        <v>5347</v>
      </c>
      <c r="H5134" s="1" t="s">
        <v>5368</v>
      </c>
      <c r="J5134" s="1" t="s">
        <v>5369</v>
      </c>
      <c r="L5134" s="1" t="s">
        <v>2964</v>
      </c>
      <c r="N5134" s="1" t="s">
        <v>3364</v>
      </c>
      <c r="P5134" s="1" t="s">
        <v>6609</v>
      </c>
      <c r="Q5134" s="30" t="s">
        <v>2891</v>
      </c>
      <c r="R5134" s="33" t="s">
        <v>3472</v>
      </c>
      <c r="S5134">
        <v>36</v>
      </c>
      <c r="T5134" s="1" t="s">
        <v>6449</v>
      </c>
      <c r="U5134" s="1" t="str">
        <f>HYPERLINK("http://ictvonline.org/taxonomy/p/taxonomy-history?taxnode_id=202109063","ICTVonline=202109063")</f>
        <v>ICTVonline=202109063</v>
      </c>
    </row>
    <row r="5135" spans="1:21" x14ac:dyDescent="0.2">
      <c r="A5135" s="3">
        <v>5134</v>
      </c>
      <c r="B5135" s="1" t="s">
        <v>5250</v>
      </c>
      <c r="D5135" s="1" t="s">
        <v>5280</v>
      </c>
      <c r="F5135" s="1" t="s">
        <v>5347</v>
      </c>
      <c r="H5135" s="1" t="s">
        <v>5368</v>
      </c>
      <c r="J5135" s="1" t="s">
        <v>5369</v>
      </c>
      <c r="L5135" s="1" t="s">
        <v>2964</v>
      </c>
      <c r="N5135" s="1" t="s">
        <v>3364</v>
      </c>
      <c r="P5135" s="1" t="s">
        <v>6610</v>
      </c>
      <c r="Q5135" s="30" t="s">
        <v>2891</v>
      </c>
      <c r="R5135" s="33" t="s">
        <v>3472</v>
      </c>
      <c r="S5135">
        <v>36</v>
      </c>
      <c r="T5135" s="1" t="s">
        <v>6449</v>
      </c>
      <c r="U5135" s="1" t="str">
        <f>HYPERLINK("http://ictvonline.org/taxonomy/p/taxonomy-history?taxnode_id=202109064","ICTVonline=202109064")</f>
        <v>ICTVonline=202109064</v>
      </c>
    </row>
    <row r="5136" spans="1:21" x14ac:dyDescent="0.2">
      <c r="A5136" s="3">
        <v>5135</v>
      </c>
      <c r="B5136" s="1" t="s">
        <v>5250</v>
      </c>
      <c r="D5136" s="1" t="s">
        <v>5280</v>
      </c>
      <c r="F5136" s="1" t="s">
        <v>5347</v>
      </c>
      <c r="H5136" s="1" t="s">
        <v>5368</v>
      </c>
      <c r="J5136" s="1" t="s">
        <v>5369</v>
      </c>
      <c r="L5136" s="1" t="s">
        <v>2964</v>
      </c>
      <c r="N5136" s="1" t="s">
        <v>3364</v>
      </c>
      <c r="P5136" s="1" t="s">
        <v>6611</v>
      </c>
      <c r="Q5136" s="30" t="s">
        <v>2891</v>
      </c>
      <c r="R5136" s="33" t="s">
        <v>3472</v>
      </c>
      <c r="S5136">
        <v>36</v>
      </c>
      <c r="T5136" s="1" t="s">
        <v>6449</v>
      </c>
      <c r="U5136" s="1" t="str">
        <f>HYPERLINK("http://ictvonline.org/taxonomy/p/taxonomy-history?taxnode_id=202109066","ICTVonline=202109066")</f>
        <v>ICTVonline=202109066</v>
      </c>
    </row>
    <row r="5137" spans="1:21" x14ac:dyDescent="0.2">
      <c r="A5137" s="3">
        <v>5136</v>
      </c>
      <c r="B5137" s="1" t="s">
        <v>5250</v>
      </c>
      <c r="D5137" s="1" t="s">
        <v>5280</v>
      </c>
      <c r="F5137" s="1" t="s">
        <v>5347</v>
      </c>
      <c r="H5137" s="1" t="s">
        <v>5368</v>
      </c>
      <c r="J5137" s="1" t="s">
        <v>5369</v>
      </c>
      <c r="L5137" s="1" t="s">
        <v>2964</v>
      </c>
      <c r="N5137" s="1" t="s">
        <v>3364</v>
      </c>
      <c r="P5137" s="1" t="s">
        <v>6612</v>
      </c>
      <c r="Q5137" s="30" t="s">
        <v>2891</v>
      </c>
      <c r="R5137" s="33" t="s">
        <v>3472</v>
      </c>
      <c r="S5137">
        <v>36</v>
      </c>
      <c r="T5137" s="1" t="s">
        <v>6449</v>
      </c>
      <c r="U5137" s="1" t="str">
        <f>HYPERLINK("http://ictvonline.org/taxonomy/p/taxonomy-history?taxnode_id=202109043","ICTVonline=202109043")</f>
        <v>ICTVonline=202109043</v>
      </c>
    </row>
    <row r="5138" spans="1:21" x14ac:dyDescent="0.2">
      <c r="A5138" s="3">
        <v>5137</v>
      </c>
      <c r="B5138" s="1" t="s">
        <v>5250</v>
      </c>
      <c r="D5138" s="1" t="s">
        <v>5280</v>
      </c>
      <c r="F5138" s="1" t="s">
        <v>5347</v>
      </c>
      <c r="H5138" s="1" t="s">
        <v>5368</v>
      </c>
      <c r="J5138" s="1" t="s">
        <v>5369</v>
      </c>
      <c r="L5138" s="1" t="s">
        <v>2964</v>
      </c>
      <c r="N5138" s="1" t="s">
        <v>3364</v>
      </c>
      <c r="P5138" s="1" t="s">
        <v>6613</v>
      </c>
      <c r="Q5138" s="30" t="s">
        <v>2891</v>
      </c>
      <c r="R5138" s="33" t="s">
        <v>3472</v>
      </c>
      <c r="S5138">
        <v>36</v>
      </c>
      <c r="T5138" s="1" t="s">
        <v>6449</v>
      </c>
      <c r="U5138" s="1" t="str">
        <f>HYPERLINK("http://ictvonline.org/taxonomy/p/taxonomy-history?taxnode_id=202109058","ICTVonline=202109058")</f>
        <v>ICTVonline=202109058</v>
      </c>
    </row>
    <row r="5139" spans="1:21" x14ac:dyDescent="0.2">
      <c r="A5139" s="3">
        <v>5138</v>
      </c>
      <c r="B5139" s="1" t="s">
        <v>5250</v>
      </c>
      <c r="D5139" s="1" t="s">
        <v>5280</v>
      </c>
      <c r="F5139" s="1" t="s">
        <v>5347</v>
      </c>
      <c r="H5139" s="1" t="s">
        <v>5368</v>
      </c>
      <c r="J5139" s="1" t="s">
        <v>5369</v>
      </c>
      <c r="L5139" s="1" t="s">
        <v>2964</v>
      </c>
      <c r="N5139" s="1" t="s">
        <v>3364</v>
      </c>
      <c r="P5139" s="1" t="s">
        <v>6614</v>
      </c>
      <c r="Q5139" s="30" t="s">
        <v>2891</v>
      </c>
      <c r="R5139" s="33" t="s">
        <v>3472</v>
      </c>
      <c r="S5139">
        <v>36</v>
      </c>
      <c r="T5139" s="1" t="s">
        <v>6449</v>
      </c>
      <c r="U5139" s="1" t="str">
        <f>HYPERLINK("http://ictvonline.org/taxonomy/p/taxonomy-history?taxnode_id=202109044","ICTVonline=202109044")</f>
        <v>ICTVonline=202109044</v>
      </c>
    </row>
    <row r="5140" spans="1:21" x14ac:dyDescent="0.2">
      <c r="A5140" s="3">
        <v>5139</v>
      </c>
      <c r="B5140" s="1" t="s">
        <v>5250</v>
      </c>
      <c r="D5140" s="1" t="s">
        <v>5280</v>
      </c>
      <c r="F5140" s="1" t="s">
        <v>5347</v>
      </c>
      <c r="H5140" s="1" t="s">
        <v>5368</v>
      </c>
      <c r="J5140" s="1" t="s">
        <v>5369</v>
      </c>
      <c r="L5140" s="1" t="s">
        <v>2964</v>
      </c>
      <c r="N5140" s="1" t="s">
        <v>3364</v>
      </c>
      <c r="P5140" s="1" t="s">
        <v>6615</v>
      </c>
      <c r="Q5140" s="30" t="s">
        <v>2891</v>
      </c>
      <c r="R5140" s="33" t="s">
        <v>3472</v>
      </c>
      <c r="S5140">
        <v>36</v>
      </c>
      <c r="T5140" s="1" t="s">
        <v>6449</v>
      </c>
      <c r="U5140" s="1" t="str">
        <f>HYPERLINK("http://ictvonline.org/taxonomy/p/taxonomy-history?taxnode_id=202109045","ICTVonline=202109045")</f>
        <v>ICTVonline=202109045</v>
      </c>
    </row>
    <row r="5141" spans="1:21" x14ac:dyDescent="0.2">
      <c r="A5141" s="3">
        <v>5140</v>
      </c>
      <c r="B5141" s="1" t="s">
        <v>5250</v>
      </c>
      <c r="D5141" s="1" t="s">
        <v>5280</v>
      </c>
      <c r="F5141" s="1" t="s">
        <v>5347</v>
      </c>
      <c r="H5141" s="1" t="s">
        <v>5368</v>
      </c>
      <c r="J5141" s="1" t="s">
        <v>5369</v>
      </c>
      <c r="L5141" s="1" t="s">
        <v>2964</v>
      </c>
      <c r="N5141" s="1" t="s">
        <v>3364</v>
      </c>
      <c r="P5141" s="1" t="s">
        <v>6616</v>
      </c>
      <c r="Q5141" s="30" t="s">
        <v>2891</v>
      </c>
      <c r="R5141" s="33" t="s">
        <v>3472</v>
      </c>
      <c r="S5141">
        <v>36</v>
      </c>
      <c r="T5141" s="1" t="s">
        <v>6449</v>
      </c>
      <c r="U5141" s="1" t="str">
        <f>HYPERLINK("http://ictvonline.org/taxonomy/p/taxonomy-history?taxnode_id=202109046","ICTVonline=202109046")</f>
        <v>ICTVonline=202109046</v>
      </c>
    </row>
    <row r="5142" spans="1:21" x14ac:dyDescent="0.2">
      <c r="A5142" s="3">
        <v>5141</v>
      </c>
      <c r="B5142" s="1" t="s">
        <v>5250</v>
      </c>
      <c r="D5142" s="1" t="s">
        <v>5280</v>
      </c>
      <c r="F5142" s="1" t="s">
        <v>5347</v>
      </c>
      <c r="H5142" s="1" t="s">
        <v>5368</v>
      </c>
      <c r="J5142" s="1" t="s">
        <v>5369</v>
      </c>
      <c r="L5142" s="1" t="s">
        <v>2964</v>
      </c>
      <c r="N5142" s="1" t="s">
        <v>3364</v>
      </c>
      <c r="P5142" s="1" t="s">
        <v>6617</v>
      </c>
      <c r="Q5142" s="30" t="s">
        <v>2891</v>
      </c>
      <c r="R5142" s="33" t="s">
        <v>3472</v>
      </c>
      <c r="S5142">
        <v>36</v>
      </c>
      <c r="T5142" s="1" t="s">
        <v>6449</v>
      </c>
      <c r="U5142" s="1" t="str">
        <f>HYPERLINK("http://ictvonline.org/taxonomy/p/taxonomy-history?taxnode_id=202109049","ICTVonline=202109049")</f>
        <v>ICTVonline=202109049</v>
      </c>
    </row>
    <row r="5143" spans="1:21" x14ac:dyDescent="0.2">
      <c r="A5143" s="3">
        <v>5142</v>
      </c>
      <c r="B5143" s="1" t="s">
        <v>5250</v>
      </c>
      <c r="D5143" s="1" t="s">
        <v>5280</v>
      </c>
      <c r="F5143" s="1" t="s">
        <v>5347</v>
      </c>
      <c r="H5143" s="1" t="s">
        <v>5368</v>
      </c>
      <c r="J5143" s="1" t="s">
        <v>5369</v>
      </c>
      <c r="L5143" s="1" t="s">
        <v>2964</v>
      </c>
      <c r="N5143" s="1" t="s">
        <v>3364</v>
      </c>
      <c r="P5143" s="1" t="s">
        <v>6618</v>
      </c>
      <c r="Q5143" s="30" t="s">
        <v>2891</v>
      </c>
      <c r="R5143" s="33" t="s">
        <v>3472</v>
      </c>
      <c r="S5143">
        <v>36</v>
      </c>
      <c r="T5143" s="1" t="s">
        <v>6449</v>
      </c>
      <c r="U5143" s="1" t="str">
        <f>HYPERLINK("http://ictvonline.org/taxonomy/p/taxonomy-history?taxnode_id=202109053","ICTVonline=202109053")</f>
        <v>ICTVonline=202109053</v>
      </c>
    </row>
    <row r="5144" spans="1:21" x14ac:dyDescent="0.2">
      <c r="A5144" s="3">
        <v>5143</v>
      </c>
      <c r="B5144" s="1" t="s">
        <v>5250</v>
      </c>
      <c r="D5144" s="1" t="s">
        <v>5280</v>
      </c>
      <c r="F5144" s="1" t="s">
        <v>5347</v>
      </c>
      <c r="H5144" s="1" t="s">
        <v>5368</v>
      </c>
      <c r="J5144" s="1" t="s">
        <v>5369</v>
      </c>
      <c r="L5144" s="1" t="s">
        <v>2964</v>
      </c>
      <c r="N5144" s="1" t="s">
        <v>3364</v>
      </c>
      <c r="P5144" s="1" t="s">
        <v>6619</v>
      </c>
      <c r="Q5144" s="30" t="s">
        <v>2891</v>
      </c>
      <c r="R5144" s="33" t="s">
        <v>3472</v>
      </c>
      <c r="S5144">
        <v>36</v>
      </c>
      <c r="T5144" s="1" t="s">
        <v>6449</v>
      </c>
      <c r="U5144" s="1" t="str">
        <f>HYPERLINK("http://ictvonline.org/taxonomy/p/taxonomy-history?taxnode_id=202109033","ICTVonline=202109033")</f>
        <v>ICTVonline=202109033</v>
      </c>
    </row>
    <row r="5145" spans="1:21" x14ac:dyDescent="0.2">
      <c r="A5145" s="3">
        <v>5144</v>
      </c>
      <c r="B5145" s="1" t="s">
        <v>5250</v>
      </c>
      <c r="D5145" s="1" t="s">
        <v>5280</v>
      </c>
      <c r="F5145" s="1" t="s">
        <v>5347</v>
      </c>
      <c r="H5145" s="1" t="s">
        <v>5368</v>
      </c>
      <c r="J5145" s="1" t="s">
        <v>5369</v>
      </c>
      <c r="L5145" s="1" t="s">
        <v>2964</v>
      </c>
      <c r="N5145" s="1" t="s">
        <v>3364</v>
      </c>
      <c r="P5145" s="1" t="s">
        <v>6620</v>
      </c>
      <c r="Q5145" s="30" t="s">
        <v>2891</v>
      </c>
      <c r="R5145" s="33" t="s">
        <v>3475</v>
      </c>
      <c r="S5145">
        <v>36</v>
      </c>
      <c r="T5145" s="1" t="s">
        <v>6449</v>
      </c>
      <c r="U5145" s="1" t="str">
        <f>HYPERLINK("http://ictvonline.org/taxonomy/p/taxonomy-history?taxnode_id=202103610","ICTVonline=202103610")</f>
        <v>ICTVonline=202103610</v>
      </c>
    </row>
    <row r="5146" spans="1:21" x14ac:dyDescent="0.2">
      <c r="A5146" s="3">
        <v>5145</v>
      </c>
      <c r="B5146" s="1" t="s">
        <v>5250</v>
      </c>
      <c r="D5146" s="1" t="s">
        <v>5280</v>
      </c>
      <c r="F5146" s="1" t="s">
        <v>5347</v>
      </c>
      <c r="H5146" s="1" t="s">
        <v>5368</v>
      </c>
      <c r="J5146" s="1" t="s">
        <v>5369</v>
      </c>
      <c r="L5146" s="1" t="s">
        <v>2964</v>
      </c>
      <c r="N5146" s="1" t="s">
        <v>3364</v>
      </c>
      <c r="P5146" s="1" t="s">
        <v>6621</v>
      </c>
      <c r="Q5146" s="30" t="s">
        <v>2891</v>
      </c>
      <c r="R5146" s="33" t="s">
        <v>3475</v>
      </c>
      <c r="S5146">
        <v>36</v>
      </c>
      <c r="T5146" s="1" t="s">
        <v>6449</v>
      </c>
      <c r="U5146" s="1" t="str">
        <f>HYPERLINK("http://ictvonline.org/taxonomy/p/taxonomy-history?taxnode_id=202103611","ICTVonline=202103611")</f>
        <v>ICTVonline=202103611</v>
      </c>
    </row>
    <row r="5147" spans="1:21" x14ac:dyDescent="0.2">
      <c r="A5147" s="3">
        <v>5146</v>
      </c>
      <c r="B5147" s="1" t="s">
        <v>5250</v>
      </c>
      <c r="D5147" s="1" t="s">
        <v>5280</v>
      </c>
      <c r="F5147" s="1" t="s">
        <v>5347</v>
      </c>
      <c r="H5147" s="1" t="s">
        <v>5368</v>
      </c>
      <c r="J5147" s="1" t="s">
        <v>5369</v>
      </c>
      <c r="L5147" s="1" t="s">
        <v>2964</v>
      </c>
      <c r="N5147" s="1" t="s">
        <v>3364</v>
      </c>
      <c r="P5147" s="1" t="s">
        <v>6622</v>
      </c>
      <c r="Q5147" s="30" t="s">
        <v>2891</v>
      </c>
      <c r="R5147" s="33" t="s">
        <v>3475</v>
      </c>
      <c r="S5147">
        <v>36</v>
      </c>
      <c r="T5147" s="1" t="s">
        <v>6449</v>
      </c>
      <c r="U5147" s="1" t="str">
        <f>HYPERLINK("http://ictvonline.org/taxonomy/p/taxonomy-history?taxnode_id=202103612","ICTVonline=202103612")</f>
        <v>ICTVonline=202103612</v>
      </c>
    </row>
    <row r="5148" spans="1:21" x14ac:dyDescent="0.2">
      <c r="A5148" s="3">
        <v>5147</v>
      </c>
      <c r="B5148" s="1" t="s">
        <v>5250</v>
      </c>
      <c r="D5148" s="1" t="s">
        <v>5280</v>
      </c>
      <c r="F5148" s="1" t="s">
        <v>5347</v>
      </c>
      <c r="H5148" s="1" t="s">
        <v>5368</v>
      </c>
      <c r="J5148" s="1" t="s">
        <v>5369</v>
      </c>
      <c r="L5148" s="1" t="s">
        <v>2964</v>
      </c>
      <c r="N5148" s="1" t="s">
        <v>3364</v>
      </c>
      <c r="P5148" s="1" t="s">
        <v>6623</v>
      </c>
      <c r="Q5148" s="30" t="s">
        <v>2891</v>
      </c>
      <c r="R5148" s="33" t="s">
        <v>3475</v>
      </c>
      <c r="S5148">
        <v>36</v>
      </c>
      <c r="T5148" s="1" t="s">
        <v>6449</v>
      </c>
      <c r="U5148" s="1" t="str">
        <f>HYPERLINK("http://ictvonline.org/taxonomy/p/taxonomy-history?taxnode_id=202103613","ICTVonline=202103613")</f>
        <v>ICTVonline=202103613</v>
      </c>
    </row>
    <row r="5149" spans="1:21" x14ac:dyDescent="0.2">
      <c r="A5149" s="3">
        <v>5148</v>
      </c>
      <c r="B5149" s="1" t="s">
        <v>5250</v>
      </c>
      <c r="D5149" s="1" t="s">
        <v>5280</v>
      </c>
      <c r="F5149" s="1" t="s">
        <v>5347</v>
      </c>
      <c r="H5149" s="1" t="s">
        <v>5368</v>
      </c>
      <c r="J5149" s="1" t="s">
        <v>5369</v>
      </c>
      <c r="L5149" s="1" t="s">
        <v>2964</v>
      </c>
      <c r="N5149" s="1" t="s">
        <v>3364</v>
      </c>
      <c r="P5149" s="1" t="s">
        <v>6624</v>
      </c>
      <c r="Q5149" s="30" t="s">
        <v>2891</v>
      </c>
      <c r="R5149" s="33" t="s">
        <v>3475</v>
      </c>
      <c r="S5149">
        <v>36</v>
      </c>
      <c r="T5149" s="1" t="s">
        <v>6449</v>
      </c>
      <c r="U5149" s="1" t="str">
        <f>HYPERLINK("http://ictvonline.org/taxonomy/p/taxonomy-history?taxnode_id=202103614","ICTVonline=202103614")</f>
        <v>ICTVonline=202103614</v>
      </c>
    </row>
    <row r="5150" spans="1:21" x14ac:dyDescent="0.2">
      <c r="A5150" s="3">
        <v>5149</v>
      </c>
      <c r="B5150" s="1" t="s">
        <v>5250</v>
      </c>
      <c r="D5150" s="1" t="s">
        <v>5280</v>
      </c>
      <c r="F5150" s="1" t="s">
        <v>5347</v>
      </c>
      <c r="H5150" s="1" t="s">
        <v>5368</v>
      </c>
      <c r="J5150" s="1" t="s">
        <v>5369</v>
      </c>
      <c r="L5150" s="1" t="s">
        <v>2964</v>
      </c>
      <c r="N5150" s="1" t="s">
        <v>3364</v>
      </c>
      <c r="P5150" s="1" t="s">
        <v>6625</v>
      </c>
      <c r="Q5150" s="30" t="s">
        <v>2891</v>
      </c>
      <c r="R5150" s="33" t="s">
        <v>3472</v>
      </c>
      <c r="S5150">
        <v>36</v>
      </c>
      <c r="T5150" s="1" t="s">
        <v>6449</v>
      </c>
      <c r="U5150" s="1" t="str">
        <f>HYPERLINK("http://ictvonline.org/taxonomy/p/taxonomy-history?taxnode_id=202109034","ICTVonline=202109034")</f>
        <v>ICTVonline=202109034</v>
      </c>
    </row>
    <row r="5151" spans="1:21" x14ac:dyDescent="0.2">
      <c r="A5151" s="3">
        <v>5150</v>
      </c>
      <c r="B5151" s="1" t="s">
        <v>5250</v>
      </c>
      <c r="D5151" s="1" t="s">
        <v>5280</v>
      </c>
      <c r="F5151" s="1" t="s">
        <v>5347</v>
      </c>
      <c r="H5151" s="1" t="s">
        <v>5368</v>
      </c>
      <c r="J5151" s="1" t="s">
        <v>5369</v>
      </c>
      <c r="L5151" s="1" t="s">
        <v>2964</v>
      </c>
      <c r="N5151" s="1" t="s">
        <v>3364</v>
      </c>
      <c r="P5151" s="1" t="s">
        <v>6626</v>
      </c>
      <c r="Q5151" s="30" t="s">
        <v>2891</v>
      </c>
      <c r="R5151" s="33" t="s">
        <v>3472</v>
      </c>
      <c r="S5151">
        <v>36</v>
      </c>
      <c r="T5151" s="1" t="s">
        <v>6449</v>
      </c>
      <c r="U5151" s="1" t="str">
        <f>HYPERLINK("http://ictvonline.org/taxonomy/p/taxonomy-history?taxnode_id=202109036","ICTVonline=202109036")</f>
        <v>ICTVonline=202109036</v>
      </c>
    </row>
    <row r="5152" spans="1:21" x14ac:dyDescent="0.2">
      <c r="A5152" s="3">
        <v>5151</v>
      </c>
      <c r="B5152" s="1" t="s">
        <v>5250</v>
      </c>
      <c r="D5152" s="1" t="s">
        <v>5280</v>
      </c>
      <c r="F5152" s="1" t="s">
        <v>5347</v>
      </c>
      <c r="H5152" s="1" t="s">
        <v>5368</v>
      </c>
      <c r="J5152" s="1" t="s">
        <v>5369</v>
      </c>
      <c r="L5152" s="1" t="s">
        <v>2964</v>
      </c>
      <c r="N5152" s="1" t="s">
        <v>3364</v>
      </c>
      <c r="P5152" s="1" t="s">
        <v>6627</v>
      </c>
      <c r="Q5152" s="30" t="s">
        <v>2891</v>
      </c>
      <c r="R5152" s="33" t="s">
        <v>3472</v>
      </c>
      <c r="S5152">
        <v>36</v>
      </c>
      <c r="T5152" s="1" t="s">
        <v>6449</v>
      </c>
      <c r="U5152" s="1" t="str">
        <f>HYPERLINK("http://ictvonline.org/taxonomy/p/taxonomy-history?taxnode_id=202109052","ICTVonline=202109052")</f>
        <v>ICTVonline=202109052</v>
      </c>
    </row>
    <row r="5153" spans="1:21" x14ac:dyDescent="0.2">
      <c r="A5153" s="3">
        <v>5152</v>
      </c>
      <c r="B5153" s="1" t="s">
        <v>5250</v>
      </c>
      <c r="D5153" s="1" t="s">
        <v>5280</v>
      </c>
      <c r="F5153" s="1" t="s">
        <v>5347</v>
      </c>
      <c r="H5153" s="1" t="s">
        <v>5368</v>
      </c>
      <c r="J5153" s="1" t="s">
        <v>5369</v>
      </c>
      <c r="L5153" s="1" t="s">
        <v>2964</v>
      </c>
      <c r="N5153" s="1" t="s">
        <v>3364</v>
      </c>
      <c r="P5153" s="1" t="s">
        <v>6628</v>
      </c>
      <c r="Q5153" s="30" t="s">
        <v>2891</v>
      </c>
      <c r="R5153" s="33" t="s">
        <v>3472</v>
      </c>
      <c r="S5153">
        <v>36</v>
      </c>
      <c r="T5153" s="1" t="s">
        <v>6449</v>
      </c>
      <c r="U5153" s="1" t="str">
        <f>HYPERLINK("http://ictvonline.org/taxonomy/p/taxonomy-history?taxnode_id=202109056","ICTVonline=202109056")</f>
        <v>ICTVonline=202109056</v>
      </c>
    </row>
    <row r="5154" spans="1:21" x14ac:dyDescent="0.2">
      <c r="A5154" s="3">
        <v>5153</v>
      </c>
      <c r="B5154" s="1" t="s">
        <v>5250</v>
      </c>
      <c r="D5154" s="1" t="s">
        <v>5280</v>
      </c>
      <c r="F5154" s="1" t="s">
        <v>5347</v>
      </c>
      <c r="H5154" s="1" t="s">
        <v>5368</v>
      </c>
      <c r="J5154" s="1" t="s">
        <v>5369</v>
      </c>
      <c r="L5154" s="1" t="s">
        <v>2964</v>
      </c>
      <c r="N5154" s="1" t="s">
        <v>3364</v>
      </c>
      <c r="P5154" s="1" t="s">
        <v>6629</v>
      </c>
      <c r="Q5154" s="30" t="s">
        <v>2891</v>
      </c>
      <c r="R5154" s="33" t="s">
        <v>3475</v>
      </c>
      <c r="S5154">
        <v>36</v>
      </c>
      <c r="T5154" s="1" t="s">
        <v>6449</v>
      </c>
      <c r="U5154" s="1" t="str">
        <f>HYPERLINK("http://ictvonline.org/taxonomy/p/taxonomy-history?taxnode_id=202103615","ICTVonline=202103615")</f>
        <v>ICTVonline=202103615</v>
      </c>
    </row>
    <row r="5155" spans="1:21" x14ac:dyDescent="0.2">
      <c r="A5155" s="3">
        <v>5154</v>
      </c>
      <c r="B5155" s="1" t="s">
        <v>5250</v>
      </c>
      <c r="D5155" s="1" t="s">
        <v>5280</v>
      </c>
      <c r="F5155" s="1" t="s">
        <v>5347</v>
      </c>
      <c r="H5155" s="1" t="s">
        <v>5368</v>
      </c>
      <c r="J5155" s="1" t="s">
        <v>5369</v>
      </c>
      <c r="L5155" s="1" t="s">
        <v>2964</v>
      </c>
      <c r="N5155" s="1" t="s">
        <v>3364</v>
      </c>
      <c r="P5155" s="1" t="s">
        <v>6630</v>
      </c>
      <c r="Q5155" s="30" t="s">
        <v>2891</v>
      </c>
      <c r="R5155" s="33" t="s">
        <v>3472</v>
      </c>
      <c r="S5155">
        <v>36</v>
      </c>
      <c r="T5155" s="1" t="s">
        <v>6449</v>
      </c>
      <c r="U5155" s="1" t="str">
        <f>HYPERLINK("http://ictvonline.org/taxonomy/p/taxonomy-history?taxnode_id=202109047","ICTVonline=202109047")</f>
        <v>ICTVonline=202109047</v>
      </c>
    </row>
    <row r="5156" spans="1:21" x14ac:dyDescent="0.2">
      <c r="A5156" s="3">
        <v>5155</v>
      </c>
      <c r="B5156" s="1" t="s">
        <v>5250</v>
      </c>
      <c r="D5156" s="1" t="s">
        <v>5280</v>
      </c>
      <c r="F5156" s="1" t="s">
        <v>5347</v>
      </c>
      <c r="H5156" s="1" t="s">
        <v>5368</v>
      </c>
      <c r="J5156" s="1" t="s">
        <v>5369</v>
      </c>
      <c r="L5156" s="1" t="s">
        <v>2964</v>
      </c>
      <c r="N5156" s="1" t="s">
        <v>3364</v>
      </c>
      <c r="P5156" s="1" t="s">
        <v>6631</v>
      </c>
      <c r="Q5156" s="30" t="s">
        <v>2891</v>
      </c>
      <c r="R5156" s="33" t="s">
        <v>3472</v>
      </c>
      <c r="S5156">
        <v>36</v>
      </c>
      <c r="T5156" s="1" t="s">
        <v>6449</v>
      </c>
      <c r="U5156" s="1" t="str">
        <f>HYPERLINK("http://ictvonline.org/taxonomy/p/taxonomy-history?taxnode_id=202109060","ICTVonline=202109060")</f>
        <v>ICTVonline=202109060</v>
      </c>
    </row>
    <row r="5157" spans="1:21" x14ac:dyDescent="0.2">
      <c r="A5157" s="3">
        <v>5156</v>
      </c>
      <c r="B5157" s="1" t="s">
        <v>5250</v>
      </c>
      <c r="D5157" s="1" t="s">
        <v>5280</v>
      </c>
      <c r="F5157" s="1" t="s">
        <v>5347</v>
      </c>
      <c r="H5157" s="1" t="s">
        <v>5368</v>
      </c>
      <c r="J5157" s="1" t="s">
        <v>5369</v>
      </c>
      <c r="L5157" s="1" t="s">
        <v>2964</v>
      </c>
      <c r="N5157" s="1" t="s">
        <v>3364</v>
      </c>
      <c r="P5157" s="1" t="s">
        <v>6632</v>
      </c>
      <c r="Q5157" s="30" t="s">
        <v>2891</v>
      </c>
      <c r="R5157" s="33" t="s">
        <v>3472</v>
      </c>
      <c r="S5157">
        <v>36</v>
      </c>
      <c r="T5157" s="1" t="s">
        <v>6449</v>
      </c>
      <c r="U5157" s="1" t="str">
        <f>HYPERLINK("http://ictvonline.org/taxonomy/p/taxonomy-history?taxnode_id=202109048","ICTVonline=202109048")</f>
        <v>ICTVonline=202109048</v>
      </c>
    </row>
    <row r="5158" spans="1:21" x14ac:dyDescent="0.2">
      <c r="A5158" s="3">
        <v>5157</v>
      </c>
      <c r="B5158" s="1" t="s">
        <v>5250</v>
      </c>
      <c r="D5158" s="1" t="s">
        <v>5280</v>
      </c>
      <c r="F5158" s="1" t="s">
        <v>5347</v>
      </c>
      <c r="H5158" s="1" t="s">
        <v>5368</v>
      </c>
      <c r="J5158" s="1" t="s">
        <v>5369</v>
      </c>
      <c r="L5158" s="1" t="s">
        <v>2964</v>
      </c>
      <c r="N5158" s="1" t="s">
        <v>3364</v>
      </c>
      <c r="P5158" s="1" t="s">
        <v>6633</v>
      </c>
      <c r="Q5158" s="30" t="s">
        <v>2891</v>
      </c>
      <c r="R5158" s="33" t="s">
        <v>3472</v>
      </c>
      <c r="S5158">
        <v>36</v>
      </c>
      <c r="T5158" s="1" t="s">
        <v>6449</v>
      </c>
      <c r="U5158" s="1" t="str">
        <f>HYPERLINK("http://ictvonline.org/taxonomy/p/taxonomy-history?taxnode_id=202109051","ICTVonline=202109051")</f>
        <v>ICTVonline=202109051</v>
      </c>
    </row>
    <row r="5159" spans="1:21" x14ac:dyDescent="0.2">
      <c r="A5159" s="3">
        <v>5158</v>
      </c>
      <c r="B5159" s="1" t="s">
        <v>5250</v>
      </c>
      <c r="D5159" s="1" t="s">
        <v>5280</v>
      </c>
      <c r="F5159" s="1" t="s">
        <v>5347</v>
      </c>
      <c r="H5159" s="1" t="s">
        <v>5368</v>
      </c>
      <c r="J5159" s="1" t="s">
        <v>5369</v>
      </c>
      <c r="L5159" s="1" t="s">
        <v>2964</v>
      </c>
      <c r="N5159" s="1" t="s">
        <v>3364</v>
      </c>
      <c r="P5159" s="1" t="s">
        <v>6634</v>
      </c>
      <c r="Q5159" s="30" t="s">
        <v>2891</v>
      </c>
      <c r="R5159" s="33" t="s">
        <v>3472</v>
      </c>
      <c r="S5159">
        <v>36</v>
      </c>
      <c r="T5159" s="1" t="s">
        <v>6449</v>
      </c>
      <c r="U5159" s="1" t="str">
        <f>HYPERLINK("http://ictvonline.org/taxonomy/p/taxonomy-history?taxnode_id=202109037","ICTVonline=202109037")</f>
        <v>ICTVonline=202109037</v>
      </c>
    </row>
    <row r="5160" spans="1:21" x14ac:dyDescent="0.2">
      <c r="A5160" s="3">
        <v>5159</v>
      </c>
      <c r="B5160" s="1" t="s">
        <v>5250</v>
      </c>
      <c r="D5160" s="1" t="s">
        <v>5280</v>
      </c>
      <c r="F5160" s="1" t="s">
        <v>5347</v>
      </c>
      <c r="H5160" s="1" t="s">
        <v>5368</v>
      </c>
      <c r="J5160" s="1" t="s">
        <v>5369</v>
      </c>
      <c r="L5160" s="1" t="s">
        <v>2964</v>
      </c>
      <c r="N5160" s="1" t="s">
        <v>3364</v>
      </c>
      <c r="P5160" s="1" t="s">
        <v>6635</v>
      </c>
      <c r="Q5160" s="30" t="s">
        <v>2891</v>
      </c>
      <c r="R5160" s="33" t="s">
        <v>3472</v>
      </c>
      <c r="S5160">
        <v>36</v>
      </c>
      <c r="T5160" s="1" t="s">
        <v>6449</v>
      </c>
      <c r="U5160" s="1" t="str">
        <f>HYPERLINK("http://ictvonline.org/taxonomy/p/taxonomy-history?taxnode_id=202109057","ICTVonline=202109057")</f>
        <v>ICTVonline=202109057</v>
      </c>
    </row>
    <row r="5161" spans="1:21" x14ac:dyDescent="0.2">
      <c r="A5161" s="3">
        <v>5160</v>
      </c>
      <c r="B5161" s="1" t="s">
        <v>5250</v>
      </c>
      <c r="D5161" s="1" t="s">
        <v>5280</v>
      </c>
      <c r="F5161" s="1" t="s">
        <v>5347</v>
      </c>
      <c r="H5161" s="1" t="s">
        <v>5368</v>
      </c>
      <c r="J5161" s="1" t="s">
        <v>5369</v>
      </c>
      <c r="L5161" s="1" t="s">
        <v>2964</v>
      </c>
      <c r="N5161" s="1" t="s">
        <v>3364</v>
      </c>
      <c r="P5161" s="1" t="s">
        <v>6636</v>
      </c>
      <c r="Q5161" s="30" t="s">
        <v>2568</v>
      </c>
      <c r="R5161" s="33" t="s">
        <v>3475</v>
      </c>
      <c r="S5161">
        <v>36</v>
      </c>
      <c r="T5161" s="1" t="s">
        <v>6449</v>
      </c>
      <c r="U5161" s="1" t="str">
        <f>HYPERLINK("http://ictvonline.org/taxonomy/p/taxonomy-history?taxnode_id=202103616","ICTVonline=202103616")</f>
        <v>ICTVonline=202103616</v>
      </c>
    </row>
    <row r="5162" spans="1:21" x14ac:dyDescent="0.2">
      <c r="A5162" s="3">
        <v>5161</v>
      </c>
      <c r="B5162" s="1" t="s">
        <v>5250</v>
      </c>
      <c r="D5162" s="1" t="s">
        <v>5280</v>
      </c>
      <c r="F5162" s="1" t="s">
        <v>5347</v>
      </c>
      <c r="H5162" s="1" t="s">
        <v>5368</v>
      </c>
      <c r="J5162" s="1" t="s">
        <v>5369</v>
      </c>
      <c r="L5162" s="1" t="s">
        <v>2964</v>
      </c>
      <c r="N5162" s="1" t="s">
        <v>3364</v>
      </c>
      <c r="P5162" s="1" t="s">
        <v>6637</v>
      </c>
      <c r="Q5162" s="30" t="s">
        <v>2891</v>
      </c>
      <c r="R5162" s="33" t="s">
        <v>3472</v>
      </c>
      <c r="S5162">
        <v>36</v>
      </c>
      <c r="T5162" s="1" t="s">
        <v>6449</v>
      </c>
      <c r="U5162" s="1" t="str">
        <f>HYPERLINK("http://ictvonline.org/taxonomy/p/taxonomy-history?taxnode_id=202109041","ICTVonline=202109041")</f>
        <v>ICTVonline=202109041</v>
      </c>
    </row>
    <row r="5163" spans="1:21" x14ac:dyDescent="0.2">
      <c r="A5163" s="3">
        <v>5162</v>
      </c>
      <c r="B5163" s="1" t="s">
        <v>5250</v>
      </c>
      <c r="D5163" s="1" t="s">
        <v>5280</v>
      </c>
      <c r="F5163" s="1" t="s">
        <v>5347</v>
      </c>
      <c r="H5163" s="1" t="s">
        <v>5368</v>
      </c>
      <c r="J5163" s="1" t="s">
        <v>5369</v>
      </c>
      <c r="L5163" s="1" t="s">
        <v>2964</v>
      </c>
      <c r="N5163" s="1" t="s">
        <v>3364</v>
      </c>
      <c r="P5163" s="1" t="s">
        <v>6638</v>
      </c>
      <c r="Q5163" s="30" t="s">
        <v>2568</v>
      </c>
      <c r="R5163" s="33" t="s">
        <v>3475</v>
      </c>
      <c r="S5163">
        <v>36</v>
      </c>
      <c r="T5163" s="1" t="s">
        <v>6449</v>
      </c>
      <c r="U5163" s="1" t="str">
        <f>HYPERLINK("http://ictvonline.org/taxonomy/p/taxonomy-history?taxnode_id=202103617","ICTVonline=202103617")</f>
        <v>ICTVonline=202103617</v>
      </c>
    </row>
    <row r="5164" spans="1:21" x14ac:dyDescent="0.2">
      <c r="A5164" s="3">
        <v>5163</v>
      </c>
      <c r="B5164" s="1" t="s">
        <v>5250</v>
      </c>
      <c r="D5164" s="1" t="s">
        <v>5280</v>
      </c>
      <c r="F5164" s="1" t="s">
        <v>5347</v>
      </c>
      <c r="H5164" s="1" t="s">
        <v>5368</v>
      </c>
      <c r="J5164" s="1" t="s">
        <v>5369</v>
      </c>
      <c r="L5164" s="1" t="s">
        <v>2964</v>
      </c>
      <c r="N5164" s="1" t="s">
        <v>3364</v>
      </c>
      <c r="P5164" s="1" t="s">
        <v>6639</v>
      </c>
      <c r="Q5164" s="30" t="s">
        <v>2891</v>
      </c>
      <c r="R5164" s="33" t="s">
        <v>3475</v>
      </c>
      <c r="S5164">
        <v>36</v>
      </c>
      <c r="T5164" s="1" t="s">
        <v>6449</v>
      </c>
      <c r="U5164" s="1" t="str">
        <f>HYPERLINK("http://ictvonline.org/taxonomy/p/taxonomy-history?taxnode_id=202103618","ICTVonline=202103618")</f>
        <v>ICTVonline=202103618</v>
      </c>
    </row>
    <row r="5165" spans="1:21" x14ac:dyDescent="0.2">
      <c r="A5165" s="3">
        <v>5164</v>
      </c>
      <c r="B5165" s="1" t="s">
        <v>5250</v>
      </c>
      <c r="D5165" s="1" t="s">
        <v>5280</v>
      </c>
      <c r="F5165" s="1" t="s">
        <v>5347</v>
      </c>
      <c r="H5165" s="1" t="s">
        <v>5368</v>
      </c>
      <c r="J5165" s="1" t="s">
        <v>5369</v>
      </c>
      <c r="L5165" s="1" t="s">
        <v>2964</v>
      </c>
      <c r="N5165" s="1" t="s">
        <v>3364</v>
      </c>
      <c r="P5165" s="1" t="s">
        <v>6640</v>
      </c>
      <c r="Q5165" s="30" t="s">
        <v>2891</v>
      </c>
      <c r="R5165" s="33" t="s">
        <v>3475</v>
      </c>
      <c r="S5165">
        <v>36</v>
      </c>
      <c r="T5165" s="1" t="s">
        <v>6449</v>
      </c>
      <c r="U5165" s="1" t="str">
        <f>HYPERLINK("http://ictvonline.org/taxonomy/p/taxonomy-history?taxnode_id=202103619","ICTVonline=202103619")</f>
        <v>ICTVonline=202103619</v>
      </c>
    </row>
    <row r="5166" spans="1:21" x14ac:dyDescent="0.2">
      <c r="A5166" s="3">
        <v>5165</v>
      </c>
      <c r="B5166" s="1" t="s">
        <v>5250</v>
      </c>
      <c r="D5166" s="1" t="s">
        <v>5280</v>
      </c>
      <c r="F5166" s="1" t="s">
        <v>5347</v>
      </c>
      <c r="H5166" s="1" t="s">
        <v>5368</v>
      </c>
      <c r="J5166" s="1" t="s">
        <v>5369</v>
      </c>
      <c r="L5166" s="1" t="s">
        <v>2964</v>
      </c>
      <c r="N5166" s="1" t="s">
        <v>3364</v>
      </c>
      <c r="P5166" s="1" t="s">
        <v>6641</v>
      </c>
      <c r="Q5166" s="30" t="s">
        <v>2891</v>
      </c>
      <c r="R5166" s="33" t="s">
        <v>3475</v>
      </c>
      <c r="S5166">
        <v>36</v>
      </c>
      <c r="T5166" s="1" t="s">
        <v>6449</v>
      </c>
      <c r="U5166" s="1" t="str">
        <f>HYPERLINK("http://ictvonline.org/taxonomy/p/taxonomy-history?taxnode_id=202103620","ICTVonline=202103620")</f>
        <v>ICTVonline=202103620</v>
      </c>
    </row>
    <row r="5167" spans="1:21" x14ac:dyDescent="0.2">
      <c r="A5167" s="3">
        <v>5166</v>
      </c>
      <c r="B5167" s="1" t="s">
        <v>5250</v>
      </c>
      <c r="D5167" s="1" t="s">
        <v>5280</v>
      </c>
      <c r="F5167" s="1" t="s">
        <v>5347</v>
      </c>
      <c r="H5167" s="1" t="s">
        <v>5368</v>
      </c>
      <c r="J5167" s="1" t="s">
        <v>5369</v>
      </c>
      <c r="L5167" s="1" t="s">
        <v>2964</v>
      </c>
      <c r="N5167" s="1" t="s">
        <v>3364</v>
      </c>
      <c r="P5167" s="1" t="s">
        <v>6642</v>
      </c>
      <c r="Q5167" s="30" t="s">
        <v>2891</v>
      </c>
      <c r="R5167" s="33" t="s">
        <v>3472</v>
      </c>
      <c r="S5167">
        <v>36</v>
      </c>
      <c r="T5167" s="1" t="s">
        <v>6449</v>
      </c>
      <c r="U5167" s="1" t="str">
        <f>HYPERLINK("http://ictvonline.org/taxonomy/p/taxonomy-history?taxnode_id=202109050","ICTVonline=202109050")</f>
        <v>ICTVonline=202109050</v>
      </c>
    </row>
    <row r="5168" spans="1:21" x14ac:dyDescent="0.2">
      <c r="A5168" s="3">
        <v>5167</v>
      </c>
      <c r="B5168" s="1" t="s">
        <v>5250</v>
      </c>
      <c r="D5168" s="1" t="s">
        <v>5280</v>
      </c>
      <c r="F5168" s="1" t="s">
        <v>5347</v>
      </c>
      <c r="H5168" s="1" t="s">
        <v>5368</v>
      </c>
      <c r="J5168" s="1" t="s">
        <v>5369</v>
      </c>
      <c r="L5168" s="1" t="s">
        <v>2964</v>
      </c>
      <c r="N5168" s="1" t="s">
        <v>3364</v>
      </c>
      <c r="P5168" s="1" t="s">
        <v>6643</v>
      </c>
      <c r="Q5168" s="30" t="s">
        <v>2891</v>
      </c>
      <c r="R5168" s="33" t="s">
        <v>3472</v>
      </c>
      <c r="S5168">
        <v>36</v>
      </c>
      <c r="T5168" s="1" t="s">
        <v>6449</v>
      </c>
      <c r="U5168" s="1" t="str">
        <f>HYPERLINK("http://ictvonline.org/taxonomy/p/taxonomy-history?taxnode_id=202109059","ICTVonline=202109059")</f>
        <v>ICTVonline=202109059</v>
      </c>
    </row>
    <row r="5169" spans="1:21" x14ac:dyDescent="0.2">
      <c r="A5169" s="3">
        <v>5168</v>
      </c>
      <c r="B5169" s="1" t="s">
        <v>5250</v>
      </c>
      <c r="D5169" s="1" t="s">
        <v>5280</v>
      </c>
      <c r="F5169" s="1" t="s">
        <v>5347</v>
      </c>
      <c r="H5169" s="1" t="s">
        <v>5368</v>
      </c>
      <c r="J5169" s="1" t="s">
        <v>5369</v>
      </c>
      <c r="L5169" s="1" t="s">
        <v>2964</v>
      </c>
      <c r="N5169" s="1" t="s">
        <v>3364</v>
      </c>
      <c r="P5169" s="1" t="s">
        <v>6644</v>
      </c>
      <c r="Q5169" s="30" t="s">
        <v>2891</v>
      </c>
      <c r="R5169" s="33" t="s">
        <v>3472</v>
      </c>
      <c r="S5169">
        <v>36</v>
      </c>
      <c r="T5169" s="1" t="s">
        <v>6449</v>
      </c>
      <c r="U5169" s="1" t="str">
        <f>HYPERLINK("http://ictvonline.org/taxonomy/p/taxonomy-history?taxnode_id=202109042","ICTVonline=202109042")</f>
        <v>ICTVonline=202109042</v>
      </c>
    </row>
    <row r="5170" spans="1:21" x14ac:dyDescent="0.2">
      <c r="A5170" s="3">
        <v>5169</v>
      </c>
      <c r="B5170" s="1" t="s">
        <v>5250</v>
      </c>
      <c r="D5170" s="1" t="s">
        <v>5280</v>
      </c>
      <c r="F5170" s="1" t="s">
        <v>5347</v>
      </c>
      <c r="H5170" s="1" t="s">
        <v>5368</v>
      </c>
      <c r="J5170" s="1" t="s">
        <v>5369</v>
      </c>
      <c r="L5170" s="1" t="s">
        <v>2964</v>
      </c>
      <c r="N5170" s="1" t="s">
        <v>3365</v>
      </c>
      <c r="P5170" s="1" t="s">
        <v>6645</v>
      </c>
      <c r="Q5170" s="30" t="s">
        <v>2891</v>
      </c>
      <c r="R5170" s="33" t="s">
        <v>3472</v>
      </c>
      <c r="S5170">
        <v>36</v>
      </c>
      <c r="T5170" s="1" t="s">
        <v>6449</v>
      </c>
      <c r="U5170" s="1" t="str">
        <f>HYPERLINK("http://ictvonline.org/taxonomy/p/taxonomy-history?taxnode_id=202109074","ICTVonline=202109074")</f>
        <v>ICTVonline=202109074</v>
      </c>
    </row>
    <row r="5171" spans="1:21" x14ac:dyDescent="0.2">
      <c r="A5171" s="3">
        <v>5170</v>
      </c>
      <c r="B5171" s="1" t="s">
        <v>5250</v>
      </c>
      <c r="D5171" s="1" t="s">
        <v>5280</v>
      </c>
      <c r="F5171" s="1" t="s">
        <v>5347</v>
      </c>
      <c r="H5171" s="1" t="s">
        <v>5368</v>
      </c>
      <c r="J5171" s="1" t="s">
        <v>5369</v>
      </c>
      <c r="L5171" s="1" t="s">
        <v>2964</v>
      </c>
      <c r="N5171" s="1" t="s">
        <v>3365</v>
      </c>
      <c r="P5171" s="1" t="s">
        <v>6646</v>
      </c>
      <c r="Q5171" s="30" t="s">
        <v>2891</v>
      </c>
      <c r="R5171" s="33" t="s">
        <v>3472</v>
      </c>
      <c r="S5171">
        <v>36</v>
      </c>
      <c r="T5171" s="1" t="s">
        <v>6449</v>
      </c>
      <c r="U5171" s="1" t="str">
        <f>HYPERLINK("http://ictvonline.org/taxonomy/p/taxonomy-history?taxnode_id=202109076","ICTVonline=202109076")</f>
        <v>ICTVonline=202109076</v>
      </c>
    </row>
    <row r="5172" spans="1:21" x14ac:dyDescent="0.2">
      <c r="A5172" s="3">
        <v>5171</v>
      </c>
      <c r="B5172" s="1" t="s">
        <v>5250</v>
      </c>
      <c r="D5172" s="1" t="s">
        <v>5280</v>
      </c>
      <c r="F5172" s="1" t="s">
        <v>5347</v>
      </c>
      <c r="H5172" s="1" t="s">
        <v>5368</v>
      </c>
      <c r="J5172" s="1" t="s">
        <v>5369</v>
      </c>
      <c r="L5172" s="1" t="s">
        <v>2964</v>
      </c>
      <c r="N5172" s="1" t="s">
        <v>3365</v>
      </c>
      <c r="P5172" s="1" t="s">
        <v>6647</v>
      </c>
      <c r="Q5172" s="30" t="s">
        <v>2891</v>
      </c>
      <c r="R5172" s="33" t="s">
        <v>3472</v>
      </c>
      <c r="S5172">
        <v>36</v>
      </c>
      <c r="T5172" s="1" t="s">
        <v>6449</v>
      </c>
      <c r="U5172" s="1" t="str">
        <f>HYPERLINK("http://ictvonline.org/taxonomy/p/taxonomy-history?taxnode_id=202109068","ICTVonline=202109068")</f>
        <v>ICTVonline=202109068</v>
      </c>
    </row>
    <row r="5173" spans="1:21" x14ac:dyDescent="0.2">
      <c r="A5173" s="3">
        <v>5172</v>
      </c>
      <c r="B5173" s="1" t="s">
        <v>5250</v>
      </c>
      <c r="D5173" s="1" t="s">
        <v>5280</v>
      </c>
      <c r="F5173" s="1" t="s">
        <v>5347</v>
      </c>
      <c r="H5173" s="1" t="s">
        <v>5368</v>
      </c>
      <c r="J5173" s="1" t="s">
        <v>5369</v>
      </c>
      <c r="L5173" s="1" t="s">
        <v>2964</v>
      </c>
      <c r="N5173" s="1" t="s">
        <v>3365</v>
      </c>
      <c r="P5173" s="1" t="s">
        <v>6648</v>
      </c>
      <c r="Q5173" s="30" t="s">
        <v>2891</v>
      </c>
      <c r="R5173" s="33" t="s">
        <v>3472</v>
      </c>
      <c r="S5173">
        <v>36</v>
      </c>
      <c r="T5173" s="1" t="s">
        <v>6449</v>
      </c>
      <c r="U5173" s="1" t="str">
        <f>HYPERLINK("http://ictvonline.org/taxonomy/p/taxonomy-history?taxnode_id=202109071","ICTVonline=202109071")</f>
        <v>ICTVonline=202109071</v>
      </c>
    </row>
    <row r="5174" spans="1:21" x14ac:dyDescent="0.2">
      <c r="A5174" s="3">
        <v>5173</v>
      </c>
      <c r="B5174" s="1" t="s">
        <v>5250</v>
      </c>
      <c r="D5174" s="1" t="s">
        <v>5280</v>
      </c>
      <c r="F5174" s="1" t="s">
        <v>5347</v>
      </c>
      <c r="H5174" s="1" t="s">
        <v>5368</v>
      </c>
      <c r="J5174" s="1" t="s">
        <v>5369</v>
      </c>
      <c r="L5174" s="1" t="s">
        <v>2964</v>
      </c>
      <c r="N5174" s="1" t="s">
        <v>3365</v>
      </c>
      <c r="P5174" s="1" t="s">
        <v>6649</v>
      </c>
      <c r="Q5174" s="30" t="s">
        <v>2891</v>
      </c>
      <c r="R5174" s="33" t="s">
        <v>3472</v>
      </c>
      <c r="S5174">
        <v>36</v>
      </c>
      <c r="T5174" s="1" t="s">
        <v>6449</v>
      </c>
      <c r="U5174" s="1" t="str">
        <f>HYPERLINK("http://ictvonline.org/taxonomy/p/taxonomy-history?taxnode_id=202109067","ICTVonline=202109067")</f>
        <v>ICTVonline=202109067</v>
      </c>
    </row>
    <row r="5175" spans="1:21" x14ac:dyDescent="0.2">
      <c r="A5175" s="3">
        <v>5174</v>
      </c>
      <c r="B5175" s="1" t="s">
        <v>5250</v>
      </c>
      <c r="D5175" s="1" t="s">
        <v>5280</v>
      </c>
      <c r="F5175" s="1" t="s">
        <v>5347</v>
      </c>
      <c r="H5175" s="1" t="s">
        <v>5368</v>
      </c>
      <c r="J5175" s="1" t="s">
        <v>5369</v>
      </c>
      <c r="L5175" s="1" t="s">
        <v>2964</v>
      </c>
      <c r="N5175" s="1" t="s">
        <v>3365</v>
      </c>
      <c r="P5175" s="1" t="s">
        <v>6650</v>
      </c>
      <c r="Q5175" s="30" t="s">
        <v>2891</v>
      </c>
      <c r="R5175" s="33" t="s">
        <v>3472</v>
      </c>
      <c r="S5175">
        <v>36</v>
      </c>
      <c r="T5175" s="1" t="s">
        <v>6449</v>
      </c>
      <c r="U5175" s="1" t="str">
        <f>HYPERLINK("http://ictvonline.org/taxonomy/p/taxonomy-history?taxnode_id=202109075","ICTVonline=202109075")</f>
        <v>ICTVonline=202109075</v>
      </c>
    </row>
    <row r="5176" spans="1:21" x14ac:dyDescent="0.2">
      <c r="A5176" s="3">
        <v>5175</v>
      </c>
      <c r="B5176" s="1" t="s">
        <v>5250</v>
      </c>
      <c r="D5176" s="1" t="s">
        <v>5280</v>
      </c>
      <c r="F5176" s="1" t="s">
        <v>5347</v>
      </c>
      <c r="H5176" s="1" t="s">
        <v>5368</v>
      </c>
      <c r="J5176" s="1" t="s">
        <v>5369</v>
      </c>
      <c r="L5176" s="1" t="s">
        <v>2964</v>
      </c>
      <c r="N5176" s="1" t="s">
        <v>3365</v>
      </c>
      <c r="P5176" s="1" t="s">
        <v>6651</v>
      </c>
      <c r="Q5176" s="30" t="s">
        <v>2891</v>
      </c>
      <c r="R5176" s="33" t="s">
        <v>3472</v>
      </c>
      <c r="S5176">
        <v>36</v>
      </c>
      <c r="T5176" s="1" t="s">
        <v>6449</v>
      </c>
      <c r="U5176" s="1" t="str">
        <f>HYPERLINK("http://ictvonline.org/taxonomy/p/taxonomy-history?taxnode_id=202109079","ICTVonline=202109079")</f>
        <v>ICTVonline=202109079</v>
      </c>
    </row>
    <row r="5177" spans="1:21" x14ac:dyDescent="0.2">
      <c r="A5177" s="3">
        <v>5176</v>
      </c>
      <c r="B5177" s="1" t="s">
        <v>5250</v>
      </c>
      <c r="D5177" s="1" t="s">
        <v>5280</v>
      </c>
      <c r="F5177" s="1" t="s">
        <v>5347</v>
      </c>
      <c r="H5177" s="1" t="s">
        <v>5368</v>
      </c>
      <c r="J5177" s="1" t="s">
        <v>5369</v>
      </c>
      <c r="L5177" s="1" t="s">
        <v>2964</v>
      </c>
      <c r="N5177" s="1" t="s">
        <v>3365</v>
      </c>
      <c r="P5177" s="1" t="s">
        <v>6652</v>
      </c>
      <c r="Q5177" s="30" t="s">
        <v>2891</v>
      </c>
      <c r="R5177" s="33" t="s">
        <v>3472</v>
      </c>
      <c r="S5177">
        <v>36</v>
      </c>
      <c r="T5177" s="1" t="s">
        <v>6449</v>
      </c>
      <c r="U5177" s="1" t="str">
        <f>HYPERLINK("http://ictvonline.org/taxonomy/p/taxonomy-history?taxnode_id=202109073","ICTVonline=202109073")</f>
        <v>ICTVonline=202109073</v>
      </c>
    </row>
    <row r="5178" spans="1:21" x14ac:dyDescent="0.2">
      <c r="A5178" s="3">
        <v>5177</v>
      </c>
      <c r="B5178" s="1" t="s">
        <v>5250</v>
      </c>
      <c r="D5178" s="1" t="s">
        <v>5280</v>
      </c>
      <c r="F5178" s="1" t="s">
        <v>5347</v>
      </c>
      <c r="H5178" s="1" t="s">
        <v>5368</v>
      </c>
      <c r="J5178" s="1" t="s">
        <v>5369</v>
      </c>
      <c r="L5178" s="1" t="s">
        <v>2964</v>
      </c>
      <c r="N5178" s="1" t="s">
        <v>3365</v>
      </c>
      <c r="P5178" s="1" t="s">
        <v>6653</v>
      </c>
      <c r="Q5178" s="30" t="s">
        <v>2891</v>
      </c>
      <c r="R5178" s="33" t="s">
        <v>3472</v>
      </c>
      <c r="S5178">
        <v>36</v>
      </c>
      <c r="T5178" s="1" t="s">
        <v>6449</v>
      </c>
      <c r="U5178" s="1" t="str">
        <f>HYPERLINK("http://ictvonline.org/taxonomy/p/taxonomy-history?taxnode_id=202109072","ICTVonline=202109072")</f>
        <v>ICTVonline=202109072</v>
      </c>
    </row>
    <row r="5179" spans="1:21" x14ac:dyDescent="0.2">
      <c r="A5179" s="3">
        <v>5178</v>
      </c>
      <c r="B5179" s="1" t="s">
        <v>5250</v>
      </c>
      <c r="D5179" s="1" t="s">
        <v>5280</v>
      </c>
      <c r="F5179" s="1" t="s">
        <v>5347</v>
      </c>
      <c r="H5179" s="1" t="s">
        <v>5368</v>
      </c>
      <c r="J5179" s="1" t="s">
        <v>5369</v>
      </c>
      <c r="L5179" s="1" t="s">
        <v>2964</v>
      </c>
      <c r="N5179" s="1" t="s">
        <v>3365</v>
      </c>
      <c r="P5179" s="1" t="s">
        <v>6654</v>
      </c>
      <c r="Q5179" s="30" t="s">
        <v>2891</v>
      </c>
      <c r="R5179" s="33" t="s">
        <v>3472</v>
      </c>
      <c r="S5179">
        <v>36</v>
      </c>
      <c r="T5179" s="1" t="s">
        <v>6449</v>
      </c>
      <c r="U5179" s="1" t="str">
        <f>HYPERLINK("http://ictvonline.org/taxonomy/p/taxonomy-history?taxnode_id=202109070","ICTVonline=202109070")</f>
        <v>ICTVonline=202109070</v>
      </c>
    </row>
    <row r="5180" spans="1:21" x14ac:dyDescent="0.2">
      <c r="A5180" s="3">
        <v>5179</v>
      </c>
      <c r="B5180" s="1" t="s">
        <v>5250</v>
      </c>
      <c r="D5180" s="1" t="s">
        <v>5280</v>
      </c>
      <c r="F5180" s="1" t="s">
        <v>5347</v>
      </c>
      <c r="H5180" s="1" t="s">
        <v>5368</v>
      </c>
      <c r="J5180" s="1" t="s">
        <v>5369</v>
      </c>
      <c r="L5180" s="1" t="s">
        <v>2964</v>
      </c>
      <c r="N5180" s="1" t="s">
        <v>3365</v>
      </c>
      <c r="P5180" s="1" t="s">
        <v>6655</v>
      </c>
      <c r="Q5180" s="30" t="s">
        <v>2891</v>
      </c>
      <c r="R5180" s="33" t="s">
        <v>3472</v>
      </c>
      <c r="S5180">
        <v>36</v>
      </c>
      <c r="T5180" s="1" t="s">
        <v>6449</v>
      </c>
      <c r="U5180" s="1" t="str">
        <f>HYPERLINK("http://ictvonline.org/taxonomy/p/taxonomy-history?taxnode_id=202109069","ICTVonline=202109069")</f>
        <v>ICTVonline=202109069</v>
      </c>
    </row>
    <row r="5181" spans="1:21" x14ac:dyDescent="0.2">
      <c r="A5181" s="3">
        <v>5180</v>
      </c>
      <c r="B5181" s="1" t="s">
        <v>5250</v>
      </c>
      <c r="D5181" s="1" t="s">
        <v>5280</v>
      </c>
      <c r="F5181" s="1" t="s">
        <v>5347</v>
      </c>
      <c r="H5181" s="1" t="s">
        <v>5368</v>
      </c>
      <c r="J5181" s="1" t="s">
        <v>5369</v>
      </c>
      <c r="L5181" s="1" t="s">
        <v>2964</v>
      </c>
      <c r="N5181" s="1" t="s">
        <v>3365</v>
      </c>
      <c r="P5181" s="1" t="s">
        <v>6656</v>
      </c>
      <c r="Q5181" s="30" t="s">
        <v>2891</v>
      </c>
      <c r="R5181" s="33" t="s">
        <v>3472</v>
      </c>
      <c r="S5181">
        <v>36</v>
      </c>
      <c r="T5181" s="1" t="s">
        <v>6449</v>
      </c>
      <c r="U5181" s="1" t="str">
        <f>HYPERLINK("http://ictvonline.org/taxonomy/p/taxonomy-history?taxnode_id=202109077","ICTVonline=202109077")</f>
        <v>ICTVonline=202109077</v>
      </c>
    </row>
    <row r="5182" spans="1:21" x14ac:dyDescent="0.2">
      <c r="A5182" s="3">
        <v>5181</v>
      </c>
      <c r="B5182" s="1" t="s">
        <v>5250</v>
      </c>
      <c r="D5182" s="1" t="s">
        <v>5280</v>
      </c>
      <c r="F5182" s="1" t="s">
        <v>5347</v>
      </c>
      <c r="H5182" s="1" t="s">
        <v>5368</v>
      </c>
      <c r="J5182" s="1" t="s">
        <v>5369</v>
      </c>
      <c r="L5182" s="1" t="s">
        <v>2964</v>
      </c>
      <c r="N5182" s="1" t="s">
        <v>3365</v>
      </c>
      <c r="P5182" s="1" t="s">
        <v>6657</v>
      </c>
      <c r="Q5182" s="30" t="s">
        <v>2568</v>
      </c>
      <c r="R5182" s="33" t="s">
        <v>8666</v>
      </c>
      <c r="S5182">
        <v>36</v>
      </c>
      <c r="T5182" s="1" t="s">
        <v>8668</v>
      </c>
      <c r="U5182" s="1" t="str">
        <f>HYPERLINK("http://ictvonline.org/taxonomy/p/taxonomy-history?taxnode_id=202103622","ICTVonline=202103622")</f>
        <v>ICTVonline=202103622</v>
      </c>
    </row>
    <row r="5183" spans="1:21" x14ac:dyDescent="0.2">
      <c r="A5183" s="3">
        <v>5182</v>
      </c>
      <c r="B5183" s="1" t="s">
        <v>5250</v>
      </c>
      <c r="D5183" s="1" t="s">
        <v>5280</v>
      </c>
      <c r="F5183" s="1" t="s">
        <v>5347</v>
      </c>
      <c r="H5183" s="1" t="s">
        <v>5368</v>
      </c>
      <c r="J5183" s="1" t="s">
        <v>5369</v>
      </c>
      <c r="L5183" s="1" t="s">
        <v>2964</v>
      </c>
      <c r="N5183" s="1" t="s">
        <v>3365</v>
      </c>
      <c r="P5183" s="1" t="s">
        <v>6658</v>
      </c>
      <c r="Q5183" s="30" t="s">
        <v>2568</v>
      </c>
      <c r="R5183" s="33" t="s">
        <v>3475</v>
      </c>
      <c r="S5183">
        <v>36</v>
      </c>
      <c r="T5183" s="1" t="s">
        <v>6449</v>
      </c>
      <c r="U5183" s="1" t="str">
        <f>HYPERLINK("http://ictvonline.org/taxonomy/p/taxonomy-history?taxnode_id=202103623","ICTVonline=202103623")</f>
        <v>ICTVonline=202103623</v>
      </c>
    </row>
    <row r="5184" spans="1:21" x14ac:dyDescent="0.2">
      <c r="A5184" s="3">
        <v>5183</v>
      </c>
      <c r="B5184" s="1" t="s">
        <v>5250</v>
      </c>
      <c r="D5184" s="1" t="s">
        <v>5280</v>
      </c>
      <c r="F5184" s="1" t="s">
        <v>5347</v>
      </c>
      <c r="H5184" s="1" t="s">
        <v>5368</v>
      </c>
      <c r="J5184" s="1" t="s">
        <v>5369</v>
      </c>
      <c r="L5184" s="1" t="s">
        <v>2964</v>
      </c>
      <c r="N5184" s="1" t="s">
        <v>3365</v>
      </c>
      <c r="P5184" s="1" t="s">
        <v>6659</v>
      </c>
      <c r="Q5184" s="30" t="s">
        <v>2891</v>
      </c>
      <c r="R5184" s="33" t="s">
        <v>3472</v>
      </c>
      <c r="S5184">
        <v>36</v>
      </c>
      <c r="T5184" s="1" t="s">
        <v>6449</v>
      </c>
      <c r="U5184" s="1" t="str">
        <f>HYPERLINK("http://ictvonline.org/taxonomy/p/taxonomy-history?taxnode_id=202109078","ICTVonline=202109078")</f>
        <v>ICTVonline=202109078</v>
      </c>
    </row>
    <row r="5185" spans="1:21" x14ac:dyDescent="0.2">
      <c r="A5185" s="3">
        <v>5184</v>
      </c>
      <c r="B5185" s="1" t="s">
        <v>5250</v>
      </c>
      <c r="D5185" s="1" t="s">
        <v>5280</v>
      </c>
      <c r="F5185" s="1" t="s">
        <v>5347</v>
      </c>
      <c r="H5185" s="1" t="s">
        <v>5368</v>
      </c>
      <c r="J5185" s="1" t="s">
        <v>5369</v>
      </c>
      <c r="L5185" s="1" t="s">
        <v>2964</v>
      </c>
      <c r="N5185" s="1" t="s">
        <v>3365</v>
      </c>
      <c r="P5185" s="1" t="s">
        <v>6660</v>
      </c>
      <c r="Q5185" s="30" t="s">
        <v>2891</v>
      </c>
      <c r="R5185" s="33" t="s">
        <v>3472</v>
      </c>
      <c r="S5185">
        <v>36</v>
      </c>
      <c r="T5185" s="1" t="s">
        <v>6449</v>
      </c>
      <c r="U5185" s="1" t="str">
        <f>HYPERLINK("http://ictvonline.org/taxonomy/p/taxonomy-history?taxnode_id=202109080","ICTVonline=202109080")</f>
        <v>ICTVonline=202109080</v>
      </c>
    </row>
    <row r="5186" spans="1:21" x14ac:dyDescent="0.2">
      <c r="A5186" s="3">
        <v>5185</v>
      </c>
      <c r="B5186" s="1" t="s">
        <v>5250</v>
      </c>
      <c r="D5186" s="1" t="s">
        <v>5280</v>
      </c>
      <c r="F5186" s="1" t="s">
        <v>5347</v>
      </c>
      <c r="H5186" s="1" t="s">
        <v>5368</v>
      </c>
      <c r="J5186" s="1" t="s">
        <v>5369</v>
      </c>
      <c r="L5186" s="1" t="s">
        <v>2964</v>
      </c>
      <c r="N5186" s="1" t="s">
        <v>3366</v>
      </c>
      <c r="P5186" s="1" t="s">
        <v>6661</v>
      </c>
      <c r="Q5186" s="30" t="s">
        <v>2891</v>
      </c>
      <c r="R5186" s="33" t="s">
        <v>3472</v>
      </c>
      <c r="S5186">
        <v>36</v>
      </c>
      <c r="T5186" s="1" t="s">
        <v>6449</v>
      </c>
      <c r="U5186" s="1" t="str">
        <f>HYPERLINK("http://ictvonline.org/taxonomy/p/taxonomy-history?taxnode_id=202109083","ICTVonline=202109083")</f>
        <v>ICTVonline=202109083</v>
      </c>
    </row>
    <row r="5187" spans="1:21" x14ac:dyDescent="0.2">
      <c r="A5187" s="3">
        <v>5186</v>
      </c>
      <c r="B5187" s="1" t="s">
        <v>5250</v>
      </c>
      <c r="D5187" s="1" t="s">
        <v>5280</v>
      </c>
      <c r="F5187" s="1" t="s">
        <v>5347</v>
      </c>
      <c r="H5187" s="1" t="s">
        <v>5368</v>
      </c>
      <c r="J5187" s="1" t="s">
        <v>5369</v>
      </c>
      <c r="L5187" s="1" t="s">
        <v>2964</v>
      </c>
      <c r="N5187" s="1" t="s">
        <v>3366</v>
      </c>
      <c r="P5187" s="1" t="s">
        <v>6662</v>
      </c>
      <c r="Q5187" s="30" t="s">
        <v>2891</v>
      </c>
      <c r="R5187" s="33" t="s">
        <v>3472</v>
      </c>
      <c r="S5187">
        <v>36</v>
      </c>
      <c r="T5187" s="1" t="s">
        <v>6449</v>
      </c>
      <c r="U5187" s="1" t="str">
        <f>HYPERLINK("http://ictvonline.org/taxonomy/p/taxonomy-history?taxnode_id=202109087","ICTVonline=202109087")</f>
        <v>ICTVonline=202109087</v>
      </c>
    </row>
    <row r="5188" spans="1:21" x14ac:dyDescent="0.2">
      <c r="A5188" s="3">
        <v>5187</v>
      </c>
      <c r="B5188" s="1" t="s">
        <v>5250</v>
      </c>
      <c r="D5188" s="1" t="s">
        <v>5280</v>
      </c>
      <c r="F5188" s="1" t="s">
        <v>5347</v>
      </c>
      <c r="H5188" s="1" t="s">
        <v>5368</v>
      </c>
      <c r="J5188" s="1" t="s">
        <v>5369</v>
      </c>
      <c r="L5188" s="1" t="s">
        <v>2964</v>
      </c>
      <c r="N5188" s="1" t="s">
        <v>3366</v>
      </c>
      <c r="P5188" s="1" t="s">
        <v>6663</v>
      </c>
      <c r="Q5188" s="30" t="s">
        <v>2891</v>
      </c>
      <c r="R5188" s="33" t="s">
        <v>8666</v>
      </c>
      <c r="S5188">
        <v>36</v>
      </c>
      <c r="T5188" s="1" t="s">
        <v>8668</v>
      </c>
      <c r="U5188" s="1" t="str">
        <f>HYPERLINK("http://ictvonline.org/taxonomy/p/taxonomy-history?taxnode_id=202103625","ICTVonline=202103625")</f>
        <v>ICTVonline=202103625</v>
      </c>
    </row>
    <row r="5189" spans="1:21" x14ac:dyDescent="0.2">
      <c r="A5189" s="3">
        <v>5188</v>
      </c>
      <c r="B5189" s="1" t="s">
        <v>5250</v>
      </c>
      <c r="D5189" s="1" t="s">
        <v>5280</v>
      </c>
      <c r="F5189" s="1" t="s">
        <v>5347</v>
      </c>
      <c r="H5189" s="1" t="s">
        <v>5368</v>
      </c>
      <c r="J5189" s="1" t="s">
        <v>5369</v>
      </c>
      <c r="L5189" s="1" t="s">
        <v>2964</v>
      </c>
      <c r="N5189" s="1" t="s">
        <v>3366</v>
      </c>
      <c r="P5189" s="1" t="s">
        <v>6664</v>
      </c>
      <c r="Q5189" s="30" t="s">
        <v>2891</v>
      </c>
      <c r="R5189" s="33" t="s">
        <v>3475</v>
      </c>
      <c r="S5189">
        <v>36</v>
      </c>
      <c r="T5189" s="1" t="s">
        <v>6449</v>
      </c>
      <c r="U5189" s="1" t="str">
        <f>HYPERLINK("http://ictvonline.org/taxonomy/p/taxonomy-history?taxnode_id=202103626","ICTVonline=202103626")</f>
        <v>ICTVonline=202103626</v>
      </c>
    </row>
    <row r="5190" spans="1:21" x14ac:dyDescent="0.2">
      <c r="A5190" s="3">
        <v>5189</v>
      </c>
      <c r="B5190" s="1" t="s">
        <v>5250</v>
      </c>
      <c r="D5190" s="1" t="s">
        <v>5280</v>
      </c>
      <c r="F5190" s="1" t="s">
        <v>5347</v>
      </c>
      <c r="H5190" s="1" t="s">
        <v>5368</v>
      </c>
      <c r="J5190" s="1" t="s">
        <v>5369</v>
      </c>
      <c r="L5190" s="1" t="s">
        <v>2964</v>
      </c>
      <c r="N5190" s="1" t="s">
        <v>3366</v>
      </c>
      <c r="P5190" s="1" t="s">
        <v>6665</v>
      </c>
      <c r="Q5190" s="30" t="s">
        <v>2891</v>
      </c>
      <c r="R5190" s="33" t="s">
        <v>3472</v>
      </c>
      <c r="S5190">
        <v>36</v>
      </c>
      <c r="T5190" s="1" t="s">
        <v>6449</v>
      </c>
      <c r="U5190" s="1" t="str">
        <f>HYPERLINK("http://ictvonline.org/taxonomy/p/taxonomy-history?taxnode_id=202109084","ICTVonline=202109084")</f>
        <v>ICTVonline=202109084</v>
      </c>
    </row>
    <row r="5191" spans="1:21" x14ac:dyDescent="0.2">
      <c r="A5191" s="3">
        <v>5190</v>
      </c>
      <c r="B5191" s="1" t="s">
        <v>5250</v>
      </c>
      <c r="D5191" s="1" t="s">
        <v>5280</v>
      </c>
      <c r="F5191" s="1" t="s">
        <v>5347</v>
      </c>
      <c r="H5191" s="1" t="s">
        <v>5368</v>
      </c>
      <c r="J5191" s="1" t="s">
        <v>5369</v>
      </c>
      <c r="L5191" s="1" t="s">
        <v>2964</v>
      </c>
      <c r="N5191" s="1" t="s">
        <v>3366</v>
      </c>
      <c r="P5191" s="1" t="s">
        <v>6666</v>
      </c>
      <c r="Q5191" s="30" t="s">
        <v>2891</v>
      </c>
      <c r="R5191" s="33" t="s">
        <v>3472</v>
      </c>
      <c r="S5191">
        <v>36</v>
      </c>
      <c r="T5191" s="1" t="s">
        <v>6449</v>
      </c>
      <c r="U5191" s="1" t="str">
        <f>HYPERLINK("http://ictvonline.org/taxonomy/p/taxonomy-history?taxnode_id=202109086","ICTVonline=202109086")</f>
        <v>ICTVonline=202109086</v>
      </c>
    </row>
    <row r="5192" spans="1:21" x14ac:dyDescent="0.2">
      <c r="A5192" s="3">
        <v>5191</v>
      </c>
      <c r="B5192" s="1" t="s">
        <v>5250</v>
      </c>
      <c r="D5192" s="1" t="s">
        <v>5280</v>
      </c>
      <c r="F5192" s="1" t="s">
        <v>5347</v>
      </c>
      <c r="H5192" s="1" t="s">
        <v>5368</v>
      </c>
      <c r="J5192" s="1" t="s">
        <v>5369</v>
      </c>
      <c r="L5192" s="1" t="s">
        <v>2964</v>
      </c>
      <c r="N5192" s="1" t="s">
        <v>3366</v>
      </c>
      <c r="P5192" s="1" t="s">
        <v>6667</v>
      </c>
      <c r="Q5192" s="30" t="s">
        <v>2891</v>
      </c>
      <c r="R5192" s="33" t="s">
        <v>3472</v>
      </c>
      <c r="S5192">
        <v>36</v>
      </c>
      <c r="T5192" s="1" t="s">
        <v>6449</v>
      </c>
      <c r="U5192" s="1" t="str">
        <f>HYPERLINK("http://ictvonline.org/taxonomy/p/taxonomy-history?taxnode_id=202109088","ICTVonline=202109088")</f>
        <v>ICTVonline=202109088</v>
      </c>
    </row>
    <row r="5193" spans="1:21" x14ac:dyDescent="0.2">
      <c r="A5193" s="3">
        <v>5192</v>
      </c>
      <c r="B5193" s="1" t="s">
        <v>5250</v>
      </c>
      <c r="D5193" s="1" t="s">
        <v>5280</v>
      </c>
      <c r="F5193" s="1" t="s">
        <v>5347</v>
      </c>
      <c r="H5193" s="1" t="s">
        <v>5368</v>
      </c>
      <c r="J5193" s="1" t="s">
        <v>5369</v>
      </c>
      <c r="L5193" s="1" t="s">
        <v>2964</v>
      </c>
      <c r="N5193" s="1" t="s">
        <v>3366</v>
      </c>
      <c r="P5193" s="1" t="s">
        <v>6668</v>
      </c>
      <c r="Q5193" s="30" t="s">
        <v>2891</v>
      </c>
      <c r="R5193" s="33" t="s">
        <v>3472</v>
      </c>
      <c r="S5193">
        <v>36</v>
      </c>
      <c r="T5193" s="1" t="s">
        <v>6449</v>
      </c>
      <c r="U5193" s="1" t="str">
        <f>HYPERLINK("http://ictvonline.org/taxonomy/p/taxonomy-history?taxnode_id=202109089","ICTVonline=202109089")</f>
        <v>ICTVonline=202109089</v>
      </c>
    </row>
    <row r="5194" spans="1:21" x14ac:dyDescent="0.2">
      <c r="A5194" s="3">
        <v>5193</v>
      </c>
      <c r="B5194" s="1" t="s">
        <v>5250</v>
      </c>
      <c r="D5194" s="1" t="s">
        <v>5280</v>
      </c>
      <c r="F5194" s="1" t="s">
        <v>5347</v>
      </c>
      <c r="H5194" s="1" t="s">
        <v>5368</v>
      </c>
      <c r="J5194" s="1" t="s">
        <v>5369</v>
      </c>
      <c r="L5194" s="1" t="s">
        <v>2964</v>
      </c>
      <c r="N5194" s="1" t="s">
        <v>3366</v>
      </c>
      <c r="P5194" s="1" t="s">
        <v>6669</v>
      </c>
      <c r="Q5194" s="30" t="s">
        <v>2891</v>
      </c>
      <c r="R5194" s="33" t="s">
        <v>3472</v>
      </c>
      <c r="S5194">
        <v>36</v>
      </c>
      <c r="T5194" s="1" t="s">
        <v>6449</v>
      </c>
      <c r="U5194" s="1" t="str">
        <f>HYPERLINK("http://ictvonline.org/taxonomy/p/taxonomy-history?taxnode_id=202109090","ICTVonline=202109090")</f>
        <v>ICTVonline=202109090</v>
      </c>
    </row>
    <row r="5195" spans="1:21" x14ac:dyDescent="0.2">
      <c r="A5195" s="3">
        <v>5194</v>
      </c>
      <c r="B5195" s="1" t="s">
        <v>5250</v>
      </c>
      <c r="D5195" s="1" t="s">
        <v>5280</v>
      </c>
      <c r="F5195" s="1" t="s">
        <v>5347</v>
      </c>
      <c r="H5195" s="1" t="s">
        <v>5368</v>
      </c>
      <c r="J5195" s="1" t="s">
        <v>5369</v>
      </c>
      <c r="L5195" s="1" t="s">
        <v>2964</v>
      </c>
      <c r="N5195" s="1" t="s">
        <v>3366</v>
      </c>
      <c r="P5195" s="1" t="s">
        <v>6670</v>
      </c>
      <c r="Q5195" s="30" t="s">
        <v>2891</v>
      </c>
      <c r="R5195" s="33" t="s">
        <v>3472</v>
      </c>
      <c r="S5195">
        <v>36</v>
      </c>
      <c r="T5195" s="1" t="s">
        <v>6449</v>
      </c>
      <c r="U5195" s="1" t="str">
        <f>HYPERLINK("http://ictvonline.org/taxonomy/p/taxonomy-history?taxnode_id=202109082","ICTVonline=202109082")</f>
        <v>ICTVonline=202109082</v>
      </c>
    </row>
    <row r="5196" spans="1:21" x14ac:dyDescent="0.2">
      <c r="A5196" s="3">
        <v>5195</v>
      </c>
      <c r="B5196" s="1" t="s">
        <v>5250</v>
      </c>
      <c r="D5196" s="1" t="s">
        <v>5280</v>
      </c>
      <c r="F5196" s="1" t="s">
        <v>5347</v>
      </c>
      <c r="H5196" s="1" t="s">
        <v>5368</v>
      </c>
      <c r="J5196" s="1" t="s">
        <v>5369</v>
      </c>
      <c r="L5196" s="1" t="s">
        <v>2964</v>
      </c>
      <c r="N5196" s="1" t="s">
        <v>3366</v>
      </c>
      <c r="P5196" s="1" t="s">
        <v>6671</v>
      </c>
      <c r="Q5196" s="30" t="s">
        <v>2891</v>
      </c>
      <c r="R5196" s="33" t="s">
        <v>3472</v>
      </c>
      <c r="S5196">
        <v>36</v>
      </c>
      <c r="T5196" s="1" t="s">
        <v>6449</v>
      </c>
      <c r="U5196" s="1" t="str">
        <f>HYPERLINK("http://ictvonline.org/taxonomy/p/taxonomy-history?taxnode_id=202109081","ICTVonline=202109081")</f>
        <v>ICTVonline=202109081</v>
      </c>
    </row>
    <row r="5197" spans="1:21" x14ac:dyDescent="0.2">
      <c r="A5197" s="3">
        <v>5196</v>
      </c>
      <c r="B5197" s="1" t="s">
        <v>5250</v>
      </c>
      <c r="D5197" s="1" t="s">
        <v>5280</v>
      </c>
      <c r="F5197" s="1" t="s">
        <v>5347</v>
      </c>
      <c r="H5197" s="1" t="s">
        <v>5368</v>
      </c>
      <c r="J5197" s="1" t="s">
        <v>5369</v>
      </c>
      <c r="L5197" s="1" t="s">
        <v>2964</v>
      </c>
      <c r="N5197" s="1" t="s">
        <v>3366</v>
      </c>
      <c r="P5197" s="1" t="s">
        <v>6672</v>
      </c>
      <c r="Q5197" s="30" t="s">
        <v>2891</v>
      </c>
      <c r="R5197" s="33" t="s">
        <v>3472</v>
      </c>
      <c r="S5197">
        <v>36</v>
      </c>
      <c r="T5197" s="1" t="s">
        <v>6449</v>
      </c>
      <c r="U5197" s="1" t="str">
        <f>HYPERLINK("http://ictvonline.org/taxonomy/p/taxonomy-history?taxnode_id=202109085","ICTVonline=202109085")</f>
        <v>ICTVonline=202109085</v>
      </c>
    </row>
    <row r="5198" spans="1:21" x14ac:dyDescent="0.2">
      <c r="A5198" s="3">
        <v>5197</v>
      </c>
      <c r="B5198" s="1" t="s">
        <v>5250</v>
      </c>
      <c r="D5198" s="1" t="s">
        <v>5280</v>
      </c>
      <c r="F5198" s="1" t="s">
        <v>5347</v>
      </c>
      <c r="H5198" s="1" t="s">
        <v>5368</v>
      </c>
      <c r="J5198" s="1" t="s">
        <v>5369</v>
      </c>
      <c r="L5198" s="1" t="s">
        <v>2964</v>
      </c>
      <c r="N5198" s="1" t="s">
        <v>3366</v>
      </c>
      <c r="P5198" s="1" t="s">
        <v>6673</v>
      </c>
      <c r="Q5198" s="30" t="s">
        <v>2891</v>
      </c>
      <c r="R5198" s="33" t="s">
        <v>3475</v>
      </c>
      <c r="S5198">
        <v>36</v>
      </c>
      <c r="T5198" s="1" t="s">
        <v>6449</v>
      </c>
      <c r="U5198" s="1" t="str">
        <f>HYPERLINK("http://ictvonline.org/taxonomy/p/taxonomy-history?taxnode_id=202103627","ICTVonline=202103627")</f>
        <v>ICTVonline=202103627</v>
      </c>
    </row>
    <row r="5199" spans="1:21" x14ac:dyDescent="0.2">
      <c r="A5199" s="3">
        <v>5198</v>
      </c>
      <c r="B5199" s="1" t="s">
        <v>5250</v>
      </c>
      <c r="D5199" s="1" t="s">
        <v>5280</v>
      </c>
      <c r="F5199" s="1" t="s">
        <v>5347</v>
      </c>
      <c r="H5199" s="1" t="s">
        <v>5368</v>
      </c>
      <c r="J5199" s="1" t="s">
        <v>5369</v>
      </c>
      <c r="L5199" s="1" t="s">
        <v>2964</v>
      </c>
      <c r="N5199" s="1" t="s">
        <v>3367</v>
      </c>
      <c r="P5199" s="1" t="s">
        <v>6674</v>
      </c>
      <c r="Q5199" s="30" t="s">
        <v>2891</v>
      </c>
      <c r="R5199" s="33" t="s">
        <v>3472</v>
      </c>
      <c r="S5199">
        <v>36</v>
      </c>
      <c r="T5199" s="1" t="s">
        <v>6449</v>
      </c>
      <c r="U5199" s="1" t="str">
        <f>HYPERLINK("http://ictvonline.org/taxonomy/p/taxonomy-history?taxnode_id=202109094","ICTVonline=202109094")</f>
        <v>ICTVonline=202109094</v>
      </c>
    </row>
    <row r="5200" spans="1:21" x14ac:dyDescent="0.2">
      <c r="A5200" s="3">
        <v>5199</v>
      </c>
      <c r="B5200" s="1" t="s">
        <v>5250</v>
      </c>
      <c r="D5200" s="1" t="s">
        <v>5280</v>
      </c>
      <c r="F5200" s="1" t="s">
        <v>5347</v>
      </c>
      <c r="H5200" s="1" t="s">
        <v>5368</v>
      </c>
      <c r="J5200" s="1" t="s">
        <v>5369</v>
      </c>
      <c r="L5200" s="1" t="s">
        <v>2964</v>
      </c>
      <c r="N5200" s="1" t="s">
        <v>3367</v>
      </c>
      <c r="P5200" s="1" t="s">
        <v>6675</v>
      </c>
      <c r="Q5200" s="30" t="s">
        <v>2891</v>
      </c>
      <c r="R5200" s="33" t="s">
        <v>3472</v>
      </c>
      <c r="S5200">
        <v>36</v>
      </c>
      <c r="T5200" s="1" t="s">
        <v>6449</v>
      </c>
      <c r="U5200" s="1" t="str">
        <f>HYPERLINK("http://ictvonline.org/taxonomy/p/taxonomy-history?taxnode_id=202109093","ICTVonline=202109093")</f>
        <v>ICTVonline=202109093</v>
      </c>
    </row>
    <row r="5201" spans="1:21" x14ac:dyDescent="0.2">
      <c r="A5201" s="3">
        <v>5200</v>
      </c>
      <c r="B5201" s="1" t="s">
        <v>5250</v>
      </c>
      <c r="D5201" s="1" t="s">
        <v>5280</v>
      </c>
      <c r="F5201" s="1" t="s">
        <v>5347</v>
      </c>
      <c r="H5201" s="1" t="s">
        <v>5368</v>
      </c>
      <c r="J5201" s="1" t="s">
        <v>5369</v>
      </c>
      <c r="L5201" s="1" t="s">
        <v>2964</v>
      </c>
      <c r="N5201" s="1" t="s">
        <v>3367</v>
      </c>
      <c r="P5201" s="1" t="s">
        <v>6676</v>
      </c>
      <c r="Q5201" s="30" t="s">
        <v>2891</v>
      </c>
      <c r="R5201" s="33" t="s">
        <v>3472</v>
      </c>
      <c r="S5201">
        <v>36</v>
      </c>
      <c r="T5201" s="1" t="s">
        <v>6449</v>
      </c>
      <c r="U5201" s="1" t="str">
        <f>HYPERLINK("http://ictvonline.org/taxonomy/p/taxonomy-history?taxnode_id=202109095","ICTVonline=202109095")</f>
        <v>ICTVonline=202109095</v>
      </c>
    </row>
    <row r="5202" spans="1:21" x14ac:dyDescent="0.2">
      <c r="A5202" s="3">
        <v>5201</v>
      </c>
      <c r="B5202" s="1" t="s">
        <v>5250</v>
      </c>
      <c r="D5202" s="1" t="s">
        <v>5280</v>
      </c>
      <c r="F5202" s="1" t="s">
        <v>5347</v>
      </c>
      <c r="H5202" s="1" t="s">
        <v>5368</v>
      </c>
      <c r="J5202" s="1" t="s">
        <v>5369</v>
      </c>
      <c r="L5202" s="1" t="s">
        <v>2964</v>
      </c>
      <c r="N5202" s="1" t="s">
        <v>3367</v>
      </c>
      <c r="P5202" s="1" t="s">
        <v>6677</v>
      </c>
      <c r="Q5202" s="30" t="s">
        <v>2891</v>
      </c>
      <c r="R5202" s="33" t="s">
        <v>3472</v>
      </c>
      <c r="S5202">
        <v>36</v>
      </c>
      <c r="T5202" s="1" t="s">
        <v>6449</v>
      </c>
      <c r="U5202" s="1" t="str">
        <f>HYPERLINK("http://ictvonline.org/taxonomy/p/taxonomy-history?taxnode_id=202109091","ICTVonline=202109091")</f>
        <v>ICTVonline=202109091</v>
      </c>
    </row>
    <row r="5203" spans="1:21" x14ac:dyDescent="0.2">
      <c r="A5203" s="3">
        <v>5202</v>
      </c>
      <c r="B5203" s="1" t="s">
        <v>5250</v>
      </c>
      <c r="D5203" s="1" t="s">
        <v>5280</v>
      </c>
      <c r="F5203" s="1" t="s">
        <v>5347</v>
      </c>
      <c r="H5203" s="1" t="s">
        <v>5368</v>
      </c>
      <c r="J5203" s="1" t="s">
        <v>5369</v>
      </c>
      <c r="L5203" s="1" t="s">
        <v>2964</v>
      </c>
      <c r="N5203" s="1" t="s">
        <v>3367</v>
      </c>
      <c r="P5203" s="1" t="s">
        <v>6678</v>
      </c>
      <c r="Q5203" s="30" t="s">
        <v>2891</v>
      </c>
      <c r="R5203" s="33" t="s">
        <v>8666</v>
      </c>
      <c r="S5203">
        <v>36</v>
      </c>
      <c r="T5203" s="1" t="s">
        <v>8668</v>
      </c>
      <c r="U5203" s="1" t="str">
        <f>HYPERLINK("http://ictvonline.org/taxonomy/p/taxonomy-history?taxnode_id=202103629","ICTVonline=202103629")</f>
        <v>ICTVonline=202103629</v>
      </c>
    </row>
    <row r="5204" spans="1:21" x14ac:dyDescent="0.2">
      <c r="A5204" s="3">
        <v>5203</v>
      </c>
      <c r="B5204" s="1" t="s">
        <v>5250</v>
      </c>
      <c r="D5204" s="1" t="s">
        <v>5280</v>
      </c>
      <c r="F5204" s="1" t="s">
        <v>5347</v>
      </c>
      <c r="H5204" s="1" t="s">
        <v>5368</v>
      </c>
      <c r="J5204" s="1" t="s">
        <v>5369</v>
      </c>
      <c r="L5204" s="1" t="s">
        <v>2964</v>
      </c>
      <c r="N5204" s="1" t="s">
        <v>3367</v>
      </c>
      <c r="P5204" s="1" t="s">
        <v>6679</v>
      </c>
      <c r="Q5204" s="30" t="s">
        <v>2891</v>
      </c>
      <c r="R5204" s="33" t="s">
        <v>3472</v>
      </c>
      <c r="S5204">
        <v>36</v>
      </c>
      <c r="T5204" s="1" t="s">
        <v>6449</v>
      </c>
      <c r="U5204" s="1" t="str">
        <f>HYPERLINK("http://ictvonline.org/taxonomy/p/taxonomy-history?taxnode_id=202109092","ICTVonline=202109092")</f>
        <v>ICTVonline=202109092</v>
      </c>
    </row>
    <row r="5205" spans="1:21" x14ac:dyDescent="0.2">
      <c r="A5205" s="3">
        <v>5204</v>
      </c>
      <c r="B5205" s="1" t="s">
        <v>5250</v>
      </c>
      <c r="D5205" s="1" t="s">
        <v>5280</v>
      </c>
      <c r="F5205" s="1" t="s">
        <v>5347</v>
      </c>
      <c r="H5205" s="1" t="s">
        <v>5368</v>
      </c>
      <c r="J5205" s="1" t="s">
        <v>5369</v>
      </c>
      <c r="L5205" s="1" t="s">
        <v>2964</v>
      </c>
      <c r="N5205" s="1" t="s">
        <v>3367</v>
      </c>
      <c r="P5205" s="1" t="s">
        <v>6680</v>
      </c>
      <c r="Q5205" s="30" t="s">
        <v>2891</v>
      </c>
      <c r="R5205" s="33" t="s">
        <v>3472</v>
      </c>
      <c r="S5205">
        <v>36</v>
      </c>
      <c r="T5205" s="1" t="s">
        <v>6449</v>
      </c>
      <c r="U5205" s="1" t="str">
        <f>HYPERLINK("http://ictvonline.org/taxonomy/p/taxonomy-history?taxnode_id=202109096","ICTVonline=202109096")</f>
        <v>ICTVonline=202109096</v>
      </c>
    </row>
    <row r="5206" spans="1:21" x14ac:dyDescent="0.2">
      <c r="A5206" s="3">
        <v>5205</v>
      </c>
      <c r="B5206" s="1" t="s">
        <v>5250</v>
      </c>
      <c r="D5206" s="1" t="s">
        <v>5280</v>
      </c>
      <c r="F5206" s="1" t="s">
        <v>5347</v>
      </c>
      <c r="H5206" s="1" t="s">
        <v>5368</v>
      </c>
      <c r="J5206" s="1" t="s">
        <v>5369</v>
      </c>
      <c r="L5206" s="1" t="s">
        <v>2964</v>
      </c>
      <c r="N5206" s="1" t="s">
        <v>3368</v>
      </c>
      <c r="P5206" s="1" t="s">
        <v>6681</v>
      </c>
      <c r="Q5206" s="30" t="s">
        <v>2891</v>
      </c>
      <c r="R5206" s="33" t="s">
        <v>8666</v>
      </c>
      <c r="S5206">
        <v>36</v>
      </c>
      <c r="T5206" s="1" t="s">
        <v>8668</v>
      </c>
      <c r="U5206" s="1" t="str">
        <f>HYPERLINK("http://ictvonline.org/taxonomy/p/taxonomy-history?taxnode_id=202103631","ICTVonline=202103631")</f>
        <v>ICTVonline=202103631</v>
      </c>
    </row>
    <row r="5207" spans="1:21" x14ac:dyDescent="0.2">
      <c r="A5207" s="3">
        <v>5206</v>
      </c>
      <c r="B5207" s="1" t="s">
        <v>5250</v>
      </c>
      <c r="D5207" s="1" t="s">
        <v>5280</v>
      </c>
      <c r="F5207" s="1" t="s">
        <v>5347</v>
      </c>
      <c r="H5207" s="1" t="s">
        <v>5368</v>
      </c>
      <c r="J5207" s="1" t="s">
        <v>5369</v>
      </c>
      <c r="L5207" s="1" t="s">
        <v>2964</v>
      </c>
      <c r="N5207" s="1" t="s">
        <v>6682</v>
      </c>
      <c r="P5207" s="1" t="s">
        <v>6683</v>
      </c>
      <c r="Q5207" s="30" t="s">
        <v>2891</v>
      </c>
      <c r="R5207" s="33" t="s">
        <v>3472</v>
      </c>
      <c r="S5207">
        <v>36</v>
      </c>
      <c r="T5207" s="1" t="s">
        <v>6449</v>
      </c>
      <c r="U5207" s="1" t="str">
        <f>HYPERLINK("http://ictvonline.org/taxonomy/p/taxonomy-history?taxnode_id=202109100","ICTVonline=202109100")</f>
        <v>ICTVonline=202109100</v>
      </c>
    </row>
    <row r="5208" spans="1:21" x14ac:dyDescent="0.2">
      <c r="A5208" s="3">
        <v>5207</v>
      </c>
      <c r="B5208" s="1" t="s">
        <v>5250</v>
      </c>
      <c r="D5208" s="1" t="s">
        <v>5280</v>
      </c>
      <c r="F5208" s="1" t="s">
        <v>5347</v>
      </c>
      <c r="H5208" s="1" t="s">
        <v>5368</v>
      </c>
      <c r="J5208" s="1" t="s">
        <v>5369</v>
      </c>
      <c r="L5208" s="1" t="s">
        <v>2964</v>
      </c>
      <c r="N5208" s="1" t="s">
        <v>3369</v>
      </c>
      <c r="P5208" s="1" t="s">
        <v>6684</v>
      </c>
      <c r="Q5208" s="30" t="s">
        <v>2891</v>
      </c>
      <c r="R5208" s="33" t="s">
        <v>8666</v>
      </c>
      <c r="S5208">
        <v>36</v>
      </c>
      <c r="T5208" s="1" t="s">
        <v>8668</v>
      </c>
      <c r="U5208" s="1" t="str">
        <f>HYPERLINK("http://ictvonline.org/taxonomy/p/taxonomy-history?taxnode_id=202103633","ICTVonline=202103633")</f>
        <v>ICTVonline=202103633</v>
      </c>
    </row>
    <row r="5209" spans="1:21" x14ac:dyDescent="0.2">
      <c r="A5209" s="3">
        <v>5208</v>
      </c>
      <c r="B5209" s="1" t="s">
        <v>5250</v>
      </c>
      <c r="D5209" s="1" t="s">
        <v>5280</v>
      </c>
      <c r="F5209" s="1" t="s">
        <v>5347</v>
      </c>
      <c r="H5209" s="1" t="s">
        <v>5368</v>
      </c>
      <c r="J5209" s="1" t="s">
        <v>5369</v>
      </c>
      <c r="L5209" s="1" t="s">
        <v>2964</v>
      </c>
      <c r="N5209" s="1" t="s">
        <v>3369</v>
      </c>
      <c r="P5209" s="1" t="s">
        <v>6685</v>
      </c>
      <c r="Q5209" s="30" t="s">
        <v>2891</v>
      </c>
      <c r="R5209" s="33" t="s">
        <v>3472</v>
      </c>
      <c r="S5209">
        <v>36</v>
      </c>
      <c r="T5209" s="1" t="s">
        <v>6449</v>
      </c>
      <c r="U5209" s="1" t="str">
        <f>HYPERLINK("http://ictvonline.org/taxonomy/p/taxonomy-history?taxnode_id=202109097","ICTVonline=202109097")</f>
        <v>ICTVonline=202109097</v>
      </c>
    </row>
    <row r="5210" spans="1:21" x14ac:dyDescent="0.2">
      <c r="A5210" s="3">
        <v>5209</v>
      </c>
      <c r="B5210" s="1" t="s">
        <v>5250</v>
      </c>
      <c r="D5210" s="1" t="s">
        <v>5280</v>
      </c>
      <c r="F5210" s="1" t="s">
        <v>5347</v>
      </c>
      <c r="H5210" s="1" t="s">
        <v>5368</v>
      </c>
      <c r="J5210" s="1" t="s">
        <v>5369</v>
      </c>
      <c r="L5210" s="1" t="s">
        <v>2964</v>
      </c>
      <c r="N5210" s="1" t="s">
        <v>3369</v>
      </c>
      <c r="P5210" s="1" t="s">
        <v>6686</v>
      </c>
      <c r="Q5210" s="30" t="s">
        <v>2891</v>
      </c>
      <c r="R5210" s="33" t="s">
        <v>3472</v>
      </c>
      <c r="S5210">
        <v>36</v>
      </c>
      <c r="T5210" s="1" t="s">
        <v>6449</v>
      </c>
      <c r="U5210" s="1" t="str">
        <f>HYPERLINK("http://ictvonline.org/taxonomy/p/taxonomy-history?taxnode_id=202109098","ICTVonline=202109098")</f>
        <v>ICTVonline=202109098</v>
      </c>
    </row>
    <row r="5211" spans="1:21" x14ac:dyDescent="0.2">
      <c r="A5211" s="3">
        <v>5210</v>
      </c>
      <c r="B5211" s="1" t="s">
        <v>5250</v>
      </c>
      <c r="D5211" s="1" t="s">
        <v>5391</v>
      </c>
      <c r="F5211" s="1" t="s">
        <v>5392</v>
      </c>
      <c r="H5211" s="1" t="s">
        <v>5393</v>
      </c>
      <c r="J5211" s="1" t="s">
        <v>5394</v>
      </c>
      <c r="L5211" s="1" t="s">
        <v>3014</v>
      </c>
      <c r="N5211" s="1" t="s">
        <v>3015</v>
      </c>
      <c r="P5211" s="1" t="s">
        <v>5395</v>
      </c>
      <c r="Q5211" s="30" t="s">
        <v>2565</v>
      </c>
      <c r="R5211" s="33" t="s">
        <v>3473</v>
      </c>
      <c r="S5211">
        <v>35</v>
      </c>
      <c r="T5211" s="1" t="s">
        <v>5396</v>
      </c>
      <c r="U5211" s="1" t="str">
        <f>HYPERLINK("http://ictvonline.org/taxonomy/p/taxonomy-history?taxnode_id=202104342","ICTVonline=202104342")</f>
        <v>ICTVonline=202104342</v>
      </c>
    </row>
    <row r="5212" spans="1:21" x14ac:dyDescent="0.2">
      <c r="A5212" s="3">
        <v>5211</v>
      </c>
      <c r="B5212" s="1" t="s">
        <v>5250</v>
      </c>
      <c r="D5212" s="1" t="s">
        <v>5391</v>
      </c>
      <c r="F5212" s="1" t="s">
        <v>5392</v>
      </c>
      <c r="H5212" s="1" t="s">
        <v>5393</v>
      </c>
      <c r="J5212" s="1" t="s">
        <v>5394</v>
      </c>
      <c r="L5212" s="1" t="s">
        <v>3014</v>
      </c>
      <c r="N5212" s="1" t="s">
        <v>3015</v>
      </c>
      <c r="P5212" s="1" t="s">
        <v>5397</v>
      </c>
      <c r="Q5212" s="30" t="s">
        <v>2568</v>
      </c>
      <c r="R5212" s="33" t="s">
        <v>3473</v>
      </c>
      <c r="S5212">
        <v>35</v>
      </c>
      <c r="T5212" s="1" t="s">
        <v>5396</v>
      </c>
      <c r="U5212" s="1" t="str">
        <f>HYPERLINK("http://ictvonline.org/taxonomy/p/taxonomy-history?taxnode_id=202104343","ICTVonline=202104343")</f>
        <v>ICTVonline=202104343</v>
      </c>
    </row>
    <row r="5213" spans="1:21" x14ac:dyDescent="0.2">
      <c r="A5213" s="3">
        <v>5212</v>
      </c>
      <c r="B5213" s="1" t="s">
        <v>5250</v>
      </c>
      <c r="D5213" s="1" t="s">
        <v>5391</v>
      </c>
      <c r="F5213" s="1" t="s">
        <v>5392</v>
      </c>
      <c r="H5213" s="1" t="s">
        <v>5393</v>
      </c>
      <c r="J5213" s="1" t="s">
        <v>5394</v>
      </c>
      <c r="L5213" s="1" t="s">
        <v>3014</v>
      </c>
      <c r="N5213" s="1" t="s">
        <v>3015</v>
      </c>
      <c r="P5213" s="1" t="s">
        <v>5398</v>
      </c>
      <c r="Q5213" s="30" t="s">
        <v>2568</v>
      </c>
      <c r="R5213" s="33" t="s">
        <v>8665</v>
      </c>
      <c r="S5213">
        <v>36</v>
      </c>
      <c r="T5213" s="1" t="s">
        <v>8661</v>
      </c>
      <c r="U5213" s="1" t="str">
        <f>HYPERLINK("http://ictvonline.org/taxonomy/p/taxonomy-history?taxnode_id=202104344","ICTVonline=202104344")</f>
        <v>ICTVonline=202104344</v>
      </c>
    </row>
    <row r="5214" spans="1:21" x14ac:dyDescent="0.2">
      <c r="A5214" s="3">
        <v>5213</v>
      </c>
      <c r="B5214" s="1" t="s">
        <v>5250</v>
      </c>
      <c r="D5214" s="1" t="s">
        <v>5391</v>
      </c>
      <c r="F5214" s="1" t="s">
        <v>5392</v>
      </c>
      <c r="H5214" s="1" t="s">
        <v>5393</v>
      </c>
      <c r="J5214" s="1" t="s">
        <v>5394</v>
      </c>
      <c r="L5214" s="1" t="s">
        <v>3014</v>
      </c>
      <c r="N5214" s="1" t="s">
        <v>3015</v>
      </c>
      <c r="P5214" s="1" t="s">
        <v>5399</v>
      </c>
      <c r="Q5214" s="30" t="s">
        <v>2568</v>
      </c>
      <c r="R5214" s="33" t="s">
        <v>3473</v>
      </c>
      <c r="S5214">
        <v>35</v>
      </c>
      <c r="T5214" s="1" t="s">
        <v>5396</v>
      </c>
      <c r="U5214" s="1" t="str">
        <f>HYPERLINK("http://ictvonline.org/taxonomy/p/taxonomy-history?taxnode_id=202104345","ICTVonline=202104345")</f>
        <v>ICTVonline=202104345</v>
      </c>
    </row>
    <row r="5215" spans="1:21" x14ac:dyDescent="0.2">
      <c r="A5215" s="3">
        <v>5214</v>
      </c>
      <c r="B5215" s="1" t="s">
        <v>5250</v>
      </c>
      <c r="D5215" s="1" t="s">
        <v>5391</v>
      </c>
      <c r="F5215" s="1" t="s">
        <v>5392</v>
      </c>
      <c r="H5215" s="1" t="s">
        <v>5393</v>
      </c>
      <c r="J5215" s="1" t="s">
        <v>5394</v>
      </c>
      <c r="L5215" s="1" t="s">
        <v>3014</v>
      </c>
      <c r="N5215" s="1" t="s">
        <v>3015</v>
      </c>
      <c r="P5215" s="1" t="s">
        <v>5400</v>
      </c>
      <c r="Q5215" s="30" t="s">
        <v>2568</v>
      </c>
      <c r="R5215" s="33" t="s">
        <v>3473</v>
      </c>
      <c r="S5215">
        <v>35</v>
      </c>
      <c r="T5215" s="1" t="s">
        <v>5396</v>
      </c>
      <c r="U5215" s="1" t="str">
        <f>HYPERLINK("http://ictvonline.org/taxonomy/p/taxonomy-history?taxnode_id=202104346","ICTVonline=202104346")</f>
        <v>ICTVonline=202104346</v>
      </c>
    </row>
    <row r="5216" spans="1:21" x14ac:dyDescent="0.2">
      <c r="A5216" s="3">
        <v>5215</v>
      </c>
      <c r="B5216" s="1" t="s">
        <v>5250</v>
      </c>
      <c r="D5216" s="1" t="s">
        <v>5391</v>
      </c>
      <c r="F5216" s="1" t="s">
        <v>5392</v>
      </c>
      <c r="H5216" s="1" t="s">
        <v>5393</v>
      </c>
      <c r="J5216" s="1" t="s">
        <v>5394</v>
      </c>
      <c r="L5216" s="1" t="s">
        <v>3014</v>
      </c>
      <c r="N5216" s="1" t="s">
        <v>3016</v>
      </c>
      <c r="P5216" s="1" t="s">
        <v>5401</v>
      </c>
      <c r="Q5216" s="30" t="s">
        <v>8669</v>
      </c>
      <c r="R5216" s="33" t="s">
        <v>3473</v>
      </c>
      <c r="S5216">
        <v>35</v>
      </c>
      <c r="T5216" s="1" t="s">
        <v>5396</v>
      </c>
      <c r="U5216" s="1" t="str">
        <f>HYPERLINK("http://ictvonline.org/taxonomy/p/taxonomy-history?taxnode_id=202104348","ICTVonline=202104348")</f>
        <v>ICTVonline=202104348</v>
      </c>
    </row>
    <row r="5217" spans="1:21" x14ac:dyDescent="0.2">
      <c r="A5217" s="3">
        <v>5216</v>
      </c>
      <c r="B5217" s="1" t="s">
        <v>5250</v>
      </c>
      <c r="D5217" s="1" t="s">
        <v>5391</v>
      </c>
      <c r="F5217" s="1" t="s">
        <v>5392</v>
      </c>
      <c r="H5217" s="1" t="s">
        <v>5393</v>
      </c>
      <c r="J5217" s="1" t="s">
        <v>5394</v>
      </c>
      <c r="L5217" s="1" t="s">
        <v>3014</v>
      </c>
      <c r="N5217" s="1" t="s">
        <v>3016</v>
      </c>
      <c r="P5217" s="1" t="s">
        <v>5402</v>
      </c>
      <c r="Q5217" s="30" t="s">
        <v>2565</v>
      </c>
      <c r="R5217" s="33" t="s">
        <v>3472</v>
      </c>
      <c r="S5217">
        <v>35</v>
      </c>
      <c r="T5217" s="1" t="s">
        <v>5403</v>
      </c>
      <c r="U5217" s="1" t="str">
        <f>HYPERLINK("http://ictvonline.org/taxonomy/p/taxonomy-history?taxnode_id=202108635","ICTVonline=202108635")</f>
        <v>ICTVonline=202108635</v>
      </c>
    </row>
    <row r="5218" spans="1:21" x14ac:dyDescent="0.2">
      <c r="A5218" s="3">
        <v>5217</v>
      </c>
      <c r="B5218" s="1" t="s">
        <v>5250</v>
      </c>
      <c r="D5218" s="1" t="s">
        <v>5391</v>
      </c>
      <c r="F5218" s="1" t="s">
        <v>5392</v>
      </c>
      <c r="H5218" s="1" t="s">
        <v>5393</v>
      </c>
      <c r="J5218" s="1" t="s">
        <v>5394</v>
      </c>
      <c r="L5218" s="1" t="s">
        <v>3014</v>
      </c>
      <c r="N5218" s="1" t="s">
        <v>3016</v>
      </c>
      <c r="P5218" s="1" t="s">
        <v>5404</v>
      </c>
      <c r="Q5218" s="30" t="s">
        <v>2565</v>
      </c>
      <c r="R5218" s="33" t="s">
        <v>3472</v>
      </c>
      <c r="S5218">
        <v>35</v>
      </c>
      <c r="T5218" s="1" t="s">
        <v>5403</v>
      </c>
      <c r="U5218" s="1" t="str">
        <f>HYPERLINK("http://ictvonline.org/taxonomy/p/taxonomy-history?taxnode_id=202108636","ICTVonline=202108636")</f>
        <v>ICTVonline=202108636</v>
      </c>
    </row>
    <row r="5219" spans="1:21" x14ac:dyDescent="0.2">
      <c r="A5219" s="3">
        <v>5218</v>
      </c>
      <c r="B5219" s="1" t="s">
        <v>5250</v>
      </c>
      <c r="D5219" s="1" t="s">
        <v>5391</v>
      </c>
      <c r="F5219" s="1" t="s">
        <v>5392</v>
      </c>
      <c r="H5219" s="1" t="s">
        <v>5393</v>
      </c>
      <c r="J5219" s="1" t="s">
        <v>5394</v>
      </c>
      <c r="L5219" s="1" t="s">
        <v>3014</v>
      </c>
      <c r="N5219" s="1" t="s">
        <v>3016</v>
      </c>
      <c r="P5219" s="1" t="s">
        <v>5405</v>
      </c>
      <c r="Q5219" s="30" t="s">
        <v>8669</v>
      </c>
      <c r="R5219" s="33" t="s">
        <v>8665</v>
      </c>
      <c r="S5219">
        <v>36</v>
      </c>
      <c r="T5219" s="1" t="s">
        <v>8661</v>
      </c>
      <c r="U5219" s="1" t="str">
        <f>HYPERLINK("http://ictvonline.org/taxonomy/p/taxonomy-history?taxnode_id=202104349","ICTVonline=202104349")</f>
        <v>ICTVonline=202104349</v>
      </c>
    </row>
    <row r="5220" spans="1:21" x14ac:dyDescent="0.2">
      <c r="A5220" s="3">
        <v>5219</v>
      </c>
      <c r="B5220" s="1" t="s">
        <v>5250</v>
      </c>
      <c r="D5220" s="1" t="s">
        <v>5391</v>
      </c>
      <c r="F5220" s="1" t="s">
        <v>5392</v>
      </c>
      <c r="H5220" s="1" t="s">
        <v>5393</v>
      </c>
      <c r="J5220" s="1" t="s">
        <v>5394</v>
      </c>
      <c r="L5220" s="1" t="s">
        <v>3014</v>
      </c>
      <c r="N5220" s="1" t="s">
        <v>3016</v>
      </c>
      <c r="P5220" s="1" t="s">
        <v>5406</v>
      </c>
      <c r="Q5220" s="30" t="s">
        <v>2565</v>
      </c>
      <c r="R5220" s="33" t="s">
        <v>3472</v>
      </c>
      <c r="S5220">
        <v>35</v>
      </c>
      <c r="T5220" s="1" t="s">
        <v>5403</v>
      </c>
      <c r="U5220" s="1" t="str">
        <f>HYPERLINK("http://ictvonline.org/taxonomy/p/taxonomy-history?taxnode_id=202108637","ICTVonline=202108637")</f>
        <v>ICTVonline=202108637</v>
      </c>
    </row>
    <row r="5221" spans="1:21" x14ac:dyDescent="0.2">
      <c r="A5221" s="3">
        <v>5220</v>
      </c>
      <c r="B5221" s="1" t="s">
        <v>5250</v>
      </c>
      <c r="D5221" s="1" t="s">
        <v>5391</v>
      </c>
      <c r="F5221" s="1" t="s">
        <v>5392</v>
      </c>
      <c r="H5221" s="1" t="s">
        <v>5393</v>
      </c>
      <c r="J5221" s="1" t="s">
        <v>5394</v>
      </c>
      <c r="L5221" s="1" t="s">
        <v>3014</v>
      </c>
      <c r="N5221" s="1" t="s">
        <v>3016</v>
      </c>
      <c r="P5221" s="1" t="s">
        <v>5407</v>
      </c>
      <c r="Q5221" s="30" t="s">
        <v>2565</v>
      </c>
      <c r="R5221" s="33" t="s">
        <v>3472</v>
      </c>
      <c r="S5221">
        <v>35</v>
      </c>
      <c r="T5221" s="1" t="s">
        <v>5403</v>
      </c>
      <c r="U5221" s="1" t="str">
        <f>HYPERLINK("http://ictvonline.org/taxonomy/p/taxonomy-history?taxnode_id=202108638","ICTVonline=202108638")</f>
        <v>ICTVonline=202108638</v>
      </c>
    </row>
    <row r="5222" spans="1:21" x14ac:dyDescent="0.2">
      <c r="A5222" s="3">
        <v>5221</v>
      </c>
      <c r="B5222" s="1" t="s">
        <v>5250</v>
      </c>
      <c r="D5222" s="1" t="s">
        <v>5391</v>
      </c>
      <c r="F5222" s="1" t="s">
        <v>5392</v>
      </c>
      <c r="H5222" s="1" t="s">
        <v>5393</v>
      </c>
      <c r="J5222" s="1" t="s">
        <v>5394</v>
      </c>
      <c r="L5222" s="1" t="s">
        <v>3014</v>
      </c>
      <c r="N5222" s="1" t="s">
        <v>3016</v>
      </c>
      <c r="P5222" s="1" t="s">
        <v>5408</v>
      </c>
      <c r="Q5222" s="30" t="s">
        <v>2565</v>
      </c>
      <c r="R5222" s="33" t="s">
        <v>3472</v>
      </c>
      <c r="S5222">
        <v>35</v>
      </c>
      <c r="T5222" s="1" t="s">
        <v>5403</v>
      </c>
      <c r="U5222" s="1" t="str">
        <f>HYPERLINK("http://ictvonline.org/taxonomy/p/taxonomy-history?taxnode_id=202108639","ICTVonline=202108639")</f>
        <v>ICTVonline=202108639</v>
      </c>
    </row>
    <row r="5223" spans="1:21" x14ac:dyDescent="0.2">
      <c r="A5223" s="3">
        <v>5222</v>
      </c>
      <c r="B5223" s="1" t="s">
        <v>5250</v>
      </c>
      <c r="D5223" s="1" t="s">
        <v>5391</v>
      </c>
      <c r="F5223" s="1" t="s">
        <v>5392</v>
      </c>
      <c r="H5223" s="1" t="s">
        <v>5393</v>
      </c>
      <c r="J5223" s="1" t="s">
        <v>5394</v>
      </c>
      <c r="L5223" s="1" t="s">
        <v>3014</v>
      </c>
      <c r="N5223" s="1" t="s">
        <v>3016</v>
      </c>
      <c r="P5223" s="1" t="s">
        <v>5409</v>
      </c>
      <c r="Q5223" s="30" t="s">
        <v>2565</v>
      </c>
      <c r="R5223" s="33" t="s">
        <v>3472</v>
      </c>
      <c r="S5223">
        <v>35</v>
      </c>
      <c r="T5223" s="1" t="s">
        <v>5403</v>
      </c>
      <c r="U5223" s="1" t="str">
        <f>HYPERLINK("http://ictvonline.org/taxonomy/p/taxonomy-history?taxnode_id=202108640","ICTVonline=202108640")</f>
        <v>ICTVonline=202108640</v>
      </c>
    </row>
    <row r="5224" spans="1:21" x14ac:dyDescent="0.2">
      <c r="A5224" s="3">
        <v>5223</v>
      </c>
      <c r="B5224" s="1" t="s">
        <v>5250</v>
      </c>
      <c r="D5224" s="1" t="s">
        <v>5391</v>
      </c>
      <c r="F5224" s="1" t="s">
        <v>5392</v>
      </c>
      <c r="H5224" s="1" t="s">
        <v>5393</v>
      </c>
      <c r="J5224" s="1" t="s">
        <v>5394</v>
      </c>
      <c r="L5224" s="1" t="s">
        <v>3014</v>
      </c>
      <c r="N5224" s="1" t="s">
        <v>3016</v>
      </c>
      <c r="P5224" s="1" t="s">
        <v>5410</v>
      </c>
      <c r="Q5224" s="30" t="s">
        <v>2565</v>
      </c>
      <c r="R5224" s="33" t="s">
        <v>3472</v>
      </c>
      <c r="S5224">
        <v>35</v>
      </c>
      <c r="T5224" s="1" t="s">
        <v>5403</v>
      </c>
      <c r="U5224" s="1" t="str">
        <f>HYPERLINK("http://ictvonline.org/taxonomy/p/taxonomy-history?taxnode_id=202108641","ICTVonline=202108641")</f>
        <v>ICTVonline=202108641</v>
      </c>
    </row>
    <row r="5225" spans="1:21" x14ac:dyDescent="0.2">
      <c r="A5225" s="3">
        <v>5224</v>
      </c>
      <c r="B5225" s="1" t="s">
        <v>5250</v>
      </c>
      <c r="D5225" s="1" t="s">
        <v>5391</v>
      </c>
      <c r="F5225" s="1" t="s">
        <v>5392</v>
      </c>
      <c r="H5225" s="1" t="s">
        <v>5393</v>
      </c>
      <c r="J5225" s="1" t="s">
        <v>5394</v>
      </c>
      <c r="L5225" s="1" t="s">
        <v>3014</v>
      </c>
      <c r="N5225" s="1" t="s">
        <v>3017</v>
      </c>
      <c r="P5225" s="1" t="s">
        <v>12761</v>
      </c>
      <c r="Q5225" s="30" t="s">
        <v>2565</v>
      </c>
      <c r="R5225" s="33" t="s">
        <v>3472</v>
      </c>
      <c r="S5225">
        <v>37</v>
      </c>
      <c r="T5225" s="1" t="s">
        <v>13991</v>
      </c>
      <c r="U5225" s="1" t="str">
        <f>HYPERLINK("http://ictvonline.org/taxonomy/p/taxonomy-history?taxnode_id=202112215","ICTVonline=202112215")</f>
        <v>ICTVonline=202112215</v>
      </c>
    </row>
    <row r="5226" spans="1:21" x14ac:dyDescent="0.2">
      <c r="A5226" s="3">
        <v>5225</v>
      </c>
      <c r="B5226" s="1" t="s">
        <v>5250</v>
      </c>
      <c r="D5226" s="1" t="s">
        <v>5391</v>
      </c>
      <c r="F5226" s="1" t="s">
        <v>5392</v>
      </c>
      <c r="H5226" s="1" t="s">
        <v>5393</v>
      </c>
      <c r="J5226" s="1" t="s">
        <v>5394</v>
      </c>
      <c r="L5226" s="1" t="s">
        <v>3014</v>
      </c>
      <c r="N5226" s="1" t="s">
        <v>3017</v>
      </c>
      <c r="P5226" s="1" t="s">
        <v>5411</v>
      </c>
      <c r="Q5226" s="30" t="s">
        <v>2565</v>
      </c>
      <c r="R5226" s="33" t="s">
        <v>8665</v>
      </c>
      <c r="S5226">
        <v>36</v>
      </c>
      <c r="T5226" s="1" t="s">
        <v>8661</v>
      </c>
      <c r="U5226" s="1" t="str">
        <f>HYPERLINK("http://ictvonline.org/taxonomy/p/taxonomy-history?taxnode_id=202104351","ICTVonline=202104351")</f>
        <v>ICTVonline=202104351</v>
      </c>
    </row>
    <row r="5227" spans="1:21" x14ac:dyDescent="0.2">
      <c r="A5227" s="3">
        <v>5226</v>
      </c>
      <c r="B5227" s="1" t="s">
        <v>4226</v>
      </c>
      <c r="D5227" s="1" t="s">
        <v>5412</v>
      </c>
      <c r="F5227" s="1" t="s">
        <v>5413</v>
      </c>
      <c r="H5227" s="1" t="s">
        <v>5414</v>
      </c>
      <c r="J5227" s="1" t="s">
        <v>5415</v>
      </c>
      <c r="L5227" s="1" t="s">
        <v>716</v>
      </c>
      <c r="N5227" s="1" t="s">
        <v>4466</v>
      </c>
      <c r="P5227" s="1" t="s">
        <v>12762</v>
      </c>
      <c r="Q5227" s="30" t="s">
        <v>2569</v>
      </c>
      <c r="R5227" s="33" t="s">
        <v>3475</v>
      </c>
      <c r="S5227">
        <v>37</v>
      </c>
      <c r="T5227" s="1" t="s">
        <v>13992</v>
      </c>
      <c r="U5227" s="1" t="str">
        <f>HYPERLINK("http://ictvonline.org/taxonomy/p/taxonomy-history?taxnode_id=202106297","ICTVonline=202106297")</f>
        <v>ICTVonline=202106297</v>
      </c>
    </row>
    <row r="5228" spans="1:21" x14ac:dyDescent="0.2">
      <c r="A5228" s="3">
        <v>5227</v>
      </c>
      <c r="B5228" s="1" t="s">
        <v>4226</v>
      </c>
      <c r="D5228" s="1" t="s">
        <v>5412</v>
      </c>
      <c r="F5228" s="1" t="s">
        <v>5413</v>
      </c>
      <c r="H5228" s="1" t="s">
        <v>5414</v>
      </c>
      <c r="J5228" s="1" t="s">
        <v>5415</v>
      </c>
      <c r="L5228" s="1" t="s">
        <v>716</v>
      </c>
      <c r="N5228" s="1" t="s">
        <v>4466</v>
      </c>
      <c r="P5228" s="1" t="s">
        <v>12763</v>
      </c>
      <c r="Q5228" s="30" t="s">
        <v>2569</v>
      </c>
      <c r="R5228" s="33" t="s">
        <v>3475</v>
      </c>
      <c r="S5228">
        <v>37</v>
      </c>
      <c r="T5228" s="1" t="s">
        <v>13992</v>
      </c>
      <c r="U5228" s="1" t="str">
        <f>HYPERLINK("http://ictvonline.org/taxonomy/p/taxonomy-history?taxnode_id=202102892","ICTVonline=202102892")</f>
        <v>ICTVonline=202102892</v>
      </c>
    </row>
    <row r="5229" spans="1:21" x14ac:dyDescent="0.2">
      <c r="A5229" s="3">
        <v>5228</v>
      </c>
      <c r="B5229" s="1" t="s">
        <v>4226</v>
      </c>
      <c r="D5229" s="1" t="s">
        <v>5412</v>
      </c>
      <c r="F5229" s="1" t="s">
        <v>5413</v>
      </c>
      <c r="H5229" s="1" t="s">
        <v>5414</v>
      </c>
      <c r="J5229" s="1" t="s">
        <v>5415</v>
      </c>
      <c r="L5229" s="1" t="s">
        <v>716</v>
      </c>
      <c r="N5229" s="1" t="s">
        <v>4466</v>
      </c>
      <c r="P5229" s="1" t="s">
        <v>12764</v>
      </c>
      <c r="Q5229" s="30" t="s">
        <v>2569</v>
      </c>
      <c r="R5229" s="33" t="s">
        <v>3475</v>
      </c>
      <c r="S5229">
        <v>37</v>
      </c>
      <c r="T5229" s="1" t="s">
        <v>13992</v>
      </c>
      <c r="U5229" s="1" t="str">
        <f>HYPERLINK("http://ictvonline.org/taxonomy/p/taxonomy-history?taxnode_id=202106298","ICTVonline=202106298")</f>
        <v>ICTVonline=202106298</v>
      </c>
    </row>
    <row r="5230" spans="1:21" x14ac:dyDescent="0.2">
      <c r="A5230" s="3">
        <v>5229</v>
      </c>
      <c r="B5230" s="1" t="s">
        <v>4226</v>
      </c>
      <c r="D5230" s="1" t="s">
        <v>5412</v>
      </c>
      <c r="F5230" s="1" t="s">
        <v>5413</v>
      </c>
      <c r="H5230" s="1" t="s">
        <v>5414</v>
      </c>
      <c r="J5230" s="1" t="s">
        <v>5415</v>
      </c>
      <c r="L5230" s="1" t="s">
        <v>716</v>
      </c>
      <c r="N5230" s="1" t="s">
        <v>4466</v>
      </c>
      <c r="P5230" s="1" t="s">
        <v>12765</v>
      </c>
      <c r="Q5230" s="30" t="s">
        <v>2569</v>
      </c>
      <c r="R5230" s="33" t="s">
        <v>3475</v>
      </c>
      <c r="S5230">
        <v>37</v>
      </c>
      <c r="T5230" s="1" t="s">
        <v>13992</v>
      </c>
      <c r="U5230" s="1" t="str">
        <f>HYPERLINK("http://ictvonline.org/taxonomy/p/taxonomy-history?taxnode_id=202102891","ICTVonline=202102891")</f>
        <v>ICTVonline=202102891</v>
      </c>
    </row>
    <row r="5231" spans="1:21" x14ac:dyDescent="0.2">
      <c r="A5231" s="3">
        <v>5230</v>
      </c>
      <c r="B5231" s="1" t="s">
        <v>4226</v>
      </c>
      <c r="D5231" s="1" t="s">
        <v>5412</v>
      </c>
      <c r="F5231" s="1" t="s">
        <v>5413</v>
      </c>
      <c r="H5231" s="1" t="s">
        <v>5414</v>
      </c>
      <c r="J5231" s="1" t="s">
        <v>5415</v>
      </c>
      <c r="L5231" s="1" t="s">
        <v>716</v>
      </c>
      <c r="N5231" s="1" t="s">
        <v>4466</v>
      </c>
      <c r="P5231" s="1" t="s">
        <v>12766</v>
      </c>
      <c r="Q5231" s="30" t="s">
        <v>2569</v>
      </c>
      <c r="R5231" s="33" t="s">
        <v>3475</v>
      </c>
      <c r="S5231">
        <v>37</v>
      </c>
      <c r="T5231" s="1" t="s">
        <v>13992</v>
      </c>
      <c r="U5231" s="1" t="str">
        <f>HYPERLINK("http://ictvonline.org/taxonomy/p/taxonomy-history?taxnode_id=202108818","ICTVonline=202108818")</f>
        <v>ICTVonline=202108818</v>
      </c>
    </row>
    <row r="5232" spans="1:21" x14ac:dyDescent="0.2">
      <c r="A5232" s="3">
        <v>5231</v>
      </c>
      <c r="B5232" s="1" t="s">
        <v>4226</v>
      </c>
      <c r="D5232" s="1" t="s">
        <v>5412</v>
      </c>
      <c r="F5232" s="1" t="s">
        <v>5413</v>
      </c>
      <c r="H5232" s="1" t="s">
        <v>5414</v>
      </c>
      <c r="J5232" s="1" t="s">
        <v>5415</v>
      </c>
      <c r="L5232" s="1" t="s">
        <v>716</v>
      </c>
      <c r="N5232" s="1" t="s">
        <v>4466</v>
      </c>
      <c r="P5232" s="1" t="s">
        <v>12767</v>
      </c>
      <c r="Q5232" s="30" t="s">
        <v>2569</v>
      </c>
      <c r="R5232" s="33" t="s">
        <v>3475</v>
      </c>
      <c r="S5232">
        <v>37</v>
      </c>
      <c r="T5232" s="1" t="s">
        <v>13992</v>
      </c>
      <c r="U5232" s="1" t="str">
        <f>HYPERLINK("http://ictvonline.org/taxonomy/p/taxonomy-history?taxnode_id=202106299","ICTVonline=202106299")</f>
        <v>ICTVonline=202106299</v>
      </c>
    </row>
    <row r="5233" spans="1:21" x14ac:dyDescent="0.2">
      <c r="A5233" s="3">
        <v>5232</v>
      </c>
      <c r="B5233" s="1" t="s">
        <v>4226</v>
      </c>
      <c r="D5233" s="1" t="s">
        <v>5412</v>
      </c>
      <c r="F5233" s="1" t="s">
        <v>5413</v>
      </c>
      <c r="H5233" s="1" t="s">
        <v>5414</v>
      </c>
      <c r="J5233" s="1" t="s">
        <v>5415</v>
      </c>
      <c r="L5233" s="1" t="s">
        <v>716</v>
      </c>
      <c r="N5233" s="1" t="s">
        <v>4466</v>
      </c>
      <c r="P5233" s="1" t="s">
        <v>12768</v>
      </c>
      <c r="Q5233" s="30" t="s">
        <v>2569</v>
      </c>
      <c r="R5233" s="33" t="s">
        <v>3475</v>
      </c>
      <c r="S5233">
        <v>37</v>
      </c>
      <c r="T5233" s="1" t="s">
        <v>13992</v>
      </c>
      <c r="U5233" s="1" t="str">
        <f>HYPERLINK("http://ictvonline.org/taxonomy/p/taxonomy-history?taxnode_id=202102893","ICTVonline=202102893")</f>
        <v>ICTVonline=202102893</v>
      </c>
    </row>
    <row r="5234" spans="1:21" x14ac:dyDescent="0.2">
      <c r="A5234" s="3">
        <v>5233</v>
      </c>
      <c r="B5234" s="1" t="s">
        <v>4226</v>
      </c>
      <c r="D5234" s="1" t="s">
        <v>5412</v>
      </c>
      <c r="F5234" s="1" t="s">
        <v>5413</v>
      </c>
      <c r="H5234" s="1" t="s">
        <v>5414</v>
      </c>
      <c r="J5234" s="1" t="s">
        <v>5415</v>
      </c>
      <c r="L5234" s="1" t="s">
        <v>716</v>
      </c>
      <c r="N5234" s="1" t="s">
        <v>4466</v>
      </c>
      <c r="P5234" s="1" t="s">
        <v>12769</v>
      </c>
      <c r="Q5234" s="30" t="s">
        <v>2569</v>
      </c>
      <c r="R5234" s="33" t="s">
        <v>3475</v>
      </c>
      <c r="S5234">
        <v>37</v>
      </c>
      <c r="T5234" s="1" t="s">
        <v>13992</v>
      </c>
      <c r="U5234" s="1" t="str">
        <f>HYPERLINK("http://ictvonline.org/taxonomy/p/taxonomy-history?taxnode_id=202102894","ICTVonline=202102894")</f>
        <v>ICTVonline=202102894</v>
      </c>
    </row>
    <row r="5235" spans="1:21" x14ac:dyDescent="0.2">
      <c r="A5235" s="3">
        <v>5234</v>
      </c>
      <c r="B5235" s="1" t="s">
        <v>4226</v>
      </c>
      <c r="D5235" s="1" t="s">
        <v>5412</v>
      </c>
      <c r="F5235" s="1" t="s">
        <v>5413</v>
      </c>
      <c r="H5235" s="1" t="s">
        <v>5414</v>
      </c>
      <c r="J5235" s="1" t="s">
        <v>5415</v>
      </c>
      <c r="L5235" s="1" t="s">
        <v>716</v>
      </c>
      <c r="N5235" s="1" t="s">
        <v>4466</v>
      </c>
      <c r="P5235" s="1" t="s">
        <v>12770</v>
      </c>
      <c r="Q5235" s="30" t="s">
        <v>2569</v>
      </c>
      <c r="R5235" s="33" t="s">
        <v>3475</v>
      </c>
      <c r="S5235">
        <v>37</v>
      </c>
      <c r="T5235" s="1" t="s">
        <v>13992</v>
      </c>
      <c r="U5235" s="1" t="str">
        <f>HYPERLINK("http://ictvonline.org/taxonomy/p/taxonomy-history?taxnode_id=202102895","ICTVonline=202102895")</f>
        <v>ICTVonline=202102895</v>
      </c>
    </row>
    <row r="5236" spans="1:21" x14ac:dyDescent="0.2">
      <c r="A5236" s="3">
        <v>5235</v>
      </c>
      <c r="B5236" s="1" t="s">
        <v>4226</v>
      </c>
      <c r="D5236" s="1" t="s">
        <v>5412</v>
      </c>
      <c r="F5236" s="1" t="s">
        <v>5413</v>
      </c>
      <c r="H5236" s="1" t="s">
        <v>5414</v>
      </c>
      <c r="J5236" s="1" t="s">
        <v>5415</v>
      </c>
      <c r="L5236" s="1" t="s">
        <v>716</v>
      </c>
      <c r="N5236" s="1" t="s">
        <v>4466</v>
      </c>
      <c r="P5236" s="1" t="s">
        <v>12771</v>
      </c>
      <c r="Q5236" s="30" t="s">
        <v>2569</v>
      </c>
      <c r="R5236" s="33" t="s">
        <v>3475</v>
      </c>
      <c r="S5236">
        <v>37</v>
      </c>
      <c r="T5236" s="1" t="s">
        <v>13992</v>
      </c>
      <c r="U5236" s="1" t="str">
        <f>HYPERLINK("http://ictvonline.org/taxonomy/p/taxonomy-history?taxnode_id=202106300","ICTVonline=202106300")</f>
        <v>ICTVonline=202106300</v>
      </c>
    </row>
    <row r="5237" spans="1:21" x14ac:dyDescent="0.2">
      <c r="A5237" s="3">
        <v>5236</v>
      </c>
      <c r="B5237" s="1" t="s">
        <v>4226</v>
      </c>
      <c r="D5237" s="1" t="s">
        <v>5412</v>
      </c>
      <c r="F5237" s="1" t="s">
        <v>5413</v>
      </c>
      <c r="H5237" s="1" t="s">
        <v>5414</v>
      </c>
      <c r="J5237" s="1" t="s">
        <v>5415</v>
      </c>
      <c r="L5237" s="1" t="s">
        <v>716</v>
      </c>
      <c r="N5237" s="1" t="s">
        <v>4466</v>
      </c>
      <c r="P5237" s="1" t="s">
        <v>12772</v>
      </c>
      <c r="Q5237" s="30" t="s">
        <v>2569</v>
      </c>
      <c r="R5237" s="33" t="s">
        <v>3475</v>
      </c>
      <c r="S5237">
        <v>37</v>
      </c>
      <c r="T5237" s="1" t="s">
        <v>13992</v>
      </c>
      <c r="U5237" s="1" t="str">
        <f>HYPERLINK("http://ictvonline.org/taxonomy/p/taxonomy-history?taxnode_id=202106301","ICTVonline=202106301")</f>
        <v>ICTVonline=202106301</v>
      </c>
    </row>
    <row r="5238" spans="1:21" x14ac:dyDescent="0.2">
      <c r="A5238" s="3">
        <v>5237</v>
      </c>
      <c r="B5238" s="1" t="s">
        <v>4226</v>
      </c>
      <c r="D5238" s="1" t="s">
        <v>5412</v>
      </c>
      <c r="F5238" s="1" t="s">
        <v>5413</v>
      </c>
      <c r="H5238" s="1" t="s">
        <v>5414</v>
      </c>
      <c r="J5238" s="1" t="s">
        <v>5415</v>
      </c>
      <c r="L5238" s="1" t="s">
        <v>716</v>
      </c>
      <c r="N5238" s="1" t="s">
        <v>4466</v>
      </c>
      <c r="P5238" s="1" t="s">
        <v>12773</v>
      </c>
      <c r="Q5238" s="30" t="s">
        <v>2569</v>
      </c>
      <c r="R5238" s="33" t="s">
        <v>3475</v>
      </c>
      <c r="S5238">
        <v>37</v>
      </c>
      <c r="T5238" s="1" t="s">
        <v>13992</v>
      </c>
      <c r="U5238" s="1" t="str">
        <f>HYPERLINK("http://ictvonline.org/taxonomy/p/taxonomy-history?taxnode_id=202102897","ICTVonline=202102897")</f>
        <v>ICTVonline=202102897</v>
      </c>
    </row>
    <row r="5239" spans="1:21" x14ac:dyDescent="0.2">
      <c r="A5239" s="3">
        <v>5238</v>
      </c>
      <c r="B5239" s="1" t="s">
        <v>4226</v>
      </c>
      <c r="D5239" s="1" t="s">
        <v>5412</v>
      </c>
      <c r="F5239" s="1" t="s">
        <v>5413</v>
      </c>
      <c r="H5239" s="1" t="s">
        <v>5414</v>
      </c>
      <c r="J5239" s="1" t="s">
        <v>5415</v>
      </c>
      <c r="L5239" s="1" t="s">
        <v>716</v>
      </c>
      <c r="N5239" s="1" t="s">
        <v>4466</v>
      </c>
      <c r="P5239" s="1" t="s">
        <v>12774</v>
      </c>
      <c r="Q5239" s="30" t="s">
        <v>2569</v>
      </c>
      <c r="R5239" s="33" t="s">
        <v>3475</v>
      </c>
      <c r="S5239">
        <v>37</v>
      </c>
      <c r="T5239" s="1" t="s">
        <v>13992</v>
      </c>
      <c r="U5239" s="1" t="str">
        <f>HYPERLINK("http://ictvonline.org/taxonomy/p/taxonomy-history?taxnode_id=202102896","ICTVonline=202102896")</f>
        <v>ICTVonline=202102896</v>
      </c>
    </row>
    <row r="5240" spans="1:21" x14ac:dyDescent="0.2">
      <c r="A5240" s="3">
        <v>5239</v>
      </c>
      <c r="B5240" s="1" t="s">
        <v>4226</v>
      </c>
      <c r="D5240" s="1" t="s">
        <v>5412</v>
      </c>
      <c r="F5240" s="1" t="s">
        <v>5413</v>
      </c>
      <c r="H5240" s="1" t="s">
        <v>5414</v>
      </c>
      <c r="J5240" s="1" t="s">
        <v>5415</v>
      </c>
      <c r="L5240" s="1" t="s">
        <v>716</v>
      </c>
      <c r="N5240" s="1" t="s">
        <v>4466</v>
      </c>
      <c r="P5240" s="1" t="s">
        <v>12775</v>
      </c>
      <c r="Q5240" s="30" t="s">
        <v>2569</v>
      </c>
      <c r="R5240" s="33" t="s">
        <v>3475</v>
      </c>
      <c r="S5240">
        <v>37</v>
      </c>
      <c r="T5240" s="1" t="s">
        <v>13992</v>
      </c>
      <c r="U5240" s="1" t="str">
        <f>HYPERLINK("http://ictvonline.org/taxonomy/p/taxonomy-history?taxnode_id=202102898","ICTVonline=202102898")</f>
        <v>ICTVonline=202102898</v>
      </c>
    </row>
    <row r="5241" spans="1:21" x14ac:dyDescent="0.2">
      <c r="A5241" s="3">
        <v>5240</v>
      </c>
      <c r="B5241" s="1" t="s">
        <v>4226</v>
      </c>
      <c r="D5241" s="1" t="s">
        <v>5412</v>
      </c>
      <c r="F5241" s="1" t="s">
        <v>5413</v>
      </c>
      <c r="H5241" s="1" t="s">
        <v>5414</v>
      </c>
      <c r="J5241" s="1" t="s">
        <v>5415</v>
      </c>
      <c r="L5241" s="1" t="s">
        <v>716</v>
      </c>
      <c r="N5241" s="1" t="s">
        <v>4466</v>
      </c>
      <c r="P5241" s="1" t="s">
        <v>12776</v>
      </c>
      <c r="Q5241" s="30" t="s">
        <v>2569</v>
      </c>
      <c r="R5241" s="33" t="s">
        <v>3475</v>
      </c>
      <c r="S5241">
        <v>37</v>
      </c>
      <c r="T5241" s="1" t="s">
        <v>13992</v>
      </c>
      <c r="U5241" s="1" t="str">
        <f>HYPERLINK("http://ictvonline.org/taxonomy/p/taxonomy-history?taxnode_id=202106302","ICTVonline=202106302")</f>
        <v>ICTVonline=202106302</v>
      </c>
    </row>
    <row r="5242" spans="1:21" x14ac:dyDescent="0.2">
      <c r="A5242" s="3">
        <v>5241</v>
      </c>
      <c r="B5242" s="1" t="s">
        <v>4226</v>
      </c>
      <c r="D5242" s="1" t="s">
        <v>5412</v>
      </c>
      <c r="F5242" s="1" t="s">
        <v>5413</v>
      </c>
      <c r="H5242" s="1" t="s">
        <v>5414</v>
      </c>
      <c r="J5242" s="1" t="s">
        <v>5415</v>
      </c>
      <c r="L5242" s="1" t="s">
        <v>716</v>
      </c>
      <c r="N5242" s="1" t="s">
        <v>4466</v>
      </c>
      <c r="P5242" s="1" t="s">
        <v>12777</v>
      </c>
      <c r="Q5242" s="30" t="s">
        <v>2569</v>
      </c>
      <c r="R5242" s="33" t="s">
        <v>3475</v>
      </c>
      <c r="S5242">
        <v>37</v>
      </c>
      <c r="T5242" s="1" t="s">
        <v>13992</v>
      </c>
      <c r="U5242" s="1" t="str">
        <f>HYPERLINK("http://ictvonline.org/taxonomy/p/taxonomy-history?taxnode_id=202106303","ICTVonline=202106303")</f>
        <v>ICTVonline=202106303</v>
      </c>
    </row>
    <row r="5243" spans="1:21" x14ac:dyDescent="0.2">
      <c r="A5243" s="3">
        <v>5242</v>
      </c>
      <c r="B5243" s="1" t="s">
        <v>4226</v>
      </c>
      <c r="D5243" s="1" t="s">
        <v>5412</v>
      </c>
      <c r="F5243" s="1" t="s">
        <v>5413</v>
      </c>
      <c r="H5243" s="1" t="s">
        <v>5414</v>
      </c>
      <c r="J5243" s="1" t="s">
        <v>5415</v>
      </c>
      <c r="L5243" s="1" t="s">
        <v>716</v>
      </c>
      <c r="N5243" s="1" t="s">
        <v>4466</v>
      </c>
      <c r="P5243" s="1" t="s">
        <v>12778</v>
      </c>
      <c r="Q5243" s="30" t="s">
        <v>2569</v>
      </c>
      <c r="R5243" s="33" t="s">
        <v>3475</v>
      </c>
      <c r="S5243">
        <v>37</v>
      </c>
      <c r="T5243" s="1" t="s">
        <v>13992</v>
      </c>
      <c r="U5243" s="1" t="str">
        <f>HYPERLINK("http://ictvonline.org/taxonomy/p/taxonomy-history?taxnode_id=202108819","ICTVonline=202108819")</f>
        <v>ICTVonline=202108819</v>
      </c>
    </row>
    <row r="5244" spans="1:21" x14ac:dyDescent="0.2">
      <c r="A5244" s="3">
        <v>5243</v>
      </c>
      <c r="B5244" s="1" t="s">
        <v>4226</v>
      </c>
      <c r="D5244" s="1" t="s">
        <v>5412</v>
      </c>
      <c r="F5244" s="1" t="s">
        <v>5413</v>
      </c>
      <c r="H5244" s="1" t="s">
        <v>5414</v>
      </c>
      <c r="J5244" s="1" t="s">
        <v>5415</v>
      </c>
      <c r="L5244" s="1" t="s">
        <v>716</v>
      </c>
      <c r="N5244" s="1" t="s">
        <v>4466</v>
      </c>
      <c r="P5244" s="1" t="s">
        <v>12779</v>
      </c>
      <c r="Q5244" s="30" t="s">
        <v>2569</v>
      </c>
      <c r="R5244" s="33" t="s">
        <v>3475</v>
      </c>
      <c r="S5244">
        <v>37</v>
      </c>
      <c r="T5244" s="1" t="s">
        <v>13992</v>
      </c>
      <c r="U5244" s="1" t="str">
        <f>HYPERLINK("http://ictvonline.org/taxonomy/p/taxonomy-history?taxnode_id=202106304","ICTVonline=202106304")</f>
        <v>ICTVonline=202106304</v>
      </c>
    </row>
    <row r="5245" spans="1:21" x14ac:dyDescent="0.2">
      <c r="A5245" s="3">
        <v>5244</v>
      </c>
      <c r="B5245" s="1" t="s">
        <v>4226</v>
      </c>
      <c r="D5245" s="1" t="s">
        <v>5412</v>
      </c>
      <c r="F5245" s="1" t="s">
        <v>5413</v>
      </c>
      <c r="H5245" s="1" t="s">
        <v>5414</v>
      </c>
      <c r="J5245" s="1" t="s">
        <v>5415</v>
      </c>
      <c r="L5245" s="1" t="s">
        <v>716</v>
      </c>
      <c r="N5245" s="1" t="s">
        <v>4466</v>
      </c>
      <c r="P5245" s="1" t="s">
        <v>12780</v>
      </c>
      <c r="Q5245" s="30" t="s">
        <v>2569</v>
      </c>
      <c r="R5245" s="33" t="s">
        <v>3475</v>
      </c>
      <c r="S5245">
        <v>37</v>
      </c>
      <c r="T5245" s="1" t="s">
        <v>13992</v>
      </c>
      <c r="U5245" s="1" t="str">
        <f>HYPERLINK("http://ictvonline.org/taxonomy/p/taxonomy-history?taxnode_id=202102899","ICTVonline=202102899")</f>
        <v>ICTVonline=202102899</v>
      </c>
    </row>
    <row r="5246" spans="1:21" x14ac:dyDescent="0.2">
      <c r="A5246" s="3">
        <v>5245</v>
      </c>
      <c r="B5246" s="1" t="s">
        <v>4226</v>
      </c>
      <c r="D5246" s="1" t="s">
        <v>5412</v>
      </c>
      <c r="F5246" s="1" t="s">
        <v>5413</v>
      </c>
      <c r="H5246" s="1" t="s">
        <v>5414</v>
      </c>
      <c r="J5246" s="1" t="s">
        <v>5415</v>
      </c>
      <c r="L5246" s="1" t="s">
        <v>716</v>
      </c>
      <c r="N5246" s="1" t="s">
        <v>4466</v>
      </c>
      <c r="P5246" s="1" t="s">
        <v>12781</v>
      </c>
      <c r="Q5246" s="30" t="s">
        <v>2569</v>
      </c>
      <c r="R5246" s="33" t="s">
        <v>3475</v>
      </c>
      <c r="S5246">
        <v>37</v>
      </c>
      <c r="T5246" s="1" t="s">
        <v>13992</v>
      </c>
      <c r="U5246" s="1" t="str">
        <f>HYPERLINK("http://ictvonline.org/taxonomy/p/taxonomy-history?taxnode_id=202108820","ICTVonline=202108820")</f>
        <v>ICTVonline=202108820</v>
      </c>
    </row>
    <row r="5247" spans="1:21" x14ac:dyDescent="0.2">
      <c r="A5247" s="3">
        <v>5246</v>
      </c>
      <c r="B5247" s="1" t="s">
        <v>4226</v>
      </c>
      <c r="D5247" s="1" t="s">
        <v>5412</v>
      </c>
      <c r="F5247" s="1" t="s">
        <v>5413</v>
      </c>
      <c r="H5247" s="1" t="s">
        <v>5414</v>
      </c>
      <c r="J5247" s="1" t="s">
        <v>5415</v>
      </c>
      <c r="L5247" s="1" t="s">
        <v>716</v>
      </c>
      <c r="N5247" s="1" t="s">
        <v>4467</v>
      </c>
      <c r="P5247" s="1" t="s">
        <v>12782</v>
      </c>
      <c r="Q5247" s="30" t="s">
        <v>2569</v>
      </c>
      <c r="R5247" s="33" t="s">
        <v>3475</v>
      </c>
      <c r="S5247">
        <v>37</v>
      </c>
      <c r="T5247" s="1" t="s">
        <v>13992</v>
      </c>
      <c r="U5247" s="1" t="str">
        <f>HYPERLINK("http://ictvonline.org/taxonomy/p/taxonomy-history?taxnode_id=202106305","ICTVonline=202106305")</f>
        <v>ICTVonline=202106305</v>
      </c>
    </row>
    <row r="5248" spans="1:21" x14ac:dyDescent="0.2">
      <c r="A5248" s="3">
        <v>5247</v>
      </c>
      <c r="B5248" s="1" t="s">
        <v>4226</v>
      </c>
      <c r="D5248" s="1" t="s">
        <v>5412</v>
      </c>
      <c r="F5248" s="1" t="s">
        <v>5413</v>
      </c>
      <c r="H5248" s="1" t="s">
        <v>5414</v>
      </c>
      <c r="J5248" s="1" t="s">
        <v>5415</v>
      </c>
      <c r="L5248" s="1" t="s">
        <v>716</v>
      </c>
      <c r="N5248" s="1" t="s">
        <v>4467</v>
      </c>
      <c r="P5248" s="1" t="s">
        <v>12783</v>
      </c>
      <c r="Q5248" s="30" t="s">
        <v>2569</v>
      </c>
      <c r="R5248" s="33" t="s">
        <v>3475</v>
      </c>
      <c r="S5248">
        <v>37</v>
      </c>
      <c r="T5248" s="1" t="s">
        <v>13992</v>
      </c>
      <c r="U5248" s="1" t="str">
        <f>HYPERLINK("http://ictvonline.org/taxonomy/p/taxonomy-history?taxnode_id=202108821","ICTVonline=202108821")</f>
        <v>ICTVonline=202108821</v>
      </c>
    </row>
    <row r="5249" spans="1:21" x14ac:dyDescent="0.2">
      <c r="A5249" s="3">
        <v>5248</v>
      </c>
      <c r="B5249" s="1" t="s">
        <v>4226</v>
      </c>
      <c r="D5249" s="1" t="s">
        <v>5412</v>
      </c>
      <c r="F5249" s="1" t="s">
        <v>5413</v>
      </c>
      <c r="H5249" s="1" t="s">
        <v>5414</v>
      </c>
      <c r="J5249" s="1" t="s">
        <v>5415</v>
      </c>
      <c r="L5249" s="1" t="s">
        <v>716</v>
      </c>
      <c r="N5249" s="1" t="s">
        <v>4467</v>
      </c>
      <c r="P5249" s="1" t="s">
        <v>12784</v>
      </c>
      <c r="Q5249" s="30" t="s">
        <v>2569</v>
      </c>
      <c r="R5249" s="33" t="s">
        <v>3475</v>
      </c>
      <c r="S5249">
        <v>37</v>
      </c>
      <c r="T5249" s="1" t="s">
        <v>13992</v>
      </c>
      <c r="U5249" s="1" t="str">
        <f>HYPERLINK("http://ictvonline.org/taxonomy/p/taxonomy-history?taxnode_id=202106306","ICTVonline=202106306")</f>
        <v>ICTVonline=202106306</v>
      </c>
    </row>
    <row r="5250" spans="1:21" x14ac:dyDescent="0.2">
      <c r="A5250" s="3">
        <v>5249</v>
      </c>
      <c r="B5250" s="1" t="s">
        <v>4226</v>
      </c>
      <c r="D5250" s="1" t="s">
        <v>5412</v>
      </c>
      <c r="F5250" s="1" t="s">
        <v>5413</v>
      </c>
      <c r="H5250" s="1" t="s">
        <v>5414</v>
      </c>
      <c r="J5250" s="1" t="s">
        <v>5415</v>
      </c>
      <c r="L5250" s="1" t="s">
        <v>716</v>
      </c>
      <c r="N5250" s="1" t="s">
        <v>4467</v>
      </c>
      <c r="P5250" s="1" t="s">
        <v>12785</v>
      </c>
      <c r="Q5250" s="30" t="s">
        <v>2569</v>
      </c>
      <c r="R5250" s="33" t="s">
        <v>3475</v>
      </c>
      <c r="S5250">
        <v>37</v>
      </c>
      <c r="T5250" s="1" t="s">
        <v>13992</v>
      </c>
      <c r="U5250" s="1" t="str">
        <f>HYPERLINK("http://ictvonline.org/taxonomy/p/taxonomy-history?taxnode_id=202106307","ICTVonline=202106307")</f>
        <v>ICTVonline=202106307</v>
      </c>
    </row>
    <row r="5251" spans="1:21" x14ac:dyDescent="0.2">
      <c r="A5251" s="3">
        <v>5250</v>
      </c>
      <c r="B5251" s="1" t="s">
        <v>4226</v>
      </c>
      <c r="D5251" s="1" t="s">
        <v>5412</v>
      </c>
      <c r="F5251" s="1" t="s">
        <v>5413</v>
      </c>
      <c r="H5251" s="1" t="s">
        <v>5414</v>
      </c>
      <c r="J5251" s="1" t="s">
        <v>5415</v>
      </c>
      <c r="L5251" s="1" t="s">
        <v>716</v>
      </c>
      <c r="N5251" s="1" t="s">
        <v>4467</v>
      </c>
      <c r="P5251" s="1" t="s">
        <v>12786</v>
      </c>
      <c r="Q5251" s="30" t="s">
        <v>2569</v>
      </c>
      <c r="R5251" s="33" t="s">
        <v>3475</v>
      </c>
      <c r="S5251">
        <v>37</v>
      </c>
      <c r="T5251" s="1" t="s">
        <v>13992</v>
      </c>
      <c r="U5251" s="1" t="str">
        <f>HYPERLINK("http://ictvonline.org/taxonomy/p/taxonomy-history?taxnode_id=202108822","ICTVonline=202108822")</f>
        <v>ICTVonline=202108822</v>
      </c>
    </row>
    <row r="5252" spans="1:21" x14ac:dyDescent="0.2">
      <c r="A5252" s="3">
        <v>5251</v>
      </c>
      <c r="B5252" s="1" t="s">
        <v>4226</v>
      </c>
      <c r="D5252" s="1" t="s">
        <v>5412</v>
      </c>
      <c r="F5252" s="1" t="s">
        <v>5413</v>
      </c>
      <c r="H5252" s="1" t="s">
        <v>5414</v>
      </c>
      <c r="J5252" s="1" t="s">
        <v>5415</v>
      </c>
      <c r="L5252" s="1" t="s">
        <v>716</v>
      </c>
      <c r="N5252" s="1" t="s">
        <v>4467</v>
      </c>
      <c r="P5252" s="1" t="s">
        <v>12787</v>
      </c>
      <c r="Q5252" s="30" t="s">
        <v>2569</v>
      </c>
      <c r="R5252" s="33" t="s">
        <v>3475</v>
      </c>
      <c r="S5252">
        <v>37</v>
      </c>
      <c r="T5252" s="1" t="s">
        <v>13992</v>
      </c>
      <c r="U5252" s="1" t="str">
        <f>HYPERLINK("http://ictvonline.org/taxonomy/p/taxonomy-history?taxnode_id=202106309","ICTVonline=202106309")</f>
        <v>ICTVonline=202106309</v>
      </c>
    </row>
    <row r="5253" spans="1:21" x14ac:dyDescent="0.2">
      <c r="A5253" s="3">
        <v>5252</v>
      </c>
      <c r="B5253" s="1" t="s">
        <v>4226</v>
      </c>
      <c r="D5253" s="1" t="s">
        <v>5412</v>
      </c>
      <c r="F5253" s="1" t="s">
        <v>5413</v>
      </c>
      <c r="H5253" s="1" t="s">
        <v>5414</v>
      </c>
      <c r="J5253" s="1" t="s">
        <v>5415</v>
      </c>
      <c r="L5253" s="1" t="s">
        <v>716</v>
      </c>
      <c r="N5253" s="1" t="s">
        <v>4467</v>
      </c>
      <c r="P5253" s="1" t="s">
        <v>12788</v>
      </c>
      <c r="Q5253" s="30" t="s">
        <v>2569</v>
      </c>
      <c r="R5253" s="33" t="s">
        <v>3475</v>
      </c>
      <c r="S5253">
        <v>37</v>
      </c>
      <c r="T5253" s="1" t="s">
        <v>13992</v>
      </c>
      <c r="U5253" s="1" t="str">
        <f>HYPERLINK("http://ictvonline.org/taxonomy/p/taxonomy-history?taxnode_id=202106308","ICTVonline=202106308")</f>
        <v>ICTVonline=202106308</v>
      </c>
    </row>
    <row r="5254" spans="1:21" x14ac:dyDescent="0.2">
      <c r="A5254" s="3">
        <v>5253</v>
      </c>
      <c r="B5254" s="1" t="s">
        <v>4226</v>
      </c>
      <c r="D5254" s="1" t="s">
        <v>5412</v>
      </c>
      <c r="F5254" s="1" t="s">
        <v>5413</v>
      </c>
      <c r="H5254" s="1" t="s">
        <v>5414</v>
      </c>
      <c r="J5254" s="1" t="s">
        <v>5415</v>
      </c>
      <c r="L5254" s="1" t="s">
        <v>716</v>
      </c>
      <c r="N5254" s="1" t="s">
        <v>4467</v>
      </c>
      <c r="P5254" s="1" t="s">
        <v>12789</v>
      </c>
      <c r="Q5254" s="30" t="s">
        <v>2569</v>
      </c>
      <c r="R5254" s="33" t="s">
        <v>3475</v>
      </c>
      <c r="S5254">
        <v>37</v>
      </c>
      <c r="T5254" s="1" t="s">
        <v>13992</v>
      </c>
      <c r="U5254" s="1" t="str">
        <f>HYPERLINK("http://ictvonline.org/taxonomy/p/taxonomy-history?taxnode_id=202106310","ICTVonline=202106310")</f>
        <v>ICTVonline=202106310</v>
      </c>
    </row>
    <row r="5255" spans="1:21" x14ac:dyDescent="0.2">
      <c r="A5255" s="3">
        <v>5254</v>
      </c>
      <c r="B5255" s="1" t="s">
        <v>4226</v>
      </c>
      <c r="D5255" s="1" t="s">
        <v>5412</v>
      </c>
      <c r="F5255" s="1" t="s">
        <v>5413</v>
      </c>
      <c r="H5255" s="1" t="s">
        <v>5414</v>
      </c>
      <c r="J5255" s="1" t="s">
        <v>5415</v>
      </c>
      <c r="L5255" s="1" t="s">
        <v>716</v>
      </c>
      <c r="N5255" s="1" t="s">
        <v>4467</v>
      </c>
      <c r="P5255" s="1" t="s">
        <v>12790</v>
      </c>
      <c r="Q5255" s="30" t="s">
        <v>2569</v>
      </c>
      <c r="R5255" s="33" t="s">
        <v>3475</v>
      </c>
      <c r="S5255">
        <v>37</v>
      </c>
      <c r="T5255" s="1" t="s">
        <v>13992</v>
      </c>
      <c r="U5255" s="1" t="str">
        <f>HYPERLINK("http://ictvonline.org/taxonomy/p/taxonomy-history?taxnode_id=202108823","ICTVonline=202108823")</f>
        <v>ICTVonline=202108823</v>
      </c>
    </row>
    <row r="5256" spans="1:21" x14ac:dyDescent="0.2">
      <c r="A5256" s="3">
        <v>5255</v>
      </c>
      <c r="B5256" s="1" t="s">
        <v>4226</v>
      </c>
      <c r="D5256" s="1" t="s">
        <v>5412</v>
      </c>
      <c r="F5256" s="1" t="s">
        <v>5413</v>
      </c>
      <c r="H5256" s="1" t="s">
        <v>5414</v>
      </c>
      <c r="J5256" s="1" t="s">
        <v>5415</v>
      </c>
      <c r="L5256" s="1" t="s">
        <v>716</v>
      </c>
      <c r="N5256" s="1" t="s">
        <v>4467</v>
      </c>
      <c r="P5256" s="1" t="s">
        <v>12791</v>
      </c>
      <c r="Q5256" s="30" t="s">
        <v>2569</v>
      </c>
      <c r="R5256" s="33" t="s">
        <v>3475</v>
      </c>
      <c r="S5256">
        <v>37</v>
      </c>
      <c r="T5256" s="1" t="s">
        <v>13992</v>
      </c>
      <c r="U5256" s="1" t="str">
        <f>HYPERLINK("http://ictvonline.org/taxonomy/p/taxonomy-history?taxnode_id=202106311","ICTVonline=202106311")</f>
        <v>ICTVonline=202106311</v>
      </c>
    </row>
    <row r="5257" spans="1:21" x14ac:dyDescent="0.2">
      <c r="A5257" s="3">
        <v>5256</v>
      </c>
      <c r="B5257" s="1" t="s">
        <v>4226</v>
      </c>
      <c r="D5257" s="1" t="s">
        <v>5412</v>
      </c>
      <c r="F5257" s="1" t="s">
        <v>5413</v>
      </c>
      <c r="H5257" s="1" t="s">
        <v>5414</v>
      </c>
      <c r="J5257" s="1" t="s">
        <v>5415</v>
      </c>
      <c r="L5257" s="1" t="s">
        <v>716</v>
      </c>
      <c r="N5257" s="1" t="s">
        <v>4467</v>
      </c>
      <c r="P5257" s="1" t="s">
        <v>12792</v>
      </c>
      <c r="Q5257" s="30" t="s">
        <v>2569</v>
      </c>
      <c r="R5257" s="33" t="s">
        <v>3475</v>
      </c>
      <c r="S5257">
        <v>37</v>
      </c>
      <c r="T5257" s="1" t="s">
        <v>13992</v>
      </c>
      <c r="U5257" s="1" t="str">
        <f>HYPERLINK("http://ictvonline.org/taxonomy/p/taxonomy-history?taxnode_id=202106312","ICTVonline=202106312")</f>
        <v>ICTVonline=202106312</v>
      </c>
    </row>
    <row r="5258" spans="1:21" x14ac:dyDescent="0.2">
      <c r="A5258" s="3">
        <v>5257</v>
      </c>
      <c r="B5258" s="1" t="s">
        <v>4226</v>
      </c>
      <c r="D5258" s="1" t="s">
        <v>5412</v>
      </c>
      <c r="F5258" s="1" t="s">
        <v>5413</v>
      </c>
      <c r="H5258" s="1" t="s">
        <v>5414</v>
      </c>
      <c r="J5258" s="1" t="s">
        <v>5415</v>
      </c>
      <c r="L5258" s="1" t="s">
        <v>96</v>
      </c>
      <c r="N5258" s="1" t="s">
        <v>97</v>
      </c>
      <c r="P5258" s="1" t="s">
        <v>98</v>
      </c>
      <c r="Q5258" s="30" t="s">
        <v>2569</v>
      </c>
      <c r="R5258" s="33" t="s">
        <v>8665</v>
      </c>
      <c r="S5258">
        <v>36</v>
      </c>
      <c r="T5258" s="1" t="s">
        <v>8661</v>
      </c>
      <c r="U5258" s="1" t="str">
        <f>HYPERLINK("http://ictvonline.org/taxonomy/p/taxonomy-history?taxnode_id=202103810","ICTVonline=202103810")</f>
        <v>ICTVonline=202103810</v>
      </c>
    </row>
    <row r="5259" spans="1:21" x14ac:dyDescent="0.2">
      <c r="A5259" s="3">
        <v>5258</v>
      </c>
      <c r="B5259" s="1" t="s">
        <v>4226</v>
      </c>
      <c r="D5259" s="1" t="s">
        <v>5412</v>
      </c>
      <c r="F5259" s="1" t="s">
        <v>5413</v>
      </c>
      <c r="H5259" s="1" t="s">
        <v>5414</v>
      </c>
      <c r="J5259" s="1" t="s">
        <v>5415</v>
      </c>
      <c r="L5259" s="1" t="s">
        <v>2120</v>
      </c>
      <c r="N5259" s="1" t="s">
        <v>2121</v>
      </c>
      <c r="P5259" s="1" t="s">
        <v>2122</v>
      </c>
      <c r="Q5259" s="30" t="s">
        <v>2569</v>
      </c>
      <c r="R5259" s="33" t="s">
        <v>8665</v>
      </c>
      <c r="S5259">
        <v>36</v>
      </c>
      <c r="T5259" s="1" t="s">
        <v>8661</v>
      </c>
      <c r="U5259" s="1" t="str">
        <f>HYPERLINK("http://ictvonline.org/taxonomy/p/taxonomy-history?taxnode_id=202104870","ICTVonline=202104870")</f>
        <v>ICTVonline=202104870</v>
      </c>
    </row>
    <row r="5260" spans="1:21" x14ac:dyDescent="0.2">
      <c r="A5260" s="3">
        <v>5259</v>
      </c>
      <c r="B5260" s="1" t="s">
        <v>4226</v>
      </c>
      <c r="D5260" s="1" t="s">
        <v>5412</v>
      </c>
      <c r="F5260" s="1" t="s">
        <v>5413</v>
      </c>
      <c r="H5260" s="1" t="s">
        <v>5414</v>
      </c>
      <c r="J5260" s="1" t="s">
        <v>5415</v>
      </c>
      <c r="L5260" s="1" t="s">
        <v>1783</v>
      </c>
      <c r="N5260" s="1" t="s">
        <v>1784</v>
      </c>
      <c r="P5260" s="1" t="s">
        <v>1489</v>
      </c>
      <c r="Q5260" s="30" t="s">
        <v>2569</v>
      </c>
      <c r="R5260" s="33" t="s">
        <v>8665</v>
      </c>
      <c r="S5260">
        <v>36</v>
      </c>
      <c r="T5260" s="1" t="s">
        <v>8661</v>
      </c>
      <c r="U5260" s="1" t="str">
        <f>HYPERLINK("http://ictvonline.org/taxonomy/p/taxonomy-history?taxnode_id=202105288","ICTVonline=202105288")</f>
        <v>ICTVonline=202105288</v>
      </c>
    </row>
    <row r="5261" spans="1:21" x14ac:dyDescent="0.2">
      <c r="A5261" s="3">
        <v>5260</v>
      </c>
      <c r="B5261" s="1" t="s">
        <v>4226</v>
      </c>
      <c r="D5261" s="1" t="s">
        <v>5412</v>
      </c>
      <c r="F5261" s="1" t="s">
        <v>5413</v>
      </c>
      <c r="H5261" s="1" t="s">
        <v>5414</v>
      </c>
      <c r="J5261" s="1" t="s">
        <v>5415</v>
      </c>
      <c r="L5261" s="1" t="s">
        <v>1783</v>
      </c>
      <c r="N5261" s="1" t="s">
        <v>1490</v>
      </c>
      <c r="P5261" s="1" t="s">
        <v>2439</v>
      </c>
      <c r="Q5261" s="30" t="s">
        <v>2569</v>
      </c>
      <c r="R5261" s="33" t="s">
        <v>8665</v>
      </c>
      <c r="S5261">
        <v>36</v>
      </c>
      <c r="T5261" s="1" t="s">
        <v>8661</v>
      </c>
      <c r="U5261" s="1" t="str">
        <f>HYPERLINK("http://ictvonline.org/taxonomy/p/taxonomy-history?taxnode_id=202105290","ICTVonline=202105290")</f>
        <v>ICTVonline=202105290</v>
      </c>
    </row>
    <row r="5262" spans="1:21" x14ac:dyDescent="0.2">
      <c r="A5262" s="3">
        <v>5261</v>
      </c>
      <c r="B5262" s="1" t="s">
        <v>4226</v>
      </c>
      <c r="D5262" s="1" t="s">
        <v>5412</v>
      </c>
      <c r="F5262" s="1" t="s">
        <v>5413</v>
      </c>
      <c r="H5262" s="1" t="s">
        <v>5414</v>
      </c>
      <c r="J5262" s="1" t="s">
        <v>5415</v>
      </c>
      <c r="L5262" s="1" t="s">
        <v>1783</v>
      </c>
      <c r="N5262" s="1" t="s">
        <v>1490</v>
      </c>
      <c r="P5262" s="1" t="s">
        <v>2440</v>
      </c>
      <c r="Q5262" s="30" t="s">
        <v>2569</v>
      </c>
      <c r="R5262" s="33" t="s">
        <v>3474</v>
      </c>
      <c r="S5262">
        <v>35</v>
      </c>
      <c r="T5262" s="1" t="s">
        <v>5416</v>
      </c>
      <c r="U5262" s="1" t="str">
        <f>HYPERLINK("http://ictvonline.org/taxonomy/p/taxonomy-history?taxnode_id=202105291","ICTVonline=202105291")</f>
        <v>ICTVonline=202105291</v>
      </c>
    </row>
    <row r="5263" spans="1:21" x14ac:dyDescent="0.2">
      <c r="A5263" s="3">
        <v>5262</v>
      </c>
      <c r="B5263" s="1" t="s">
        <v>4226</v>
      </c>
      <c r="D5263" s="1" t="s">
        <v>5412</v>
      </c>
      <c r="F5263" s="1" t="s">
        <v>5413</v>
      </c>
      <c r="H5263" s="1" t="s">
        <v>5414</v>
      </c>
      <c r="J5263" s="1" t="s">
        <v>5415</v>
      </c>
      <c r="L5263" s="1" t="s">
        <v>1783</v>
      </c>
      <c r="N5263" s="1" t="s">
        <v>1232</v>
      </c>
      <c r="P5263" s="1" t="s">
        <v>1233</v>
      </c>
      <c r="Q5263" s="30" t="s">
        <v>2569</v>
      </c>
      <c r="R5263" s="33" t="s">
        <v>8665</v>
      </c>
      <c r="S5263">
        <v>36</v>
      </c>
      <c r="T5263" s="1" t="s">
        <v>8661</v>
      </c>
      <c r="U5263" s="1" t="str">
        <f>HYPERLINK("http://ictvonline.org/taxonomy/p/taxonomy-history?taxnode_id=202105293","ICTVonline=202105293")</f>
        <v>ICTVonline=202105293</v>
      </c>
    </row>
    <row r="5264" spans="1:21" x14ac:dyDescent="0.2">
      <c r="A5264" s="3">
        <v>5263</v>
      </c>
      <c r="B5264" s="1" t="s">
        <v>4226</v>
      </c>
      <c r="D5264" s="1" t="s">
        <v>5412</v>
      </c>
      <c r="F5264" s="1" t="s">
        <v>5413</v>
      </c>
      <c r="H5264" s="1" t="s">
        <v>5414</v>
      </c>
      <c r="J5264" s="1" t="s">
        <v>5415</v>
      </c>
      <c r="L5264" s="1" t="s">
        <v>1783</v>
      </c>
      <c r="N5264" s="1" t="s">
        <v>1232</v>
      </c>
      <c r="P5264" s="1" t="s">
        <v>3969</v>
      </c>
      <c r="Q5264" s="30" t="s">
        <v>2569</v>
      </c>
      <c r="R5264" s="33" t="s">
        <v>3474</v>
      </c>
      <c r="S5264">
        <v>35</v>
      </c>
      <c r="T5264" s="1" t="s">
        <v>5416</v>
      </c>
      <c r="U5264" s="1" t="str">
        <f>HYPERLINK("http://ictvonline.org/taxonomy/p/taxonomy-history?taxnode_id=202105294","ICTVonline=202105294")</f>
        <v>ICTVonline=202105294</v>
      </c>
    </row>
    <row r="5265" spans="1:21" x14ac:dyDescent="0.2">
      <c r="A5265" s="3">
        <v>5264</v>
      </c>
      <c r="B5265" s="1" t="s">
        <v>4226</v>
      </c>
      <c r="D5265" s="1" t="s">
        <v>5412</v>
      </c>
      <c r="F5265" s="1" t="s">
        <v>5413</v>
      </c>
      <c r="H5265" s="1" t="s">
        <v>5414</v>
      </c>
      <c r="J5265" s="1" t="s">
        <v>5415</v>
      </c>
      <c r="L5265" s="1" t="s">
        <v>1783</v>
      </c>
      <c r="N5265" s="1" t="s">
        <v>1232</v>
      </c>
      <c r="P5265" s="1" t="s">
        <v>2441</v>
      </c>
      <c r="Q5265" s="30" t="s">
        <v>2569</v>
      </c>
      <c r="R5265" s="33" t="s">
        <v>3474</v>
      </c>
      <c r="S5265">
        <v>35</v>
      </c>
      <c r="T5265" s="1" t="s">
        <v>5416</v>
      </c>
      <c r="U5265" s="1" t="str">
        <f>HYPERLINK("http://ictvonline.org/taxonomy/p/taxonomy-history?taxnode_id=202105295","ICTVonline=202105295")</f>
        <v>ICTVonline=202105295</v>
      </c>
    </row>
    <row r="5266" spans="1:21" x14ac:dyDescent="0.2">
      <c r="A5266" s="3">
        <v>5265</v>
      </c>
      <c r="B5266" s="1" t="s">
        <v>4226</v>
      </c>
      <c r="D5266" s="1" t="s">
        <v>5412</v>
      </c>
      <c r="F5266" s="1" t="s">
        <v>5413</v>
      </c>
      <c r="H5266" s="1" t="s">
        <v>5414</v>
      </c>
      <c r="J5266" s="1" t="s">
        <v>5415</v>
      </c>
      <c r="L5266" s="1" t="s">
        <v>1783</v>
      </c>
      <c r="N5266" s="1" t="s">
        <v>1232</v>
      </c>
      <c r="P5266" s="1" t="s">
        <v>2442</v>
      </c>
      <c r="Q5266" s="30" t="s">
        <v>2569</v>
      </c>
      <c r="R5266" s="33" t="s">
        <v>3474</v>
      </c>
      <c r="S5266">
        <v>35</v>
      </c>
      <c r="T5266" s="1" t="s">
        <v>5416</v>
      </c>
      <c r="U5266" s="1" t="str">
        <f>HYPERLINK("http://ictvonline.org/taxonomy/p/taxonomy-history?taxnode_id=202105296","ICTVonline=202105296")</f>
        <v>ICTVonline=202105296</v>
      </c>
    </row>
    <row r="5267" spans="1:21" x14ac:dyDescent="0.2">
      <c r="A5267" s="3">
        <v>5266</v>
      </c>
      <c r="B5267" s="1" t="s">
        <v>4226</v>
      </c>
      <c r="D5267" s="1" t="s">
        <v>5412</v>
      </c>
      <c r="F5267" s="1" t="s">
        <v>5413</v>
      </c>
      <c r="H5267" s="1" t="s">
        <v>5414</v>
      </c>
      <c r="J5267" s="1" t="s">
        <v>5415</v>
      </c>
      <c r="L5267" s="1" t="s">
        <v>1783</v>
      </c>
      <c r="N5267" s="1" t="s">
        <v>1232</v>
      </c>
      <c r="P5267" s="1" t="s">
        <v>1234</v>
      </c>
      <c r="Q5267" s="30" t="s">
        <v>2569</v>
      </c>
      <c r="R5267" s="33" t="s">
        <v>3474</v>
      </c>
      <c r="S5267">
        <v>35</v>
      </c>
      <c r="T5267" s="1" t="s">
        <v>5416</v>
      </c>
      <c r="U5267" s="1" t="str">
        <f>HYPERLINK("http://ictvonline.org/taxonomy/p/taxonomy-history?taxnode_id=202105297","ICTVonline=202105297")</f>
        <v>ICTVonline=202105297</v>
      </c>
    </row>
    <row r="5268" spans="1:21" x14ac:dyDescent="0.2">
      <c r="A5268" s="3">
        <v>5267</v>
      </c>
      <c r="B5268" s="1" t="s">
        <v>4226</v>
      </c>
      <c r="D5268" s="1" t="s">
        <v>5412</v>
      </c>
      <c r="F5268" s="1" t="s">
        <v>5413</v>
      </c>
      <c r="H5268" s="1" t="s">
        <v>5414</v>
      </c>
      <c r="J5268" s="1" t="s">
        <v>5415</v>
      </c>
      <c r="L5268" s="1" t="s">
        <v>1783</v>
      </c>
      <c r="N5268" s="1" t="s">
        <v>1232</v>
      </c>
      <c r="P5268" s="1" t="s">
        <v>2443</v>
      </c>
      <c r="Q5268" s="30" t="s">
        <v>2569</v>
      </c>
      <c r="R5268" s="33" t="s">
        <v>3474</v>
      </c>
      <c r="S5268">
        <v>35</v>
      </c>
      <c r="T5268" s="1" t="s">
        <v>5416</v>
      </c>
      <c r="U5268" s="1" t="str">
        <f>HYPERLINK("http://ictvonline.org/taxonomy/p/taxonomy-history?taxnode_id=202105298","ICTVonline=202105298")</f>
        <v>ICTVonline=202105298</v>
      </c>
    </row>
    <row r="5269" spans="1:21" x14ac:dyDescent="0.2">
      <c r="A5269" s="3">
        <v>5268</v>
      </c>
      <c r="B5269" s="1" t="s">
        <v>4226</v>
      </c>
      <c r="D5269" s="1" t="s">
        <v>5412</v>
      </c>
      <c r="F5269" s="1" t="s">
        <v>5413</v>
      </c>
      <c r="H5269" s="1" t="s">
        <v>5414</v>
      </c>
      <c r="J5269" s="1" t="s">
        <v>5415</v>
      </c>
      <c r="L5269" s="1" t="s">
        <v>1783</v>
      </c>
      <c r="N5269" s="1" t="s">
        <v>1232</v>
      </c>
      <c r="P5269" s="1" t="s">
        <v>2444</v>
      </c>
      <c r="Q5269" s="30" t="s">
        <v>2569</v>
      </c>
      <c r="R5269" s="33" t="s">
        <v>3474</v>
      </c>
      <c r="S5269">
        <v>35</v>
      </c>
      <c r="T5269" s="1" t="s">
        <v>5416</v>
      </c>
      <c r="U5269" s="1" t="str">
        <f>HYPERLINK("http://ictvonline.org/taxonomy/p/taxonomy-history?taxnode_id=202105299","ICTVonline=202105299")</f>
        <v>ICTVonline=202105299</v>
      </c>
    </row>
    <row r="5270" spans="1:21" x14ac:dyDescent="0.2">
      <c r="A5270" s="3">
        <v>5269</v>
      </c>
      <c r="B5270" s="1" t="s">
        <v>4226</v>
      </c>
      <c r="D5270" s="1" t="s">
        <v>5412</v>
      </c>
      <c r="F5270" s="1" t="s">
        <v>5413</v>
      </c>
      <c r="H5270" s="1" t="s">
        <v>5414</v>
      </c>
      <c r="J5270" s="1" t="s">
        <v>5415</v>
      </c>
      <c r="L5270" s="1" t="s">
        <v>1783</v>
      </c>
      <c r="N5270" s="1" t="s">
        <v>204</v>
      </c>
      <c r="P5270" s="1" t="s">
        <v>205</v>
      </c>
      <c r="Q5270" s="30" t="s">
        <v>2569</v>
      </c>
      <c r="R5270" s="33" t="s">
        <v>8665</v>
      </c>
      <c r="S5270">
        <v>36</v>
      </c>
      <c r="T5270" s="1" t="s">
        <v>8661</v>
      </c>
      <c r="U5270" s="1" t="str">
        <f>HYPERLINK("http://ictvonline.org/taxonomy/p/taxonomy-history?taxnode_id=202105301","ICTVonline=202105301")</f>
        <v>ICTVonline=202105301</v>
      </c>
    </row>
    <row r="5271" spans="1:21" x14ac:dyDescent="0.2">
      <c r="A5271" s="3">
        <v>5270</v>
      </c>
      <c r="B5271" s="1" t="s">
        <v>4226</v>
      </c>
      <c r="D5271" s="1" t="s">
        <v>5412</v>
      </c>
      <c r="F5271" s="1" t="s">
        <v>5413</v>
      </c>
      <c r="H5271" s="1" t="s">
        <v>5414</v>
      </c>
      <c r="J5271" s="1" t="s">
        <v>5415</v>
      </c>
      <c r="L5271" s="1" t="s">
        <v>1783</v>
      </c>
      <c r="N5271" s="1" t="s">
        <v>204</v>
      </c>
      <c r="P5271" s="1" t="s">
        <v>206</v>
      </c>
      <c r="Q5271" s="30" t="s">
        <v>2569</v>
      </c>
      <c r="R5271" s="33" t="s">
        <v>3474</v>
      </c>
      <c r="S5271">
        <v>35</v>
      </c>
      <c r="T5271" s="1" t="s">
        <v>5416</v>
      </c>
      <c r="U5271" s="1" t="str">
        <f>HYPERLINK("http://ictvonline.org/taxonomy/p/taxonomy-history?taxnode_id=202105302","ICTVonline=202105302")</f>
        <v>ICTVonline=202105302</v>
      </c>
    </row>
    <row r="5272" spans="1:21" x14ac:dyDescent="0.2">
      <c r="A5272" s="3">
        <v>5271</v>
      </c>
      <c r="B5272" s="1" t="s">
        <v>4226</v>
      </c>
      <c r="D5272" s="1" t="s">
        <v>5412</v>
      </c>
      <c r="F5272" s="1" t="s">
        <v>5413</v>
      </c>
      <c r="H5272" s="1" t="s">
        <v>5414</v>
      </c>
      <c r="J5272" s="1" t="s">
        <v>5415</v>
      </c>
      <c r="L5272" s="1" t="s">
        <v>1783</v>
      </c>
      <c r="N5272" s="1" t="s">
        <v>204</v>
      </c>
      <c r="P5272" s="1" t="s">
        <v>207</v>
      </c>
      <c r="Q5272" s="30" t="s">
        <v>2569</v>
      </c>
      <c r="R5272" s="33" t="s">
        <v>3474</v>
      </c>
      <c r="S5272">
        <v>35</v>
      </c>
      <c r="T5272" s="1" t="s">
        <v>5416</v>
      </c>
      <c r="U5272" s="1" t="str">
        <f>HYPERLINK("http://ictvonline.org/taxonomy/p/taxonomy-history?taxnode_id=202105303","ICTVonline=202105303")</f>
        <v>ICTVonline=202105303</v>
      </c>
    </row>
    <row r="5273" spans="1:21" x14ac:dyDescent="0.2">
      <c r="A5273" s="3">
        <v>5272</v>
      </c>
      <c r="B5273" s="1" t="s">
        <v>4226</v>
      </c>
      <c r="D5273" s="1" t="s">
        <v>5412</v>
      </c>
      <c r="F5273" s="1" t="s">
        <v>5413</v>
      </c>
      <c r="H5273" s="1" t="s">
        <v>5414</v>
      </c>
      <c r="J5273" s="1" t="s">
        <v>5415</v>
      </c>
      <c r="L5273" s="1" t="s">
        <v>1783</v>
      </c>
      <c r="N5273" s="1" t="s">
        <v>204</v>
      </c>
      <c r="P5273" s="1" t="s">
        <v>2445</v>
      </c>
      <c r="Q5273" s="30" t="s">
        <v>2569</v>
      </c>
      <c r="R5273" s="33" t="s">
        <v>3474</v>
      </c>
      <c r="S5273">
        <v>35</v>
      </c>
      <c r="T5273" s="1" t="s">
        <v>5416</v>
      </c>
      <c r="U5273" s="1" t="str">
        <f>HYPERLINK("http://ictvonline.org/taxonomy/p/taxonomy-history?taxnode_id=202105304","ICTVonline=202105304")</f>
        <v>ICTVonline=202105304</v>
      </c>
    </row>
    <row r="5274" spans="1:21" x14ac:dyDescent="0.2">
      <c r="A5274" s="3">
        <v>5273</v>
      </c>
      <c r="B5274" s="1" t="s">
        <v>4226</v>
      </c>
      <c r="D5274" s="1" t="s">
        <v>5412</v>
      </c>
      <c r="F5274" s="1" t="s">
        <v>5413</v>
      </c>
      <c r="H5274" s="1" t="s">
        <v>5414</v>
      </c>
      <c r="J5274" s="1" t="s">
        <v>5415</v>
      </c>
      <c r="L5274" s="1" t="s">
        <v>1783</v>
      </c>
      <c r="N5274" s="1" t="s">
        <v>730</v>
      </c>
      <c r="P5274" s="1" t="s">
        <v>2446</v>
      </c>
      <c r="Q5274" s="30" t="s">
        <v>2569</v>
      </c>
      <c r="R5274" s="33" t="s">
        <v>3474</v>
      </c>
      <c r="S5274">
        <v>35</v>
      </c>
      <c r="T5274" s="1" t="s">
        <v>5416</v>
      </c>
      <c r="U5274" s="1" t="str">
        <f>HYPERLINK("http://ictvonline.org/taxonomy/p/taxonomy-history?taxnode_id=202105306","ICTVonline=202105306")</f>
        <v>ICTVonline=202105306</v>
      </c>
    </row>
    <row r="5275" spans="1:21" x14ac:dyDescent="0.2">
      <c r="A5275" s="3">
        <v>5274</v>
      </c>
      <c r="B5275" s="1" t="s">
        <v>4226</v>
      </c>
      <c r="D5275" s="1" t="s">
        <v>5412</v>
      </c>
      <c r="F5275" s="1" t="s">
        <v>5413</v>
      </c>
      <c r="H5275" s="1" t="s">
        <v>5414</v>
      </c>
      <c r="J5275" s="1" t="s">
        <v>5415</v>
      </c>
      <c r="L5275" s="1" t="s">
        <v>1783</v>
      </c>
      <c r="N5275" s="1" t="s">
        <v>730</v>
      </c>
      <c r="P5275" s="1" t="s">
        <v>2447</v>
      </c>
      <c r="Q5275" s="30" t="s">
        <v>2569</v>
      </c>
      <c r="R5275" s="33" t="s">
        <v>3474</v>
      </c>
      <c r="S5275">
        <v>35</v>
      </c>
      <c r="T5275" s="1" t="s">
        <v>5416</v>
      </c>
      <c r="U5275" s="1" t="str">
        <f>HYPERLINK("http://ictvonline.org/taxonomy/p/taxonomy-history?taxnode_id=202105307","ICTVonline=202105307")</f>
        <v>ICTVonline=202105307</v>
      </c>
    </row>
    <row r="5276" spans="1:21" x14ac:dyDescent="0.2">
      <c r="A5276" s="3">
        <v>5275</v>
      </c>
      <c r="B5276" s="1" t="s">
        <v>4226</v>
      </c>
      <c r="D5276" s="1" t="s">
        <v>5412</v>
      </c>
      <c r="F5276" s="1" t="s">
        <v>5413</v>
      </c>
      <c r="H5276" s="1" t="s">
        <v>5414</v>
      </c>
      <c r="J5276" s="1" t="s">
        <v>5415</v>
      </c>
      <c r="L5276" s="1" t="s">
        <v>1783</v>
      </c>
      <c r="N5276" s="1" t="s">
        <v>730</v>
      </c>
      <c r="P5276" s="1" t="s">
        <v>1139</v>
      </c>
      <c r="Q5276" s="30" t="s">
        <v>2569</v>
      </c>
      <c r="R5276" s="33" t="s">
        <v>3474</v>
      </c>
      <c r="S5276">
        <v>35</v>
      </c>
      <c r="T5276" s="1" t="s">
        <v>5416</v>
      </c>
      <c r="U5276" s="1" t="str">
        <f>HYPERLINK("http://ictvonline.org/taxonomy/p/taxonomy-history?taxnode_id=202105308","ICTVonline=202105308")</f>
        <v>ICTVonline=202105308</v>
      </c>
    </row>
    <row r="5277" spans="1:21" x14ac:dyDescent="0.2">
      <c r="A5277" s="3">
        <v>5276</v>
      </c>
      <c r="B5277" s="1" t="s">
        <v>4226</v>
      </c>
      <c r="D5277" s="1" t="s">
        <v>5412</v>
      </c>
      <c r="F5277" s="1" t="s">
        <v>5413</v>
      </c>
      <c r="H5277" s="1" t="s">
        <v>5414</v>
      </c>
      <c r="J5277" s="1" t="s">
        <v>5415</v>
      </c>
      <c r="L5277" s="1" t="s">
        <v>1783</v>
      </c>
      <c r="N5277" s="1" t="s">
        <v>730</v>
      </c>
      <c r="P5277" s="1" t="s">
        <v>1140</v>
      </c>
      <c r="Q5277" s="30" t="s">
        <v>2569</v>
      </c>
      <c r="R5277" s="33" t="s">
        <v>3474</v>
      </c>
      <c r="S5277">
        <v>35</v>
      </c>
      <c r="T5277" s="1" t="s">
        <v>5416</v>
      </c>
      <c r="U5277" s="1" t="str">
        <f>HYPERLINK("http://ictvonline.org/taxonomy/p/taxonomy-history?taxnode_id=202105309","ICTVonline=202105309")</f>
        <v>ICTVonline=202105309</v>
      </c>
    </row>
    <row r="5278" spans="1:21" x14ac:dyDescent="0.2">
      <c r="A5278" s="3">
        <v>5277</v>
      </c>
      <c r="B5278" s="1" t="s">
        <v>4226</v>
      </c>
      <c r="D5278" s="1" t="s">
        <v>5412</v>
      </c>
      <c r="F5278" s="1" t="s">
        <v>5413</v>
      </c>
      <c r="H5278" s="1" t="s">
        <v>5414</v>
      </c>
      <c r="J5278" s="1" t="s">
        <v>5415</v>
      </c>
      <c r="L5278" s="1" t="s">
        <v>1783</v>
      </c>
      <c r="N5278" s="1" t="s">
        <v>730</v>
      </c>
      <c r="P5278" s="1" t="s">
        <v>1141</v>
      </c>
      <c r="Q5278" s="30" t="s">
        <v>2569</v>
      </c>
      <c r="R5278" s="33" t="s">
        <v>3474</v>
      </c>
      <c r="S5278">
        <v>35</v>
      </c>
      <c r="T5278" s="1" t="s">
        <v>5416</v>
      </c>
      <c r="U5278" s="1" t="str">
        <f>HYPERLINK("http://ictvonline.org/taxonomy/p/taxonomy-history?taxnode_id=202105310","ICTVonline=202105310")</f>
        <v>ICTVonline=202105310</v>
      </c>
    </row>
    <row r="5279" spans="1:21" x14ac:dyDescent="0.2">
      <c r="A5279" s="3">
        <v>5278</v>
      </c>
      <c r="B5279" s="1" t="s">
        <v>4226</v>
      </c>
      <c r="D5279" s="1" t="s">
        <v>5412</v>
      </c>
      <c r="F5279" s="1" t="s">
        <v>5413</v>
      </c>
      <c r="H5279" s="1" t="s">
        <v>5414</v>
      </c>
      <c r="J5279" s="1" t="s">
        <v>5415</v>
      </c>
      <c r="L5279" s="1" t="s">
        <v>1783</v>
      </c>
      <c r="N5279" s="1" t="s">
        <v>730</v>
      </c>
      <c r="P5279" s="1" t="s">
        <v>1142</v>
      </c>
      <c r="Q5279" s="30" t="s">
        <v>2569</v>
      </c>
      <c r="R5279" s="33" t="s">
        <v>3474</v>
      </c>
      <c r="S5279">
        <v>35</v>
      </c>
      <c r="T5279" s="1" t="s">
        <v>5416</v>
      </c>
      <c r="U5279" s="1" t="str">
        <f>HYPERLINK("http://ictvonline.org/taxonomy/p/taxonomy-history?taxnode_id=202105311","ICTVonline=202105311")</f>
        <v>ICTVonline=202105311</v>
      </c>
    </row>
    <row r="5280" spans="1:21" x14ac:dyDescent="0.2">
      <c r="A5280" s="3">
        <v>5279</v>
      </c>
      <c r="B5280" s="1" t="s">
        <v>4226</v>
      </c>
      <c r="D5280" s="1" t="s">
        <v>5412</v>
      </c>
      <c r="F5280" s="1" t="s">
        <v>5413</v>
      </c>
      <c r="H5280" s="1" t="s">
        <v>5414</v>
      </c>
      <c r="J5280" s="1" t="s">
        <v>5415</v>
      </c>
      <c r="L5280" s="1" t="s">
        <v>1783</v>
      </c>
      <c r="N5280" s="1" t="s">
        <v>730</v>
      </c>
      <c r="P5280" s="1" t="s">
        <v>734</v>
      </c>
      <c r="Q5280" s="30" t="s">
        <v>2569</v>
      </c>
      <c r="R5280" s="33" t="s">
        <v>3474</v>
      </c>
      <c r="S5280">
        <v>35</v>
      </c>
      <c r="T5280" s="1" t="s">
        <v>5416</v>
      </c>
      <c r="U5280" s="1" t="str">
        <f>HYPERLINK("http://ictvonline.org/taxonomy/p/taxonomy-history?taxnode_id=202105312","ICTVonline=202105312")</f>
        <v>ICTVonline=202105312</v>
      </c>
    </row>
    <row r="5281" spans="1:21" x14ac:dyDescent="0.2">
      <c r="A5281" s="3">
        <v>5280</v>
      </c>
      <c r="B5281" s="1" t="s">
        <v>4226</v>
      </c>
      <c r="D5281" s="1" t="s">
        <v>5412</v>
      </c>
      <c r="F5281" s="1" t="s">
        <v>5413</v>
      </c>
      <c r="H5281" s="1" t="s">
        <v>5414</v>
      </c>
      <c r="J5281" s="1" t="s">
        <v>5415</v>
      </c>
      <c r="L5281" s="1" t="s">
        <v>1783</v>
      </c>
      <c r="N5281" s="1" t="s">
        <v>730</v>
      </c>
      <c r="P5281" s="1" t="s">
        <v>1407</v>
      </c>
      <c r="Q5281" s="30" t="s">
        <v>2569</v>
      </c>
      <c r="R5281" s="33" t="s">
        <v>8665</v>
      </c>
      <c r="S5281">
        <v>36</v>
      </c>
      <c r="T5281" s="1" t="s">
        <v>8661</v>
      </c>
      <c r="U5281" s="1" t="str">
        <f>HYPERLINK("http://ictvonline.org/taxonomy/p/taxonomy-history?taxnode_id=202105313","ICTVonline=202105313")</f>
        <v>ICTVonline=202105313</v>
      </c>
    </row>
    <row r="5282" spans="1:21" x14ac:dyDescent="0.2">
      <c r="A5282" s="3">
        <v>5281</v>
      </c>
      <c r="B5282" s="1" t="s">
        <v>4226</v>
      </c>
      <c r="D5282" s="1" t="s">
        <v>5412</v>
      </c>
      <c r="F5282" s="1" t="s">
        <v>5413</v>
      </c>
      <c r="H5282" s="1" t="s">
        <v>5414</v>
      </c>
      <c r="J5282" s="1" t="s">
        <v>5415</v>
      </c>
      <c r="L5282" s="1" t="s">
        <v>1783</v>
      </c>
      <c r="N5282" s="1" t="s">
        <v>730</v>
      </c>
      <c r="P5282" s="1" t="s">
        <v>735</v>
      </c>
      <c r="Q5282" s="30" t="s">
        <v>2569</v>
      </c>
      <c r="R5282" s="33" t="s">
        <v>3474</v>
      </c>
      <c r="S5282">
        <v>35</v>
      </c>
      <c r="T5282" s="1" t="s">
        <v>5416</v>
      </c>
      <c r="U5282" s="1" t="str">
        <f>HYPERLINK("http://ictvonline.org/taxonomy/p/taxonomy-history?taxnode_id=202105314","ICTVonline=202105314")</f>
        <v>ICTVonline=202105314</v>
      </c>
    </row>
    <row r="5283" spans="1:21" x14ac:dyDescent="0.2">
      <c r="A5283" s="3">
        <v>5282</v>
      </c>
      <c r="B5283" s="1" t="s">
        <v>4226</v>
      </c>
      <c r="D5283" s="1" t="s">
        <v>5412</v>
      </c>
      <c r="F5283" s="1" t="s">
        <v>5413</v>
      </c>
      <c r="H5283" s="1" t="s">
        <v>5414</v>
      </c>
      <c r="J5283" s="1" t="s">
        <v>5415</v>
      </c>
      <c r="L5283" s="1" t="s">
        <v>1783</v>
      </c>
      <c r="N5283" s="1" t="s">
        <v>730</v>
      </c>
      <c r="P5283" s="1" t="s">
        <v>2448</v>
      </c>
      <c r="Q5283" s="30" t="s">
        <v>2569</v>
      </c>
      <c r="R5283" s="33" t="s">
        <v>3474</v>
      </c>
      <c r="S5283">
        <v>35</v>
      </c>
      <c r="T5283" s="1" t="s">
        <v>5416</v>
      </c>
      <c r="U5283" s="1" t="str">
        <f>HYPERLINK("http://ictvonline.org/taxonomy/p/taxonomy-history?taxnode_id=202105315","ICTVonline=202105315")</f>
        <v>ICTVonline=202105315</v>
      </c>
    </row>
    <row r="5284" spans="1:21" x14ac:dyDescent="0.2">
      <c r="A5284" s="3">
        <v>5283</v>
      </c>
      <c r="B5284" s="1" t="s">
        <v>4226</v>
      </c>
      <c r="D5284" s="1" t="s">
        <v>5412</v>
      </c>
      <c r="F5284" s="1" t="s">
        <v>5413</v>
      </c>
      <c r="H5284" s="1" t="s">
        <v>5414</v>
      </c>
      <c r="J5284" s="1" t="s">
        <v>5415</v>
      </c>
      <c r="L5284" s="1" t="s">
        <v>1783</v>
      </c>
      <c r="N5284" s="1" t="s">
        <v>730</v>
      </c>
      <c r="P5284" s="1" t="s">
        <v>2449</v>
      </c>
      <c r="Q5284" s="30" t="s">
        <v>2569</v>
      </c>
      <c r="R5284" s="33" t="s">
        <v>3474</v>
      </c>
      <c r="S5284">
        <v>35</v>
      </c>
      <c r="T5284" s="1" t="s">
        <v>5416</v>
      </c>
      <c r="U5284" s="1" t="str">
        <f>HYPERLINK("http://ictvonline.org/taxonomy/p/taxonomy-history?taxnode_id=202105316","ICTVonline=202105316")</f>
        <v>ICTVonline=202105316</v>
      </c>
    </row>
    <row r="5285" spans="1:21" x14ac:dyDescent="0.2">
      <c r="A5285" s="3">
        <v>5284</v>
      </c>
      <c r="B5285" s="1" t="s">
        <v>4226</v>
      </c>
      <c r="D5285" s="1" t="s">
        <v>5412</v>
      </c>
      <c r="F5285" s="1" t="s">
        <v>5413</v>
      </c>
      <c r="H5285" s="1" t="s">
        <v>5414</v>
      </c>
      <c r="J5285" s="1" t="s">
        <v>5415</v>
      </c>
      <c r="L5285" s="1" t="s">
        <v>1783</v>
      </c>
      <c r="N5285" s="1" t="s">
        <v>730</v>
      </c>
      <c r="P5285" s="1" t="s">
        <v>736</v>
      </c>
      <c r="Q5285" s="30" t="s">
        <v>2569</v>
      </c>
      <c r="R5285" s="33" t="s">
        <v>3474</v>
      </c>
      <c r="S5285">
        <v>35</v>
      </c>
      <c r="T5285" s="1" t="s">
        <v>5416</v>
      </c>
      <c r="U5285" s="1" t="str">
        <f>HYPERLINK("http://ictvonline.org/taxonomy/p/taxonomy-history?taxnode_id=202105317","ICTVonline=202105317")</f>
        <v>ICTVonline=202105317</v>
      </c>
    </row>
    <row r="5286" spans="1:21" x14ac:dyDescent="0.2">
      <c r="A5286" s="3">
        <v>5285</v>
      </c>
      <c r="B5286" s="1" t="s">
        <v>4226</v>
      </c>
      <c r="D5286" s="1" t="s">
        <v>5412</v>
      </c>
      <c r="F5286" s="1" t="s">
        <v>5413</v>
      </c>
      <c r="H5286" s="1" t="s">
        <v>5414</v>
      </c>
      <c r="J5286" s="1" t="s">
        <v>5415</v>
      </c>
      <c r="L5286" s="1" t="s">
        <v>1783</v>
      </c>
      <c r="N5286" s="1" t="s">
        <v>730</v>
      </c>
      <c r="P5286" s="1" t="s">
        <v>737</v>
      </c>
      <c r="Q5286" s="30" t="s">
        <v>2569</v>
      </c>
      <c r="R5286" s="33" t="s">
        <v>3474</v>
      </c>
      <c r="S5286">
        <v>35</v>
      </c>
      <c r="T5286" s="1" t="s">
        <v>5416</v>
      </c>
      <c r="U5286" s="1" t="str">
        <f>HYPERLINK("http://ictvonline.org/taxonomy/p/taxonomy-history?taxnode_id=202105318","ICTVonline=202105318")</f>
        <v>ICTVonline=202105318</v>
      </c>
    </row>
    <row r="5287" spans="1:21" x14ac:dyDescent="0.2">
      <c r="A5287" s="3">
        <v>5286</v>
      </c>
      <c r="B5287" s="1" t="s">
        <v>4226</v>
      </c>
      <c r="D5287" s="1" t="s">
        <v>5412</v>
      </c>
      <c r="F5287" s="1" t="s">
        <v>5413</v>
      </c>
      <c r="H5287" s="1" t="s">
        <v>5414</v>
      </c>
      <c r="J5287" s="1" t="s">
        <v>5415</v>
      </c>
      <c r="L5287" s="1" t="s">
        <v>1783</v>
      </c>
      <c r="N5287" s="1" t="s">
        <v>730</v>
      </c>
      <c r="P5287" s="1" t="s">
        <v>2450</v>
      </c>
      <c r="Q5287" s="30" t="s">
        <v>2569</v>
      </c>
      <c r="R5287" s="33" t="s">
        <v>3474</v>
      </c>
      <c r="S5287">
        <v>35</v>
      </c>
      <c r="T5287" s="1" t="s">
        <v>5416</v>
      </c>
      <c r="U5287" s="1" t="str">
        <f>HYPERLINK("http://ictvonline.org/taxonomy/p/taxonomy-history?taxnode_id=202105319","ICTVonline=202105319")</f>
        <v>ICTVonline=202105319</v>
      </c>
    </row>
    <row r="5288" spans="1:21" x14ac:dyDescent="0.2">
      <c r="A5288" s="3">
        <v>5287</v>
      </c>
      <c r="B5288" s="1" t="s">
        <v>4226</v>
      </c>
      <c r="D5288" s="1" t="s">
        <v>5412</v>
      </c>
      <c r="F5288" s="1" t="s">
        <v>5413</v>
      </c>
      <c r="H5288" s="1" t="s">
        <v>5417</v>
      </c>
      <c r="J5288" s="1" t="s">
        <v>5418</v>
      </c>
      <c r="L5288" s="1" t="s">
        <v>12793</v>
      </c>
      <c r="N5288" s="1" t="s">
        <v>695</v>
      </c>
      <c r="P5288" s="1" t="s">
        <v>696</v>
      </c>
      <c r="Q5288" s="30" t="s">
        <v>2569</v>
      </c>
      <c r="R5288" s="33" t="s">
        <v>3474</v>
      </c>
      <c r="S5288">
        <v>37</v>
      </c>
      <c r="T5288" s="1" t="s">
        <v>13993</v>
      </c>
      <c r="U5288" s="1" t="str">
        <f>HYPERLINK("http://ictvonline.org/taxonomy/p/taxonomy-history?taxnode_id=202104874","ICTVonline=202104874")</f>
        <v>ICTVonline=202104874</v>
      </c>
    </row>
    <row r="5289" spans="1:21" x14ac:dyDescent="0.2">
      <c r="A5289" s="3">
        <v>5288</v>
      </c>
      <c r="B5289" s="1" t="s">
        <v>4226</v>
      </c>
      <c r="D5289" s="1" t="s">
        <v>5412</v>
      </c>
      <c r="F5289" s="1" t="s">
        <v>5413</v>
      </c>
      <c r="H5289" s="1" t="s">
        <v>5417</v>
      </c>
      <c r="J5289" s="1" t="s">
        <v>5418</v>
      </c>
      <c r="L5289" s="1" t="s">
        <v>12793</v>
      </c>
      <c r="N5289" s="1" t="s">
        <v>1790</v>
      </c>
      <c r="P5289" s="1" t="s">
        <v>1791</v>
      </c>
      <c r="Q5289" s="30" t="s">
        <v>2569</v>
      </c>
      <c r="R5289" s="33" t="s">
        <v>3474</v>
      </c>
      <c r="S5289">
        <v>37</v>
      </c>
      <c r="T5289" s="1" t="s">
        <v>13993</v>
      </c>
      <c r="U5289" s="1" t="str">
        <f>HYPERLINK("http://ictvonline.org/taxonomy/p/taxonomy-history?taxnode_id=202104876","ICTVonline=202104876")</f>
        <v>ICTVonline=202104876</v>
      </c>
    </row>
    <row r="5290" spans="1:21" x14ac:dyDescent="0.2">
      <c r="A5290" s="3">
        <v>5289</v>
      </c>
      <c r="B5290" s="1" t="s">
        <v>4226</v>
      </c>
      <c r="D5290" s="1" t="s">
        <v>5412</v>
      </c>
      <c r="F5290" s="1" t="s">
        <v>5413</v>
      </c>
      <c r="H5290" s="1" t="s">
        <v>5417</v>
      </c>
      <c r="J5290" s="1" t="s">
        <v>5418</v>
      </c>
      <c r="L5290" s="1" t="s">
        <v>12793</v>
      </c>
      <c r="N5290" s="1" t="s">
        <v>1796</v>
      </c>
      <c r="P5290" s="1" t="s">
        <v>1268</v>
      </c>
      <c r="Q5290" s="30" t="s">
        <v>2569</v>
      </c>
      <c r="R5290" s="33" t="s">
        <v>3474</v>
      </c>
      <c r="S5290">
        <v>37</v>
      </c>
      <c r="T5290" s="1" t="s">
        <v>13993</v>
      </c>
      <c r="U5290" s="1" t="str">
        <f>HYPERLINK("http://ictvonline.org/taxonomy/p/taxonomy-history?taxnode_id=202104878","ICTVonline=202104878")</f>
        <v>ICTVonline=202104878</v>
      </c>
    </row>
    <row r="5291" spans="1:21" x14ac:dyDescent="0.2">
      <c r="A5291" s="3">
        <v>5290</v>
      </c>
      <c r="B5291" s="1" t="s">
        <v>4226</v>
      </c>
      <c r="D5291" s="1" t="s">
        <v>5412</v>
      </c>
      <c r="F5291" s="1" t="s">
        <v>5413</v>
      </c>
      <c r="H5291" s="1" t="s">
        <v>5417</v>
      </c>
      <c r="J5291" s="1" t="s">
        <v>5418</v>
      </c>
      <c r="L5291" s="1" t="s">
        <v>12793</v>
      </c>
      <c r="N5291" s="1" t="s">
        <v>1796</v>
      </c>
      <c r="P5291" s="1" t="s">
        <v>1269</v>
      </c>
      <c r="Q5291" s="30" t="s">
        <v>2569</v>
      </c>
      <c r="R5291" s="33" t="s">
        <v>3474</v>
      </c>
      <c r="S5291">
        <v>37</v>
      </c>
      <c r="T5291" s="1" t="s">
        <v>13993</v>
      </c>
      <c r="U5291" s="1" t="str">
        <f>HYPERLINK("http://ictvonline.org/taxonomy/p/taxonomy-history?taxnode_id=202104879","ICTVonline=202104879")</f>
        <v>ICTVonline=202104879</v>
      </c>
    </row>
    <row r="5292" spans="1:21" x14ac:dyDescent="0.2">
      <c r="A5292" s="3">
        <v>5291</v>
      </c>
      <c r="B5292" s="1" t="s">
        <v>4226</v>
      </c>
      <c r="D5292" s="1" t="s">
        <v>5412</v>
      </c>
      <c r="F5292" s="1" t="s">
        <v>5413</v>
      </c>
      <c r="H5292" s="1" t="s">
        <v>5417</v>
      </c>
      <c r="J5292" s="1" t="s">
        <v>5418</v>
      </c>
      <c r="L5292" s="1" t="s">
        <v>12793</v>
      </c>
      <c r="N5292" s="1" t="s">
        <v>1796</v>
      </c>
      <c r="P5292" s="1" t="s">
        <v>1270</v>
      </c>
      <c r="Q5292" s="30" t="s">
        <v>2569</v>
      </c>
      <c r="R5292" s="33" t="s">
        <v>3474</v>
      </c>
      <c r="S5292">
        <v>37</v>
      </c>
      <c r="T5292" s="1" t="s">
        <v>13993</v>
      </c>
      <c r="U5292" s="1" t="str">
        <f>HYPERLINK("http://ictvonline.org/taxonomy/p/taxonomy-history?taxnode_id=202104880","ICTVonline=202104880")</f>
        <v>ICTVonline=202104880</v>
      </c>
    </row>
    <row r="5293" spans="1:21" x14ac:dyDescent="0.2">
      <c r="A5293" s="3">
        <v>5292</v>
      </c>
      <c r="B5293" s="1" t="s">
        <v>4226</v>
      </c>
      <c r="D5293" s="1" t="s">
        <v>5412</v>
      </c>
      <c r="F5293" s="1" t="s">
        <v>5413</v>
      </c>
      <c r="H5293" s="1" t="s">
        <v>5417</v>
      </c>
      <c r="J5293" s="1" t="s">
        <v>5418</v>
      </c>
      <c r="L5293" s="1" t="s">
        <v>12793</v>
      </c>
      <c r="N5293" s="1" t="s">
        <v>1796</v>
      </c>
      <c r="P5293" s="1" t="s">
        <v>1271</v>
      </c>
      <c r="Q5293" s="30" t="s">
        <v>2569</v>
      </c>
      <c r="R5293" s="33" t="s">
        <v>3474</v>
      </c>
      <c r="S5293">
        <v>37</v>
      </c>
      <c r="T5293" s="1" t="s">
        <v>13993</v>
      </c>
      <c r="U5293" s="1" t="str">
        <f>HYPERLINK("http://ictvonline.org/taxonomy/p/taxonomy-history?taxnode_id=202104881","ICTVonline=202104881")</f>
        <v>ICTVonline=202104881</v>
      </c>
    </row>
    <row r="5294" spans="1:21" x14ac:dyDescent="0.2">
      <c r="A5294" s="3">
        <v>5293</v>
      </c>
      <c r="B5294" s="1" t="s">
        <v>4226</v>
      </c>
      <c r="D5294" s="1" t="s">
        <v>5412</v>
      </c>
      <c r="F5294" s="1" t="s">
        <v>5413</v>
      </c>
      <c r="H5294" s="1" t="s">
        <v>5417</v>
      </c>
      <c r="J5294" s="1" t="s">
        <v>5418</v>
      </c>
      <c r="L5294" s="1" t="s">
        <v>12793</v>
      </c>
      <c r="N5294" s="1" t="s">
        <v>1796</v>
      </c>
      <c r="P5294" s="1" t="s">
        <v>1272</v>
      </c>
      <c r="Q5294" s="30" t="s">
        <v>2569</v>
      </c>
      <c r="R5294" s="33" t="s">
        <v>3474</v>
      </c>
      <c r="S5294">
        <v>37</v>
      </c>
      <c r="T5294" s="1" t="s">
        <v>13993</v>
      </c>
      <c r="U5294" s="1" t="str">
        <f>HYPERLINK("http://ictvonline.org/taxonomy/p/taxonomy-history?taxnode_id=202104882","ICTVonline=202104882")</f>
        <v>ICTVonline=202104882</v>
      </c>
    </row>
    <row r="5295" spans="1:21" x14ac:dyDescent="0.2">
      <c r="A5295" s="3">
        <v>5294</v>
      </c>
      <c r="B5295" s="1" t="s">
        <v>4226</v>
      </c>
      <c r="D5295" s="1" t="s">
        <v>5412</v>
      </c>
      <c r="F5295" s="1" t="s">
        <v>5413</v>
      </c>
      <c r="H5295" s="1" t="s">
        <v>5417</v>
      </c>
      <c r="J5295" s="1" t="s">
        <v>5418</v>
      </c>
      <c r="L5295" s="1" t="s">
        <v>12793</v>
      </c>
      <c r="N5295" s="1" t="s">
        <v>1796</v>
      </c>
      <c r="P5295" s="1" t="s">
        <v>1273</v>
      </c>
      <c r="Q5295" s="30" t="s">
        <v>2569</v>
      </c>
      <c r="R5295" s="33" t="s">
        <v>3474</v>
      </c>
      <c r="S5295">
        <v>37</v>
      </c>
      <c r="T5295" s="1" t="s">
        <v>13993</v>
      </c>
      <c r="U5295" s="1" t="str">
        <f>HYPERLINK("http://ictvonline.org/taxonomy/p/taxonomy-history?taxnode_id=202104883","ICTVonline=202104883")</f>
        <v>ICTVonline=202104883</v>
      </c>
    </row>
    <row r="5296" spans="1:21" x14ac:dyDescent="0.2">
      <c r="A5296" s="3">
        <v>5295</v>
      </c>
      <c r="B5296" s="1" t="s">
        <v>4226</v>
      </c>
      <c r="D5296" s="1" t="s">
        <v>5412</v>
      </c>
      <c r="F5296" s="1" t="s">
        <v>5413</v>
      </c>
      <c r="H5296" s="1" t="s">
        <v>5417</v>
      </c>
      <c r="J5296" s="1" t="s">
        <v>5418</v>
      </c>
      <c r="L5296" s="1" t="s">
        <v>12793</v>
      </c>
      <c r="N5296" s="1" t="s">
        <v>1796</v>
      </c>
      <c r="P5296" s="1" t="s">
        <v>1284</v>
      </c>
      <c r="Q5296" s="30" t="s">
        <v>2569</v>
      </c>
      <c r="R5296" s="33" t="s">
        <v>3474</v>
      </c>
      <c r="S5296">
        <v>37</v>
      </c>
      <c r="T5296" s="1" t="s">
        <v>13993</v>
      </c>
      <c r="U5296" s="1" t="str">
        <f>HYPERLINK("http://ictvonline.org/taxonomy/p/taxonomy-history?taxnode_id=202104884","ICTVonline=202104884")</f>
        <v>ICTVonline=202104884</v>
      </c>
    </row>
    <row r="5297" spans="1:21" x14ac:dyDescent="0.2">
      <c r="A5297" s="3">
        <v>5296</v>
      </c>
      <c r="B5297" s="1" t="s">
        <v>4226</v>
      </c>
      <c r="D5297" s="1" t="s">
        <v>5412</v>
      </c>
      <c r="F5297" s="1" t="s">
        <v>5413</v>
      </c>
      <c r="H5297" s="1" t="s">
        <v>5417</v>
      </c>
      <c r="J5297" s="1" t="s">
        <v>5418</v>
      </c>
      <c r="L5297" s="1" t="s">
        <v>12793</v>
      </c>
      <c r="N5297" s="1" t="s">
        <v>1796</v>
      </c>
      <c r="P5297" s="1" t="s">
        <v>1285</v>
      </c>
      <c r="Q5297" s="30" t="s">
        <v>2569</v>
      </c>
      <c r="R5297" s="33" t="s">
        <v>3474</v>
      </c>
      <c r="S5297">
        <v>37</v>
      </c>
      <c r="T5297" s="1" t="s">
        <v>13993</v>
      </c>
      <c r="U5297" s="1" t="str">
        <f>HYPERLINK("http://ictvonline.org/taxonomy/p/taxonomy-history?taxnode_id=202104885","ICTVonline=202104885")</f>
        <v>ICTVonline=202104885</v>
      </c>
    </row>
    <row r="5298" spans="1:21" x14ac:dyDescent="0.2">
      <c r="A5298" s="3">
        <v>5297</v>
      </c>
      <c r="B5298" s="1" t="s">
        <v>4226</v>
      </c>
      <c r="D5298" s="1" t="s">
        <v>5412</v>
      </c>
      <c r="F5298" s="1" t="s">
        <v>5413</v>
      </c>
      <c r="H5298" s="1" t="s">
        <v>5417</v>
      </c>
      <c r="J5298" s="1" t="s">
        <v>5418</v>
      </c>
      <c r="L5298" s="1" t="s">
        <v>12793</v>
      </c>
      <c r="N5298" s="1" t="s">
        <v>1796</v>
      </c>
      <c r="P5298" s="1" t="s">
        <v>1286</v>
      </c>
      <c r="Q5298" s="30" t="s">
        <v>2569</v>
      </c>
      <c r="R5298" s="33" t="s">
        <v>3474</v>
      </c>
      <c r="S5298">
        <v>37</v>
      </c>
      <c r="T5298" s="1" t="s">
        <v>13993</v>
      </c>
      <c r="U5298" s="1" t="str">
        <f>HYPERLINK("http://ictvonline.org/taxonomy/p/taxonomy-history?taxnode_id=202104886","ICTVonline=202104886")</f>
        <v>ICTVonline=202104886</v>
      </c>
    </row>
    <row r="5299" spans="1:21" x14ac:dyDescent="0.2">
      <c r="A5299" s="3">
        <v>5298</v>
      </c>
      <c r="B5299" s="1" t="s">
        <v>4226</v>
      </c>
      <c r="D5299" s="1" t="s">
        <v>5412</v>
      </c>
      <c r="F5299" s="1" t="s">
        <v>5413</v>
      </c>
      <c r="H5299" s="1" t="s">
        <v>5417</v>
      </c>
      <c r="J5299" s="1" t="s">
        <v>5418</v>
      </c>
      <c r="L5299" s="1" t="s">
        <v>12793</v>
      </c>
      <c r="N5299" s="1" t="s">
        <v>1796</v>
      </c>
      <c r="P5299" s="1" t="s">
        <v>1287</v>
      </c>
      <c r="Q5299" s="30" t="s">
        <v>2569</v>
      </c>
      <c r="R5299" s="33" t="s">
        <v>3474</v>
      </c>
      <c r="S5299">
        <v>37</v>
      </c>
      <c r="T5299" s="1" t="s">
        <v>13993</v>
      </c>
      <c r="U5299" s="1" t="str">
        <f>HYPERLINK("http://ictvonline.org/taxonomy/p/taxonomy-history?taxnode_id=202104887","ICTVonline=202104887")</f>
        <v>ICTVonline=202104887</v>
      </c>
    </row>
    <row r="5300" spans="1:21" x14ac:dyDescent="0.2">
      <c r="A5300" s="3">
        <v>5299</v>
      </c>
      <c r="B5300" s="1" t="s">
        <v>4226</v>
      </c>
      <c r="D5300" s="1" t="s">
        <v>5412</v>
      </c>
      <c r="F5300" s="1" t="s">
        <v>5413</v>
      </c>
      <c r="H5300" s="1" t="s">
        <v>5417</v>
      </c>
      <c r="J5300" s="1" t="s">
        <v>5418</v>
      </c>
      <c r="L5300" s="1" t="s">
        <v>12793</v>
      </c>
      <c r="N5300" s="1" t="s">
        <v>1796</v>
      </c>
      <c r="P5300" s="1" t="s">
        <v>1288</v>
      </c>
      <c r="Q5300" s="30" t="s">
        <v>2569</v>
      </c>
      <c r="R5300" s="33" t="s">
        <v>3474</v>
      </c>
      <c r="S5300">
        <v>37</v>
      </c>
      <c r="T5300" s="1" t="s">
        <v>13993</v>
      </c>
      <c r="U5300" s="1" t="str">
        <f>HYPERLINK("http://ictvonline.org/taxonomy/p/taxonomy-history?taxnode_id=202104888","ICTVonline=202104888")</f>
        <v>ICTVonline=202104888</v>
      </c>
    </row>
    <row r="5301" spans="1:21" x14ac:dyDescent="0.2">
      <c r="A5301" s="3">
        <v>5300</v>
      </c>
      <c r="B5301" s="1" t="s">
        <v>4226</v>
      </c>
      <c r="D5301" s="1" t="s">
        <v>5412</v>
      </c>
      <c r="F5301" s="1" t="s">
        <v>5413</v>
      </c>
      <c r="H5301" s="1" t="s">
        <v>5417</v>
      </c>
      <c r="J5301" s="1" t="s">
        <v>5418</v>
      </c>
      <c r="L5301" s="1" t="s">
        <v>12793</v>
      </c>
      <c r="N5301" s="1" t="s">
        <v>1796</v>
      </c>
      <c r="P5301" s="1" t="s">
        <v>1289</v>
      </c>
      <c r="Q5301" s="30" t="s">
        <v>2569</v>
      </c>
      <c r="R5301" s="33" t="s">
        <v>3474</v>
      </c>
      <c r="S5301">
        <v>37</v>
      </c>
      <c r="T5301" s="1" t="s">
        <v>13993</v>
      </c>
      <c r="U5301" s="1" t="str">
        <f>HYPERLINK("http://ictvonline.org/taxonomy/p/taxonomy-history?taxnode_id=202104889","ICTVonline=202104889")</f>
        <v>ICTVonline=202104889</v>
      </c>
    </row>
    <row r="5302" spans="1:21" x14ac:dyDescent="0.2">
      <c r="A5302" s="3">
        <v>5301</v>
      </c>
      <c r="B5302" s="1" t="s">
        <v>4226</v>
      </c>
      <c r="D5302" s="1" t="s">
        <v>5412</v>
      </c>
      <c r="F5302" s="1" t="s">
        <v>5413</v>
      </c>
      <c r="H5302" s="1" t="s">
        <v>5417</v>
      </c>
      <c r="J5302" s="1" t="s">
        <v>5418</v>
      </c>
      <c r="L5302" s="1" t="s">
        <v>12793</v>
      </c>
      <c r="N5302" s="1" t="s">
        <v>1796</v>
      </c>
      <c r="P5302" s="1" t="s">
        <v>1294</v>
      </c>
      <c r="Q5302" s="30" t="s">
        <v>2569</v>
      </c>
      <c r="R5302" s="33" t="s">
        <v>3474</v>
      </c>
      <c r="S5302">
        <v>37</v>
      </c>
      <c r="T5302" s="1" t="s">
        <v>13993</v>
      </c>
      <c r="U5302" s="1" t="str">
        <f>HYPERLINK("http://ictvonline.org/taxonomy/p/taxonomy-history?taxnode_id=202104890","ICTVonline=202104890")</f>
        <v>ICTVonline=202104890</v>
      </c>
    </row>
    <row r="5303" spans="1:21" x14ac:dyDescent="0.2">
      <c r="A5303" s="3">
        <v>5302</v>
      </c>
      <c r="B5303" s="1" t="s">
        <v>4226</v>
      </c>
      <c r="D5303" s="1" t="s">
        <v>5412</v>
      </c>
      <c r="F5303" s="1" t="s">
        <v>5413</v>
      </c>
      <c r="H5303" s="1" t="s">
        <v>5417</v>
      </c>
      <c r="J5303" s="1" t="s">
        <v>5418</v>
      </c>
      <c r="L5303" s="1" t="s">
        <v>12793</v>
      </c>
      <c r="N5303" s="1" t="s">
        <v>1796</v>
      </c>
      <c r="P5303" s="1" t="s">
        <v>1295</v>
      </c>
      <c r="Q5303" s="30" t="s">
        <v>2569</v>
      </c>
      <c r="R5303" s="33" t="s">
        <v>3474</v>
      </c>
      <c r="S5303">
        <v>37</v>
      </c>
      <c r="T5303" s="1" t="s">
        <v>13993</v>
      </c>
      <c r="U5303" s="1" t="str">
        <f>HYPERLINK("http://ictvonline.org/taxonomy/p/taxonomy-history?taxnode_id=202104891","ICTVonline=202104891")</f>
        <v>ICTVonline=202104891</v>
      </c>
    </row>
    <row r="5304" spans="1:21" x14ac:dyDescent="0.2">
      <c r="A5304" s="3">
        <v>5303</v>
      </c>
      <c r="B5304" s="1" t="s">
        <v>4226</v>
      </c>
      <c r="D5304" s="1" t="s">
        <v>5412</v>
      </c>
      <c r="F5304" s="1" t="s">
        <v>5413</v>
      </c>
      <c r="H5304" s="1" t="s">
        <v>5417</v>
      </c>
      <c r="J5304" s="1" t="s">
        <v>5418</v>
      </c>
      <c r="L5304" s="1" t="s">
        <v>12793</v>
      </c>
      <c r="N5304" s="1" t="s">
        <v>1796</v>
      </c>
      <c r="P5304" s="1" t="s">
        <v>1296</v>
      </c>
      <c r="Q5304" s="30" t="s">
        <v>2569</v>
      </c>
      <c r="R5304" s="33" t="s">
        <v>3474</v>
      </c>
      <c r="S5304">
        <v>37</v>
      </c>
      <c r="T5304" s="1" t="s">
        <v>13993</v>
      </c>
      <c r="U5304" s="1" t="str">
        <f>HYPERLINK("http://ictvonline.org/taxonomy/p/taxonomy-history?taxnode_id=202104892","ICTVonline=202104892")</f>
        <v>ICTVonline=202104892</v>
      </c>
    </row>
    <row r="5305" spans="1:21" x14ac:dyDescent="0.2">
      <c r="A5305" s="3">
        <v>5304</v>
      </c>
      <c r="B5305" s="1" t="s">
        <v>4226</v>
      </c>
      <c r="D5305" s="1" t="s">
        <v>5412</v>
      </c>
      <c r="F5305" s="1" t="s">
        <v>5413</v>
      </c>
      <c r="H5305" s="1" t="s">
        <v>5417</v>
      </c>
      <c r="J5305" s="1" t="s">
        <v>5418</v>
      </c>
      <c r="L5305" s="1" t="s">
        <v>12793</v>
      </c>
      <c r="N5305" s="1" t="s">
        <v>1796</v>
      </c>
      <c r="P5305" s="1" t="s">
        <v>1202</v>
      </c>
      <c r="Q5305" s="30" t="s">
        <v>2569</v>
      </c>
      <c r="R5305" s="33" t="s">
        <v>3474</v>
      </c>
      <c r="S5305">
        <v>37</v>
      </c>
      <c r="T5305" s="1" t="s">
        <v>13993</v>
      </c>
      <c r="U5305" s="1" t="str">
        <f>HYPERLINK("http://ictvonline.org/taxonomy/p/taxonomy-history?taxnode_id=202104893","ICTVonline=202104893")</f>
        <v>ICTVonline=202104893</v>
      </c>
    </row>
    <row r="5306" spans="1:21" x14ac:dyDescent="0.2">
      <c r="A5306" s="3">
        <v>5305</v>
      </c>
      <c r="B5306" s="1" t="s">
        <v>4226</v>
      </c>
      <c r="D5306" s="1" t="s">
        <v>5412</v>
      </c>
      <c r="F5306" s="1" t="s">
        <v>5413</v>
      </c>
      <c r="H5306" s="1" t="s">
        <v>5417</v>
      </c>
      <c r="J5306" s="1" t="s">
        <v>5418</v>
      </c>
      <c r="L5306" s="1" t="s">
        <v>12793</v>
      </c>
      <c r="N5306" s="1" t="s">
        <v>1796</v>
      </c>
      <c r="P5306" s="1" t="s">
        <v>1203</v>
      </c>
      <c r="Q5306" s="30" t="s">
        <v>2569</v>
      </c>
      <c r="R5306" s="33" t="s">
        <v>3474</v>
      </c>
      <c r="S5306">
        <v>37</v>
      </c>
      <c r="T5306" s="1" t="s">
        <v>13993</v>
      </c>
      <c r="U5306" s="1" t="str">
        <f>HYPERLINK("http://ictvonline.org/taxonomy/p/taxonomy-history?taxnode_id=202104894","ICTVonline=202104894")</f>
        <v>ICTVonline=202104894</v>
      </c>
    </row>
    <row r="5307" spans="1:21" x14ac:dyDescent="0.2">
      <c r="A5307" s="3">
        <v>5306</v>
      </c>
      <c r="B5307" s="1" t="s">
        <v>4226</v>
      </c>
      <c r="D5307" s="1" t="s">
        <v>5412</v>
      </c>
      <c r="F5307" s="1" t="s">
        <v>5413</v>
      </c>
      <c r="H5307" s="1" t="s">
        <v>5417</v>
      </c>
      <c r="J5307" s="1" t="s">
        <v>5418</v>
      </c>
      <c r="L5307" s="1" t="s">
        <v>12793</v>
      </c>
      <c r="N5307" s="1" t="s">
        <v>1796</v>
      </c>
      <c r="P5307" s="1" t="s">
        <v>1204</v>
      </c>
      <c r="Q5307" s="30" t="s">
        <v>2569</v>
      </c>
      <c r="R5307" s="33" t="s">
        <v>3474</v>
      </c>
      <c r="S5307">
        <v>37</v>
      </c>
      <c r="T5307" s="1" t="s">
        <v>13993</v>
      </c>
      <c r="U5307" s="1" t="str">
        <f>HYPERLINK("http://ictvonline.org/taxonomy/p/taxonomy-history?taxnode_id=202104895","ICTVonline=202104895")</f>
        <v>ICTVonline=202104895</v>
      </c>
    </row>
    <row r="5308" spans="1:21" x14ac:dyDescent="0.2">
      <c r="A5308" s="3">
        <v>5307</v>
      </c>
      <c r="B5308" s="1" t="s">
        <v>4226</v>
      </c>
      <c r="D5308" s="1" t="s">
        <v>5412</v>
      </c>
      <c r="F5308" s="1" t="s">
        <v>5413</v>
      </c>
      <c r="H5308" s="1" t="s">
        <v>5417</v>
      </c>
      <c r="J5308" s="1" t="s">
        <v>5418</v>
      </c>
      <c r="L5308" s="1" t="s">
        <v>12793</v>
      </c>
      <c r="N5308" s="1" t="s">
        <v>1796</v>
      </c>
      <c r="P5308" s="1" t="s">
        <v>1205</v>
      </c>
      <c r="Q5308" s="30" t="s">
        <v>2569</v>
      </c>
      <c r="R5308" s="33" t="s">
        <v>3474</v>
      </c>
      <c r="S5308">
        <v>37</v>
      </c>
      <c r="T5308" s="1" t="s">
        <v>13993</v>
      </c>
      <c r="U5308" s="1" t="str">
        <f>HYPERLINK("http://ictvonline.org/taxonomy/p/taxonomy-history?taxnode_id=202104896","ICTVonline=202104896")</f>
        <v>ICTVonline=202104896</v>
      </c>
    </row>
    <row r="5309" spans="1:21" x14ac:dyDescent="0.2">
      <c r="A5309" s="3">
        <v>5308</v>
      </c>
      <c r="B5309" s="1" t="s">
        <v>4226</v>
      </c>
      <c r="D5309" s="1" t="s">
        <v>5412</v>
      </c>
      <c r="F5309" s="1" t="s">
        <v>5413</v>
      </c>
      <c r="H5309" s="1" t="s">
        <v>5417</v>
      </c>
      <c r="J5309" s="1" t="s">
        <v>5418</v>
      </c>
      <c r="L5309" s="1" t="s">
        <v>12793</v>
      </c>
      <c r="N5309" s="1" t="s">
        <v>1796</v>
      </c>
      <c r="P5309" s="1" t="s">
        <v>1206</v>
      </c>
      <c r="Q5309" s="30" t="s">
        <v>2569</v>
      </c>
      <c r="R5309" s="33" t="s">
        <v>3474</v>
      </c>
      <c r="S5309">
        <v>37</v>
      </c>
      <c r="T5309" s="1" t="s">
        <v>13993</v>
      </c>
      <c r="U5309" s="1" t="str">
        <f>HYPERLINK("http://ictvonline.org/taxonomy/p/taxonomy-history?taxnode_id=202104897","ICTVonline=202104897")</f>
        <v>ICTVonline=202104897</v>
      </c>
    </row>
    <row r="5310" spans="1:21" x14ac:dyDescent="0.2">
      <c r="A5310" s="3">
        <v>5309</v>
      </c>
      <c r="B5310" s="1" t="s">
        <v>4226</v>
      </c>
      <c r="D5310" s="1" t="s">
        <v>5412</v>
      </c>
      <c r="F5310" s="1" t="s">
        <v>5413</v>
      </c>
      <c r="H5310" s="1" t="s">
        <v>5417</v>
      </c>
      <c r="J5310" s="1" t="s">
        <v>5418</v>
      </c>
      <c r="L5310" s="1" t="s">
        <v>12793</v>
      </c>
      <c r="N5310" s="1" t="s">
        <v>1796</v>
      </c>
      <c r="P5310" s="1" t="s">
        <v>1207</v>
      </c>
      <c r="Q5310" s="30" t="s">
        <v>2569</v>
      </c>
      <c r="R5310" s="33" t="s">
        <v>3474</v>
      </c>
      <c r="S5310">
        <v>37</v>
      </c>
      <c r="T5310" s="1" t="s">
        <v>13993</v>
      </c>
      <c r="U5310" s="1" t="str">
        <f>HYPERLINK("http://ictvonline.org/taxonomy/p/taxonomy-history?taxnode_id=202104898","ICTVonline=202104898")</f>
        <v>ICTVonline=202104898</v>
      </c>
    </row>
    <row r="5311" spans="1:21" x14ac:dyDescent="0.2">
      <c r="A5311" s="3">
        <v>5310</v>
      </c>
      <c r="B5311" s="1" t="s">
        <v>4226</v>
      </c>
      <c r="D5311" s="1" t="s">
        <v>5412</v>
      </c>
      <c r="F5311" s="1" t="s">
        <v>5413</v>
      </c>
      <c r="H5311" s="1" t="s">
        <v>5417</v>
      </c>
      <c r="J5311" s="1" t="s">
        <v>5418</v>
      </c>
      <c r="L5311" s="1" t="s">
        <v>12793</v>
      </c>
      <c r="N5311" s="1" t="s">
        <v>1796</v>
      </c>
      <c r="P5311" s="1" t="s">
        <v>1208</v>
      </c>
      <c r="Q5311" s="30" t="s">
        <v>2569</v>
      </c>
      <c r="R5311" s="33" t="s">
        <v>3474</v>
      </c>
      <c r="S5311">
        <v>37</v>
      </c>
      <c r="T5311" s="1" t="s">
        <v>13993</v>
      </c>
      <c r="U5311" s="1" t="str">
        <f>HYPERLINK("http://ictvonline.org/taxonomy/p/taxonomy-history?taxnode_id=202104899","ICTVonline=202104899")</f>
        <v>ICTVonline=202104899</v>
      </c>
    </row>
    <row r="5312" spans="1:21" x14ac:dyDescent="0.2">
      <c r="A5312" s="3">
        <v>5311</v>
      </c>
      <c r="B5312" s="1" t="s">
        <v>4226</v>
      </c>
      <c r="D5312" s="1" t="s">
        <v>5412</v>
      </c>
      <c r="F5312" s="1" t="s">
        <v>5413</v>
      </c>
      <c r="H5312" s="1" t="s">
        <v>5417</v>
      </c>
      <c r="J5312" s="1" t="s">
        <v>5418</v>
      </c>
      <c r="L5312" s="1" t="s">
        <v>12793</v>
      </c>
      <c r="N5312" s="1" t="s">
        <v>235</v>
      </c>
      <c r="P5312" s="1" t="s">
        <v>330</v>
      </c>
      <c r="Q5312" s="30" t="s">
        <v>2569</v>
      </c>
      <c r="R5312" s="33" t="s">
        <v>3474</v>
      </c>
      <c r="S5312">
        <v>37</v>
      </c>
      <c r="T5312" s="1" t="s">
        <v>13993</v>
      </c>
      <c r="U5312" s="1" t="str">
        <f>HYPERLINK("http://ictvonline.org/taxonomy/p/taxonomy-history?taxnode_id=202104901","ICTVonline=202104901")</f>
        <v>ICTVonline=202104901</v>
      </c>
    </row>
    <row r="5313" spans="1:21" x14ac:dyDescent="0.2">
      <c r="A5313" s="3">
        <v>5312</v>
      </c>
      <c r="B5313" s="1" t="s">
        <v>4226</v>
      </c>
      <c r="D5313" s="1" t="s">
        <v>5412</v>
      </c>
      <c r="F5313" s="1" t="s">
        <v>5413</v>
      </c>
      <c r="H5313" s="1" t="s">
        <v>5417</v>
      </c>
      <c r="J5313" s="1" t="s">
        <v>5418</v>
      </c>
      <c r="L5313" s="1" t="s">
        <v>12793</v>
      </c>
      <c r="N5313" s="1" t="s">
        <v>235</v>
      </c>
      <c r="P5313" s="1" t="s">
        <v>331</v>
      </c>
      <c r="Q5313" s="30" t="s">
        <v>2569</v>
      </c>
      <c r="R5313" s="33" t="s">
        <v>3474</v>
      </c>
      <c r="S5313">
        <v>37</v>
      </c>
      <c r="T5313" s="1" t="s">
        <v>13993</v>
      </c>
      <c r="U5313" s="1" t="str">
        <f>HYPERLINK("http://ictvonline.org/taxonomy/p/taxonomy-history?taxnode_id=202104902","ICTVonline=202104902")</f>
        <v>ICTVonline=202104902</v>
      </c>
    </row>
    <row r="5314" spans="1:21" x14ac:dyDescent="0.2">
      <c r="A5314" s="3">
        <v>5313</v>
      </c>
      <c r="B5314" s="1" t="s">
        <v>4226</v>
      </c>
      <c r="D5314" s="1" t="s">
        <v>5412</v>
      </c>
      <c r="F5314" s="1" t="s">
        <v>5413</v>
      </c>
      <c r="H5314" s="1" t="s">
        <v>5417</v>
      </c>
      <c r="J5314" s="1" t="s">
        <v>5418</v>
      </c>
      <c r="L5314" s="1" t="s">
        <v>12793</v>
      </c>
      <c r="N5314" s="1" t="s">
        <v>235</v>
      </c>
      <c r="P5314" s="1" t="s">
        <v>332</v>
      </c>
      <c r="Q5314" s="30" t="s">
        <v>2569</v>
      </c>
      <c r="R5314" s="33" t="s">
        <v>3474</v>
      </c>
      <c r="S5314">
        <v>37</v>
      </c>
      <c r="T5314" s="1" t="s">
        <v>13993</v>
      </c>
      <c r="U5314" s="1" t="str">
        <f>HYPERLINK("http://ictvonline.org/taxonomy/p/taxonomy-history?taxnode_id=202104903","ICTVonline=202104903")</f>
        <v>ICTVonline=202104903</v>
      </c>
    </row>
    <row r="5315" spans="1:21" x14ac:dyDescent="0.2">
      <c r="A5315" s="3">
        <v>5314</v>
      </c>
      <c r="B5315" s="1" t="s">
        <v>4226</v>
      </c>
      <c r="D5315" s="1" t="s">
        <v>5412</v>
      </c>
      <c r="F5315" s="1" t="s">
        <v>5413</v>
      </c>
      <c r="H5315" s="1" t="s">
        <v>5417</v>
      </c>
      <c r="J5315" s="1" t="s">
        <v>5418</v>
      </c>
      <c r="L5315" s="1" t="s">
        <v>12793</v>
      </c>
      <c r="N5315" s="1" t="s">
        <v>223</v>
      </c>
      <c r="P5315" s="1" t="s">
        <v>334</v>
      </c>
      <c r="Q5315" s="30" t="s">
        <v>2569</v>
      </c>
      <c r="R5315" s="33" t="s">
        <v>3474</v>
      </c>
      <c r="S5315">
        <v>37</v>
      </c>
      <c r="T5315" s="1" t="s">
        <v>13993</v>
      </c>
      <c r="U5315" s="1" t="str">
        <f>HYPERLINK("http://ictvonline.org/taxonomy/p/taxonomy-history?taxnode_id=202104905","ICTVonline=202104905")</f>
        <v>ICTVonline=202104905</v>
      </c>
    </row>
    <row r="5316" spans="1:21" x14ac:dyDescent="0.2">
      <c r="A5316" s="3">
        <v>5315</v>
      </c>
      <c r="B5316" s="1" t="s">
        <v>4226</v>
      </c>
      <c r="D5316" s="1" t="s">
        <v>5412</v>
      </c>
      <c r="F5316" s="1" t="s">
        <v>5413</v>
      </c>
      <c r="H5316" s="1" t="s">
        <v>5417</v>
      </c>
      <c r="J5316" s="1" t="s">
        <v>5418</v>
      </c>
      <c r="L5316" s="1" t="s">
        <v>12793</v>
      </c>
      <c r="N5316" s="1" t="s">
        <v>223</v>
      </c>
      <c r="P5316" s="1" t="s">
        <v>335</v>
      </c>
      <c r="Q5316" s="30" t="s">
        <v>2569</v>
      </c>
      <c r="R5316" s="33" t="s">
        <v>3474</v>
      </c>
      <c r="S5316">
        <v>37</v>
      </c>
      <c r="T5316" s="1" t="s">
        <v>13993</v>
      </c>
      <c r="U5316" s="1" t="str">
        <f>HYPERLINK("http://ictvonline.org/taxonomy/p/taxonomy-history?taxnode_id=202104906","ICTVonline=202104906")</f>
        <v>ICTVonline=202104906</v>
      </c>
    </row>
    <row r="5317" spans="1:21" x14ac:dyDescent="0.2">
      <c r="A5317" s="3">
        <v>5316</v>
      </c>
      <c r="B5317" s="1" t="s">
        <v>4226</v>
      </c>
      <c r="D5317" s="1" t="s">
        <v>5412</v>
      </c>
      <c r="F5317" s="1" t="s">
        <v>5413</v>
      </c>
      <c r="H5317" s="1" t="s">
        <v>5417</v>
      </c>
      <c r="J5317" s="1" t="s">
        <v>5418</v>
      </c>
      <c r="L5317" s="1" t="s">
        <v>12793</v>
      </c>
      <c r="N5317" s="1" t="s">
        <v>223</v>
      </c>
      <c r="P5317" s="1" t="s">
        <v>336</v>
      </c>
      <c r="Q5317" s="30" t="s">
        <v>2569</v>
      </c>
      <c r="R5317" s="33" t="s">
        <v>3474</v>
      </c>
      <c r="S5317">
        <v>37</v>
      </c>
      <c r="T5317" s="1" t="s">
        <v>13993</v>
      </c>
      <c r="U5317" s="1" t="str">
        <f>HYPERLINK("http://ictvonline.org/taxonomy/p/taxonomy-history?taxnode_id=202104907","ICTVonline=202104907")</f>
        <v>ICTVonline=202104907</v>
      </c>
    </row>
    <row r="5318" spans="1:21" x14ac:dyDescent="0.2">
      <c r="A5318" s="3">
        <v>5317</v>
      </c>
      <c r="B5318" s="1" t="s">
        <v>4226</v>
      </c>
      <c r="D5318" s="1" t="s">
        <v>5412</v>
      </c>
      <c r="F5318" s="1" t="s">
        <v>5413</v>
      </c>
      <c r="H5318" s="1" t="s">
        <v>5417</v>
      </c>
      <c r="J5318" s="1" t="s">
        <v>5418</v>
      </c>
      <c r="L5318" s="1" t="s">
        <v>12793</v>
      </c>
      <c r="N5318" s="1" t="s">
        <v>223</v>
      </c>
      <c r="P5318" s="1" t="s">
        <v>337</v>
      </c>
      <c r="Q5318" s="30" t="s">
        <v>2569</v>
      </c>
      <c r="R5318" s="33" t="s">
        <v>3474</v>
      </c>
      <c r="S5318">
        <v>37</v>
      </c>
      <c r="T5318" s="1" t="s">
        <v>13993</v>
      </c>
      <c r="U5318" s="1" t="str">
        <f>HYPERLINK("http://ictvonline.org/taxonomy/p/taxonomy-history?taxnode_id=202104908","ICTVonline=202104908")</f>
        <v>ICTVonline=202104908</v>
      </c>
    </row>
    <row r="5319" spans="1:21" x14ac:dyDescent="0.2">
      <c r="A5319" s="3">
        <v>5318</v>
      </c>
      <c r="B5319" s="1" t="s">
        <v>4226</v>
      </c>
      <c r="D5319" s="1" t="s">
        <v>5412</v>
      </c>
      <c r="F5319" s="1" t="s">
        <v>5413</v>
      </c>
      <c r="H5319" s="1" t="s">
        <v>5417</v>
      </c>
      <c r="J5319" s="1" t="s">
        <v>5418</v>
      </c>
      <c r="L5319" s="1" t="s">
        <v>12793</v>
      </c>
      <c r="N5319" s="1" t="s">
        <v>223</v>
      </c>
      <c r="P5319" s="1" t="s">
        <v>2553</v>
      </c>
      <c r="Q5319" s="30" t="s">
        <v>2569</v>
      </c>
      <c r="R5319" s="33" t="s">
        <v>3474</v>
      </c>
      <c r="S5319">
        <v>37</v>
      </c>
      <c r="T5319" s="1" t="s">
        <v>13993</v>
      </c>
      <c r="U5319" s="1" t="str">
        <f>HYPERLINK("http://ictvonline.org/taxonomy/p/taxonomy-history?taxnode_id=202104910","ICTVonline=202104910")</f>
        <v>ICTVonline=202104910</v>
      </c>
    </row>
    <row r="5320" spans="1:21" x14ac:dyDescent="0.2">
      <c r="A5320" s="3">
        <v>5319</v>
      </c>
      <c r="B5320" s="1" t="s">
        <v>4226</v>
      </c>
      <c r="D5320" s="1" t="s">
        <v>5412</v>
      </c>
      <c r="F5320" s="1" t="s">
        <v>5413</v>
      </c>
      <c r="H5320" s="1" t="s">
        <v>5417</v>
      </c>
      <c r="J5320" s="1" t="s">
        <v>5418</v>
      </c>
      <c r="L5320" s="1" t="s">
        <v>12793</v>
      </c>
      <c r="N5320" s="1" t="s">
        <v>223</v>
      </c>
      <c r="P5320" s="1" t="s">
        <v>2554</v>
      </c>
      <c r="Q5320" s="30" t="s">
        <v>2569</v>
      </c>
      <c r="R5320" s="33" t="s">
        <v>3474</v>
      </c>
      <c r="S5320">
        <v>37</v>
      </c>
      <c r="T5320" s="1" t="s">
        <v>13993</v>
      </c>
      <c r="U5320" s="1" t="str">
        <f>HYPERLINK("http://ictvonline.org/taxonomy/p/taxonomy-history?taxnode_id=202104911","ICTVonline=202104911")</f>
        <v>ICTVonline=202104911</v>
      </c>
    </row>
    <row r="5321" spans="1:21" x14ac:dyDescent="0.2">
      <c r="A5321" s="3">
        <v>5320</v>
      </c>
      <c r="B5321" s="1" t="s">
        <v>4226</v>
      </c>
      <c r="D5321" s="1" t="s">
        <v>5412</v>
      </c>
      <c r="F5321" s="1" t="s">
        <v>5413</v>
      </c>
      <c r="H5321" s="1" t="s">
        <v>5417</v>
      </c>
      <c r="J5321" s="1" t="s">
        <v>5418</v>
      </c>
      <c r="L5321" s="1" t="s">
        <v>12793</v>
      </c>
      <c r="N5321" s="1" t="s">
        <v>223</v>
      </c>
      <c r="P5321" s="1" t="s">
        <v>2555</v>
      </c>
      <c r="Q5321" s="30" t="s">
        <v>2569</v>
      </c>
      <c r="R5321" s="33" t="s">
        <v>3474</v>
      </c>
      <c r="S5321">
        <v>37</v>
      </c>
      <c r="T5321" s="1" t="s">
        <v>13993</v>
      </c>
      <c r="U5321" s="1" t="str">
        <f>HYPERLINK("http://ictvonline.org/taxonomy/p/taxonomy-history?taxnode_id=202104912","ICTVonline=202104912")</f>
        <v>ICTVonline=202104912</v>
      </c>
    </row>
    <row r="5322" spans="1:21" x14ac:dyDescent="0.2">
      <c r="A5322" s="3">
        <v>5321</v>
      </c>
      <c r="B5322" s="1" t="s">
        <v>4226</v>
      </c>
      <c r="D5322" s="1" t="s">
        <v>5412</v>
      </c>
      <c r="F5322" s="1" t="s">
        <v>5413</v>
      </c>
      <c r="H5322" s="1" t="s">
        <v>5417</v>
      </c>
      <c r="J5322" s="1" t="s">
        <v>5418</v>
      </c>
      <c r="L5322" s="1" t="s">
        <v>12793</v>
      </c>
      <c r="N5322" s="1" t="s">
        <v>223</v>
      </c>
      <c r="P5322" s="1" t="s">
        <v>3384</v>
      </c>
      <c r="Q5322" s="30" t="s">
        <v>2569</v>
      </c>
      <c r="R5322" s="33" t="s">
        <v>3474</v>
      </c>
      <c r="S5322">
        <v>37</v>
      </c>
      <c r="T5322" s="1" t="s">
        <v>13993</v>
      </c>
      <c r="U5322" s="1" t="str">
        <f>HYPERLINK("http://ictvonline.org/taxonomy/p/taxonomy-history?taxnode_id=202104913","ICTVonline=202104913")</f>
        <v>ICTVonline=202104913</v>
      </c>
    </row>
    <row r="5323" spans="1:21" x14ac:dyDescent="0.2">
      <c r="A5323" s="3">
        <v>5322</v>
      </c>
      <c r="B5323" s="1" t="s">
        <v>4226</v>
      </c>
      <c r="D5323" s="1" t="s">
        <v>5412</v>
      </c>
      <c r="F5323" s="1" t="s">
        <v>5413</v>
      </c>
      <c r="H5323" s="1" t="s">
        <v>5417</v>
      </c>
      <c r="J5323" s="1" t="s">
        <v>5418</v>
      </c>
      <c r="L5323" s="1" t="s">
        <v>12793</v>
      </c>
      <c r="N5323" s="1" t="s">
        <v>223</v>
      </c>
      <c r="P5323" s="1" t="s">
        <v>5419</v>
      </c>
      <c r="Q5323" s="30" t="s">
        <v>2569</v>
      </c>
      <c r="R5323" s="33" t="s">
        <v>3474</v>
      </c>
      <c r="S5323">
        <v>37</v>
      </c>
      <c r="T5323" s="1" t="s">
        <v>13993</v>
      </c>
      <c r="U5323" s="1" t="str">
        <f>HYPERLINK("http://ictvonline.org/taxonomy/p/taxonomy-history?taxnode_id=202107663","ICTVonline=202107663")</f>
        <v>ICTVonline=202107663</v>
      </c>
    </row>
    <row r="5324" spans="1:21" x14ac:dyDescent="0.2">
      <c r="A5324" s="3">
        <v>5323</v>
      </c>
      <c r="B5324" s="1" t="s">
        <v>4226</v>
      </c>
      <c r="D5324" s="1" t="s">
        <v>5412</v>
      </c>
      <c r="F5324" s="1" t="s">
        <v>5413</v>
      </c>
      <c r="H5324" s="1" t="s">
        <v>5417</v>
      </c>
      <c r="J5324" s="1" t="s">
        <v>5418</v>
      </c>
      <c r="L5324" s="1" t="s">
        <v>12793</v>
      </c>
      <c r="N5324" s="1" t="s">
        <v>338</v>
      </c>
      <c r="P5324" s="1" t="s">
        <v>339</v>
      </c>
      <c r="Q5324" s="30" t="s">
        <v>2569</v>
      </c>
      <c r="R5324" s="33" t="s">
        <v>3474</v>
      </c>
      <c r="S5324">
        <v>37</v>
      </c>
      <c r="T5324" s="1" t="s">
        <v>13993</v>
      </c>
      <c r="U5324" s="1" t="str">
        <f>HYPERLINK("http://ictvonline.org/taxonomy/p/taxonomy-history?taxnode_id=202104915","ICTVonline=202104915")</f>
        <v>ICTVonline=202104915</v>
      </c>
    </row>
    <row r="5325" spans="1:21" x14ac:dyDescent="0.2">
      <c r="A5325" s="3">
        <v>5324</v>
      </c>
      <c r="B5325" s="1" t="s">
        <v>4226</v>
      </c>
      <c r="D5325" s="1" t="s">
        <v>5412</v>
      </c>
      <c r="F5325" s="1" t="s">
        <v>5413</v>
      </c>
      <c r="H5325" s="1" t="s">
        <v>5417</v>
      </c>
      <c r="J5325" s="1" t="s">
        <v>5418</v>
      </c>
      <c r="L5325" s="1" t="s">
        <v>12793</v>
      </c>
      <c r="N5325" s="1" t="s">
        <v>338</v>
      </c>
      <c r="P5325" s="1" t="s">
        <v>340</v>
      </c>
      <c r="Q5325" s="30" t="s">
        <v>2569</v>
      </c>
      <c r="R5325" s="33" t="s">
        <v>3474</v>
      </c>
      <c r="S5325">
        <v>37</v>
      </c>
      <c r="T5325" s="1" t="s">
        <v>13993</v>
      </c>
      <c r="U5325" s="1" t="str">
        <f>HYPERLINK("http://ictvonline.org/taxonomy/p/taxonomy-history?taxnode_id=202104916","ICTVonline=202104916")</f>
        <v>ICTVonline=202104916</v>
      </c>
    </row>
    <row r="5326" spans="1:21" x14ac:dyDescent="0.2">
      <c r="A5326" s="3">
        <v>5325</v>
      </c>
      <c r="B5326" s="1" t="s">
        <v>4226</v>
      </c>
      <c r="D5326" s="1" t="s">
        <v>5412</v>
      </c>
      <c r="F5326" s="1" t="s">
        <v>5413</v>
      </c>
      <c r="H5326" s="1" t="s">
        <v>5417</v>
      </c>
      <c r="J5326" s="1" t="s">
        <v>5418</v>
      </c>
      <c r="L5326" s="1" t="s">
        <v>12793</v>
      </c>
      <c r="N5326" s="1" t="s">
        <v>338</v>
      </c>
      <c r="P5326" s="1" t="s">
        <v>341</v>
      </c>
      <c r="Q5326" s="30" t="s">
        <v>2569</v>
      </c>
      <c r="R5326" s="33" t="s">
        <v>3474</v>
      </c>
      <c r="S5326">
        <v>37</v>
      </c>
      <c r="T5326" s="1" t="s">
        <v>13993</v>
      </c>
      <c r="U5326" s="1" t="str">
        <f>HYPERLINK("http://ictvonline.org/taxonomy/p/taxonomy-history?taxnode_id=202104917","ICTVonline=202104917")</f>
        <v>ICTVonline=202104917</v>
      </c>
    </row>
    <row r="5327" spans="1:21" x14ac:dyDescent="0.2">
      <c r="A5327" s="3">
        <v>5326</v>
      </c>
      <c r="B5327" s="1" t="s">
        <v>4226</v>
      </c>
      <c r="D5327" s="1" t="s">
        <v>5412</v>
      </c>
      <c r="F5327" s="1" t="s">
        <v>5413</v>
      </c>
      <c r="H5327" s="1" t="s">
        <v>5417</v>
      </c>
      <c r="J5327" s="1" t="s">
        <v>5418</v>
      </c>
      <c r="L5327" s="1" t="s">
        <v>12794</v>
      </c>
      <c r="N5327" s="1" t="s">
        <v>687</v>
      </c>
      <c r="P5327" s="1" t="s">
        <v>688</v>
      </c>
      <c r="Q5327" s="30" t="s">
        <v>2569</v>
      </c>
      <c r="R5327" s="33" t="s">
        <v>3474</v>
      </c>
      <c r="S5327">
        <v>37</v>
      </c>
      <c r="T5327" s="1" t="s">
        <v>13993</v>
      </c>
      <c r="U5327" s="1" t="str">
        <f>HYPERLINK("http://ictvonline.org/taxonomy/p/taxonomy-history?taxnode_id=202104920","ICTVonline=202104920")</f>
        <v>ICTVonline=202104920</v>
      </c>
    </row>
    <row r="5328" spans="1:21" x14ac:dyDescent="0.2">
      <c r="A5328" s="3">
        <v>5327</v>
      </c>
      <c r="B5328" s="1" t="s">
        <v>4226</v>
      </c>
      <c r="D5328" s="1" t="s">
        <v>5412</v>
      </c>
      <c r="F5328" s="1" t="s">
        <v>5413</v>
      </c>
      <c r="H5328" s="1" t="s">
        <v>5417</v>
      </c>
      <c r="J5328" s="1" t="s">
        <v>5418</v>
      </c>
      <c r="L5328" s="1" t="s">
        <v>12794</v>
      </c>
      <c r="N5328" s="1" t="s">
        <v>687</v>
      </c>
      <c r="P5328" s="1" t="s">
        <v>689</v>
      </c>
      <c r="Q5328" s="30" t="s">
        <v>2569</v>
      </c>
      <c r="R5328" s="33" t="s">
        <v>3474</v>
      </c>
      <c r="S5328">
        <v>37</v>
      </c>
      <c r="T5328" s="1" t="s">
        <v>13993</v>
      </c>
      <c r="U5328" s="1" t="str">
        <f>HYPERLINK("http://ictvonline.org/taxonomy/p/taxonomy-history?taxnode_id=202104921","ICTVonline=202104921")</f>
        <v>ICTVonline=202104921</v>
      </c>
    </row>
    <row r="5329" spans="1:21" x14ac:dyDescent="0.2">
      <c r="A5329" s="3">
        <v>5328</v>
      </c>
      <c r="B5329" s="1" t="s">
        <v>4226</v>
      </c>
      <c r="D5329" s="1" t="s">
        <v>5412</v>
      </c>
      <c r="F5329" s="1" t="s">
        <v>5413</v>
      </c>
      <c r="H5329" s="1" t="s">
        <v>5417</v>
      </c>
      <c r="J5329" s="1" t="s">
        <v>5418</v>
      </c>
      <c r="L5329" s="1" t="s">
        <v>12794</v>
      </c>
      <c r="N5329" s="1" t="s">
        <v>687</v>
      </c>
      <c r="P5329" s="1" t="s">
        <v>690</v>
      </c>
      <c r="Q5329" s="30" t="s">
        <v>2569</v>
      </c>
      <c r="R5329" s="33" t="s">
        <v>3474</v>
      </c>
      <c r="S5329">
        <v>37</v>
      </c>
      <c r="T5329" s="1" t="s">
        <v>13993</v>
      </c>
      <c r="U5329" s="1" t="str">
        <f>HYPERLINK("http://ictvonline.org/taxonomy/p/taxonomy-history?taxnode_id=202104922","ICTVonline=202104922")</f>
        <v>ICTVonline=202104922</v>
      </c>
    </row>
    <row r="5330" spans="1:21" x14ac:dyDescent="0.2">
      <c r="A5330" s="3">
        <v>5329</v>
      </c>
      <c r="B5330" s="1" t="s">
        <v>4226</v>
      </c>
      <c r="D5330" s="1" t="s">
        <v>5412</v>
      </c>
      <c r="F5330" s="1" t="s">
        <v>5413</v>
      </c>
      <c r="H5330" s="1" t="s">
        <v>5417</v>
      </c>
      <c r="J5330" s="1" t="s">
        <v>5418</v>
      </c>
      <c r="L5330" s="1" t="s">
        <v>12794</v>
      </c>
      <c r="N5330" s="1" t="s">
        <v>687</v>
      </c>
      <c r="P5330" s="1" t="s">
        <v>691</v>
      </c>
      <c r="Q5330" s="30" t="s">
        <v>2569</v>
      </c>
      <c r="R5330" s="33" t="s">
        <v>3474</v>
      </c>
      <c r="S5330">
        <v>37</v>
      </c>
      <c r="T5330" s="1" t="s">
        <v>13993</v>
      </c>
      <c r="U5330" s="1" t="str">
        <f>HYPERLINK("http://ictvonline.org/taxonomy/p/taxonomy-history?taxnode_id=202104923","ICTVonline=202104923")</f>
        <v>ICTVonline=202104923</v>
      </c>
    </row>
    <row r="5331" spans="1:21" x14ac:dyDescent="0.2">
      <c r="A5331" s="3">
        <v>5330</v>
      </c>
      <c r="B5331" s="1" t="s">
        <v>4226</v>
      </c>
      <c r="D5331" s="1" t="s">
        <v>5412</v>
      </c>
      <c r="F5331" s="1" t="s">
        <v>5413</v>
      </c>
      <c r="H5331" s="1" t="s">
        <v>5417</v>
      </c>
      <c r="J5331" s="1" t="s">
        <v>5418</v>
      </c>
      <c r="L5331" s="1" t="s">
        <v>12794</v>
      </c>
      <c r="N5331" s="1" t="s">
        <v>687</v>
      </c>
      <c r="P5331" s="1" t="s">
        <v>692</v>
      </c>
      <c r="Q5331" s="30" t="s">
        <v>2569</v>
      </c>
      <c r="R5331" s="33" t="s">
        <v>3474</v>
      </c>
      <c r="S5331">
        <v>37</v>
      </c>
      <c r="T5331" s="1" t="s">
        <v>13993</v>
      </c>
      <c r="U5331" s="1" t="str">
        <f>HYPERLINK("http://ictvonline.org/taxonomy/p/taxonomy-history?taxnode_id=202104924","ICTVonline=202104924")</f>
        <v>ICTVonline=202104924</v>
      </c>
    </row>
    <row r="5332" spans="1:21" x14ac:dyDescent="0.2">
      <c r="A5332" s="3">
        <v>5331</v>
      </c>
      <c r="B5332" s="1" t="s">
        <v>4226</v>
      </c>
      <c r="D5332" s="1" t="s">
        <v>5412</v>
      </c>
      <c r="F5332" s="1" t="s">
        <v>5413</v>
      </c>
      <c r="H5332" s="1" t="s">
        <v>5417</v>
      </c>
      <c r="J5332" s="1" t="s">
        <v>5418</v>
      </c>
      <c r="L5332" s="1" t="s">
        <v>12794</v>
      </c>
      <c r="N5332" s="1" t="s">
        <v>687</v>
      </c>
      <c r="P5332" s="1" t="s">
        <v>693</v>
      </c>
      <c r="Q5332" s="30" t="s">
        <v>2569</v>
      </c>
      <c r="R5332" s="33" t="s">
        <v>3474</v>
      </c>
      <c r="S5332">
        <v>37</v>
      </c>
      <c r="T5332" s="1" t="s">
        <v>13993</v>
      </c>
      <c r="U5332" s="1" t="str">
        <f>HYPERLINK("http://ictvonline.org/taxonomy/p/taxonomy-history?taxnode_id=202104925","ICTVonline=202104925")</f>
        <v>ICTVonline=202104925</v>
      </c>
    </row>
    <row r="5333" spans="1:21" x14ac:dyDescent="0.2">
      <c r="A5333" s="3">
        <v>5332</v>
      </c>
      <c r="B5333" s="1" t="s">
        <v>4226</v>
      </c>
      <c r="D5333" s="1" t="s">
        <v>5412</v>
      </c>
      <c r="F5333" s="1" t="s">
        <v>5413</v>
      </c>
      <c r="H5333" s="1" t="s">
        <v>5417</v>
      </c>
      <c r="J5333" s="1" t="s">
        <v>5418</v>
      </c>
      <c r="L5333" s="1" t="s">
        <v>12794</v>
      </c>
      <c r="N5333" s="1" t="s">
        <v>687</v>
      </c>
      <c r="P5333" s="1" t="s">
        <v>694</v>
      </c>
      <c r="Q5333" s="30" t="s">
        <v>2569</v>
      </c>
      <c r="R5333" s="33" t="s">
        <v>3474</v>
      </c>
      <c r="S5333">
        <v>37</v>
      </c>
      <c r="T5333" s="1" t="s">
        <v>13993</v>
      </c>
      <c r="U5333" s="1" t="str">
        <f>HYPERLINK("http://ictvonline.org/taxonomy/p/taxonomy-history?taxnode_id=202104926","ICTVonline=202104926")</f>
        <v>ICTVonline=202104926</v>
      </c>
    </row>
    <row r="5334" spans="1:21" x14ac:dyDescent="0.2">
      <c r="A5334" s="3">
        <v>5333</v>
      </c>
      <c r="B5334" s="1" t="s">
        <v>4226</v>
      </c>
      <c r="D5334" s="1" t="s">
        <v>5412</v>
      </c>
      <c r="F5334" s="1" t="s">
        <v>5413</v>
      </c>
      <c r="H5334" s="1" t="s">
        <v>5417</v>
      </c>
      <c r="J5334" s="1" t="s">
        <v>5418</v>
      </c>
      <c r="L5334" s="1" t="s">
        <v>12794</v>
      </c>
      <c r="N5334" s="1" t="s">
        <v>697</v>
      </c>
      <c r="P5334" s="1" t="s">
        <v>5420</v>
      </c>
      <c r="Q5334" s="30" t="s">
        <v>2569</v>
      </c>
      <c r="R5334" s="33" t="s">
        <v>3474</v>
      </c>
      <c r="S5334">
        <v>37</v>
      </c>
      <c r="T5334" s="1" t="s">
        <v>13993</v>
      </c>
      <c r="U5334" s="1" t="str">
        <f>HYPERLINK("http://ictvonline.org/taxonomy/p/taxonomy-history?taxnode_id=202104928","ICTVonline=202104928")</f>
        <v>ICTVonline=202104928</v>
      </c>
    </row>
    <row r="5335" spans="1:21" x14ac:dyDescent="0.2">
      <c r="A5335" s="3">
        <v>5334</v>
      </c>
      <c r="B5335" s="1" t="s">
        <v>4226</v>
      </c>
      <c r="D5335" s="1" t="s">
        <v>5412</v>
      </c>
      <c r="F5335" s="1" t="s">
        <v>5413</v>
      </c>
      <c r="H5335" s="1" t="s">
        <v>5417</v>
      </c>
      <c r="J5335" s="1" t="s">
        <v>5418</v>
      </c>
      <c r="L5335" s="1" t="s">
        <v>12794</v>
      </c>
      <c r="N5335" s="1" t="s">
        <v>697</v>
      </c>
      <c r="P5335" s="1" t="s">
        <v>5421</v>
      </c>
      <c r="Q5335" s="30" t="s">
        <v>2569</v>
      </c>
      <c r="R5335" s="33" t="s">
        <v>3474</v>
      </c>
      <c r="S5335">
        <v>37</v>
      </c>
      <c r="T5335" s="1" t="s">
        <v>13993</v>
      </c>
      <c r="U5335" s="1" t="str">
        <f>HYPERLINK("http://ictvonline.org/taxonomy/p/taxonomy-history?taxnode_id=202104929","ICTVonline=202104929")</f>
        <v>ICTVonline=202104929</v>
      </c>
    </row>
    <row r="5336" spans="1:21" x14ac:dyDescent="0.2">
      <c r="A5336" s="3">
        <v>5335</v>
      </c>
      <c r="B5336" s="1" t="s">
        <v>4226</v>
      </c>
      <c r="D5336" s="1" t="s">
        <v>5412</v>
      </c>
      <c r="F5336" s="1" t="s">
        <v>5413</v>
      </c>
      <c r="H5336" s="1" t="s">
        <v>5417</v>
      </c>
      <c r="J5336" s="1" t="s">
        <v>5418</v>
      </c>
      <c r="L5336" s="1" t="s">
        <v>12794</v>
      </c>
      <c r="N5336" s="1" t="s">
        <v>697</v>
      </c>
      <c r="P5336" s="1" t="s">
        <v>5422</v>
      </c>
      <c r="Q5336" s="30" t="s">
        <v>2569</v>
      </c>
      <c r="R5336" s="33" t="s">
        <v>3474</v>
      </c>
      <c r="S5336">
        <v>37</v>
      </c>
      <c r="T5336" s="1" t="s">
        <v>13993</v>
      </c>
      <c r="U5336" s="1" t="str">
        <f>HYPERLINK("http://ictvonline.org/taxonomy/p/taxonomy-history?taxnode_id=202107654","ICTVonline=202107654")</f>
        <v>ICTVonline=202107654</v>
      </c>
    </row>
    <row r="5337" spans="1:21" x14ac:dyDescent="0.2">
      <c r="A5337" s="3">
        <v>5336</v>
      </c>
      <c r="B5337" s="1" t="s">
        <v>4226</v>
      </c>
      <c r="D5337" s="1" t="s">
        <v>5412</v>
      </c>
      <c r="F5337" s="1" t="s">
        <v>5413</v>
      </c>
      <c r="H5337" s="1" t="s">
        <v>5417</v>
      </c>
      <c r="J5337" s="1" t="s">
        <v>5418</v>
      </c>
      <c r="L5337" s="1" t="s">
        <v>12794</v>
      </c>
      <c r="N5337" s="1" t="s">
        <v>697</v>
      </c>
      <c r="P5337" s="1" t="s">
        <v>5423</v>
      </c>
      <c r="Q5337" s="30" t="s">
        <v>2569</v>
      </c>
      <c r="R5337" s="33" t="s">
        <v>3474</v>
      </c>
      <c r="S5337">
        <v>37</v>
      </c>
      <c r="T5337" s="1" t="s">
        <v>13993</v>
      </c>
      <c r="U5337" s="1" t="str">
        <f>HYPERLINK("http://ictvonline.org/taxonomy/p/taxonomy-history?taxnode_id=202107655","ICTVonline=202107655")</f>
        <v>ICTVonline=202107655</v>
      </c>
    </row>
    <row r="5338" spans="1:21" x14ac:dyDescent="0.2">
      <c r="A5338" s="3">
        <v>5337</v>
      </c>
      <c r="B5338" s="1" t="s">
        <v>4226</v>
      </c>
      <c r="D5338" s="1" t="s">
        <v>5412</v>
      </c>
      <c r="F5338" s="1" t="s">
        <v>5413</v>
      </c>
      <c r="H5338" s="1" t="s">
        <v>5417</v>
      </c>
      <c r="J5338" s="1" t="s">
        <v>5418</v>
      </c>
      <c r="L5338" s="1" t="s">
        <v>12794</v>
      </c>
      <c r="N5338" s="1" t="s">
        <v>697</v>
      </c>
      <c r="P5338" s="1" t="s">
        <v>5424</v>
      </c>
      <c r="Q5338" s="30" t="s">
        <v>2569</v>
      </c>
      <c r="R5338" s="33" t="s">
        <v>3474</v>
      </c>
      <c r="S5338">
        <v>37</v>
      </c>
      <c r="T5338" s="1" t="s">
        <v>13993</v>
      </c>
      <c r="U5338" s="1" t="str">
        <f>HYPERLINK("http://ictvonline.org/taxonomy/p/taxonomy-history?taxnode_id=202107656","ICTVonline=202107656")</f>
        <v>ICTVonline=202107656</v>
      </c>
    </row>
    <row r="5339" spans="1:21" x14ac:dyDescent="0.2">
      <c r="A5339" s="3">
        <v>5338</v>
      </c>
      <c r="B5339" s="1" t="s">
        <v>4226</v>
      </c>
      <c r="D5339" s="1" t="s">
        <v>5412</v>
      </c>
      <c r="F5339" s="1" t="s">
        <v>5413</v>
      </c>
      <c r="H5339" s="1" t="s">
        <v>5417</v>
      </c>
      <c r="J5339" s="1" t="s">
        <v>5418</v>
      </c>
      <c r="L5339" s="1" t="s">
        <v>12794</v>
      </c>
      <c r="N5339" s="1" t="s">
        <v>698</v>
      </c>
      <c r="P5339" s="1" t="s">
        <v>1485</v>
      </c>
      <c r="Q5339" s="30" t="s">
        <v>2569</v>
      </c>
      <c r="R5339" s="33" t="s">
        <v>3474</v>
      </c>
      <c r="S5339">
        <v>37</v>
      </c>
      <c r="T5339" s="1" t="s">
        <v>13993</v>
      </c>
      <c r="U5339" s="1" t="str">
        <f>HYPERLINK("http://ictvonline.org/taxonomy/p/taxonomy-history?taxnode_id=202104931","ICTVonline=202104931")</f>
        <v>ICTVonline=202104931</v>
      </c>
    </row>
    <row r="5340" spans="1:21" x14ac:dyDescent="0.2">
      <c r="A5340" s="3">
        <v>5339</v>
      </c>
      <c r="B5340" s="1" t="s">
        <v>4226</v>
      </c>
      <c r="D5340" s="1" t="s">
        <v>5412</v>
      </c>
      <c r="F5340" s="1" t="s">
        <v>5413</v>
      </c>
      <c r="H5340" s="1" t="s">
        <v>5417</v>
      </c>
      <c r="J5340" s="1" t="s">
        <v>5418</v>
      </c>
      <c r="L5340" s="1" t="s">
        <v>12794</v>
      </c>
      <c r="N5340" s="1" t="s">
        <v>698</v>
      </c>
      <c r="P5340" s="1" t="s">
        <v>1482</v>
      </c>
      <c r="Q5340" s="30" t="s">
        <v>2569</v>
      </c>
      <c r="R5340" s="33" t="s">
        <v>3474</v>
      </c>
      <c r="S5340">
        <v>37</v>
      </c>
      <c r="T5340" s="1" t="s">
        <v>13993</v>
      </c>
      <c r="U5340" s="1" t="str">
        <f>HYPERLINK("http://ictvonline.org/taxonomy/p/taxonomy-history?taxnode_id=202104932","ICTVonline=202104932")</f>
        <v>ICTVonline=202104932</v>
      </c>
    </row>
    <row r="5341" spans="1:21" x14ac:dyDescent="0.2">
      <c r="A5341" s="3">
        <v>5340</v>
      </c>
      <c r="B5341" s="1" t="s">
        <v>4226</v>
      </c>
      <c r="D5341" s="1" t="s">
        <v>5412</v>
      </c>
      <c r="F5341" s="1" t="s">
        <v>5413</v>
      </c>
      <c r="H5341" s="1" t="s">
        <v>5417</v>
      </c>
      <c r="J5341" s="1" t="s">
        <v>5418</v>
      </c>
      <c r="L5341" s="1" t="s">
        <v>12794</v>
      </c>
      <c r="N5341" s="1" t="s">
        <v>698</v>
      </c>
      <c r="P5341" s="1" t="s">
        <v>1777</v>
      </c>
      <c r="Q5341" s="30" t="s">
        <v>2569</v>
      </c>
      <c r="R5341" s="33" t="s">
        <v>3474</v>
      </c>
      <c r="S5341">
        <v>37</v>
      </c>
      <c r="T5341" s="1" t="s">
        <v>13993</v>
      </c>
      <c r="U5341" s="1" t="str">
        <f>HYPERLINK("http://ictvonline.org/taxonomy/p/taxonomy-history?taxnode_id=202104933","ICTVonline=202104933")</f>
        <v>ICTVonline=202104933</v>
      </c>
    </row>
    <row r="5342" spans="1:21" x14ac:dyDescent="0.2">
      <c r="A5342" s="3">
        <v>5341</v>
      </c>
      <c r="B5342" s="1" t="s">
        <v>4226</v>
      </c>
      <c r="D5342" s="1" t="s">
        <v>5412</v>
      </c>
      <c r="F5342" s="1" t="s">
        <v>5413</v>
      </c>
      <c r="H5342" s="1" t="s">
        <v>5417</v>
      </c>
      <c r="J5342" s="1" t="s">
        <v>5418</v>
      </c>
      <c r="L5342" s="1" t="s">
        <v>12794</v>
      </c>
      <c r="N5342" s="1" t="s">
        <v>698</v>
      </c>
      <c r="P5342" s="1" t="s">
        <v>1778</v>
      </c>
      <c r="Q5342" s="30" t="s">
        <v>2569</v>
      </c>
      <c r="R5342" s="33" t="s">
        <v>3474</v>
      </c>
      <c r="S5342">
        <v>37</v>
      </c>
      <c r="T5342" s="1" t="s">
        <v>13993</v>
      </c>
      <c r="U5342" s="1" t="str">
        <f>HYPERLINK("http://ictvonline.org/taxonomy/p/taxonomy-history?taxnode_id=202104934","ICTVonline=202104934")</f>
        <v>ICTVonline=202104934</v>
      </c>
    </row>
    <row r="5343" spans="1:21" x14ac:dyDescent="0.2">
      <c r="A5343" s="3">
        <v>5342</v>
      </c>
      <c r="B5343" s="1" t="s">
        <v>4226</v>
      </c>
      <c r="D5343" s="1" t="s">
        <v>5412</v>
      </c>
      <c r="F5343" s="1" t="s">
        <v>5413</v>
      </c>
      <c r="H5343" s="1" t="s">
        <v>5417</v>
      </c>
      <c r="J5343" s="1" t="s">
        <v>5418</v>
      </c>
      <c r="L5343" s="1" t="s">
        <v>12794</v>
      </c>
      <c r="N5343" s="1" t="s">
        <v>698</v>
      </c>
      <c r="P5343" s="1" t="s">
        <v>1779</v>
      </c>
      <c r="Q5343" s="30" t="s">
        <v>2569</v>
      </c>
      <c r="R5343" s="33" t="s">
        <v>3474</v>
      </c>
      <c r="S5343">
        <v>37</v>
      </c>
      <c r="T5343" s="1" t="s">
        <v>13993</v>
      </c>
      <c r="U5343" s="1" t="str">
        <f>HYPERLINK("http://ictvonline.org/taxonomy/p/taxonomy-history?taxnode_id=202104935","ICTVonline=202104935")</f>
        <v>ICTVonline=202104935</v>
      </c>
    </row>
    <row r="5344" spans="1:21" x14ac:dyDescent="0.2">
      <c r="A5344" s="3">
        <v>5343</v>
      </c>
      <c r="B5344" s="1" t="s">
        <v>4226</v>
      </c>
      <c r="D5344" s="1" t="s">
        <v>5412</v>
      </c>
      <c r="F5344" s="1" t="s">
        <v>5413</v>
      </c>
      <c r="H5344" s="1" t="s">
        <v>5417</v>
      </c>
      <c r="J5344" s="1" t="s">
        <v>5418</v>
      </c>
      <c r="L5344" s="1" t="s">
        <v>12794</v>
      </c>
      <c r="N5344" s="1" t="s">
        <v>698</v>
      </c>
      <c r="P5344" s="1" t="s">
        <v>1780</v>
      </c>
      <c r="Q5344" s="30" t="s">
        <v>2569</v>
      </c>
      <c r="R5344" s="33" t="s">
        <v>3474</v>
      </c>
      <c r="S5344">
        <v>37</v>
      </c>
      <c r="T5344" s="1" t="s">
        <v>13993</v>
      </c>
      <c r="U5344" s="1" t="str">
        <f>HYPERLINK("http://ictvonline.org/taxonomy/p/taxonomy-history?taxnode_id=202104936","ICTVonline=202104936")</f>
        <v>ICTVonline=202104936</v>
      </c>
    </row>
    <row r="5345" spans="1:21" x14ac:dyDescent="0.2">
      <c r="A5345" s="3">
        <v>5344</v>
      </c>
      <c r="B5345" s="1" t="s">
        <v>4226</v>
      </c>
      <c r="D5345" s="1" t="s">
        <v>5412</v>
      </c>
      <c r="F5345" s="1" t="s">
        <v>5413</v>
      </c>
      <c r="H5345" s="1" t="s">
        <v>5417</v>
      </c>
      <c r="J5345" s="1" t="s">
        <v>5418</v>
      </c>
      <c r="L5345" s="1" t="s">
        <v>12794</v>
      </c>
      <c r="N5345" s="1" t="s">
        <v>698</v>
      </c>
      <c r="P5345" s="1" t="s">
        <v>1781</v>
      </c>
      <c r="Q5345" s="30" t="s">
        <v>2569</v>
      </c>
      <c r="R5345" s="33" t="s">
        <v>3474</v>
      </c>
      <c r="S5345">
        <v>37</v>
      </c>
      <c r="T5345" s="1" t="s">
        <v>13993</v>
      </c>
      <c r="U5345" s="1" t="str">
        <f>HYPERLINK("http://ictvonline.org/taxonomy/p/taxonomy-history?taxnode_id=202104937","ICTVonline=202104937")</f>
        <v>ICTVonline=202104937</v>
      </c>
    </row>
    <row r="5346" spans="1:21" x14ac:dyDescent="0.2">
      <c r="A5346" s="3">
        <v>5345</v>
      </c>
      <c r="B5346" s="1" t="s">
        <v>4226</v>
      </c>
      <c r="D5346" s="1" t="s">
        <v>5412</v>
      </c>
      <c r="F5346" s="1" t="s">
        <v>5413</v>
      </c>
      <c r="H5346" s="1" t="s">
        <v>5417</v>
      </c>
      <c r="J5346" s="1" t="s">
        <v>5418</v>
      </c>
      <c r="L5346" s="1" t="s">
        <v>12794</v>
      </c>
      <c r="N5346" s="1" t="s">
        <v>698</v>
      </c>
      <c r="P5346" s="1" t="s">
        <v>1486</v>
      </c>
      <c r="Q5346" s="30" t="s">
        <v>2569</v>
      </c>
      <c r="R5346" s="33" t="s">
        <v>3474</v>
      </c>
      <c r="S5346">
        <v>37</v>
      </c>
      <c r="T5346" s="1" t="s">
        <v>13993</v>
      </c>
      <c r="U5346" s="1" t="str">
        <f>HYPERLINK("http://ictvonline.org/taxonomy/p/taxonomy-history?taxnode_id=202104938","ICTVonline=202104938")</f>
        <v>ICTVonline=202104938</v>
      </c>
    </row>
    <row r="5347" spans="1:21" x14ac:dyDescent="0.2">
      <c r="A5347" s="3">
        <v>5346</v>
      </c>
      <c r="B5347" s="1" t="s">
        <v>4226</v>
      </c>
      <c r="D5347" s="1" t="s">
        <v>5412</v>
      </c>
      <c r="F5347" s="1" t="s">
        <v>5413</v>
      </c>
      <c r="H5347" s="1" t="s">
        <v>5417</v>
      </c>
      <c r="J5347" s="1" t="s">
        <v>5418</v>
      </c>
      <c r="L5347" s="1" t="s">
        <v>12794</v>
      </c>
      <c r="N5347" s="1" t="s">
        <v>698</v>
      </c>
      <c r="P5347" s="1" t="s">
        <v>1487</v>
      </c>
      <c r="Q5347" s="30" t="s">
        <v>2569</v>
      </c>
      <c r="R5347" s="33" t="s">
        <v>3474</v>
      </c>
      <c r="S5347">
        <v>37</v>
      </c>
      <c r="T5347" s="1" t="s">
        <v>13993</v>
      </c>
      <c r="U5347" s="1" t="str">
        <f>HYPERLINK("http://ictvonline.org/taxonomy/p/taxonomy-history?taxnode_id=202104939","ICTVonline=202104939")</f>
        <v>ICTVonline=202104939</v>
      </c>
    </row>
    <row r="5348" spans="1:21" x14ac:dyDescent="0.2">
      <c r="A5348" s="3">
        <v>5347</v>
      </c>
      <c r="B5348" s="1" t="s">
        <v>4226</v>
      </c>
      <c r="D5348" s="1" t="s">
        <v>5412</v>
      </c>
      <c r="F5348" s="1" t="s">
        <v>5413</v>
      </c>
      <c r="H5348" s="1" t="s">
        <v>5417</v>
      </c>
      <c r="J5348" s="1" t="s">
        <v>5418</v>
      </c>
      <c r="L5348" s="1" t="s">
        <v>12794</v>
      </c>
      <c r="N5348" s="1" t="s">
        <v>698</v>
      </c>
      <c r="P5348" s="1" t="s">
        <v>1699</v>
      </c>
      <c r="Q5348" s="30" t="s">
        <v>2569</v>
      </c>
      <c r="R5348" s="33" t="s">
        <v>3474</v>
      </c>
      <c r="S5348">
        <v>37</v>
      </c>
      <c r="T5348" s="1" t="s">
        <v>13993</v>
      </c>
      <c r="U5348" s="1" t="str">
        <f>HYPERLINK("http://ictvonline.org/taxonomy/p/taxonomy-history?taxnode_id=202104940","ICTVonline=202104940")</f>
        <v>ICTVonline=202104940</v>
      </c>
    </row>
    <row r="5349" spans="1:21" x14ac:dyDescent="0.2">
      <c r="A5349" s="3">
        <v>5348</v>
      </c>
      <c r="B5349" s="1" t="s">
        <v>4226</v>
      </c>
      <c r="D5349" s="1" t="s">
        <v>5412</v>
      </c>
      <c r="F5349" s="1" t="s">
        <v>5413</v>
      </c>
      <c r="H5349" s="1" t="s">
        <v>5417</v>
      </c>
      <c r="J5349" s="1" t="s">
        <v>5418</v>
      </c>
      <c r="L5349" s="1" t="s">
        <v>12794</v>
      </c>
      <c r="N5349" s="1" t="s">
        <v>698</v>
      </c>
      <c r="P5349" s="1" t="s">
        <v>1700</v>
      </c>
      <c r="Q5349" s="30" t="s">
        <v>2569</v>
      </c>
      <c r="R5349" s="33" t="s">
        <v>3474</v>
      </c>
      <c r="S5349">
        <v>37</v>
      </c>
      <c r="T5349" s="1" t="s">
        <v>13993</v>
      </c>
      <c r="U5349" s="1" t="str">
        <f>HYPERLINK("http://ictvonline.org/taxonomy/p/taxonomy-history?taxnode_id=202104941","ICTVonline=202104941")</f>
        <v>ICTVonline=202104941</v>
      </c>
    </row>
    <row r="5350" spans="1:21" x14ac:dyDescent="0.2">
      <c r="A5350" s="3">
        <v>5349</v>
      </c>
      <c r="B5350" s="1" t="s">
        <v>4226</v>
      </c>
      <c r="D5350" s="1" t="s">
        <v>5412</v>
      </c>
      <c r="F5350" s="1" t="s">
        <v>5413</v>
      </c>
      <c r="H5350" s="1" t="s">
        <v>5417</v>
      </c>
      <c r="J5350" s="1" t="s">
        <v>5418</v>
      </c>
      <c r="L5350" s="1" t="s">
        <v>12794</v>
      </c>
      <c r="N5350" s="1" t="s">
        <v>698</v>
      </c>
      <c r="P5350" s="1" t="s">
        <v>1701</v>
      </c>
      <c r="Q5350" s="30" t="s">
        <v>2569</v>
      </c>
      <c r="R5350" s="33" t="s">
        <v>3474</v>
      </c>
      <c r="S5350">
        <v>37</v>
      </c>
      <c r="T5350" s="1" t="s">
        <v>13993</v>
      </c>
      <c r="U5350" s="1" t="str">
        <f>HYPERLINK("http://ictvonline.org/taxonomy/p/taxonomy-history?taxnode_id=202104942","ICTVonline=202104942")</f>
        <v>ICTVonline=202104942</v>
      </c>
    </row>
    <row r="5351" spans="1:21" x14ac:dyDescent="0.2">
      <c r="A5351" s="3">
        <v>5350</v>
      </c>
      <c r="B5351" s="1" t="s">
        <v>4226</v>
      </c>
      <c r="D5351" s="1" t="s">
        <v>5412</v>
      </c>
      <c r="F5351" s="1" t="s">
        <v>5413</v>
      </c>
      <c r="H5351" s="1" t="s">
        <v>5417</v>
      </c>
      <c r="J5351" s="1" t="s">
        <v>5418</v>
      </c>
      <c r="L5351" s="1" t="s">
        <v>12794</v>
      </c>
      <c r="N5351" s="1" t="s">
        <v>698</v>
      </c>
      <c r="P5351" s="1" t="s">
        <v>1478</v>
      </c>
      <c r="Q5351" s="30" t="s">
        <v>2569</v>
      </c>
      <c r="R5351" s="33" t="s">
        <v>3474</v>
      </c>
      <c r="S5351">
        <v>37</v>
      </c>
      <c r="T5351" s="1" t="s">
        <v>13993</v>
      </c>
      <c r="U5351" s="1" t="str">
        <f>HYPERLINK("http://ictvonline.org/taxonomy/p/taxonomy-history?taxnode_id=202104943","ICTVonline=202104943")</f>
        <v>ICTVonline=202104943</v>
      </c>
    </row>
    <row r="5352" spans="1:21" x14ac:dyDescent="0.2">
      <c r="A5352" s="3">
        <v>5351</v>
      </c>
      <c r="B5352" s="1" t="s">
        <v>4226</v>
      </c>
      <c r="D5352" s="1" t="s">
        <v>5412</v>
      </c>
      <c r="F5352" s="1" t="s">
        <v>5413</v>
      </c>
      <c r="H5352" s="1" t="s">
        <v>5417</v>
      </c>
      <c r="J5352" s="1" t="s">
        <v>5418</v>
      </c>
      <c r="L5352" s="1" t="s">
        <v>12794</v>
      </c>
      <c r="N5352" s="1" t="s">
        <v>698</v>
      </c>
      <c r="P5352" s="1" t="s">
        <v>1479</v>
      </c>
      <c r="Q5352" s="30" t="s">
        <v>2569</v>
      </c>
      <c r="R5352" s="33" t="s">
        <v>3474</v>
      </c>
      <c r="S5352">
        <v>37</v>
      </c>
      <c r="T5352" s="1" t="s">
        <v>13993</v>
      </c>
      <c r="U5352" s="1" t="str">
        <f>HYPERLINK("http://ictvonline.org/taxonomy/p/taxonomy-history?taxnode_id=202104944","ICTVonline=202104944")</f>
        <v>ICTVonline=202104944</v>
      </c>
    </row>
    <row r="5353" spans="1:21" x14ac:dyDescent="0.2">
      <c r="A5353" s="3">
        <v>5352</v>
      </c>
      <c r="B5353" s="1" t="s">
        <v>4226</v>
      </c>
      <c r="D5353" s="1" t="s">
        <v>5412</v>
      </c>
      <c r="F5353" s="1" t="s">
        <v>5413</v>
      </c>
      <c r="H5353" s="1" t="s">
        <v>5417</v>
      </c>
      <c r="J5353" s="1" t="s">
        <v>5418</v>
      </c>
      <c r="L5353" s="1" t="s">
        <v>12794</v>
      </c>
      <c r="N5353" s="1" t="s">
        <v>698</v>
      </c>
      <c r="P5353" s="1" t="s">
        <v>1480</v>
      </c>
      <c r="Q5353" s="30" t="s">
        <v>2569</v>
      </c>
      <c r="R5353" s="33" t="s">
        <v>3474</v>
      </c>
      <c r="S5353">
        <v>37</v>
      </c>
      <c r="T5353" s="1" t="s">
        <v>13993</v>
      </c>
      <c r="U5353" s="1" t="str">
        <f>HYPERLINK("http://ictvonline.org/taxonomy/p/taxonomy-history?taxnode_id=202104945","ICTVonline=202104945")</f>
        <v>ICTVonline=202104945</v>
      </c>
    </row>
    <row r="5354" spans="1:21" x14ac:dyDescent="0.2">
      <c r="A5354" s="3">
        <v>5353</v>
      </c>
      <c r="B5354" s="1" t="s">
        <v>4226</v>
      </c>
      <c r="D5354" s="1" t="s">
        <v>5412</v>
      </c>
      <c r="F5354" s="1" t="s">
        <v>5413</v>
      </c>
      <c r="H5354" s="1" t="s">
        <v>5417</v>
      </c>
      <c r="J5354" s="1" t="s">
        <v>5418</v>
      </c>
      <c r="L5354" s="1" t="s">
        <v>12794</v>
      </c>
      <c r="N5354" s="1" t="s">
        <v>698</v>
      </c>
      <c r="P5354" s="1" t="s">
        <v>1481</v>
      </c>
      <c r="Q5354" s="30" t="s">
        <v>2569</v>
      </c>
      <c r="R5354" s="33" t="s">
        <v>3474</v>
      </c>
      <c r="S5354">
        <v>37</v>
      </c>
      <c r="T5354" s="1" t="s">
        <v>13993</v>
      </c>
      <c r="U5354" s="1" t="str">
        <f>HYPERLINK("http://ictvonline.org/taxonomy/p/taxonomy-history?taxnode_id=202104946","ICTVonline=202104946")</f>
        <v>ICTVonline=202104946</v>
      </c>
    </row>
    <row r="5355" spans="1:21" x14ac:dyDescent="0.2">
      <c r="A5355" s="3">
        <v>5354</v>
      </c>
      <c r="B5355" s="1" t="s">
        <v>4226</v>
      </c>
      <c r="D5355" s="1" t="s">
        <v>5412</v>
      </c>
      <c r="F5355" s="1" t="s">
        <v>5413</v>
      </c>
      <c r="H5355" s="1" t="s">
        <v>5417</v>
      </c>
      <c r="J5355" s="1" t="s">
        <v>5418</v>
      </c>
      <c r="L5355" s="1" t="s">
        <v>12794</v>
      </c>
      <c r="N5355" s="1" t="s">
        <v>1488</v>
      </c>
      <c r="P5355" s="1" t="s">
        <v>1703</v>
      </c>
      <c r="Q5355" s="30" t="s">
        <v>2569</v>
      </c>
      <c r="R5355" s="33" t="s">
        <v>3474</v>
      </c>
      <c r="S5355">
        <v>37</v>
      </c>
      <c r="T5355" s="1" t="s">
        <v>13993</v>
      </c>
      <c r="U5355" s="1" t="str">
        <f>HYPERLINK("http://ictvonline.org/taxonomy/p/taxonomy-history?taxnode_id=202104948","ICTVonline=202104948")</f>
        <v>ICTVonline=202104948</v>
      </c>
    </row>
    <row r="5356" spans="1:21" x14ac:dyDescent="0.2">
      <c r="A5356" s="3">
        <v>5355</v>
      </c>
      <c r="B5356" s="1" t="s">
        <v>4226</v>
      </c>
      <c r="D5356" s="1" t="s">
        <v>5412</v>
      </c>
      <c r="F5356" s="1" t="s">
        <v>5413</v>
      </c>
      <c r="H5356" s="1" t="s">
        <v>5417</v>
      </c>
      <c r="J5356" s="1" t="s">
        <v>5418</v>
      </c>
      <c r="L5356" s="1" t="s">
        <v>12794</v>
      </c>
      <c r="N5356" s="1" t="s">
        <v>1704</v>
      </c>
      <c r="P5356" s="1" t="s">
        <v>1705</v>
      </c>
      <c r="Q5356" s="30" t="s">
        <v>2569</v>
      </c>
      <c r="R5356" s="33" t="s">
        <v>3474</v>
      </c>
      <c r="S5356">
        <v>37</v>
      </c>
      <c r="T5356" s="1" t="s">
        <v>13993</v>
      </c>
      <c r="U5356" s="1" t="str">
        <f>HYPERLINK("http://ictvonline.org/taxonomy/p/taxonomy-history?taxnode_id=202104950","ICTVonline=202104950")</f>
        <v>ICTVonline=202104950</v>
      </c>
    </row>
    <row r="5357" spans="1:21" x14ac:dyDescent="0.2">
      <c r="A5357" s="3">
        <v>5356</v>
      </c>
      <c r="B5357" s="1" t="s">
        <v>4226</v>
      </c>
      <c r="D5357" s="1" t="s">
        <v>5412</v>
      </c>
      <c r="F5357" s="1" t="s">
        <v>5413</v>
      </c>
      <c r="H5357" s="1" t="s">
        <v>5417</v>
      </c>
      <c r="J5357" s="1" t="s">
        <v>5418</v>
      </c>
      <c r="L5357" s="1" t="s">
        <v>12794</v>
      </c>
      <c r="N5357" s="1" t="s">
        <v>1704</v>
      </c>
      <c r="P5357" s="1" t="s">
        <v>1706</v>
      </c>
      <c r="Q5357" s="30" t="s">
        <v>2569</v>
      </c>
      <c r="R5357" s="33" t="s">
        <v>3474</v>
      </c>
      <c r="S5357">
        <v>37</v>
      </c>
      <c r="T5357" s="1" t="s">
        <v>13993</v>
      </c>
      <c r="U5357" s="1" t="str">
        <f>HYPERLINK("http://ictvonline.org/taxonomy/p/taxonomy-history?taxnode_id=202104951","ICTVonline=202104951")</f>
        <v>ICTVonline=202104951</v>
      </c>
    </row>
    <row r="5358" spans="1:21" x14ac:dyDescent="0.2">
      <c r="A5358" s="3">
        <v>5357</v>
      </c>
      <c r="B5358" s="1" t="s">
        <v>4226</v>
      </c>
      <c r="D5358" s="1" t="s">
        <v>5412</v>
      </c>
      <c r="F5358" s="1" t="s">
        <v>5413</v>
      </c>
      <c r="H5358" s="1" t="s">
        <v>5417</v>
      </c>
      <c r="J5358" s="1" t="s">
        <v>5418</v>
      </c>
      <c r="L5358" s="1" t="s">
        <v>12794</v>
      </c>
      <c r="N5358" s="1" t="s">
        <v>1704</v>
      </c>
      <c r="P5358" s="1" t="s">
        <v>1493</v>
      </c>
      <c r="Q5358" s="30" t="s">
        <v>2569</v>
      </c>
      <c r="R5358" s="33" t="s">
        <v>3474</v>
      </c>
      <c r="S5358">
        <v>37</v>
      </c>
      <c r="T5358" s="1" t="s">
        <v>13993</v>
      </c>
      <c r="U5358" s="1" t="str">
        <f>HYPERLINK("http://ictvonline.org/taxonomy/p/taxonomy-history?taxnode_id=202104952","ICTVonline=202104952")</f>
        <v>ICTVonline=202104952</v>
      </c>
    </row>
    <row r="5359" spans="1:21" x14ac:dyDescent="0.2">
      <c r="A5359" s="3">
        <v>5358</v>
      </c>
      <c r="B5359" s="1" t="s">
        <v>4226</v>
      </c>
      <c r="D5359" s="1" t="s">
        <v>5412</v>
      </c>
      <c r="F5359" s="1" t="s">
        <v>5413</v>
      </c>
      <c r="H5359" s="1" t="s">
        <v>5417</v>
      </c>
      <c r="J5359" s="1" t="s">
        <v>5418</v>
      </c>
      <c r="L5359" s="1" t="s">
        <v>12794</v>
      </c>
      <c r="N5359" s="1" t="s">
        <v>1704</v>
      </c>
      <c r="P5359" s="1" t="s">
        <v>1494</v>
      </c>
      <c r="Q5359" s="30" t="s">
        <v>2569</v>
      </c>
      <c r="R5359" s="33" t="s">
        <v>3474</v>
      </c>
      <c r="S5359">
        <v>37</v>
      </c>
      <c r="T5359" s="1" t="s">
        <v>13993</v>
      </c>
      <c r="U5359" s="1" t="str">
        <f>HYPERLINK("http://ictvonline.org/taxonomy/p/taxonomy-history?taxnode_id=202104953","ICTVonline=202104953")</f>
        <v>ICTVonline=202104953</v>
      </c>
    </row>
    <row r="5360" spans="1:21" x14ac:dyDescent="0.2">
      <c r="A5360" s="3">
        <v>5359</v>
      </c>
      <c r="B5360" s="1" t="s">
        <v>4226</v>
      </c>
      <c r="D5360" s="1" t="s">
        <v>5412</v>
      </c>
      <c r="F5360" s="1" t="s">
        <v>5413</v>
      </c>
      <c r="H5360" s="1" t="s">
        <v>5417</v>
      </c>
      <c r="J5360" s="1" t="s">
        <v>5418</v>
      </c>
      <c r="L5360" s="1" t="s">
        <v>12794</v>
      </c>
      <c r="N5360" s="1" t="s">
        <v>1704</v>
      </c>
      <c r="P5360" s="1" t="s">
        <v>1495</v>
      </c>
      <c r="Q5360" s="30" t="s">
        <v>2569</v>
      </c>
      <c r="R5360" s="33" t="s">
        <v>3474</v>
      </c>
      <c r="S5360">
        <v>37</v>
      </c>
      <c r="T5360" s="1" t="s">
        <v>13993</v>
      </c>
      <c r="U5360" s="1" t="str">
        <f>HYPERLINK("http://ictvonline.org/taxonomy/p/taxonomy-history?taxnode_id=202104954","ICTVonline=202104954")</f>
        <v>ICTVonline=202104954</v>
      </c>
    </row>
    <row r="5361" spans="1:21" x14ac:dyDescent="0.2">
      <c r="A5361" s="3">
        <v>5360</v>
      </c>
      <c r="B5361" s="1" t="s">
        <v>4226</v>
      </c>
      <c r="D5361" s="1" t="s">
        <v>5412</v>
      </c>
      <c r="F5361" s="1" t="s">
        <v>5413</v>
      </c>
      <c r="H5361" s="1" t="s">
        <v>5417</v>
      </c>
      <c r="J5361" s="1" t="s">
        <v>5418</v>
      </c>
      <c r="L5361" s="1" t="s">
        <v>12794</v>
      </c>
      <c r="N5361" s="1" t="s">
        <v>1704</v>
      </c>
      <c r="P5361" s="1" t="s">
        <v>1410</v>
      </c>
      <c r="Q5361" s="30" t="s">
        <v>2569</v>
      </c>
      <c r="R5361" s="33" t="s">
        <v>3474</v>
      </c>
      <c r="S5361">
        <v>37</v>
      </c>
      <c r="T5361" s="1" t="s">
        <v>13993</v>
      </c>
      <c r="U5361" s="1" t="str">
        <f>HYPERLINK("http://ictvonline.org/taxonomy/p/taxonomy-history?taxnode_id=202104955","ICTVonline=202104955")</f>
        <v>ICTVonline=202104955</v>
      </c>
    </row>
    <row r="5362" spans="1:21" x14ac:dyDescent="0.2">
      <c r="A5362" s="3">
        <v>5361</v>
      </c>
      <c r="B5362" s="1" t="s">
        <v>4226</v>
      </c>
      <c r="D5362" s="1" t="s">
        <v>5412</v>
      </c>
      <c r="F5362" s="1" t="s">
        <v>5413</v>
      </c>
      <c r="H5362" s="1" t="s">
        <v>5417</v>
      </c>
      <c r="J5362" s="1" t="s">
        <v>5418</v>
      </c>
      <c r="L5362" s="1" t="s">
        <v>12794</v>
      </c>
      <c r="N5362" s="1" t="s">
        <v>1704</v>
      </c>
      <c r="P5362" s="1" t="s">
        <v>1411</v>
      </c>
      <c r="Q5362" s="30" t="s">
        <v>2569</v>
      </c>
      <c r="R5362" s="33" t="s">
        <v>3474</v>
      </c>
      <c r="S5362">
        <v>37</v>
      </c>
      <c r="T5362" s="1" t="s">
        <v>13993</v>
      </c>
      <c r="U5362" s="1" t="str">
        <f>HYPERLINK("http://ictvonline.org/taxonomy/p/taxonomy-history?taxnode_id=202104956","ICTVonline=202104956")</f>
        <v>ICTVonline=202104956</v>
      </c>
    </row>
    <row r="5363" spans="1:21" x14ac:dyDescent="0.2">
      <c r="A5363" s="3">
        <v>5362</v>
      </c>
      <c r="B5363" s="1" t="s">
        <v>4226</v>
      </c>
      <c r="D5363" s="1" t="s">
        <v>5412</v>
      </c>
      <c r="F5363" s="1" t="s">
        <v>5413</v>
      </c>
      <c r="H5363" s="1" t="s">
        <v>5417</v>
      </c>
      <c r="J5363" s="1" t="s">
        <v>5418</v>
      </c>
      <c r="L5363" s="1" t="s">
        <v>12794</v>
      </c>
      <c r="N5363" s="1" t="s">
        <v>1704</v>
      </c>
      <c r="P5363" s="1" t="s">
        <v>1496</v>
      </c>
      <c r="Q5363" s="30" t="s">
        <v>2569</v>
      </c>
      <c r="R5363" s="33" t="s">
        <v>3474</v>
      </c>
      <c r="S5363">
        <v>37</v>
      </c>
      <c r="T5363" s="1" t="s">
        <v>13993</v>
      </c>
      <c r="U5363" s="1" t="str">
        <f>HYPERLINK("http://ictvonline.org/taxonomy/p/taxonomy-history?taxnode_id=202104957","ICTVonline=202104957")</f>
        <v>ICTVonline=202104957</v>
      </c>
    </row>
    <row r="5364" spans="1:21" x14ac:dyDescent="0.2">
      <c r="A5364" s="3">
        <v>5363</v>
      </c>
      <c r="B5364" s="1" t="s">
        <v>4226</v>
      </c>
      <c r="D5364" s="1" t="s">
        <v>5412</v>
      </c>
      <c r="F5364" s="1" t="s">
        <v>5413</v>
      </c>
      <c r="H5364" s="1" t="s">
        <v>5417</v>
      </c>
      <c r="J5364" s="1" t="s">
        <v>5418</v>
      </c>
      <c r="L5364" s="1" t="s">
        <v>12794</v>
      </c>
      <c r="N5364" s="1" t="s">
        <v>1704</v>
      </c>
      <c r="P5364" s="1" t="s">
        <v>3028</v>
      </c>
      <c r="Q5364" s="30" t="s">
        <v>2569</v>
      </c>
      <c r="R5364" s="33" t="s">
        <v>3474</v>
      </c>
      <c r="S5364">
        <v>37</v>
      </c>
      <c r="T5364" s="1" t="s">
        <v>13993</v>
      </c>
      <c r="U5364" s="1" t="str">
        <f>HYPERLINK("http://ictvonline.org/taxonomy/p/taxonomy-history?taxnode_id=202104958","ICTVonline=202104958")</f>
        <v>ICTVonline=202104958</v>
      </c>
    </row>
    <row r="5365" spans="1:21" x14ac:dyDescent="0.2">
      <c r="A5365" s="3">
        <v>5364</v>
      </c>
      <c r="B5365" s="1" t="s">
        <v>4226</v>
      </c>
      <c r="D5365" s="1" t="s">
        <v>5412</v>
      </c>
      <c r="F5365" s="1" t="s">
        <v>5413</v>
      </c>
      <c r="H5365" s="1" t="s">
        <v>5417</v>
      </c>
      <c r="J5365" s="1" t="s">
        <v>5418</v>
      </c>
      <c r="L5365" s="1" t="s">
        <v>12794</v>
      </c>
      <c r="N5365" s="1" t="s">
        <v>1497</v>
      </c>
      <c r="P5365" s="1" t="s">
        <v>1258</v>
      </c>
      <c r="Q5365" s="30" t="s">
        <v>2569</v>
      </c>
      <c r="R5365" s="33" t="s">
        <v>3474</v>
      </c>
      <c r="S5365">
        <v>37</v>
      </c>
      <c r="T5365" s="1" t="s">
        <v>13993</v>
      </c>
      <c r="U5365" s="1" t="str">
        <f>HYPERLINK("http://ictvonline.org/taxonomy/p/taxonomy-history?taxnode_id=202104960","ICTVonline=202104960")</f>
        <v>ICTVonline=202104960</v>
      </c>
    </row>
    <row r="5366" spans="1:21" x14ac:dyDescent="0.2">
      <c r="A5366" s="3">
        <v>5365</v>
      </c>
      <c r="B5366" s="1" t="s">
        <v>4226</v>
      </c>
      <c r="D5366" s="1" t="s">
        <v>5412</v>
      </c>
      <c r="F5366" s="1" t="s">
        <v>5413</v>
      </c>
      <c r="H5366" s="1" t="s">
        <v>5417</v>
      </c>
      <c r="J5366" s="1" t="s">
        <v>5418</v>
      </c>
      <c r="L5366" s="1" t="s">
        <v>12794</v>
      </c>
      <c r="N5366" s="1" t="s">
        <v>1497</v>
      </c>
      <c r="P5366" s="1" t="s">
        <v>1259</v>
      </c>
      <c r="Q5366" s="30" t="s">
        <v>2569</v>
      </c>
      <c r="R5366" s="33" t="s">
        <v>3474</v>
      </c>
      <c r="S5366">
        <v>37</v>
      </c>
      <c r="T5366" s="1" t="s">
        <v>13993</v>
      </c>
      <c r="U5366" s="1" t="str">
        <f>HYPERLINK("http://ictvonline.org/taxonomy/p/taxonomy-history?taxnode_id=202104961","ICTVonline=202104961")</f>
        <v>ICTVonline=202104961</v>
      </c>
    </row>
    <row r="5367" spans="1:21" x14ac:dyDescent="0.2">
      <c r="A5367" s="3">
        <v>5366</v>
      </c>
      <c r="B5367" s="1" t="s">
        <v>4226</v>
      </c>
      <c r="D5367" s="1" t="s">
        <v>5412</v>
      </c>
      <c r="F5367" s="1" t="s">
        <v>5413</v>
      </c>
      <c r="H5367" s="1" t="s">
        <v>5417</v>
      </c>
      <c r="J5367" s="1" t="s">
        <v>5418</v>
      </c>
      <c r="L5367" s="1" t="s">
        <v>12794</v>
      </c>
      <c r="N5367" s="1" t="s">
        <v>1497</v>
      </c>
      <c r="P5367" s="1" t="s">
        <v>1260</v>
      </c>
      <c r="Q5367" s="30" t="s">
        <v>2569</v>
      </c>
      <c r="R5367" s="33" t="s">
        <v>3474</v>
      </c>
      <c r="S5367">
        <v>37</v>
      </c>
      <c r="T5367" s="1" t="s">
        <v>13993</v>
      </c>
      <c r="U5367" s="1" t="str">
        <f>HYPERLINK("http://ictvonline.org/taxonomy/p/taxonomy-history?taxnode_id=202104962","ICTVonline=202104962")</f>
        <v>ICTVonline=202104962</v>
      </c>
    </row>
    <row r="5368" spans="1:21" x14ac:dyDescent="0.2">
      <c r="A5368" s="3">
        <v>5367</v>
      </c>
      <c r="B5368" s="1" t="s">
        <v>4226</v>
      </c>
      <c r="D5368" s="1" t="s">
        <v>5412</v>
      </c>
      <c r="F5368" s="1" t="s">
        <v>5413</v>
      </c>
      <c r="H5368" s="1" t="s">
        <v>5417</v>
      </c>
      <c r="J5368" s="1" t="s">
        <v>5418</v>
      </c>
      <c r="L5368" s="1" t="s">
        <v>12794</v>
      </c>
      <c r="N5368" s="1" t="s">
        <v>1497</v>
      </c>
      <c r="P5368" s="1" t="s">
        <v>1261</v>
      </c>
      <c r="Q5368" s="30" t="s">
        <v>2569</v>
      </c>
      <c r="R5368" s="33" t="s">
        <v>3474</v>
      </c>
      <c r="S5368">
        <v>37</v>
      </c>
      <c r="T5368" s="1" t="s">
        <v>13993</v>
      </c>
      <c r="U5368" s="1" t="str">
        <f>HYPERLINK("http://ictvonline.org/taxonomy/p/taxonomy-history?taxnode_id=202104963","ICTVonline=202104963")</f>
        <v>ICTVonline=202104963</v>
      </c>
    </row>
    <row r="5369" spans="1:21" x14ac:dyDescent="0.2">
      <c r="A5369" s="3">
        <v>5368</v>
      </c>
      <c r="B5369" s="1" t="s">
        <v>4226</v>
      </c>
      <c r="D5369" s="1" t="s">
        <v>5412</v>
      </c>
      <c r="F5369" s="1" t="s">
        <v>5413</v>
      </c>
      <c r="H5369" s="1" t="s">
        <v>5417</v>
      </c>
      <c r="J5369" s="1" t="s">
        <v>5418</v>
      </c>
      <c r="L5369" s="1" t="s">
        <v>12794</v>
      </c>
      <c r="N5369" s="1" t="s">
        <v>1497</v>
      </c>
      <c r="P5369" s="1" t="s">
        <v>1262</v>
      </c>
      <c r="Q5369" s="30" t="s">
        <v>2569</v>
      </c>
      <c r="R5369" s="33" t="s">
        <v>3474</v>
      </c>
      <c r="S5369">
        <v>37</v>
      </c>
      <c r="T5369" s="1" t="s">
        <v>13993</v>
      </c>
      <c r="U5369" s="1" t="str">
        <f>HYPERLINK("http://ictvonline.org/taxonomy/p/taxonomy-history?taxnode_id=202104964","ICTVonline=202104964")</f>
        <v>ICTVonline=202104964</v>
      </c>
    </row>
    <row r="5370" spans="1:21" x14ac:dyDescent="0.2">
      <c r="A5370" s="3">
        <v>5369</v>
      </c>
      <c r="B5370" s="1" t="s">
        <v>4226</v>
      </c>
      <c r="D5370" s="1" t="s">
        <v>5412</v>
      </c>
      <c r="F5370" s="1" t="s">
        <v>5413</v>
      </c>
      <c r="H5370" s="1" t="s">
        <v>5417</v>
      </c>
      <c r="J5370" s="1" t="s">
        <v>5418</v>
      </c>
      <c r="L5370" s="1" t="s">
        <v>12794</v>
      </c>
      <c r="N5370" s="1" t="s">
        <v>1792</v>
      </c>
      <c r="P5370" s="1" t="s">
        <v>1793</v>
      </c>
      <c r="Q5370" s="30" t="s">
        <v>2569</v>
      </c>
      <c r="R5370" s="33" t="s">
        <v>3474</v>
      </c>
      <c r="S5370">
        <v>37</v>
      </c>
      <c r="T5370" s="1" t="s">
        <v>13993</v>
      </c>
      <c r="U5370" s="1" t="str">
        <f>HYPERLINK("http://ictvonline.org/taxonomy/p/taxonomy-history?taxnode_id=202104966","ICTVonline=202104966")</f>
        <v>ICTVonline=202104966</v>
      </c>
    </row>
    <row r="5371" spans="1:21" x14ac:dyDescent="0.2">
      <c r="A5371" s="3">
        <v>5370</v>
      </c>
      <c r="B5371" s="1" t="s">
        <v>4226</v>
      </c>
      <c r="D5371" s="1" t="s">
        <v>5412</v>
      </c>
      <c r="F5371" s="1" t="s">
        <v>5413</v>
      </c>
      <c r="H5371" s="1" t="s">
        <v>5417</v>
      </c>
      <c r="J5371" s="1" t="s">
        <v>5418</v>
      </c>
      <c r="L5371" s="1" t="s">
        <v>12794</v>
      </c>
      <c r="N5371" s="1" t="s">
        <v>1792</v>
      </c>
      <c r="P5371" s="1" t="s">
        <v>1794</v>
      </c>
      <c r="Q5371" s="30" t="s">
        <v>2569</v>
      </c>
      <c r="R5371" s="33" t="s">
        <v>3474</v>
      </c>
      <c r="S5371">
        <v>37</v>
      </c>
      <c r="T5371" s="1" t="s">
        <v>13993</v>
      </c>
      <c r="U5371" s="1" t="str">
        <f>HYPERLINK("http://ictvonline.org/taxonomy/p/taxonomy-history?taxnode_id=202104967","ICTVonline=202104967")</f>
        <v>ICTVonline=202104967</v>
      </c>
    </row>
    <row r="5372" spans="1:21" x14ac:dyDescent="0.2">
      <c r="A5372" s="3">
        <v>5371</v>
      </c>
      <c r="B5372" s="1" t="s">
        <v>4226</v>
      </c>
      <c r="D5372" s="1" t="s">
        <v>5412</v>
      </c>
      <c r="F5372" s="1" t="s">
        <v>5413</v>
      </c>
      <c r="H5372" s="1" t="s">
        <v>5417</v>
      </c>
      <c r="J5372" s="1" t="s">
        <v>5418</v>
      </c>
      <c r="L5372" s="1" t="s">
        <v>12794</v>
      </c>
      <c r="N5372" s="1" t="s">
        <v>1792</v>
      </c>
      <c r="P5372" s="1" t="s">
        <v>1795</v>
      </c>
      <c r="Q5372" s="30" t="s">
        <v>2569</v>
      </c>
      <c r="R5372" s="33" t="s">
        <v>3474</v>
      </c>
      <c r="S5372">
        <v>37</v>
      </c>
      <c r="T5372" s="1" t="s">
        <v>13993</v>
      </c>
      <c r="U5372" s="1" t="str">
        <f>HYPERLINK("http://ictvonline.org/taxonomy/p/taxonomy-history?taxnode_id=202104968","ICTVonline=202104968")</f>
        <v>ICTVonline=202104968</v>
      </c>
    </row>
    <row r="5373" spans="1:21" x14ac:dyDescent="0.2">
      <c r="A5373" s="3">
        <v>5372</v>
      </c>
      <c r="B5373" s="1" t="s">
        <v>4226</v>
      </c>
      <c r="D5373" s="1" t="s">
        <v>5412</v>
      </c>
      <c r="F5373" s="1" t="s">
        <v>5413</v>
      </c>
      <c r="H5373" s="1" t="s">
        <v>5417</v>
      </c>
      <c r="J5373" s="1" t="s">
        <v>5418</v>
      </c>
      <c r="L5373" s="1" t="s">
        <v>12794</v>
      </c>
      <c r="N5373" s="1" t="s">
        <v>1209</v>
      </c>
      <c r="P5373" s="1" t="s">
        <v>1210</v>
      </c>
      <c r="Q5373" s="30" t="s">
        <v>2569</v>
      </c>
      <c r="R5373" s="33" t="s">
        <v>3474</v>
      </c>
      <c r="S5373">
        <v>37</v>
      </c>
      <c r="T5373" s="1" t="s">
        <v>13993</v>
      </c>
      <c r="U5373" s="1" t="str">
        <f>HYPERLINK("http://ictvonline.org/taxonomy/p/taxonomy-history?taxnode_id=202104970","ICTVonline=202104970")</f>
        <v>ICTVonline=202104970</v>
      </c>
    </row>
    <row r="5374" spans="1:21" x14ac:dyDescent="0.2">
      <c r="A5374" s="3">
        <v>5373</v>
      </c>
      <c r="B5374" s="1" t="s">
        <v>4226</v>
      </c>
      <c r="D5374" s="1" t="s">
        <v>5412</v>
      </c>
      <c r="F5374" s="1" t="s">
        <v>5413</v>
      </c>
      <c r="H5374" s="1" t="s">
        <v>5417</v>
      </c>
      <c r="J5374" s="1" t="s">
        <v>5418</v>
      </c>
      <c r="L5374" s="1" t="s">
        <v>12794</v>
      </c>
      <c r="N5374" s="1" t="s">
        <v>1209</v>
      </c>
      <c r="P5374" s="1" t="s">
        <v>1211</v>
      </c>
      <c r="Q5374" s="30" t="s">
        <v>2569</v>
      </c>
      <c r="R5374" s="33" t="s">
        <v>3474</v>
      </c>
      <c r="S5374">
        <v>37</v>
      </c>
      <c r="T5374" s="1" t="s">
        <v>13993</v>
      </c>
      <c r="U5374" s="1" t="str">
        <f>HYPERLINK("http://ictvonline.org/taxonomy/p/taxonomy-history?taxnode_id=202104971","ICTVonline=202104971")</f>
        <v>ICTVonline=202104971</v>
      </c>
    </row>
    <row r="5375" spans="1:21" x14ac:dyDescent="0.2">
      <c r="A5375" s="3">
        <v>5374</v>
      </c>
      <c r="B5375" s="1" t="s">
        <v>4226</v>
      </c>
      <c r="D5375" s="1" t="s">
        <v>5412</v>
      </c>
      <c r="F5375" s="1" t="s">
        <v>5413</v>
      </c>
      <c r="H5375" s="1" t="s">
        <v>5417</v>
      </c>
      <c r="J5375" s="1" t="s">
        <v>5418</v>
      </c>
      <c r="L5375" s="1" t="s">
        <v>12794</v>
      </c>
      <c r="N5375" s="1" t="s">
        <v>1209</v>
      </c>
      <c r="P5375" s="1" t="s">
        <v>5425</v>
      </c>
      <c r="Q5375" s="30" t="s">
        <v>2569</v>
      </c>
      <c r="R5375" s="33" t="s">
        <v>3474</v>
      </c>
      <c r="S5375">
        <v>37</v>
      </c>
      <c r="T5375" s="1" t="s">
        <v>13993</v>
      </c>
      <c r="U5375" s="1" t="str">
        <f>HYPERLINK("http://ictvonline.org/taxonomy/p/taxonomy-history?taxnode_id=202107547","ICTVonline=202107547")</f>
        <v>ICTVonline=202107547</v>
      </c>
    </row>
    <row r="5376" spans="1:21" x14ac:dyDescent="0.2">
      <c r="A5376" s="3">
        <v>5375</v>
      </c>
      <c r="B5376" s="1" t="s">
        <v>4226</v>
      </c>
      <c r="D5376" s="1" t="s">
        <v>5412</v>
      </c>
      <c r="F5376" s="1" t="s">
        <v>5413</v>
      </c>
      <c r="H5376" s="1" t="s">
        <v>5417</v>
      </c>
      <c r="J5376" s="1" t="s">
        <v>5418</v>
      </c>
      <c r="L5376" s="1" t="s">
        <v>12794</v>
      </c>
      <c r="N5376" s="1" t="s">
        <v>1209</v>
      </c>
      <c r="P5376" s="1" t="s">
        <v>3955</v>
      </c>
      <c r="Q5376" s="30" t="s">
        <v>2569</v>
      </c>
      <c r="R5376" s="33" t="s">
        <v>3474</v>
      </c>
      <c r="S5376">
        <v>37</v>
      </c>
      <c r="T5376" s="1" t="s">
        <v>13993</v>
      </c>
      <c r="U5376" s="1" t="str">
        <f>HYPERLINK("http://ictvonline.org/taxonomy/p/taxonomy-history?taxnode_id=202105927","ICTVonline=202105927")</f>
        <v>ICTVonline=202105927</v>
      </c>
    </row>
    <row r="5377" spans="1:21" x14ac:dyDescent="0.2">
      <c r="A5377" s="3">
        <v>5376</v>
      </c>
      <c r="B5377" s="1" t="s">
        <v>4226</v>
      </c>
      <c r="D5377" s="1" t="s">
        <v>5412</v>
      </c>
      <c r="F5377" s="1" t="s">
        <v>5413</v>
      </c>
      <c r="H5377" s="1" t="s">
        <v>5417</v>
      </c>
      <c r="J5377" s="1" t="s">
        <v>5418</v>
      </c>
      <c r="L5377" s="1" t="s">
        <v>12794</v>
      </c>
      <c r="N5377" s="1" t="s">
        <v>1209</v>
      </c>
      <c r="P5377" s="1" t="s">
        <v>1212</v>
      </c>
      <c r="Q5377" s="30" t="s">
        <v>2569</v>
      </c>
      <c r="R5377" s="33" t="s">
        <v>3474</v>
      </c>
      <c r="S5377">
        <v>37</v>
      </c>
      <c r="T5377" s="1" t="s">
        <v>13993</v>
      </c>
      <c r="U5377" s="1" t="str">
        <f>HYPERLINK("http://ictvonline.org/taxonomy/p/taxonomy-history?taxnode_id=202104972","ICTVonline=202104972")</f>
        <v>ICTVonline=202104972</v>
      </c>
    </row>
    <row r="5378" spans="1:21" x14ac:dyDescent="0.2">
      <c r="A5378" s="3">
        <v>5377</v>
      </c>
      <c r="B5378" s="1" t="s">
        <v>4226</v>
      </c>
      <c r="D5378" s="1" t="s">
        <v>5412</v>
      </c>
      <c r="F5378" s="1" t="s">
        <v>5413</v>
      </c>
      <c r="H5378" s="1" t="s">
        <v>5417</v>
      </c>
      <c r="J5378" s="1" t="s">
        <v>5418</v>
      </c>
      <c r="L5378" s="1" t="s">
        <v>12794</v>
      </c>
      <c r="N5378" s="1" t="s">
        <v>1209</v>
      </c>
      <c r="P5378" s="1" t="s">
        <v>1213</v>
      </c>
      <c r="Q5378" s="30" t="s">
        <v>2569</v>
      </c>
      <c r="R5378" s="33" t="s">
        <v>3474</v>
      </c>
      <c r="S5378">
        <v>37</v>
      </c>
      <c r="T5378" s="1" t="s">
        <v>13993</v>
      </c>
      <c r="U5378" s="1" t="str">
        <f>HYPERLINK("http://ictvonline.org/taxonomy/p/taxonomy-history?taxnode_id=202104973","ICTVonline=202104973")</f>
        <v>ICTVonline=202104973</v>
      </c>
    </row>
    <row r="5379" spans="1:21" x14ac:dyDescent="0.2">
      <c r="A5379" s="3">
        <v>5378</v>
      </c>
      <c r="B5379" s="1" t="s">
        <v>4226</v>
      </c>
      <c r="D5379" s="1" t="s">
        <v>5412</v>
      </c>
      <c r="F5379" s="1" t="s">
        <v>5413</v>
      </c>
      <c r="H5379" s="1" t="s">
        <v>5417</v>
      </c>
      <c r="J5379" s="1" t="s">
        <v>5418</v>
      </c>
      <c r="L5379" s="1" t="s">
        <v>12794</v>
      </c>
      <c r="N5379" s="1" t="s">
        <v>1209</v>
      </c>
      <c r="P5379" s="1" t="s">
        <v>5426</v>
      </c>
      <c r="Q5379" s="30" t="s">
        <v>2569</v>
      </c>
      <c r="R5379" s="33" t="s">
        <v>3474</v>
      </c>
      <c r="S5379">
        <v>37</v>
      </c>
      <c r="T5379" s="1" t="s">
        <v>13993</v>
      </c>
      <c r="U5379" s="1" t="str">
        <f>HYPERLINK("http://ictvonline.org/taxonomy/p/taxonomy-history?taxnode_id=202107548","ICTVonline=202107548")</f>
        <v>ICTVonline=202107548</v>
      </c>
    </row>
    <row r="5380" spans="1:21" x14ac:dyDescent="0.2">
      <c r="A5380" s="3">
        <v>5379</v>
      </c>
      <c r="B5380" s="1" t="s">
        <v>4226</v>
      </c>
      <c r="D5380" s="1" t="s">
        <v>5412</v>
      </c>
      <c r="F5380" s="1" t="s">
        <v>5413</v>
      </c>
      <c r="H5380" s="1" t="s">
        <v>5417</v>
      </c>
      <c r="J5380" s="1" t="s">
        <v>5418</v>
      </c>
      <c r="L5380" s="1" t="s">
        <v>12794</v>
      </c>
      <c r="N5380" s="1" t="s">
        <v>1209</v>
      </c>
      <c r="P5380" s="1" t="s">
        <v>3029</v>
      </c>
      <c r="Q5380" s="30" t="s">
        <v>2569</v>
      </c>
      <c r="R5380" s="33" t="s">
        <v>3474</v>
      </c>
      <c r="S5380">
        <v>37</v>
      </c>
      <c r="T5380" s="1" t="s">
        <v>13993</v>
      </c>
      <c r="U5380" s="1" t="str">
        <f>HYPERLINK("http://ictvonline.org/taxonomy/p/taxonomy-history?taxnode_id=202104974","ICTVonline=202104974")</f>
        <v>ICTVonline=202104974</v>
      </c>
    </row>
    <row r="5381" spans="1:21" x14ac:dyDescent="0.2">
      <c r="A5381" s="3">
        <v>5380</v>
      </c>
      <c r="B5381" s="1" t="s">
        <v>4226</v>
      </c>
      <c r="D5381" s="1" t="s">
        <v>5412</v>
      </c>
      <c r="F5381" s="1" t="s">
        <v>5413</v>
      </c>
      <c r="H5381" s="1" t="s">
        <v>5417</v>
      </c>
      <c r="J5381" s="1" t="s">
        <v>5418</v>
      </c>
      <c r="L5381" s="1" t="s">
        <v>12794</v>
      </c>
      <c r="N5381" s="1" t="s">
        <v>1209</v>
      </c>
      <c r="P5381" s="1" t="s">
        <v>1214</v>
      </c>
      <c r="Q5381" s="30" t="s">
        <v>2569</v>
      </c>
      <c r="R5381" s="33" t="s">
        <v>3474</v>
      </c>
      <c r="S5381">
        <v>37</v>
      </c>
      <c r="T5381" s="1" t="s">
        <v>13993</v>
      </c>
      <c r="U5381" s="1" t="str">
        <f>HYPERLINK("http://ictvonline.org/taxonomy/p/taxonomy-history?taxnode_id=202104975","ICTVonline=202104975")</f>
        <v>ICTVonline=202104975</v>
      </c>
    </row>
    <row r="5382" spans="1:21" x14ac:dyDescent="0.2">
      <c r="A5382" s="3">
        <v>5381</v>
      </c>
      <c r="B5382" s="1" t="s">
        <v>4226</v>
      </c>
      <c r="D5382" s="1" t="s">
        <v>5412</v>
      </c>
      <c r="F5382" s="1" t="s">
        <v>5413</v>
      </c>
      <c r="H5382" s="1" t="s">
        <v>5417</v>
      </c>
      <c r="J5382" s="1" t="s">
        <v>5418</v>
      </c>
      <c r="L5382" s="1" t="s">
        <v>12794</v>
      </c>
      <c r="N5382" s="1" t="s">
        <v>1209</v>
      </c>
      <c r="P5382" s="1" t="s">
        <v>5427</v>
      </c>
      <c r="Q5382" s="30" t="s">
        <v>2569</v>
      </c>
      <c r="R5382" s="33" t="s">
        <v>3474</v>
      </c>
      <c r="S5382">
        <v>37</v>
      </c>
      <c r="T5382" s="1" t="s">
        <v>13993</v>
      </c>
      <c r="U5382" s="1" t="str">
        <f>HYPERLINK("http://ictvonline.org/taxonomy/p/taxonomy-history?taxnode_id=202107549","ICTVonline=202107549")</f>
        <v>ICTVonline=202107549</v>
      </c>
    </row>
    <row r="5383" spans="1:21" x14ac:dyDescent="0.2">
      <c r="A5383" s="3">
        <v>5382</v>
      </c>
      <c r="B5383" s="1" t="s">
        <v>4226</v>
      </c>
      <c r="D5383" s="1" t="s">
        <v>5412</v>
      </c>
      <c r="F5383" s="1" t="s">
        <v>5413</v>
      </c>
      <c r="H5383" s="1" t="s">
        <v>5417</v>
      </c>
      <c r="J5383" s="1" t="s">
        <v>5418</v>
      </c>
      <c r="L5383" s="1" t="s">
        <v>12794</v>
      </c>
      <c r="N5383" s="1" t="s">
        <v>1215</v>
      </c>
      <c r="P5383" s="1" t="s">
        <v>1216</v>
      </c>
      <c r="Q5383" s="30" t="s">
        <v>2569</v>
      </c>
      <c r="R5383" s="33" t="s">
        <v>3474</v>
      </c>
      <c r="S5383">
        <v>37</v>
      </c>
      <c r="T5383" s="1" t="s">
        <v>13993</v>
      </c>
      <c r="U5383" s="1" t="str">
        <f>HYPERLINK("http://ictvonline.org/taxonomy/p/taxonomy-history?taxnode_id=202104977","ICTVonline=202104977")</f>
        <v>ICTVonline=202104977</v>
      </c>
    </row>
    <row r="5384" spans="1:21" x14ac:dyDescent="0.2">
      <c r="A5384" s="3">
        <v>5383</v>
      </c>
      <c r="B5384" s="1" t="s">
        <v>4226</v>
      </c>
      <c r="D5384" s="1" t="s">
        <v>5412</v>
      </c>
      <c r="F5384" s="1" t="s">
        <v>5413</v>
      </c>
      <c r="H5384" s="1" t="s">
        <v>5417</v>
      </c>
      <c r="J5384" s="1" t="s">
        <v>5418</v>
      </c>
      <c r="L5384" s="1" t="s">
        <v>12794</v>
      </c>
      <c r="N5384" s="1" t="s">
        <v>1215</v>
      </c>
      <c r="P5384" s="1" t="s">
        <v>234</v>
      </c>
      <c r="Q5384" s="30" t="s">
        <v>2569</v>
      </c>
      <c r="R5384" s="33" t="s">
        <v>3474</v>
      </c>
      <c r="S5384">
        <v>37</v>
      </c>
      <c r="T5384" s="1" t="s">
        <v>13993</v>
      </c>
      <c r="U5384" s="1" t="str">
        <f>HYPERLINK("http://ictvonline.org/taxonomy/p/taxonomy-history?taxnode_id=202104978","ICTVonline=202104978")</f>
        <v>ICTVonline=202104978</v>
      </c>
    </row>
    <row r="5385" spans="1:21" x14ac:dyDescent="0.2">
      <c r="A5385" s="3">
        <v>5384</v>
      </c>
      <c r="B5385" s="1" t="s">
        <v>4226</v>
      </c>
      <c r="D5385" s="1" t="s">
        <v>5412</v>
      </c>
      <c r="F5385" s="1" t="s">
        <v>5413</v>
      </c>
      <c r="H5385" s="1" t="s">
        <v>5428</v>
      </c>
      <c r="J5385" s="1" t="s">
        <v>5429</v>
      </c>
      <c r="L5385" s="1" t="s">
        <v>1942</v>
      </c>
      <c r="N5385" s="1" t="s">
        <v>1947</v>
      </c>
      <c r="P5385" s="1" t="s">
        <v>12795</v>
      </c>
      <c r="Q5385" s="30" t="s">
        <v>2569</v>
      </c>
      <c r="R5385" s="33" t="s">
        <v>3475</v>
      </c>
      <c r="S5385">
        <v>37</v>
      </c>
      <c r="T5385" s="1" t="s">
        <v>13878</v>
      </c>
      <c r="U5385" s="1" t="str">
        <f>HYPERLINK("http://ictvonline.org/taxonomy/p/taxonomy-history?taxnode_id=202103041","ICTVonline=202103041")</f>
        <v>ICTVonline=202103041</v>
      </c>
    </row>
    <row r="5386" spans="1:21" x14ac:dyDescent="0.2">
      <c r="A5386" s="3">
        <v>5385</v>
      </c>
      <c r="B5386" s="1" t="s">
        <v>4226</v>
      </c>
      <c r="D5386" s="1" t="s">
        <v>5412</v>
      </c>
      <c r="F5386" s="1" t="s">
        <v>5413</v>
      </c>
      <c r="H5386" s="1" t="s">
        <v>5428</v>
      </c>
      <c r="J5386" s="1" t="s">
        <v>5429</v>
      </c>
      <c r="L5386" s="1" t="s">
        <v>1942</v>
      </c>
      <c r="N5386" s="1" t="s">
        <v>1947</v>
      </c>
      <c r="P5386" s="1" t="s">
        <v>12796</v>
      </c>
      <c r="Q5386" s="30" t="s">
        <v>2569</v>
      </c>
      <c r="R5386" s="33" t="s">
        <v>3475</v>
      </c>
      <c r="S5386">
        <v>37</v>
      </c>
      <c r="T5386" s="1" t="s">
        <v>13878</v>
      </c>
      <c r="U5386" s="1" t="str">
        <f>HYPERLINK("http://ictvonline.org/taxonomy/p/taxonomy-history?taxnode_id=202105775","ICTVonline=202105775")</f>
        <v>ICTVonline=202105775</v>
      </c>
    </row>
    <row r="5387" spans="1:21" x14ac:dyDescent="0.2">
      <c r="A5387" s="3">
        <v>5386</v>
      </c>
      <c r="B5387" s="1" t="s">
        <v>4226</v>
      </c>
      <c r="D5387" s="1" t="s">
        <v>5412</v>
      </c>
      <c r="F5387" s="1" t="s">
        <v>5413</v>
      </c>
      <c r="H5387" s="1" t="s">
        <v>5428</v>
      </c>
      <c r="J5387" s="1" t="s">
        <v>5429</v>
      </c>
      <c r="L5387" s="1" t="s">
        <v>1942</v>
      </c>
      <c r="N5387" s="1" t="s">
        <v>1947</v>
      </c>
      <c r="P5387" s="1" t="s">
        <v>12797</v>
      </c>
      <c r="Q5387" s="30" t="s">
        <v>2569</v>
      </c>
      <c r="R5387" s="33" t="s">
        <v>3475</v>
      </c>
      <c r="S5387">
        <v>37</v>
      </c>
      <c r="T5387" s="1" t="s">
        <v>13878</v>
      </c>
      <c r="U5387" s="1" t="str">
        <f>HYPERLINK("http://ictvonline.org/taxonomy/p/taxonomy-history?taxnode_id=202105772","ICTVonline=202105772")</f>
        <v>ICTVonline=202105772</v>
      </c>
    </row>
    <row r="5388" spans="1:21" x14ac:dyDescent="0.2">
      <c r="A5388" s="3">
        <v>5387</v>
      </c>
      <c r="B5388" s="1" t="s">
        <v>4226</v>
      </c>
      <c r="D5388" s="1" t="s">
        <v>5412</v>
      </c>
      <c r="F5388" s="1" t="s">
        <v>5413</v>
      </c>
      <c r="H5388" s="1" t="s">
        <v>5428</v>
      </c>
      <c r="J5388" s="1" t="s">
        <v>5429</v>
      </c>
      <c r="L5388" s="1" t="s">
        <v>1942</v>
      </c>
      <c r="N5388" s="1" t="s">
        <v>1947</v>
      </c>
      <c r="P5388" s="1" t="s">
        <v>12798</v>
      </c>
      <c r="Q5388" s="30" t="s">
        <v>2569</v>
      </c>
      <c r="R5388" s="33" t="s">
        <v>3475</v>
      </c>
      <c r="S5388">
        <v>37</v>
      </c>
      <c r="T5388" s="1" t="s">
        <v>13878</v>
      </c>
      <c r="U5388" s="1" t="str">
        <f>HYPERLINK("http://ictvonline.org/taxonomy/p/taxonomy-history?taxnode_id=202105773","ICTVonline=202105773")</f>
        <v>ICTVonline=202105773</v>
      </c>
    </row>
    <row r="5389" spans="1:21" x14ac:dyDescent="0.2">
      <c r="A5389" s="3">
        <v>5388</v>
      </c>
      <c r="B5389" s="1" t="s">
        <v>4226</v>
      </c>
      <c r="D5389" s="1" t="s">
        <v>5412</v>
      </c>
      <c r="F5389" s="1" t="s">
        <v>5413</v>
      </c>
      <c r="H5389" s="1" t="s">
        <v>5428</v>
      </c>
      <c r="J5389" s="1" t="s">
        <v>5429</v>
      </c>
      <c r="L5389" s="1" t="s">
        <v>1942</v>
      </c>
      <c r="N5389" s="1" t="s">
        <v>1947</v>
      </c>
      <c r="P5389" s="1" t="s">
        <v>12799</v>
      </c>
      <c r="Q5389" s="30" t="s">
        <v>2569</v>
      </c>
      <c r="R5389" s="33" t="s">
        <v>3475</v>
      </c>
      <c r="S5389">
        <v>37</v>
      </c>
      <c r="T5389" s="1" t="s">
        <v>13878</v>
      </c>
      <c r="U5389" s="1" t="str">
        <f>HYPERLINK("http://ictvonline.org/taxonomy/p/taxonomy-history?taxnode_id=202105774","ICTVonline=202105774")</f>
        <v>ICTVonline=202105774</v>
      </c>
    </row>
    <row r="5390" spans="1:21" x14ac:dyDescent="0.2">
      <c r="A5390" s="3">
        <v>5389</v>
      </c>
      <c r="B5390" s="1" t="s">
        <v>4226</v>
      </c>
      <c r="D5390" s="1" t="s">
        <v>5412</v>
      </c>
      <c r="F5390" s="1" t="s">
        <v>5413</v>
      </c>
      <c r="H5390" s="1" t="s">
        <v>5428</v>
      </c>
      <c r="J5390" s="1" t="s">
        <v>5429</v>
      </c>
      <c r="L5390" s="1" t="s">
        <v>1942</v>
      </c>
      <c r="N5390" s="1" t="s">
        <v>1947</v>
      </c>
      <c r="P5390" s="1" t="s">
        <v>12800</v>
      </c>
      <c r="Q5390" s="30" t="s">
        <v>2569</v>
      </c>
      <c r="R5390" s="33" t="s">
        <v>3475</v>
      </c>
      <c r="S5390">
        <v>37</v>
      </c>
      <c r="T5390" s="1" t="s">
        <v>13878</v>
      </c>
      <c r="U5390" s="1" t="str">
        <f>HYPERLINK("http://ictvonline.org/taxonomy/p/taxonomy-history?taxnode_id=202105776","ICTVonline=202105776")</f>
        <v>ICTVonline=202105776</v>
      </c>
    </row>
    <row r="5391" spans="1:21" x14ac:dyDescent="0.2">
      <c r="A5391" s="3">
        <v>5390</v>
      </c>
      <c r="B5391" s="1" t="s">
        <v>4226</v>
      </c>
      <c r="D5391" s="1" t="s">
        <v>5412</v>
      </c>
      <c r="F5391" s="1" t="s">
        <v>5413</v>
      </c>
      <c r="H5391" s="1" t="s">
        <v>5428</v>
      </c>
      <c r="J5391" s="1" t="s">
        <v>5429</v>
      </c>
      <c r="L5391" s="1" t="s">
        <v>1942</v>
      </c>
      <c r="N5391" s="1" t="s">
        <v>1947</v>
      </c>
      <c r="P5391" s="1" t="s">
        <v>12801</v>
      </c>
      <c r="Q5391" s="30" t="s">
        <v>2569</v>
      </c>
      <c r="R5391" s="33" t="s">
        <v>3475</v>
      </c>
      <c r="S5391">
        <v>37</v>
      </c>
      <c r="T5391" s="1" t="s">
        <v>13878</v>
      </c>
      <c r="U5391" s="1" t="str">
        <f>HYPERLINK("http://ictvonline.org/taxonomy/p/taxonomy-history?taxnode_id=202105777","ICTVonline=202105777")</f>
        <v>ICTVonline=202105777</v>
      </c>
    </row>
    <row r="5392" spans="1:21" x14ac:dyDescent="0.2">
      <c r="A5392" s="3">
        <v>5391</v>
      </c>
      <c r="B5392" s="1" t="s">
        <v>4226</v>
      </c>
      <c r="D5392" s="1" t="s">
        <v>5412</v>
      </c>
      <c r="F5392" s="1" t="s">
        <v>5430</v>
      </c>
      <c r="H5392" s="1" t="s">
        <v>5431</v>
      </c>
      <c r="J5392" s="1" t="s">
        <v>5432</v>
      </c>
      <c r="L5392" s="1" t="s">
        <v>18</v>
      </c>
      <c r="N5392" s="1" t="s">
        <v>1752</v>
      </c>
      <c r="P5392" s="1" t="s">
        <v>1753</v>
      </c>
      <c r="Q5392" s="30" t="s">
        <v>2567</v>
      </c>
      <c r="R5392" s="33" t="s">
        <v>3474</v>
      </c>
      <c r="S5392">
        <v>35</v>
      </c>
      <c r="T5392" s="1" t="s">
        <v>5416</v>
      </c>
      <c r="U5392" s="1" t="str">
        <f>HYPERLINK("http://ictvonline.org/taxonomy/p/taxonomy-history?taxnode_id=202102459","ICTVonline=202102459")</f>
        <v>ICTVonline=202102459</v>
      </c>
    </row>
    <row r="5393" spans="1:21" x14ac:dyDescent="0.2">
      <c r="A5393" s="3">
        <v>5392</v>
      </c>
      <c r="B5393" s="1" t="s">
        <v>4226</v>
      </c>
      <c r="D5393" s="1" t="s">
        <v>5412</v>
      </c>
      <c r="F5393" s="1" t="s">
        <v>5430</v>
      </c>
      <c r="H5393" s="1" t="s">
        <v>5431</v>
      </c>
      <c r="J5393" s="1" t="s">
        <v>5432</v>
      </c>
      <c r="L5393" s="1" t="s">
        <v>18</v>
      </c>
      <c r="N5393" s="1" t="s">
        <v>1752</v>
      </c>
      <c r="P5393" s="1" t="s">
        <v>1754</v>
      </c>
      <c r="Q5393" s="30" t="s">
        <v>2567</v>
      </c>
      <c r="R5393" s="33" t="s">
        <v>3474</v>
      </c>
      <c r="S5393">
        <v>35</v>
      </c>
      <c r="T5393" s="1" t="s">
        <v>5416</v>
      </c>
      <c r="U5393" s="1" t="str">
        <f>HYPERLINK("http://ictvonline.org/taxonomy/p/taxonomy-history?taxnode_id=202102460","ICTVonline=202102460")</f>
        <v>ICTVonline=202102460</v>
      </c>
    </row>
    <row r="5394" spans="1:21" x14ac:dyDescent="0.2">
      <c r="A5394" s="3">
        <v>5393</v>
      </c>
      <c r="B5394" s="1" t="s">
        <v>4226</v>
      </c>
      <c r="D5394" s="1" t="s">
        <v>5412</v>
      </c>
      <c r="F5394" s="1" t="s">
        <v>5430</v>
      </c>
      <c r="H5394" s="1" t="s">
        <v>5431</v>
      </c>
      <c r="J5394" s="1" t="s">
        <v>5432</v>
      </c>
      <c r="L5394" s="1" t="s">
        <v>18</v>
      </c>
      <c r="N5394" s="1" t="s">
        <v>1752</v>
      </c>
      <c r="P5394" s="1" t="s">
        <v>1731</v>
      </c>
      <c r="Q5394" s="30" t="s">
        <v>2567</v>
      </c>
      <c r="R5394" s="33" t="s">
        <v>3474</v>
      </c>
      <c r="S5394">
        <v>35</v>
      </c>
      <c r="T5394" s="1" t="s">
        <v>5416</v>
      </c>
      <c r="U5394" s="1" t="str">
        <f>HYPERLINK("http://ictvonline.org/taxonomy/p/taxonomy-history?taxnode_id=202102461","ICTVonline=202102461")</f>
        <v>ICTVonline=202102461</v>
      </c>
    </row>
    <row r="5395" spans="1:21" x14ac:dyDescent="0.2">
      <c r="A5395" s="3">
        <v>5394</v>
      </c>
      <c r="B5395" s="1" t="s">
        <v>4226</v>
      </c>
      <c r="D5395" s="1" t="s">
        <v>5412</v>
      </c>
      <c r="F5395" s="1" t="s">
        <v>5430</v>
      </c>
      <c r="H5395" s="1" t="s">
        <v>5431</v>
      </c>
      <c r="J5395" s="1" t="s">
        <v>5432</v>
      </c>
      <c r="L5395" s="1" t="s">
        <v>18</v>
      </c>
      <c r="N5395" s="1" t="s">
        <v>1752</v>
      </c>
      <c r="P5395" s="1" t="s">
        <v>1733</v>
      </c>
      <c r="Q5395" s="30" t="s">
        <v>2567</v>
      </c>
      <c r="R5395" s="33" t="s">
        <v>8665</v>
      </c>
      <c r="S5395">
        <v>36</v>
      </c>
      <c r="T5395" s="1" t="s">
        <v>8661</v>
      </c>
      <c r="U5395" s="1" t="str">
        <f>HYPERLINK("http://ictvonline.org/taxonomy/p/taxonomy-history?taxnode_id=202102462","ICTVonline=202102462")</f>
        <v>ICTVonline=202102462</v>
      </c>
    </row>
    <row r="5396" spans="1:21" x14ac:dyDescent="0.2">
      <c r="A5396" s="3">
        <v>5395</v>
      </c>
      <c r="B5396" s="1" t="s">
        <v>4226</v>
      </c>
      <c r="D5396" s="1" t="s">
        <v>5412</v>
      </c>
      <c r="F5396" s="1" t="s">
        <v>5430</v>
      </c>
      <c r="H5396" s="1" t="s">
        <v>5431</v>
      </c>
      <c r="J5396" s="1" t="s">
        <v>5432</v>
      </c>
      <c r="L5396" s="1" t="s">
        <v>18</v>
      </c>
      <c r="N5396" s="1" t="s">
        <v>1752</v>
      </c>
      <c r="P5396" s="1" t="s">
        <v>1461</v>
      </c>
      <c r="Q5396" s="30" t="s">
        <v>2567</v>
      </c>
      <c r="R5396" s="33" t="s">
        <v>3474</v>
      </c>
      <c r="S5396">
        <v>35</v>
      </c>
      <c r="T5396" s="1" t="s">
        <v>5416</v>
      </c>
      <c r="U5396" s="1" t="str">
        <f>HYPERLINK("http://ictvonline.org/taxonomy/p/taxonomy-history?taxnode_id=202102463","ICTVonline=202102463")</f>
        <v>ICTVonline=202102463</v>
      </c>
    </row>
    <row r="5397" spans="1:21" x14ac:dyDescent="0.2">
      <c r="A5397" s="3">
        <v>5396</v>
      </c>
      <c r="B5397" s="1" t="s">
        <v>4226</v>
      </c>
      <c r="D5397" s="1" t="s">
        <v>5412</v>
      </c>
      <c r="F5397" s="1" t="s">
        <v>5430</v>
      </c>
      <c r="H5397" s="1" t="s">
        <v>5431</v>
      </c>
      <c r="J5397" s="1" t="s">
        <v>5432</v>
      </c>
      <c r="L5397" s="1" t="s">
        <v>18</v>
      </c>
      <c r="N5397" s="1" t="s">
        <v>1752</v>
      </c>
      <c r="P5397" s="1" t="s">
        <v>1735</v>
      </c>
      <c r="Q5397" s="30" t="s">
        <v>2567</v>
      </c>
      <c r="R5397" s="33" t="s">
        <v>3474</v>
      </c>
      <c r="S5397">
        <v>35</v>
      </c>
      <c r="T5397" s="1" t="s">
        <v>5416</v>
      </c>
      <c r="U5397" s="1" t="str">
        <f>HYPERLINK("http://ictvonline.org/taxonomy/p/taxonomy-history?taxnode_id=202102464","ICTVonline=202102464")</f>
        <v>ICTVonline=202102464</v>
      </c>
    </row>
    <row r="5398" spans="1:21" x14ac:dyDescent="0.2">
      <c r="A5398" s="3">
        <v>5397</v>
      </c>
      <c r="B5398" s="1" t="s">
        <v>4226</v>
      </c>
      <c r="D5398" s="1" t="s">
        <v>5412</v>
      </c>
      <c r="F5398" s="1" t="s">
        <v>5430</v>
      </c>
      <c r="H5398" s="1" t="s">
        <v>5431</v>
      </c>
      <c r="J5398" s="1" t="s">
        <v>5432</v>
      </c>
      <c r="L5398" s="1" t="s">
        <v>18</v>
      </c>
      <c r="N5398" s="1" t="s">
        <v>1752</v>
      </c>
      <c r="P5398" s="1" t="s">
        <v>1737</v>
      </c>
      <c r="Q5398" s="30" t="s">
        <v>2567</v>
      </c>
      <c r="R5398" s="33" t="s">
        <v>3474</v>
      </c>
      <c r="S5398">
        <v>35</v>
      </c>
      <c r="T5398" s="1" t="s">
        <v>5416</v>
      </c>
      <c r="U5398" s="1" t="str">
        <f>HYPERLINK("http://ictvonline.org/taxonomy/p/taxonomy-history?taxnode_id=202102465","ICTVonline=202102465")</f>
        <v>ICTVonline=202102465</v>
      </c>
    </row>
    <row r="5399" spans="1:21" x14ac:dyDescent="0.2">
      <c r="A5399" s="3">
        <v>5398</v>
      </c>
      <c r="B5399" s="1" t="s">
        <v>4226</v>
      </c>
      <c r="D5399" s="1" t="s">
        <v>5412</v>
      </c>
      <c r="F5399" s="1" t="s">
        <v>5430</v>
      </c>
      <c r="H5399" s="1" t="s">
        <v>5431</v>
      </c>
      <c r="J5399" s="1" t="s">
        <v>5432</v>
      </c>
      <c r="L5399" s="1" t="s">
        <v>18</v>
      </c>
      <c r="N5399" s="1" t="s">
        <v>797</v>
      </c>
      <c r="P5399" s="1" t="s">
        <v>798</v>
      </c>
      <c r="Q5399" s="30" t="s">
        <v>2567</v>
      </c>
      <c r="R5399" s="33" t="s">
        <v>3474</v>
      </c>
      <c r="S5399">
        <v>35</v>
      </c>
      <c r="T5399" s="1" t="s">
        <v>5416</v>
      </c>
      <c r="U5399" s="1" t="str">
        <f>HYPERLINK("http://ictvonline.org/taxonomy/p/taxonomy-history?taxnode_id=202102467","ICTVonline=202102467")</f>
        <v>ICTVonline=202102467</v>
      </c>
    </row>
    <row r="5400" spans="1:21" x14ac:dyDescent="0.2">
      <c r="A5400" s="3">
        <v>5399</v>
      </c>
      <c r="B5400" s="1" t="s">
        <v>4226</v>
      </c>
      <c r="D5400" s="1" t="s">
        <v>5412</v>
      </c>
      <c r="F5400" s="1" t="s">
        <v>5430</v>
      </c>
      <c r="H5400" s="1" t="s">
        <v>5431</v>
      </c>
      <c r="J5400" s="1" t="s">
        <v>5432</v>
      </c>
      <c r="L5400" s="1" t="s">
        <v>18</v>
      </c>
      <c r="N5400" s="1" t="s">
        <v>797</v>
      </c>
      <c r="P5400" s="1" t="s">
        <v>799</v>
      </c>
      <c r="Q5400" s="30" t="s">
        <v>2567</v>
      </c>
      <c r="R5400" s="33" t="s">
        <v>3474</v>
      </c>
      <c r="S5400">
        <v>35</v>
      </c>
      <c r="T5400" s="1" t="s">
        <v>5416</v>
      </c>
      <c r="U5400" s="1" t="str">
        <f>HYPERLINK("http://ictvonline.org/taxonomy/p/taxonomy-history?taxnode_id=202102468","ICTVonline=202102468")</f>
        <v>ICTVonline=202102468</v>
      </c>
    </row>
    <row r="5401" spans="1:21" x14ac:dyDescent="0.2">
      <c r="A5401" s="3">
        <v>5400</v>
      </c>
      <c r="B5401" s="1" t="s">
        <v>4226</v>
      </c>
      <c r="D5401" s="1" t="s">
        <v>5412</v>
      </c>
      <c r="F5401" s="1" t="s">
        <v>5430</v>
      </c>
      <c r="H5401" s="1" t="s">
        <v>5431</v>
      </c>
      <c r="J5401" s="1" t="s">
        <v>5432</v>
      </c>
      <c r="L5401" s="1" t="s">
        <v>18</v>
      </c>
      <c r="N5401" s="1" t="s">
        <v>797</v>
      </c>
      <c r="P5401" s="1" t="s">
        <v>800</v>
      </c>
      <c r="Q5401" s="30" t="s">
        <v>2567</v>
      </c>
      <c r="R5401" s="33" t="s">
        <v>8665</v>
      </c>
      <c r="S5401">
        <v>36</v>
      </c>
      <c r="T5401" s="1" t="s">
        <v>8661</v>
      </c>
      <c r="U5401" s="1" t="str">
        <f>HYPERLINK("http://ictvonline.org/taxonomy/p/taxonomy-history?taxnode_id=202102469","ICTVonline=202102469")</f>
        <v>ICTVonline=202102469</v>
      </c>
    </row>
    <row r="5402" spans="1:21" x14ac:dyDescent="0.2">
      <c r="A5402" s="3">
        <v>5401</v>
      </c>
      <c r="B5402" s="1" t="s">
        <v>4226</v>
      </c>
      <c r="D5402" s="1" t="s">
        <v>5412</v>
      </c>
      <c r="F5402" s="1" t="s">
        <v>5430</v>
      </c>
      <c r="H5402" s="1" t="s">
        <v>5431</v>
      </c>
      <c r="J5402" s="1" t="s">
        <v>5432</v>
      </c>
      <c r="L5402" s="1" t="s">
        <v>2223</v>
      </c>
      <c r="N5402" s="1" t="s">
        <v>1157</v>
      </c>
      <c r="P5402" s="1" t="s">
        <v>1158</v>
      </c>
      <c r="Q5402" s="30" t="s">
        <v>2567</v>
      </c>
      <c r="R5402" s="33" t="s">
        <v>8665</v>
      </c>
      <c r="S5402">
        <v>36</v>
      </c>
      <c r="T5402" s="1" t="s">
        <v>8661</v>
      </c>
      <c r="U5402" s="1" t="str">
        <f>HYPERLINK("http://ictvonline.org/taxonomy/p/taxonomy-history?taxnode_id=202102733","ICTVonline=202102733")</f>
        <v>ICTVonline=202102733</v>
      </c>
    </row>
    <row r="5403" spans="1:21" x14ac:dyDescent="0.2">
      <c r="A5403" s="3">
        <v>5402</v>
      </c>
      <c r="B5403" s="1" t="s">
        <v>4226</v>
      </c>
      <c r="D5403" s="1" t="s">
        <v>5412</v>
      </c>
      <c r="F5403" s="1" t="s">
        <v>5430</v>
      </c>
      <c r="H5403" s="1" t="s">
        <v>5431</v>
      </c>
      <c r="J5403" s="1" t="s">
        <v>5432</v>
      </c>
      <c r="L5403" s="1" t="s">
        <v>2223</v>
      </c>
      <c r="N5403" s="1" t="s">
        <v>1157</v>
      </c>
      <c r="P5403" s="1" t="s">
        <v>1159</v>
      </c>
      <c r="Q5403" s="30" t="s">
        <v>2567</v>
      </c>
      <c r="R5403" s="33" t="s">
        <v>3474</v>
      </c>
      <c r="S5403">
        <v>35</v>
      </c>
      <c r="T5403" s="1" t="s">
        <v>5416</v>
      </c>
      <c r="U5403" s="1" t="str">
        <f>HYPERLINK("http://ictvonline.org/taxonomy/p/taxonomy-history?taxnode_id=202102734","ICTVonline=202102734")</f>
        <v>ICTVonline=202102734</v>
      </c>
    </row>
    <row r="5404" spans="1:21" x14ac:dyDescent="0.2">
      <c r="A5404" s="3">
        <v>5403</v>
      </c>
      <c r="B5404" s="1" t="s">
        <v>4226</v>
      </c>
      <c r="D5404" s="1" t="s">
        <v>5412</v>
      </c>
      <c r="F5404" s="1" t="s">
        <v>5430</v>
      </c>
      <c r="H5404" s="1" t="s">
        <v>5431</v>
      </c>
      <c r="J5404" s="1" t="s">
        <v>5432</v>
      </c>
      <c r="L5404" s="1" t="s">
        <v>2223</v>
      </c>
      <c r="N5404" s="1" t="s">
        <v>1157</v>
      </c>
      <c r="P5404" s="1" t="s">
        <v>2224</v>
      </c>
      <c r="Q5404" s="30" t="s">
        <v>2567</v>
      </c>
      <c r="R5404" s="33" t="s">
        <v>3474</v>
      </c>
      <c r="S5404">
        <v>35</v>
      </c>
      <c r="T5404" s="1" t="s">
        <v>5416</v>
      </c>
      <c r="U5404" s="1" t="str">
        <f>HYPERLINK("http://ictvonline.org/taxonomy/p/taxonomy-history?taxnode_id=202102735","ICTVonline=202102735")</f>
        <v>ICTVonline=202102735</v>
      </c>
    </row>
    <row r="5405" spans="1:21" x14ac:dyDescent="0.2">
      <c r="A5405" s="3">
        <v>5404</v>
      </c>
      <c r="B5405" s="1" t="s">
        <v>4226</v>
      </c>
      <c r="D5405" s="1" t="s">
        <v>5412</v>
      </c>
      <c r="F5405" s="1" t="s">
        <v>5430</v>
      </c>
      <c r="H5405" s="1" t="s">
        <v>5431</v>
      </c>
      <c r="J5405" s="1" t="s">
        <v>5432</v>
      </c>
      <c r="L5405" s="1" t="s">
        <v>2223</v>
      </c>
      <c r="N5405" s="1" t="s">
        <v>1157</v>
      </c>
      <c r="P5405" s="1" t="s">
        <v>2130</v>
      </c>
      <c r="Q5405" s="30" t="s">
        <v>2567</v>
      </c>
      <c r="R5405" s="33" t="s">
        <v>3474</v>
      </c>
      <c r="S5405">
        <v>35</v>
      </c>
      <c r="T5405" s="1" t="s">
        <v>5416</v>
      </c>
      <c r="U5405" s="1" t="str">
        <f>HYPERLINK("http://ictvonline.org/taxonomy/p/taxonomy-history?taxnode_id=202102736","ICTVonline=202102736")</f>
        <v>ICTVonline=202102736</v>
      </c>
    </row>
    <row r="5406" spans="1:21" x14ac:dyDescent="0.2">
      <c r="A5406" s="3">
        <v>5405</v>
      </c>
      <c r="B5406" s="1" t="s">
        <v>4226</v>
      </c>
      <c r="D5406" s="1" t="s">
        <v>5412</v>
      </c>
      <c r="F5406" s="1" t="s">
        <v>5430</v>
      </c>
      <c r="H5406" s="1" t="s">
        <v>5431</v>
      </c>
      <c r="J5406" s="1" t="s">
        <v>5432</v>
      </c>
      <c r="L5406" s="1" t="s">
        <v>988</v>
      </c>
      <c r="M5406" s="1" t="s">
        <v>12802</v>
      </c>
      <c r="N5406" s="1" t="s">
        <v>12803</v>
      </c>
      <c r="P5406" s="1" t="s">
        <v>12804</v>
      </c>
      <c r="Q5406" s="30" t="s">
        <v>2567</v>
      </c>
      <c r="R5406" s="33" t="s">
        <v>3472</v>
      </c>
      <c r="S5406">
        <v>37</v>
      </c>
      <c r="T5406" s="1" t="s">
        <v>13994</v>
      </c>
      <c r="U5406" s="1" t="str">
        <f>HYPERLINK("http://ictvonline.org/taxonomy/p/taxonomy-history?taxnode_id=202113887","ICTVonline=202113887")</f>
        <v>ICTVonline=202113887</v>
      </c>
    </row>
    <row r="5407" spans="1:21" x14ac:dyDescent="0.2">
      <c r="A5407" s="3">
        <v>5406</v>
      </c>
      <c r="B5407" s="1" t="s">
        <v>4226</v>
      </c>
      <c r="D5407" s="1" t="s">
        <v>5412</v>
      </c>
      <c r="F5407" s="1" t="s">
        <v>5430</v>
      </c>
      <c r="H5407" s="1" t="s">
        <v>5431</v>
      </c>
      <c r="J5407" s="1" t="s">
        <v>5432</v>
      </c>
      <c r="L5407" s="1" t="s">
        <v>988</v>
      </c>
      <c r="M5407" s="1" t="s">
        <v>12802</v>
      </c>
      <c r="N5407" s="1" t="s">
        <v>12803</v>
      </c>
      <c r="P5407" s="1" t="s">
        <v>12805</v>
      </c>
      <c r="Q5407" s="30" t="s">
        <v>2567</v>
      </c>
      <c r="R5407" s="33" t="s">
        <v>3473</v>
      </c>
      <c r="S5407">
        <v>37</v>
      </c>
      <c r="T5407" s="1" t="s">
        <v>13994</v>
      </c>
      <c r="U5407" s="1" t="str">
        <f>HYPERLINK("http://ictvonline.org/taxonomy/p/taxonomy-history?taxnode_id=202103666","ICTVonline=202103666")</f>
        <v>ICTVonline=202103666</v>
      </c>
    </row>
    <row r="5408" spans="1:21" x14ac:dyDescent="0.2">
      <c r="A5408" s="3">
        <v>5407</v>
      </c>
      <c r="B5408" s="1" t="s">
        <v>4226</v>
      </c>
      <c r="D5408" s="1" t="s">
        <v>5412</v>
      </c>
      <c r="F5408" s="1" t="s">
        <v>5430</v>
      </c>
      <c r="H5408" s="1" t="s">
        <v>5431</v>
      </c>
      <c r="J5408" s="1" t="s">
        <v>5432</v>
      </c>
      <c r="L5408" s="1" t="s">
        <v>988</v>
      </c>
      <c r="M5408" s="1" t="s">
        <v>12802</v>
      </c>
      <c r="N5408" s="1" t="s">
        <v>12806</v>
      </c>
      <c r="P5408" s="1" t="s">
        <v>12807</v>
      </c>
      <c r="Q5408" s="30" t="s">
        <v>2567</v>
      </c>
      <c r="R5408" s="33" t="s">
        <v>3472</v>
      </c>
      <c r="S5408">
        <v>37</v>
      </c>
      <c r="T5408" s="1" t="s">
        <v>13994</v>
      </c>
      <c r="U5408" s="1" t="str">
        <f>HYPERLINK("http://ictvonline.org/taxonomy/p/taxonomy-history?taxnode_id=202113892","ICTVonline=202113892")</f>
        <v>ICTVonline=202113892</v>
      </c>
    </row>
    <row r="5409" spans="1:21" x14ac:dyDescent="0.2">
      <c r="A5409" s="3">
        <v>5408</v>
      </c>
      <c r="B5409" s="1" t="s">
        <v>4226</v>
      </c>
      <c r="D5409" s="1" t="s">
        <v>5412</v>
      </c>
      <c r="F5409" s="1" t="s">
        <v>5430</v>
      </c>
      <c r="H5409" s="1" t="s">
        <v>5431</v>
      </c>
      <c r="J5409" s="1" t="s">
        <v>5432</v>
      </c>
      <c r="L5409" s="1" t="s">
        <v>988</v>
      </c>
      <c r="M5409" s="1" t="s">
        <v>12802</v>
      </c>
      <c r="N5409" s="1" t="s">
        <v>12806</v>
      </c>
      <c r="P5409" s="1" t="s">
        <v>12808</v>
      </c>
      <c r="Q5409" s="30" t="s">
        <v>2567</v>
      </c>
      <c r="R5409" s="33" t="s">
        <v>3473</v>
      </c>
      <c r="S5409">
        <v>37</v>
      </c>
      <c r="T5409" s="1" t="s">
        <v>13994</v>
      </c>
      <c r="U5409" s="1" t="str">
        <f>HYPERLINK("http://ictvonline.org/taxonomy/p/taxonomy-history?taxnode_id=202103668","ICTVonline=202103668")</f>
        <v>ICTVonline=202103668</v>
      </c>
    </row>
    <row r="5410" spans="1:21" x14ac:dyDescent="0.2">
      <c r="A5410" s="3">
        <v>5409</v>
      </c>
      <c r="B5410" s="1" t="s">
        <v>4226</v>
      </c>
      <c r="D5410" s="1" t="s">
        <v>5412</v>
      </c>
      <c r="F5410" s="1" t="s">
        <v>5430</v>
      </c>
      <c r="H5410" s="1" t="s">
        <v>5431</v>
      </c>
      <c r="J5410" s="1" t="s">
        <v>5432</v>
      </c>
      <c r="L5410" s="1" t="s">
        <v>988</v>
      </c>
      <c r="M5410" s="1" t="s">
        <v>12802</v>
      </c>
      <c r="N5410" s="1" t="s">
        <v>12806</v>
      </c>
      <c r="P5410" s="1" t="s">
        <v>12809</v>
      </c>
      <c r="Q5410" s="30" t="s">
        <v>2567</v>
      </c>
      <c r="R5410" s="33" t="s">
        <v>3472</v>
      </c>
      <c r="S5410">
        <v>37</v>
      </c>
      <c r="T5410" s="1" t="s">
        <v>13994</v>
      </c>
      <c r="U5410" s="1" t="str">
        <f>HYPERLINK("http://ictvonline.org/taxonomy/p/taxonomy-history?taxnode_id=202113891","ICTVonline=202113891")</f>
        <v>ICTVonline=202113891</v>
      </c>
    </row>
    <row r="5411" spans="1:21" x14ac:dyDescent="0.2">
      <c r="A5411" s="3">
        <v>5410</v>
      </c>
      <c r="B5411" s="1" t="s">
        <v>4226</v>
      </c>
      <c r="D5411" s="1" t="s">
        <v>5412</v>
      </c>
      <c r="F5411" s="1" t="s">
        <v>5430</v>
      </c>
      <c r="H5411" s="1" t="s">
        <v>5431</v>
      </c>
      <c r="J5411" s="1" t="s">
        <v>5432</v>
      </c>
      <c r="L5411" s="1" t="s">
        <v>988</v>
      </c>
      <c r="M5411" s="1" t="s">
        <v>12802</v>
      </c>
      <c r="N5411" s="1" t="s">
        <v>12810</v>
      </c>
      <c r="P5411" s="1" t="s">
        <v>12811</v>
      </c>
      <c r="Q5411" s="30" t="s">
        <v>2567</v>
      </c>
      <c r="R5411" s="33" t="s">
        <v>3472</v>
      </c>
      <c r="S5411">
        <v>37</v>
      </c>
      <c r="T5411" s="1" t="s">
        <v>13994</v>
      </c>
      <c r="U5411" s="1" t="str">
        <f>HYPERLINK("http://ictvonline.org/taxonomy/p/taxonomy-history?taxnode_id=202113885","ICTVonline=202113885")</f>
        <v>ICTVonline=202113885</v>
      </c>
    </row>
    <row r="5412" spans="1:21" x14ac:dyDescent="0.2">
      <c r="A5412" s="3">
        <v>5411</v>
      </c>
      <c r="B5412" s="1" t="s">
        <v>4226</v>
      </c>
      <c r="D5412" s="1" t="s">
        <v>5412</v>
      </c>
      <c r="F5412" s="1" t="s">
        <v>5430</v>
      </c>
      <c r="H5412" s="1" t="s">
        <v>5431</v>
      </c>
      <c r="J5412" s="1" t="s">
        <v>5432</v>
      </c>
      <c r="L5412" s="1" t="s">
        <v>988</v>
      </c>
      <c r="M5412" s="1" t="s">
        <v>12802</v>
      </c>
      <c r="N5412" s="1" t="s">
        <v>12810</v>
      </c>
      <c r="P5412" s="1" t="s">
        <v>12812</v>
      </c>
      <c r="Q5412" s="30" t="s">
        <v>2567</v>
      </c>
      <c r="R5412" s="33" t="s">
        <v>3473</v>
      </c>
      <c r="S5412">
        <v>37</v>
      </c>
      <c r="T5412" s="1" t="s">
        <v>13994</v>
      </c>
      <c r="U5412" s="1" t="str">
        <f>HYPERLINK("http://ictvonline.org/taxonomy/p/taxonomy-history?taxnode_id=202103665","ICTVonline=202103665")</f>
        <v>ICTVonline=202103665</v>
      </c>
    </row>
    <row r="5413" spans="1:21" x14ac:dyDescent="0.2">
      <c r="A5413" s="3">
        <v>5412</v>
      </c>
      <c r="B5413" s="1" t="s">
        <v>4226</v>
      </c>
      <c r="D5413" s="1" t="s">
        <v>5412</v>
      </c>
      <c r="F5413" s="1" t="s">
        <v>5430</v>
      </c>
      <c r="H5413" s="1" t="s">
        <v>5431</v>
      </c>
      <c r="J5413" s="1" t="s">
        <v>5432</v>
      </c>
      <c r="L5413" s="1" t="s">
        <v>988</v>
      </c>
      <c r="M5413" s="1" t="s">
        <v>12802</v>
      </c>
      <c r="N5413" s="1" t="s">
        <v>12813</v>
      </c>
      <c r="P5413" s="1" t="s">
        <v>12814</v>
      </c>
      <c r="Q5413" s="30" t="s">
        <v>2567</v>
      </c>
      <c r="R5413" s="33" t="s">
        <v>3472</v>
      </c>
      <c r="S5413">
        <v>37</v>
      </c>
      <c r="T5413" s="1" t="s">
        <v>13994</v>
      </c>
      <c r="U5413" s="1" t="str">
        <f>HYPERLINK("http://ictvonline.org/taxonomy/p/taxonomy-history?taxnode_id=202113889","ICTVonline=202113889")</f>
        <v>ICTVonline=202113889</v>
      </c>
    </row>
    <row r="5414" spans="1:21" x14ac:dyDescent="0.2">
      <c r="A5414" s="3">
        <v>5413</v>
      </c>
      <c r="B5414" s="1" t="s">
        <v>4226</v>
      </c>
      <c r="D5414" s="1" t="s">
        <v>5412</v>
      </c>
      <c r="F5414" s="1" t="s">
        <v>5430</v>
      </c>
      <c r="H5414" s="1" t="s">
        <v>5431</v>
      </c>
      <c r="J5414" s="1" t="s">
        <v>5432</v>
      </c>
      <c r="L5414" s="1" t="s">
        <v>988</v>
      </c>
      <c r="M5414" s="1" t="s">
        <v>12802</v>
      </c>
      <c r="N5414" s="1" t="s">
        <v>12813</v>
      </c>
      <c r="P5414" s="1" t="s">
        <v>12815</v>
      </c>
      <c r="Q5414" s="30" t="s">
        <v>2567</v>
      </c>
      <c r="R5414" s="33" t="s">
        <v>3473</v>
      </c>
      <c r="S5414">
        <v>37</v>
      </c>
      <c r="T5414" s="1" t="s">
        <v>13994</v>
      </c>
      <c r="U5414" s="1" t="str">
        <f>HYPERLINK("http://ictvonline.org/taxonomy/p/taxonomy-history?taxnode_id=202103667","ICTVonline=202103667")</f>
        <v>ICTVonline=202103667</v>
      </c>
    </row>
    <row r="5415" spans="1:21" x14ac:dyDescent="0.2">
      <c r="A5415" s="3">
        <v>5414</v>
      </c>
      <c r="B5415" s="1" t="s">
        <v>4226</v>
      </c>
      <c r="D5415" s="1" t="s">
        <v>5412</v>
      </c>
      <c r="F5415" s="1" t="s">
        <v>5430</v>
      </c>
      <c r="H5415" s="1" t="s">
        <v>5431</v>
      </c>
      <c r="J5415" s="1" t="s">
        <v>5432</v>
      </c>
      <c r="L5415" s="1" t="s">
        <v>988</v>
      </c>
      <c r="M5415" s="1" t="s">
        <v>12816</v>
      </c>
      <c r="N5415" s="1" t="s">
        <v>2513</v>
      </c>
      <c r="P5415" s="1" t="s">
        <v>12817</v>
      </c>
      <c r="Q5415" s="30" t="s">
        <v>2567</v>
      </c>
      <c r="R5415" s="33" t="s">
        <v>3473</v>
      </c>
      <c r="S5415">
        <v>37</v>
      </c>
      <c r="T5415" s="1" t="s">
        <v>13994</v>
      </c>
      <c r="U5415" s="1" t="str">
        <f>HYPERLINK("http://ictvonline.org/taxonomy/p/taxonomy-history?taxnode_id=202103670","ICTVonline=202103670")</f>
        <v>ICTVonline=202103670</v>
      </c>
    </row>
    <row r="5416" spans="1:21" x14ac:dyDescent="0.2">
      <c r="A5416" s="3">
        <v>5415</v>
      </c>
      <c r="B5416" s="1" t="s">
        <v>4226</v>
      </c>
      <c r="D5416" s="1" t="s">
        <v>5412</v>
      </c>
      <c r="F5416" s="1" t="s">
        <v>5430</v>
      </c>
      <c r="H5416" s="1" t="s">
        <v>5431</v>
      </c>
      <c r="J5416" s="1" t="s">
        <v>5432</v>
      </c>
      <c r="L5416" s="1" t="s">
        <v>4481</v>
      </c>
      <c r="N5416" s="1" t="s">
        <v>1688</v>
      </c>
      <c r="P5416" s="1" t="s">
        <v>6687</v>
      </c>
      <c r="Q5416" s="30" t="s">
        <v>2567</v>
      </c>
      <c r="R5416" s="33" t="s">
        <v>8666</v>
      </c>
      <c r="S5416">
        <v>36</v>
      </c>
      <c r="T5416" s="1" t="s">
        <v>8670</v>
      </c>
      <c r="U5416" s="1" t="str">
        <f>HYPERLINK("http://ictvonline.org/taxonomy/p/taxonomy-history?taxnode_id=202105115","ICTVonline=202105115")</f>
        <v>ICTVonline=202105115</v>
      </c>
    </row>
    <row r="5417" spans="1:21" x14ac:dyDescent="0.2">
      <c r="A5417" s="3">
        <v>5416</v>
      </c>
      <c r="B5417" s="1" t="s">
        <v>4226</v>
      </c>
      <c r="D5417" s="1" t="s">
        <v>5412</v>
      </c>
      <c r="F5417" s="1" t="s">
        <v>5430</v>
      </c>
      <c r="H5417" s="1" t="s">
        <v>5431</v>
      </c>
      <c r="J5417" s="1" t="s">
        <v>5432</v>
      </c>
      <c r="L5417" s="1" t="s">
        <v>4481</v>
      </c>
      <c r="N5417" s="1" t="s">
        <v>1688</v>
      </c>
      <c r="P5417" s="1" t="s">
        <v>6689</v>
      </c>
      <c r="Q5417" s="30" t="s">
        <v>2567</v>
      </c>
      <c r="R5417" s="33" t="s">
        <v>3472</v>
      </c>
      <c r="S5417">
        <v>36</v>
      </c>
      <c r="T5417" s="1" t="s">
        <v>6688</v>
      </c>
      <c r="U5417" s="1" t="str">
        <f>HYPERLINK("http://ictvonline.org/taxonomy/p/taxonomy-history?taxnode_id=202109288","ICTVonline=202109288")</f>
        <v>ICTVonline=202109288</v>
      </c>
    </row>
    <row r="5418" spans="1:21" x14ac:dyDescent="0.2">
      <c r="A5418" s="3">
        <v>5417</v>
      </c>
      <c r="B5418" s="1" t="s">
        <v>4226</v>
      </c>
      <c r="D5418" s="1" t="s">
        <v>5412</v>
      </c>
      <c r="F5418" s="1" t="s">
        <v>5430</v>
      </c>
      <c r="H5418" s="1" t="s">
        <v>5431</v>
      </c>
      <c r="J5418" s="1" t="s">
        <v>5432</v>
      </c>
      <c r="L5418" s="1" t="s">
        <v>4481</v>
      </c>
      <c r="N5418" s="1" t="s">
        <v>1688</v>
      </c>
      <c r="P5418" s="1" t="s">
        <v>6690</v>
      </c>
      <c r="Q5418" s="30" t="s">
        <v>2567</v>
      </c>
      <c r="R5418" s="33" t="s">
        <v>3472</v>
      </c>
      <c r="S5418">
        <v>36</v>
      </c>
      <c r="T5418" s="1" t="s">
        <v>6688</v>
      </c>
      <c r="U5418" s="1" t="str">
        <f>HYPERLINK("http://ictvonline.org/taxonomy/p/taxonomy-history?taxnode_id=202109289","ICTVonline=202109289")</f>
        <v>ICTVonline=202109289</v>
      </c>
    </row>
    <row r="5419" spans="1:21" x14ac:dyDescent="0.2">
      <c r="A5419" s="3">
        <v>5418</v>
      </c>
      <c r="B5419" s="1" t="s">
        <v>4226</v>
      </c>
      <c r="D5419" s="1" t="s">
        <v>5412</v>
      </c>
      <c r="F5419" s="1" t="s">
        <v>5430</v>
      </c>
      <c r="H5419" s="1" t="s">
        <v>5431</v>
      </c>
      <c r="J5419" s="1" t="s">
        <v>5433</v>
      </c>
      <c r="L5419" s="1" t="s">
        <v>1665</v>
      </c>
      <c r="N5419" s="1" t="s">
        <v>707</v>
      </c>
      <c r="P5419" s="1" t="s">
        <v>708</v>
      </c>
      <c r="Q5419" s="30" t="s">
        <v>2567</v>
      </c>
      <c r="R5419" s="33" t="s">
        <v>8665</v>
      </c>
      <c r="S5419">
        <v>36</v>
      </c>
      <c r="T5419" s="1" t="s">
        <v>8661</v>
      </c>
      <c r="U5419" s="1" t="str">
        <f>HYPERLINK("http://ictvonline.org/taxonomy/p/taxonomy-history?taxnode_id=202102760","ICTVonline=202102760")</f>
        <v>ICTVonline=202102760</v>
      </c>
    </row>
    <row r="5420" spans="1:21" x14ac:dyDescent="0.2">
      <c r="A5420" s="3">
        <v>5419</v>
      </c>
      <c r="B5420" s="1" t="s">
        <v>4226</v>
      </c>
      <c r="D5420" s="1" t="s">
        <v>5412</v>
      </c>
      <c r="F5420" s="1" t="s">
        <v>5430</v>
      </c>
      <c r="H5420" s="1" t="s">
        <v>5431</v>
      </c>
      <c r="J5420" s="1" t="s">
        <v>5433</v>
      </c>
      <c r="L5420" s="1" t="s">
        <v>1665</v>
      </c>
      <c r="N5420" s="1" t="s">
        <v>709</v>
      </c>
      <c r="P5420" s="1" t="s">
        <v>2225</v>
      </c>
      <c r="Q5420" s="30" t="s">
        <v>2567</v>
      </c>
      <c r="R5420" s="33" t="s">
        <v>3474</v>
      </c>
      <c r="S5420">
        <v>35</v>
      </c>
      <c r="T5420" s="1" t="s">
        <v>5416</v>
      </c>
      <c r="U5420" s="1" t="str">
        <f>HYPERLINK("http://ictvonline.org/taxonomy/p/taxonomy-history?taxnode_id=202102762","ICTVonline=202102762")</f>
        <v>ICTVonline=202102762</v>
      </c>
    </row>
    <row r="5421" spans="1:21" x14ac:dyDescent="0.2">
      <c r="A5421" s="3">
        <v>5420</v>
      </c>
      <c r="B5421" s="1" t="s">
        <v>4226</v>
      </c>
      <c r="D5421" s="1" t="s">
        <v>5412</v>
      </c>
      <c r="F5421" s="1" t="s">
        <v>5430</v>
      </c>
      <c r="H5421" s="1" t="s">
        <v>5431</v>
      </c>
      <c r="J5421" s="1" t="s">
        <v>5433</v>
      </c>
      <c r="L5421" s="1" t="s">
        <v>1665</v>
      </c>
      <c r="N5421" s="1" t="s">
        <v>709</v>
      </c>
      <c r="P5421" s="1" t="s">
        <v>12818</v>
      </c>
      <c r="Q5421" s="30" t="s">
        <v>2567</v>
      </c>
      <c r="R5421" s="33" t="s">
        <v>3472</v>
      </c>
      <c r="S5421">
        <v>37</v>
      </c>
      <c r="T5421" s="1" t="s">
        <v>13995</v>
      </c>
      <c r="U5421" s="1" t="str">
        <f>HYPERLINK("http://ictvonline.org/taxonomy/p/taxonomy-history?taxnode_id=202113833","ICTVonline=202113833")</f>
        <v>ICTVonline=202113833</v>
      </c>
    </row>
    <row r="5422" spans="1:21" x14ac:dyDescent="0.2">
      <c r="A5422" s="3">
        <v>5421</v>
      </c>
      <c r="B5422" s="1" t="s">
        <v>4226</v>
      </c>
      <c r="D5422" s="1" t="s">
        <v>5412</v>
      </c>
      <c r="F5422" s="1" t="s">
        <v>5430</v>
      </c>
      <c r="H5422" s="1" t="s">
        <v>5431</v>
      </c>
      <c r="J5422" s="1" t="s">
        <v>5433</v>
      </c>
      <c r="L5422" s="1" t="s">
        <v>1665</v>
      </c>
      <c r="N5422" s="1" t="s">
        <v>709</v>
      </c>
      <c r="P5422" s="1" t="s">
        <v>710</v>
      </c>
      <c r="Q5422" s="30" t="s">
        <v>2567</v>
      </c>
      <c r="R5422" s="33" t="s">
        <v>8665</v>
      </c>
      <c r="S5422">
        <v>36</v>
      </c>
      <c r="T5422" s="1" t="s">
        <v>8661</v>
      </c>
      <c r="U5422" s="1" t="str">
        <f>HYPERLINK("http://ictvonline.org/taxonomy/p/taxonomy-history?taxnode_id=202102763","ICTVonline=202102763")</f>
        <v>ICTVonline=202102763</v>
      </c>
    </row>
    <row r="5423" spans="1:21" x14ac:dyDescent="0.2">
      <c r="A5423" s="3">
        <v>5422</v>
      </c>
      <c r="B5423" s="1" t="s">
        <v>4226</v>
      </c>
      <c r="D5423" s="1" t="s">
        <v>5412</v>
      </c>
      <c r="F5423" s="1" t="s">
        <v>5430</v>
      </c>
      <c r="H5423" s="1" t="s">
        <v>5431</v>
      </c>
      <c r="J5423" s="1" t="s">
        <v>5433</v>
      </c>
      <c r="L5423" s="1" t="s">
        <v>1665</v>
      </c>
      <c r="N5423" s="1" t="s">
        <v>711</v>
      </c>
      <c r="P5423" s="1" t="s">
        <v>712</v>
      </c>
      <c r="Q5423" s="30" t="s">
        <v>2567</v>
      </c>
      <c r="R5423" s="33" t="s">
        <v>3474</v>
      </c>
      <c r="S5423">
        <v>35</v>
      </c>
      <c r="T5423" s="1" t="s">
        <v>5416</v>
      </c>
      <c r="U5423" s="1" t="str">
        <f>HYPERLINK("http://ictvonline.org/taxonomy/p/taxonomy-history?taxnode_id=202102765","ICTVonline=202102765")</f>
        <v>ICTVonline=202102765</v>
      </c>
    </row>
    <row r="5424" spans="1:21" x14ac:dyDescent="0.2">
      <c r="A5424" s="3">
        <v>5423</v>
      </c>
      <c r="B5424" s="1" t="s">
        <v>4226</v>
      </c>
      <c r="D5424" s="1" t="s">
        <v>5412</v>
      </c>
      <c r="F5424" s="1" t="s">
        <v>5430</v>
      </c>
      <c r="H5424" s="1" t="s">
        <v>5431</v>
      </c>
      <c r="J5424" s="1" t="s">
        <v>5433</v>
      </c>
      <c r="L5424" s="1" t="s">
        <v>1665</v>
      </c>
      <c r="N5424" s="1" t="s">
        <v>711</v>
      </c>
      <c r="P5424" s="1" t="s">
        <v>713</v>
      </c>
      <c r="Q5424" s="30" t="s">
        <v>2567</v>
      </c>
      <c r="R5424" s="33" t="s">
        <v>8665</v>
      </c>
      <c r="S5424">
        <v>36</v>
      </c>
      <c r="T5424" s="1" t="s">
        <v>8661</v>
      </c>
      <c r="U5424" s="1" t="str">
        <f>HYPERLINK("http://ictvonline.org/taxonomy/p/taxonomy-history?taxnode_id=202102766","ICTVonline=202102766")</f>
        <v>ICTVonline=202102766</v>
      </c>
    </row>
    <row r="5425" spans="1:21" x14ac:dyDescent="0.2">
      <c r="A5425" s="3">
        <v>5424</v>
      </c>
      <c r="B5425" s="1" t="s">
        <v>4226</v>
      </c>
      <c r="D5425" s="1" t="s">
        <v>5412</v>
      </c>
      <c r="F5425" s="1" t="s">
        <v>5430</v>
      </c>
      <c r="H5425" s="1" t="s">
        <v>5431</v>
      </c>
      <c r="J5425" s="1" t="s">
        <v>5433</v>
      </c>
      <c r="L5425" s="1" t="s">
        <v>1665</v>
      </c>
      <c r="N5425" s="1" t="s">
        <v>711</v>
      </c>
      <c r="P5425" s="1" t="s">
        <v>12819</v>
      </c>
      <c r="Q5425" s="30" t="s">
        <v>2567</v>
      </c>
      <c r="R5425" s="33" t="s">
        <v>3472</v>
      </c>
      <c r="S5425">
        <v>37</v>
      </c>
      <c r="T5425" s="1" t="s">
        <v>13996</v>
      </c>
      <c r="U5425" s="1" t="str">
        <f>HYPERLINK("http://ictvonline.org/taxonomy/p/taxonomy-history?taxnode_id=202113834","ICTVonline=202113834")</f>
        <v>ICTVonline=202113834</v>
      </c>
    </row>
    <row r="5426" spans="1:21" x14ac:dyDescent="0.2">
      <c r="A5426" s="3">
        <v>5425</v>
      </c>
      <c r="B5426" s="1" t="s">
        <v>4226</v>
      </c>
      <c r="D5426" s="1" t="s">
        <v>5412</v>
      </c>
      <c r="F5426" s="1" t="s">
        <v>5430</v>
      </c>
      <c r="H5426" s="1" t="s">
        <v>5431</v>
      </c>
      <c r="J5426" s="1" t="s">
        <v>5433</v>
      </c>
      <c r="L5426" s="1" t="s">
        <v>1665</v>
      </c>
      <c r="N5426" s="1" t="s">
        <v>711</v>
      </c>
      <c r="P5426" s="1" t="s">
        <v>714</v>
      </c>
      <c r="Q5426" s="30" t="s">
        <v>2567</v>
      </c>
      <c r="R5426" s="33" t="s">
        <v>3474</v>
      </c>
      <c r="S5426">
        <v>35</v>
      </c>
      <c r="T5426" s="1" t="s">
        <v>5416</v>
      </c>
      <c r="U5426" s="1" t="str">
        <f>HYPERLINK("http://ictvonline.org/taxonomy/p/taxonomy-history?taxnode_id=202102767","ICTVonline=202102767")</f>
        <v>ICTVonline=202102767</v>
      </c>
    </row>
    <row r="5427" spans="1:21" x14ac:dyDescent="0.2">
      <c r="A5427" s="3">
        <v>5426</v>
      </c>
      <c r="B5427" s="1" t="s">
        <v>4226</v>
      </c>
      <c r="D5427" s="1" t="s">
        <v>5412</v>
      </c>
      <c r="F5427" s="1" t="s">
        <v>5430</v>
      </c>
      <c r="H5427" s="1" t="s">
        <v>5431</v>
      </c>
      <c r="J5427" s="1" t="s">
        <v>5433</v>
      </c>
      <c r="L5427" s="1" t="s">
        <v>1665</v>
      </c>
      <c r="N5427" s="1" t="s">
        <v>711</v>
      </c>
      <c r="P5427" s="1" t="s">
        <v>1668</v>
      </c>
      <c r="Q5427" s="30" t="s">
        <v>2567</v>
      </c>
      <c r="R5427" s="33" t="s">
        <v>3474</v>
      </c>
      <c r="S5427">
        <v>35</v>
      </c>
      <c r="T5427" s="1" t="s">
        <v>5416</v>
      </c>
      <c r="U5427" s="1" t="str">
        <f>HYPERLINK("http://ictvonline.org/taxonomy/p/taxonomy-history?taxnode_id=202102768","ICTVonline=202102768")</f>
        <v>ICTVonline=202102768</v>
      </c>
    </row>
    <row r="5428" spans="1:21" x14ac:dyDescent="0.2">
      <c r="A5428" s="3">
        <v>5427</v>
      </c>
      <c r="B5428" s="1" t="s">
        <v>4226</v>
      </c>
      <c r="D5428" s="1" t="s">
        <v>5412</v>
      </c>
      <c r="F5428" s="1" t="s">
        <v>5430</v>
      </c>
      <c r="H5428" s="1" t="s">
        <v>5431</v>
      </c>
      <c r="J5428" s="1" t="s">
        <v>5433</v>
      </c>
      <c r="L5428" s="1" t="s">
        <v>1665</v>
      </c>
      <c r="N5428" s="1" t="s">
        <v>711</v>
      </c>
      <c r="P5428" s="1" t="s">
        <v>1669</v>
      </c>
      <c r="Q5428" s="30" t="s">
        <v>2567</v>
      </c>
      <c r="R5428" s="33" t="s">
        <v>3474</v>
      </c>
      <c r="S5428">
        <v>35</v>
      </c>
      <c r="T5428" s="1" t="s">
        <v>5416</v>
      </c>
      <c r="U5428" s="1" t="str">
        <f>HYPERLINK("http://ictvonline.org/taxonomy/p/taxonomy-history?taxnode_id=202102769","ICTVonline=202102769")</f>
        <v>ICTVonline=202102769</v>
      </c>
    </row>
    <row r="5429" spans="1:21" x14ac:dyDescent="0.2">
      <c r="A5429" s="3">
        <v>5428</v>
      </c>
      <c r="B5429" s="1" t="s">
        <v>4226</v>
      </c>
      <c r="D5429" s="1" t="s">
        <v>5412</v>
      </c>
      <c r="F5429" s="1" t="s">
        <v>5430</v>
      </c>
      <c r="H5429" s="1" t="s">
        <v>5431</v>
      </c>
      <c r="J5429" s="1" t="s">
        <v>5433</v>
      </c>
      <c r="L5429" s="1" t="s">
        <v>1665</v>
      </c>
      <c r="N5429" s="1" t="s">
        <v>711</v>
      </c>
      <c r="P5429" s="1" t="s">
        <v>616</v>
      </c>
      <c r="Q5429" s="30" t="s">
        <v>2567</v>
      </c>
      <c r="R5429" s="33" t="s">
        <v>3474</v>
      </c>
      <c r="S5429">
        <v>35</v>
      </c>
      <c r="T5429" s="1" t="s">
        <v>5416</v>
      </c>
      <c r="U5429" s="1" t="str">
        <f>HYPERLINK("http://ictvonline.org/taxonomy/p/taxonomy-history?taxnode_id=202102770","ICTVonline=202102770")</f>
        <v>ICTVonline=202102770</v>
      </c>
    </row>
    <row r="5430" spans="1:21" x14ac:dyDescent="0.2">
      <c r="A5430" s="3">
        <v>5429</v>
      </c>
      <c r="B5430" s="1" t="s">
        <v>4226</v>
      </c>
      <c r="D5430" s="1" t="s">
        <v>5412</v>
      </c>
      <c r="F5430" s="1" t="s">
        <v>5430</v>
      </c>
      <c r="H5430" s="1" t="s">
        <v>5431</v>
      </c>
      <c r="J5430" s="1" t="s">
        <v>5433</v>
      </c>
      <c r="L5430" s="1" t="s">
        <v>1665</v>
      </c>
      <c r="N5430" s="1" t="s">
        <v>617</v>
      </c>
      <c r="P5430" s="1" t="s">
        <v>618</v>
      </c>
      <c r="Q5430" s="30" t="s">
        <v>2567</v>
      </c>
      <c r="R5430" s="33" t="s">
        <v>8665</v>
      </c>
      <c r="S5430">
        <v>36</v>
      </c>
      <c r="T5430" s="1" t="s">
        <v>8661</v>
      </c>
      <c r="U5430" s="1" t="str">
        <f>HYPERLINK("http://ictvonline.org/taxonomy/p/taxonomy-history?taxnode_id=202102772","ICTVonline=202102772")</f>
        <v>ICTVonline=202102772</v>
      </c>
    </row>
    <row r="5431" spans="1:21" x14ac:dyDescent="0.2">
      <c r="A5431" s="3">
        <v>5430</v>
      </c>
      <c r="B5431" s="1" t="s">
        <v>4226</v>
      </c>
      <c r="D5431" s="1" t="s">
        <v>5412</v>
      </c>
      <c r="F5431" s="1" t="s">
        <v>5430</v>
      </c>
      <c r="H5431" s="1" t="s">
        <v>5431</v>
      </c>
      <c r="J5431" s="1" t="s">
        <v>5433</v>
      </c>
      <c r="L5431" s="1" t="s">
        <v>1665</v>
      </c>
      <c r="N5431" s="1" t="s">
        <v>617</v>
      </c>
      <c r="P5431" s="1" t="s">
        <v>66</v>
      </c>
      <c r="Q5431" s="30" t="s">
        <v>2567</v>
      </c>
      <c r="R5431" s="33" t="s">
        <v>3474</v>
      </c>
      <c r="S5431">
        <v>35</v>
      </c>
      <c r="T5431" s="1" t="s">
        <v>5416</v>
      </c>
      <c r="U5431" s="1" t="str">
        <f>HYPERLINK("http://ictvonline.org/taxonomy/p/taxonomy-history?taxnode_id=202102773","ICTVonline=202102773")</f>
        <v>ICTVonline=202102773</v>
      </c>
    </row>
    <row r="5432" spans="1:21" x14ac:dyDescent="0.2">
      <c r="A5432" s="3">
        <v>5431</v>
      </c>
      <c r="B5432" s="1" t="s">
        <v>4226</v>
      </c>
      <c r="D5432" s="1" t="s">
        <v>5412</v>
      </c>
      <c r="F5432" s="1" t="s">
        <v>5430</v>
      </c>
      <c r="H5432" s="1" t="s">
        <v>5431</v>
      </c>
      <c r="J5432" s="1" t="s">
        <v>5433</v>
      </c>
      <c r="L5432" s="1" t="s">
        <v>1665</v>
      </c>
      <c r="N5432" s="1" t="s">
        <v>617</v>
      </c>
      <c r="P5432" s="1" t="s">
        <v>1672</v>
      </c>
      <c r="Q5432" s="30" t="s">
        <v>2567</v>
      </c>
      <c r="R5432" s="33" t="s">
        <v>3474</v>
      </c>
      <c r="S5432">
        <v>35</v>
      </c>
      <c r="T5432" s="1" t="s">
        <v>5416</v>
      </c>
      <c r="U5432" s="1" t="str">
        <f>HYPERLINK("http://ictvonline.org/taxonomy/p/taxonomy-history?taxnode_id=202102774","ICTVonline=202102774")</f>
        <v>ICTVonline=202102774</v>
      </c>
    </row>
    <row r="5433" spans="1:21" x14ac:dyDescent="0.2">
      <c r="A5433" s="3">
        <v>5432</v>
      </c>
      <c r="B5433" s="1" t="s">
        <v>4226</v>
      </c>
      <c r="D5433" s="1" t="s">
        <v>5412</v>
      </c>
      <c r="F5433" s="1" t="s">
        <v>5430</v>
      </c>
      <c r="H5433" s="1" t="s">
        <v>5431</v>
      </c>
      <c r="J5433" s="1" t="s">
        <v>5433</v>
      </c>
      <c r="L5433" s="1" t="s">
        <v>1665</v>
      </c>
      <c r="N5433" s="1" t="s">
        <v>617</v>
      </c>
      <c r="P5433" s="1" t="s">
        <v>1673</v>
      </c>
      <c r="Q5433" s="30" t="s">
        <v>2567</v>
      </c>
      <c r="R5433" s="33" t="s">
        <v>3474</v>
      </c>
      <c r="S5433">
        <v>35</v>
      </c>
      <c r="T5433" s="1" t="s">
        <v>5416</v>
      </c>
      <c r="U5433" s="1" t="str">
        <f>HYPERLINK("http://ictvonline.org/taxonomy/p/taxonomy-history?taxnode_id=202102775","ICTVonline=202102775")</f>
        <v>ICTVonline=202102775</v>
      </c>
    </row>
    <row r="5434" spans="1:21" x14ac:dyDescent="0.2">
      <c r="A5434" s="3">
        <v>5433</v>
      </c>
      <c r="B5434" s="1" t="s">
        <v>4226</v>
      </c>
      <c r="D5434" s="1" t="s">
        <v>5412</v>
      </c>
      <c r="F5434" s="1" t="s">
        <v>5430</v>
      </c>
      <c r="H5434" s="1" t="s">
        <v>5431</v>
      </c>
      <c r="J5434" s="1" t="s">
        <v>5433</v>
      </c>
      <c r="L5434" s="1" t="s">
        <v>1665</v>
      </c>
      <c r="N5434" s="1" t="s">
        <v>1674</v>
      </c>
      <c r="P5434" s="1" t="s">
        <v>3778</v>
      </c>
      <c r="Q5434" s="30" t="s">
        <v>2567</v>
      </c>
      <c r="R5434" s="33" t="s">
        <v>3474</v>
      </c>
      <c r="S5434">
        <v>35</v>
      </c>
      <c r="T5434" s="1" t="s">
        <v>5416</v>
      </c>
      <c r="U5434" s="1" t="str">
        <f>HYPERLINK("http://ictvonline.org/taxonomy/p/taxonomy-history?taxnode_id=202105758","ICTVonline=202105758")</f>
        <v>ICTVonline=202105758</v>
      </c>
    </row>
    <row r="5435" spans="1:21" x14ac:dyDescent="0.2">
      <c r="A5435" s="3">
        <v>5434</v>
      </c>
      <c r="B5435" s="1" t="s">
        <v>4226</v>
      </c>
      <c r="D5435" s="1" t="s">
        <v>5412</v>
      </c>
      <c r="F5435" s="1" t="s">
        <v>5430</v>
      </c>
      <c r="H5435" s="1" t="s">
        <v>5431</v>
      </c>
      <c r="J5435" s="1" t="s">
        <v>5433</v>
      </c>
      <c r="L5435" s="1" t="s">
        <v>1665</v>
      </c>
      <c r="N5435" s="1" t="s">
        <v>1674</v>
      </c>
      <c r="P5435" s="1" t="s">
        <v>1675</v>
      </c>
      <c r="Q5435" s="30" t="s">
        <v>2567</v>
      </c>
      <c r="R5435" s="33" t="s">
        <v>3474</v>
      </c>
      <c r="S5435">
        <v>35</v>
      </c>
      <c r="T5435" s="1" t="s">
        <v>5416</v>
      </c>
      <c r="U5435" s="1" t="str">
        <f>HYPERLINK("http://ictvonline.org/taxonomy/p/taxonomy-history?taxnode_id=202102777","ICTVonline=202102777")</f>
        <v>ICTVonline=202102777</v>
      </c>
    </row>
    <row r="5436" spans="1:21" x14ac:dyDescent="0.2">
      <c r="A5436" s="3">
        <v>5435</v>
      </c>
      <c r="B5436" s="1" t="s">
        <v>4226</v>
      </c>
      <c r="D5436" s="1" t="s">
        <v>5412</v>
      </c>
      <c r="F5436" s="1" t="s">
        <v>5430</v>
      </c>
      <c r="H5436" s="1" t="s">
        <v>5431</v>
      </c>
      <c r="J5436" s="1" t="s">
        <v>5433</v>
      </c>
      <c r="L5436" s="1" t="s">
        <v>1665</v>
      </c>
      <c r="N5436" s="1" t="s">
        <v>1674</v>
      </c>
      <c r="P5436" s="1" t="s">
        <v>1676</v>
      </c>
      <c r="Q5436" s="30" t="s">
        <v>2567</v>
      </c>
      <c r="R5436" s="33" t="s">
        <v>3474</v>
      </c>
      <c r="S5436">
        <v>35</v>
      </c>
      <c r="T5436" s="1" t="s">
        <v>5416</v>
      </c>
      <c r="U5436" s="1" t="str">
        <f>HYPERLINK("http://ictvonline.org/taxonomy/p/taxonomy-history?taxnode_id=202102778","ICTVonline=202102778")</f>
        <v>ICTVonline=202102778</v>
      </c>
    </row>
    <row r="5437" spans="1:21" x14ac:dyDescent="0.2">
      <c r="A5437" s="3">
        <v>5436</v>
      </c>
      <c r="B5437" s="1" t="s">
        <v>4226</v>
      </c>
      <c r="D5437" s="1" t="s">
        <v>5412</v>
      </c>
      <c r="F5437" s="1" t="s">
        <v>5430</v>
      </c>
      <c r="H5437" s="1" t="s">
        <v>5431</v>
      </c>
      <c r="J5437" s="1" t="s">
        <v>5433</v>
      </c>
      <c r="L5437" s="1" t="s">
        <v>1665</v>
      </c>
      <c r="N5437" s="1" t="s">
        <v>1674</v>
      </c>
      <c r="P5437" s="1" t="s">
        <v>1677</v>
      </c>
      <c r="Q5437" s="30" t="s">
        <v>2567</v>
      </c>
      <c r="R5437" s="33" t="s">
        <v>3474</v>
      </c>
      <c r="S5437">
        <v>35</v>
      </c>
      <c r="T5437" s="1" t="s">
        <v>5416</v>
      </c>
      <c r="U5437" s="1" t="str">
        <f>HYPERLINK("http://ictvonline.org/taxonomy/p/taxonomy-history?taxnode_id=202102779","ICTVonline=202102779")</f>
        <v>ICTVonline=202102779</v>
      </c>
    </row>
    <row r="5438" spans="1:21" x14ac:dyDescent="0.2">
      <c r="A5438" s="3">
        <v>5437</v>
      </c>
      <c r="B5438" s="1" t="s">
        <v>4226</v>
      </c>
      <c r="D5438" s="1" t="s">
        <v>5412</v>
      </c>
      <c r="F5438" s="1" t="s">
        <v>5430</v>
      </c>
      <c r="H5438" s="1" t="s">
        <v>5431</v>
      </c>
      <c r="J5438" s="1" t="s">
        <v>5433</v>
      </c>
      <c r="L5438" s="1" t="s">
        <v>1665</v>
      </c>
      <c r="N5438" s="1" t="s">
        <v>1674</v>
      </c>
      <c r="P5438" s="1" t="s">
        <v>67</v>
      </c>
      <c r="Q5438" s="30" t="s">
        <v>2567</v>
      </c>
      <c r="R5438" s="33" t="s">
        <v>3474</v>
      </c>
      <c r="S5438">
        <v>35</v>
      </c>
      <c r="T5438" s="1" t="s">
        <v>5416</v>
      </c>
      <c r="U5438" s="1" t="str">
        <f>HYPERLINK("http://ictvonline.org/taxonomy/p/taxonomy-history?taxnode_id=202102780","ICTVonline=202102780")</f>
        <v>ICTVonline=202102780</v>
      </c>
    </row>
    <row r="5439" spans="1:21" x14ac:dyDescent="0.2">
      <c r="A5439" s="3">
        <v>5438</v>
      </c>
      <c r="B5439" s="1" t="s">
        <v>4226</v>
      </c>
      <c r="D5439" s="1" t="s">
        <v>5412</v>
      </c>
      <c r="F5439" s="1" t="s">
        <v>5430</v>
      </c>
      <c r="H5439" s="1" t="s">
        <v>5431</v>
      </c>
      <c r="J5439" s="1" t="s">
        <v>5433</v>
      </c>
      <c r="L5439" s="1" t="s">
        <v>1665</v>
      </c>
      <c r="N5439" s="1" t="s">
        <v>1674</v>
      </c>
      <c r="P5439" s="1" t="s">
        <v>1678</v>
      </c>
      <c r="Q5439" s="30" t="s">
        <v>2567</v>
      </c>
      <c r="R5439" s="33" t="s">
        <v>3474</v>
      </c>
      <c r="S5439">
        <v>35</v>
      </c>
      <c r="T5439" s="1" t="s">
        <v>5416</v>
      </c>
      <c r="U5439" s="1" t="str">
        <f>HYPERLINK("http://ictvonline.org/taxonomy/p/taxonomy-history?taxnode_id=202102781","ICTVonline=202102781")</f>
        <v>ICTVonline=202102781</v>
      </c>
    </row>
    <row r="5440" spans="1:21" x14ac:dyDescent="0.2">
      <c r="A5440" s="3">
        <v>5439</v>
      </c>
      <c r="B5440" s="1" t="s">
        <v>4226</v>
      </c>
      <c r="D5440" s="1" t="s">
        <v>5412</v>
      </c>
      <c r="F5440" s="1" t="s">
        <v>5430</v>
      </c>
      <c r="H5440" s="1" t="s">
        <v>5431</v>
      </c>
      <c r="J5440" s="1" t="s">
        <v>5433</v>
      </c>
      <c r="L5440" s="1" t="s">
        <v>1665</v>
      </c>
      <c r="N5440" s="1" t="s">
        <v>1674</v>
      </c>
      <c r="P5440" s="1" t="s">
        <v>1679</v>
      </c>
      <c r="Q5440" s="30" t="s">
        <v>2567</v>
      </c>
      <c r="R5440" s="33" t="s">
        <v>3474</v>
      </c>
      <c r="S5440">
        <v>35</v>
      </c>
      <c r="T5440" s="1" t="s">
        <v>5416</v>
      </c>
      <c r="U5440" s="1" t="str">
        <f>HYPERLINK("http://ictvonline.org/taxonomy/p/taxonomy-history?taxnode_id=202102782","ICTVonline=202102782")</f>
        <v>ICTVonline=202102782</v>
      </c>
    </row>
    <row r="5441" spans="1:21" x14ac:dyDescent="0.2">
      <c r="A5441" s="3">
        <v>5440</v>
      </c>
      <c r="B5441" s="1" t="s">
        <v>4226</v>
      </c>
      <c r="D5441" s="1" t="s">
        <v>5412</v>
      </c>
      <c r="F5441" s="1" t="s">
        <v>5430</v>
      </c>
      <c r="H5441" s="1" t="s">
        <v>5431</v>
      </c>
      <c r="J5441" s="1" t="s">
        <v>5433</v>
      </c>
      <c r="L5441" s="1" t="s">
        <v>1665</v>
      </c>
      <c r="N5441" s="1" t="s">
        <v>1674</v>
      </c>
      <c r="P5441" s="1" t="s">
        <v>721</v>
      </c>
      <c r="Q5441" s="30" t="s">
        <v>2567</v>
      </c>
      <c r="R5441" s="33" t="s">
        <v>3474</v>
      </c>
      <c r="S5441">
        <v>35</v>
      </c>
      <c r="T5441" s="1" t="s">
        <v>5416</v>
      </c>
      <c r="U5441" s="1" t="str">
        <f>HYPERLINK("http://ictvonline.org/taxonomy/p/taxonomy-history?taxnode_id=202102783","ICTVonline=202102783")</f>
        <v>ICTVonline=202102783</v>
      </c>
    </row>
    <row r="5442" spans="1:21" x14ac:dyDescent="0.2">
      <c r="A5442" s="3">
        <v>5441</v>
      </c>
      <c r="B5442" s="1" t="s">
        <v>4226</v>
      </c>
      <c r="D5442" s="1" t="s">
        <v>5412</v>
      </c>
      <c r="F5442" s="1" t="s">
        <v>5430</v>
      </c>
      <c r="H5442" s="1" t="s">
        <v>5431</v>
      </c>
      <c r="J5442" s="1" t="s">
        <v>5433</v>
      </c>
      <c r="L5442" s="1" t="s">
        <v>1665</v>
      </c>
      <c r="N5442" s="1" t="s">
        <v>1674</v>
      </c>
      <c r="P5442" s="1" t="s">
        <v>722</v>
      </c>
      <c r="Q5442" s="30" t="s">
        <v>2567</v>
      </c>
      <c r="R5442" s="33" t="s">
        <v>3474</v>
      </c>
      <c r="S5442">
        <v>35</v>
      </c>
      <c r="T5442" s="1" t="s">
        <v>5416</v>
      </c>
      <c r="U5442" s="1" t="str">
        <f>HYPERLINK("http://ictvonline.org/taxonomy/p/taxonomy-history?taxnode_id=202102784","ICTVonline=202102784")</f>
        <v>ICTVonline=202102784</v>
      </c>
    </row>
    <row r="5443" spans="1:21" x14ac:dyDescent="0.2">
      <c r="A5443" s="3">
        <v>5442</v>
      </c>
      <c r="B5443" s="1" t="s">
        <v>4226</v>
      </c>
      <c r="D5443" s="1" t="s">
        <v>5412</v>
      </c>
      <c r="F5443" s="1" t="s">
        <v>5430</v>
      </c>
      <c r="H5443" s="1" t="s">
        <v>5431</v>
      </c>
      <c r="J5443" s="1" t="s">
        <v>5433</v>
      </c>
      <c r="L5443" s="1" t="s">
        <v>1665</v>
      </c>
      <c r="N5443" s="1" t="s">
        <v>1674</v>
      </c>
      <c r="P5443" s="1" t="s">
        <v>723</v>
      </c>
      <c r="Q5443" s="30" t="s">
        <v>2567</v>
      </c>
      <c r="R5443" s="33" t="s">
        <v>3474</v>
      </c>
      <c r="S5443">
        <v>35</v>
      </c>
      <c r="T5443" s="1" t="s">
        <v>5416</v>
      </c>
      <c r="U5443" s="1" t="str">
        <f>HYPERLINK("http://ictvonline.org/taxonomy/p/taxonomy-history?taxnode_id=202102785","ICTVonline=202102785")</f>
        <v>ICTVonline=202102785</v>
      </c>
    </row>
    <row r="5444" spans="1:21" x14ac:dyDescent="0.2">
      <c r="A5444" s="3">
        <v>5443</v>
      </c>
      <c r="B5444" s="1" t="s">
        <v>4226</v>
      </c>
      <c r="D5444" s="1" t="s">
        <v>5412</v>
      </c>
      <c r="F5444" s="1" t="s">
        <v>5430</v>
      </c>
      <c r="H5444" s="1" t="s">
        <v>5431</v>
      </c>
      <c r="J5444" s="1" t="s">
        <v>5433</v>
      </c>
      <c r="L5444" s="1" t="s">
        <v>1665</v>
      </c>
      <c r="N5444" s="1" t="s">
        <v>1674</v>
      </c>
      <c r="P5444" s="1" t="s">
        <v>724</v>
      </c>
      <c r="Q5444" s="30" t="s">
        <v>2567</v>
      </c>
      <c r="R5444" s="33" t="s">
        <v>3474</v>
      </c>
      <c r="S5444">
        <v>35</v>
      </c>
      <c r="T5444" s="1" t="s">
        <v>5416</v>
      </c>
      <c r="U5444" s="1" t="str">
        <f>HYPERLINK("http://ictvonline.org/taxonomy/p/taxonomy-history?taxnode_id=202102786","ICTVonline=202102786")</f>
        <v>ICTVonline=202102786</v>
      </c>
    </row>
    <row r="5445" spans="1:21" x14ac:dyDescent="0.2">
      <c r="A5445" s="3">
        <v>5444</v>
      </c>
      <c r="B5445" s="1" t="s">
        <v>4226</v>
      </c>
      <c r="D5445" s="1" t="s">
        <v>5412</v>
      </c>
      <c r="F5445" s="1" t="s">
        <v>5430</v>
      </c>
      <c r="H5445" s="1" t="s">
        <v>5431</v>
      </c>
      <c r="J5445" s="1" t="s">
        <v>5433</v>
      </c>
      <c r="L5445" s="1" t="s">
        <v>1665</v>
      </c>
      <c r="N5445" s="1" t="s">
        <v>1674</v>
      </c>
      <c r="P5445" s="1" t="s">
        <v>68</v>
      </c>
      <c r="Q5445" s="30" t="s">
        <v>2567</v>
      </c>
      <c r="R5445" s="33" t="s">
        <v>3474</v>
      </c>
      <c r="S5445">
        <v>35</v>
      </c>
      <c r="T5445" s="1" t="s">
        <v>5416</v>
      </c>
      <c r="U5445" s="1" t="str">
        <f>HYPERLINK("http://ictvonline.org/taxonomy/p/taxonomy-history?taxnode_id=202102787","ICTVonline=202102787")</f>
        <v>ICTVonline=202102787</v>
      </c>
    </row>
    <row r="5446" spans="1:21" x14ac:dyDescent="0.2">
      <c r="A5446" s="3">
        <v>5445</v>
      </c>
      <c r="B5446" s="1" t="s">
        <v>4226</v>
      </c>
      <c r="D5446" s="1" t="s">
        <v>5412</v>
      </c>
      <c r="F5446" s="1" t="s">
        <v>5430</v>
      </c>
      <c r="H5446" s="1" t="s">
        <v>5431</v>
      </c>
      <c r="J5446" s="1" t="s">
        <v>5433</v>
      </c>
      <c r="L5446" s="1" t="s">
        <v>1665</v>
      </c>
      <c r="N5446" s="1" t="s">
        <v>1674</v>
      </c>
      <c r="P5446" s="1" t="s">
        <v>725</v>
      </c>
      <c r="Q5446" s="30" t="s">
        <v>2567</v>
      </c>
      <c r="R5446" s="33" t="s">
        <v>3474</v>
      </c>
      <c r="S5446">
        <v>35</v>
      </c>
      <c r="T5446" s="1" t="s">
        <v>5416</v>
      </c>
      <c r="U5446" s="1" t="str">
        <f>HYPERLINK("http://ictvonline.org/taxonomy/p/taxonomy-history?taxnode_id=202102788","ICTVonline=202102788")</f>
        <v>ICTVonline=202102788</v>
      </c>
    </row>
    <row r="5447" spans="1:21" x14ac:dyDescent="0.2">
      <c r="A5447" s="3">
        <v>5446</v>
      </c>
      <c r="B5447" s="1" t="s">
        <v>4226</v>
      </c>
      <c r="D5447" s="1" t="s">
        <v>5412</v>
      </c>
      <c r="F5447" s="1" t="s">
        <v>5430</v>
      </c>
      <c r="H5447" s="1" t="s">
        <v>5431</v>
      </c>
      <c r="J5447" s="1" t="s">
        <v>5433</v>
      </c>
      <c r="L5447" s="1" t="s">
        <v>1665</v>
      </c>
      <c r="N5447" s="1" t="s">
        <v>1674</v>
      </c>
      <c r="P5447" s="1" t="s">
        <v>220</v>
      </c>
      <c r="Q5447" s="30" t="s">
        <v>2567</v>
      </c>
      <c r="R5447" s="33" t="s">
        <v>3474</v>
      </c>
      <c r="S5447">
        <v>35</v>
      </c>
      <c r="T5447" s="1" t="s">
        <v>5416</v>
      </c>
      <c r="U5447" s="1" t="str">
        <f>HYPERLINK("http://ictvonline.org/taxonomy/p/taxonomy-history?taxnode_id=202102789","ICTVonline=202102789")</f>
        <v>ICTVonline=202102789</v>
      </c>
    </row>
    <row r="5448" spans="1:21" x14ac:dyDescent="0.2">
      <c r="A5448" s="3">
        <v>5447</v>
      </c>
      <c r="B5448" s="1" t="s">
        <v>4226</v>
      </c>
      <c r="D5448" s="1" t="s">
        <v>5412</v>
      </c>
      <c r="F5448" s="1" t="s">
        <v>5430</v>
      </c>
      <c r="H5448" s="1" t="s">
        <v>5431</v>
      </c>
      <c r="J5448" s="1" t="s">
        <v>5433</v>
      </c>
      <c r="L5448" s="1" t="s">
        <v>1665</v>
      </c>
      <c r="N5448" s="1" t="s">
        <v>1674</v>
      </c>
      <c r="P5448" s="1" t="s">
        <v>3779</v>
      </c>
      <c r="Q5448" s="30" t="s">
        <v>2567</v>
      </c>
      <c r="R5448" s="33" t="s">
        <v>3474</v>
      </c>
      <c r="S5448">
        <v>35</v>
      </c>
      <c r="T5448" s="1" t="s">
        <v>5416</v>
      </c>
      <c r="U5448" s="1" t="str">
        <f>HYPERLINK("http://ictvonline.org/taxonomy/p/taxonomy-history?taxnode_id=202105759","ICTVonline=202105759")</f>
        <v>ICTVonline=202105759</v>
      </c>
    </row>
    <row r="5449" spans="1:21" x14ac:dyDescent="0.2">
      <c r="A5449" s="3">
        <v>5448</v>
      </c>
      <c r="B5449" s="1" t="s">
        <v>4226</v>
      </c>
      <c r="D5449" s="1" t="s">
        <v>5412</v>
      </c>
      <c r="F5449" s="1" t="s">
        <v>5430</v>
      </c>
      <c r="H5449" s="1" t="s">
        <v>5431</v>
      </c>
      <c r="J5449" s="1" t="s">
        <v>5433</v>
      </c>
      <c r="L5449" s="1" t="s">
        <v>1665</v>
      </c>
      <c r="N5449" s="1" t="s">
        <v>1674</v>
      </c>
      <c r="P5449" s="1" t="s">
        <v>221</v>
      </c>
      <c r="Q5449" s="30" t="s">
        <v>2567</v>
      </c>
      <c r="R5449" s="33" t="s">
        <v>3474</v>
      </c>
      <c r="S5449">
        <v>35</v>
      </c>
      <c r="T5449" s="1" t="s">
        <v>5416</v>
      </c>
      <c r="U5449" s="1" t="str">
        <f>HYPERLINK("http://ictvonline.org/taxonomy/p/taxonomy-history?taxnode_id=202102790","ICTVonline=202102790")</f>
        <v>ICTVonline=202102790</v>
      </c>
    </row>
    <row r="5450" spans="1:21" x14ac:dyDescent="0.2">
      <c r="A5450" s="3">
        <v>5449</v>
      </c>
      <c r="B5450" s="1" t="s">
        <v>4226</v>
      </c>
      <c r="D5450" s="1" t="s">
        <v>5412</v>
      </c>
      <c r="F5450" s="1" t="s">
        <v>5430</v>
      </c>
      <c r="H5450" s="1" t="s">
        <v>5431</v>
      </c>
      <c r="J5450" s="1" t="s">
        <v>5433</v>
      </c>
      <c r="L5450" s="1" t="s">
        <v>1665</v>
      </c>
      <c r="N5450" s="1" t="s">
        <v>1674</v>
      </c>
      <c r="P5450" s="1" t="s">
        <v>222</v>
      </c>
      <c r="Q5450" s="30" t="s">
        <v>2567</v>
      </c>
      <c r="R5450" s="33" t="s">
        <v>3474</v>
      </c>
      <c r="S5450">
        <v>35</v>
      </c>
      <c r="T5450" s="1" t="s">
        <v>5416</v>
      </c>
      <c r="U5450" s="1" t="str">
        <f>HYPERLINK("http://ictvonline.org/taxonomy/p/taxonomy-history?taxnode_id=202102791","ICTVonline=202102791")</f>
        <v>ICTVonline=202102791</v>
      </c>
    </row>
    <row r="5451" spans="1:21" x14ac:dyDescent="0.2">
      <c r="A5451" s="3">
        <v>5450</v>
      </c>
      <c r="B5451" s="1" t="s">
        <v>4226</v>
      </c>
      <c r="D5451" s="1" t="s">
        <v>5412</v>
      </c>
      <c r="F5451" s="1" t="s">
        <v>5430</v>
      </c>
      <c r="H5451" s="1" t="s">
        <v>5431</v>
      </c>
      <c r="J5451" s="1" t="s">
        <v>5433</v>
      </c>
      <c r="L5451" s="1" t="s">
        <v>1665</v>
      </c>
      <c r="N5451" s="1" t="s">
        <v>1674</v>
      </c>
      <c r="P5451" s="1" t="s">
        <v>1122</v>
      </c>
      <c r="Q5451" s="30" t="s">
        <v>2567</v>
      </c>
      <c r="R5451" s="33" t="s">
        <v>3474</v>
      </c>
      <c r="S5451">
        <v>35</v>
      </c>
      <c r="T5451" s="1" t="s">
        <v>5416</v>
      </c>
      <c r="U5451" s="1" t="str">
        <f>HYPERLINK("http://ictvonline.org/taxonomy/p/taxonomy-history?taxnode_id=202102792","ICTVonline=202102792")</f>
        <v>ICTVonline=202102792</v>
      </c>
    </row>
    <row r="5452" spans="1:21" x14ac:dyDescent="0.2">
      <c r="A5452" s="3">
        <v>5451</v>
      </c>
      <c r="B5452" s="1" t="s">
        <v>4226</v>
      </c>
      <c r="D5452" s="1" t="s">
        <v>5412</v>
      </c>
      <c r="F5452" s="1" t="s">
        <v>5430</v>
      </c>
      <c r="H5452" s="1" t="s">
        <v>5431</v>
      </c>
      <c r="J5452" s="1" t="s">
        <v>5433</v>
      </c>
      <c r="L5452" s="1" t="s">
        <v>1665</v>
      </c>
      <c r="N5452" s="1" t="s">
        <v>1674</v>
      </c>
      <c r="P5452" s="1" t="s">
        <v>69</v>
      </c>
      <c r="Q5452" s="30" t="s">
        <v>2567</v>
      </c>
      <c r="R5452" s="33" t="s">
        <v>3474</v>
      </c>
      <c r="S5452">
        <v>35</v>
      </c>
      <c r="T5452" s="1" t="s">
        <v>5416</v>
      </c>
      <c r="U5452" s="1" t="str">
        <f>HYPERLINK("http://ictvonline.org/taxonomy/p/taxonomy-history?taxnode_id=202102793","ICTVonline=202102793")</f>
        <v>ICTVonline=202102793</v>
      </c>
    </row>
    <row r="5453" spans="1:21" x14ac:dyDescent="0.2">
      <c r="A5453" s="3">
        <v>5452</v>
      </c>
      <c r="B5453" s="1" t="s">
        <v>4226</v>
      </c>
      <c r="D5453" s="1" t="s">
        <v>5412</v>
      </c>
      <c r="F5453" s="1" t="s">
        <v>5430</v>
      </c>
      <c r="H5453" s="1" t="s">
        <v>5431</v>
      </c>
      <c r="J5453" s="1" t="s">
        <v>5433</v>
      </c>
      <c r="L5453" s="1" t="s">
        <v>1665</v>
      </c>
      <c r="N5453" s="1" t="s">
        <v>1674</v>
      </c>
      <c r="P5453" s="1" t="s">
        <v>1831</v>
      </c>
      <c r="Q5453" s="30" t="s">
        <v>2567</v>
      </c>
      <c r="R5453" s="33" t="s">
        <v>8665</v>
      </c>
      <c r="S5453">
        <v>36</v>
      </c>
      <c r="T5453" s="1" t="s">
        <v>8661</v>
      </c>
      <c r="U5453" s="1" t="str">
        <f>HYPERLINK("http://ictvonline.org/taxonomy/p/taxonomy-history?taxnode_id=202102794","ICTVonline=202102794")</f>
        <v>ICTVonline=202102794</v>
      </c>
    </row>
    <row r="5454" spans="1:21" x14ac:dyDescent="0.2">
      <c r="A5454" s="3">
        <v>5453</v>
      </c>
      <c r="B5454" s="1" t="s">
        <v>4226</v>
      </c>
      <c r="D5454" s="1" t="s">
        <v>5412</v>
      </c>
      <c r="F5454" s="1" t="s">
        <v>5430</v>
      </c>
      <c r="H5454" s="1" t="s">
        <v>5431</v>
      </c>
      <c r="J5454" s="1" t="s">
        <v>5433</v>
      </c>
      <c r="L5454" s="1" t="s">
        <v>1665</v>
      </c>
      <c r="N5454" s="1" t="s">
        <v>1674</v>
      </c>
      <c r="P5454" s="1" t="s">
        <v>3780</v>
      </c>
      <c r="Q5454" s="30" t="s">
        <v>2567</v>
      </c>
      <c r="R5454" s="33" t="s">
        <v>3474</v>
      </c>
      <c r="S5454">
        <v>35</v>
      </c>
      <c r="T5454" s="1" t="s">
        <v>5416</v>
      </c>
      <c r="U5454" s="1" t="str">
        <f>HYPERLINK("http://ictvonline.org/taxonomy/p/taxonomy-history?taxnode_id=202105760","ICTVonline=202105760")</f>
        <v>ICTVonline=202105760</v>
      </c>
    </row>
    <row r="5455" spans="1:21" x14ac:dyDescent="0.2">
      <c r="A5455" s="3">
        <v>5454</v>
      </c>
      <c r="B5455" s="1" t="s">
        <v>4226</v>
      </c>
      <c r="D5455" s="1" t="s">
        <v>5412</v>
      </c>
      <c r="F5455" s="1" t="s">
        <v>5430</v>
      </c>
      <c r="H5455" s="1" t="s">
        <v>5431</v>
      </c>
      <c r="J5455" s="1" t="s">
        <v>5433</v>
      </c>
      <c r="L5455" s="1" t="s">
        <v>1665</v>
      </c>
      <c r="N5455" s="1" t="s">
        <v>1674</v>
      </c>
      <c r="P5455" s="1" t="s">
        <v>1832</v>
      </c>
      <c r="Q5455" s="30" t="s">
        <v>2567</v>
      </c>
      <c r="R5455" s="33" t="s">
        <v>3474</v>
      </c>
      <c r="S5455">
        <v>35</v>
      </c>
      <c r="T5455" s="1" t="s">
        <v>5416</v>
      </c>
      <c r="U5455" s="1" t="str">
        <f>HYPERLINK("http://ictvonline.org/taxonomy/p/taxonomy-history?taxnode_id=202102795","ICTVonline=202102795")</f>
        <v>ICTVonline=202102795</v>
      </c>
    </row>
    <row r="5456" spans="1:21" x14ac:dyDescent="0.2">
      <c r="A5456" s="3">
        <v>5455</v>
      </c>
      <c r="B5456" s="1" t="s">
        <v>4226</v>
      </c>
      <c r="D5456" s="1" t="s">
        <v>5412</v>
      </c>
      <c r="F5456" s="1" t="s">
        <v>5430</v>
      </c>
      <c r="H5456" s="1" t="s">
        <v>5431</v>
      </c>
      <c r="J5456" s="1" t="s">
        <v>5433</v>
      </c>
      <c r="L5456" s="1" t="s">
        <v>1665</v>
      </c>
      <c r="N5456" s="1" t="s">
        <v>1833</v>
      </c>
      <c r="P5456" s="1" t="s">
        <v>1834</v>
      </c>
      <c r="Q5456" s="30" t="s">
        <v>2567</v>
      </c>
      <c r="R5456" s="33" t="s">
        <v>8665</v>
      </c>
      <c r="S5456">
        <v>36</v>
      </c>
      <c r="T5456" s="1" t="s">
        <v>8661</v>
      </c>
      <c r="U5456" s="1" t="str">
        <f>HYPERLINK("http://ictvonline.org/taxonomy/p/taxonomy-history?taxnode_id=202102797","ICTVonline=202102797")</f>
        <v>ICTVonline=202102797</v>
      </c>
    </row>
    <row r="5457" spans="1:21" x14ac:dyDescent="0.2">
      <c r="A5457" s="3">
        <v>5456</v>
      </c>
      <c r="B5457" s="1" t="s">
        <v>4226</v>
      </c>
      <c r="D5457" s="1" t="s">
        <v>5412</v>
      </c>
      <c r="F5457" s="1" t="s">
        <v>5430</v>
      </c>
      <c r="H5457" s="1" t="s">
        <v>5431</v>
      </c>
      <c r="J5457" s="1" t="s">
        <v>5433</v>
      </c>
      <c r="L5457" s="1" t="s">
        <v>1829</v>
      </c>
      <c r="N5457" s="1" t="s">
        <v>1830</v>
      </c>
      <c r="P5457" s="1" t="s">
        <v>4468</v>
      </c>
      <c r="Q5457" s="30" t="s">
        <v>2567</v>
      </c>
      <c r="R5457" s="33" t="s">
        <v>3474</v>
      </c>
      <c r="S5457">
        <v>35</v>
      </c>
      <c r="T5457" s="1" t="s">
        <v>5416</v>
      </c>
      <c r="U5457" s="1" t="str">
        <f>HYPERLINK("http://ictvonline.org/taxonomy/p/taxonomy-history?taxnode_id=202106656","ICTVonline=202106656")</f>
        <v>ICTVonline=202106656</v>
      </c>
    </row>
    <row r="5458" spans="1:21" x14ac:dyDescent="0.2">
      <c r="A5458" s="3">
        <v>5457</v>
      </c>
      <c r="B5458" s="1" t="s">
        <v>4226</v>
      </c>
      <c r="D5458" s="1" t="s">
        <v>5412</v>
      </c>
      <c r="F5458" s="1" t="s">
        <v>5430</v>
      </c>
      <c r="H5458" s="1" t="s">
        <v>5431</v>
      </c>
      <c r="J5458" s="1" t="s">
        <v>5433</v>
      </c>
      <c r="L5458" s="1" t="s">
        <v>1829</v>
      </c>
      <c r="N5458" s="1" t="s">
        <v>1830</v>
      </c>
      <c r="P5458" s="1" t="s">
        <v>2900</v>
      </c>
      <c r="Q5458" s="30" t="s">
        <v>2567</v>
      </c>
      <c r="R5458" s="33" t="s">
        <v>3474</v>
      </c>
      <c r="S5458">
        <v>35</v>
      </c>
      <c r="T5458" s="1" t="s">
        <v>5416</v>
      </c>
      <c r="U5458" s="1" t="str">
        <f>HYPERLINK("http://ictvonline.org/taxonomy/p/taxonomy-history?taxnode_id=202102981","ICTVonline=202102981")</f>
        <v>ICTVonline=202102981</v>
      </c>
    </row>
    <row r="5459" spans="1:21" x14ac:dyDescent="0.2">
      <c r="A5459" s="3">
        <v>5458</v>
      </c>
      <c r="B5459" s="1" t="s">
        <v>4226</v>
      </c>
      <c r="D5459" s="1" t="s">
        <v>5412</v>
      </c>
      <c r="F5459" s="1" t="s">
        <v>5430</v>
      </c>
      <c r="H5459" s="1" t="s">
        <v>5431</v>
      </c>
      <c r="J5459" s="1" t="s">
        <v>5433</v>
      </c>
      <c r="L5459" s="1" t="s">
        <v>1829</v>
      </c>
      <c r="N5459" s="1" t="s">
        <v>1830</v>
      </c>
      <c r="P5459" s="1" t="s">
        <v>1921</v>
      </c>
      <c r="Q5459" s="30" t="s">
        <v>2567</v>
      </c>
      <c r="R5459" s="33" t="s">
        <v>3474</v>
      </c>
      <c r="S5459">
        <v>35</v>
      </c>
      <c r="T5459" s="1" t="s">
        <v>5416</v>
      </c>
      <c r="U5459" s="1" t="str">
        <f>HYPERLINK("http://ictvonline.org/taxonomy/p/taxonomy-history?taxnode_id=202102982","ICTVonline=202102982")</f>
        <v>ICTVonline=202102982</v>
      </c>
    </row>
    <row r="5460" spans="1:21" x14ac:dyDescent="0.2">
      <c r="A5460" s="3">
        <v>5459</v>
      </c>
      <c r="B5460" s="1" t="s">
        <v>4226</v>
      </c>
      <c r="D5460" s="1" t="s">
        <v>5412</v>
      </c>
      <c r="F5460" s="1" t="s">
        <v>5430</v>
      </c>
      <c r="H5460" s="1" t="s">
        <v>5431</v>
      </c>
      <c r="J5460" s="1" t="s">
        <v>5433</v>
      </c>
      <c r="L5460" s="1" t="s">
        <v>1829</v>
      </c>
      <c r="N5460" s="1" t="s">
        <v>1830</v>
      </c>
      <c r="P5460" s="1" t="s">
        <v>1922</v>
      </c>
      <c r="Q5460" s="30" t="s">
        <v>2567</v>
      </c>
      <c r="R5460" s="33" t="s">
        <v>8665</v>
      </c>
      <c r="S5460">
        <v>36</v>
      </c>
      <c r="T5460" s="1" t="s">
        <v>8661</v>
      </c>
      <c r="U5460" s="1" t="str">
        <f>HYPERLINK("http://ictvonline.org/taxonomy/p/taxonomy-history?taxnode_id=202102983","ICTVonline=202102983")</f>
        <v>ICTVonline=202102983</v>
      </c>
    </row>
    <row r="5461" spans="1:21" x14ac:dyDescent="0.2">
      <c r="A5461" s="3">
        <v>5460</v>
      </c>
      <c r="B5461" s="1" t="s">
        <v>4226</v>
      </c>
      <c r="D5461" s="1" t="s">
        <v>5412</v>
      </c>
      <c r="F5461" s="1" t="s">
        <v>5430</v>
      </c>
      <c r="H5461" s="1" t="s">
        <v>5431</v>
      </c>
      <c r="J5461" s="1" t="s">
        <v>5433</v>
      </c>
      <c r="L5461" s="1" t="s">
        <v>1829</v>
      </c>
      <c r="N5461" s="1" t="s">
        <v>1830</v>
      </c>
      <c r="P5461" s="1" t="s">
        <v>2077</v>
      </c>
      <c r="Q5461" s="30" t="s">
        <v>2567</v>
      </c>
      <c r="R5461" s="33" t="s">
        <v>3474</v>
      </c>
      <c r="S5461">
        <v>35</v>
      </c>
      <c r="T5461" s="1" t="s">
        <v>5416</v>
      </c>
      <c r="U5461" s="1" t="str">
        <f>HYPERLINK("http://ictvonline.org/taxonomy/p/taxonomy-history?taxnode_id=202102984","ICTVonline=202102984")</f>
        <v>ICTVonline=202102984</v>
      </c>
    </row>
    <row r="5462" spans="1:21" x14ac:dyDescent="0.2">
      <c r="A5462" s="3">
        <v>5461</v>
      </c>
      <c r="B5462" s="1" t="s">
        <v>4226</v>
      </c>
      <c r="D5462" s="1" t="s">
        <v>5412</v>
      </c>
      <c r="F5462" s="1" t="s">
        <v>5430</v>
      </c>
      <c r="H5462" s="1" t="s">
        <v>5431</v>
      </c>
      <c r="J5462" s="1" t="s">
        <v>5433</v>
      </c>
      <c r="L5462" s="1" t="s">
        <v>1829</v>
      </c>
      <c r="N5462" s="1" t="s">
        <v>1830</v>
      </c>
      <c r="P5462" s="1" t="s">
        <v>3786</v>
      </c>
      <c r="Q5462" s="30" t="s">
        <v>2567</v>
      </c>
      <c r="R5462" s="33" t="s">
        <v>3474</v>
      </c>
      <c r="S5462">
        <v>35</v>
      </c>
      <c r="T5462" s="1" t="s">
        <v>5416</v>
      </c>
      <c r="U5462" s="1" t="str">
        <f>HYPERLINK("http://ictvonline.org/taxonomy/p/taxonomy-history?taxnode_id=202105771","ICTVonline=202105771")</f>
        <v>ICTVonline=202105771</v>
      </c>
    </row>
    <row r="5463" spans="1:21" x14ac:dyDescent="0.2">
      <c r="A5463" s="3">
        <v>5462</v>
      </c>
      <c r="B5463" s="1" t="s">
        <v>4226</v>
      </c>
      <c r="D5463" s="1" t="s">
        <v>5412</v>
      </c>
      <c r="F5463" s="1" t="s">
        <v>5430</v>
      </c>
      <c r="H5463" s="1" t="s">
        <v>5431</v>
      </c>
      <c r="J5463" s="1" t="s">
        <v>5433</v>
      </c>
      <c r="L5463" s="1" t="s">
        <v>1829</v>
      </c>
      <c r="N5463" s="1" t="s">
        <v>1830</v>
      </c>
      <c r="P5463" s="1" t="s">
        <v>1923</v>
      </c>
      <c r="Q5463" s="30" t="s">
        <v>2567</v>
      </c>
      <c r="R5463" s="33" t="s">
        <v>3474</v>
      </c>
      <c r="S5463">
        <v>35</v>
      </c>
      <c r="T5463" s="1" t="s">
        <v>5416</v>
      </c>
      <c r="U5463" s="1" t="str">
        <f>HYPERLINK("http://ictvonline.org/taxonomy/p/taxonomy-history?taxnode_id=202102985","ICTVonline=202102985")</f>
        <v>ICTVonline=202102985</v>
      </c>
    </row>
    <row r="5464" spans="1:21" x14ac:dyDescent="0.2">
      <c r="A5464" s="3">
        <v>5463</v>
      </c>
      <c r="B5464" s="1" t="s">
        <v>4226</v>
      </c>
      <c r="D5464" s="1" t="s">
        <v>5412</v>
      </c>
      <c r="F5464" s="1" t="s">
        <v>5430</v>
      </c>
      <c r="H5464" s="1" t="s">
        <v>5431</v>
      </c>
      <c r="J5464" s="1" t="s">
        <v>5433</v>
      </c>
      <c r="L5464" s="1" t="s">
        <v>1829</v>
      </c>
      <c r="N5464" s="1" t="s">
        <v>1830</v>
      </c>
      <c r="P5464" s="1" t="s">
        <v>1924</v>
      </c>
      <c r="Q5464" s="30" t="s">
        <v>2567</v>
      </c>
      <c r="R5464" s="33" t="s">
        <v>3474</v>
      </c>
      <c r="S5464">
        <v>35</v>
      </c>
      <c r="T5464" s="1" t="s">
        <v>5416</v>
      </c>
      <c r="U5464" s="1" t="str">
        <f>HYPERLINK("http://ictvonline.org/taxonomy/p/taxonomy-history?taxnode_id=202102986","ICTVonline=202102986")</f>
        <v>ICTVonline=202102986</v>
      </c>
    </row>
    <row r="5465" spans="1:21" x14ac:dyDescent="0.2">
      <c r="A5465" s="3">
        <v>5464</v>
      </c>
      <c r="B5465" s="1" t="s">
        <v>4226</v>
      </c>
      <c r="D5465" s="1" t="s">
        <v>5412</v>
      </c>
      <c r="F5465" s="1" t="s">
        <v>5430</v>
      </c>
      <c r="H5465" s="1" t="s">
        <v>5431</v>
      </c>
      <c r="J5465" s="1" t="s">
        <v>5433</v>
      </c>
      <c r="L5465" s="1" t="s">
        <v>1829</v>
      </c>
      <c r="N5465" s="1" t="s">
        <v>1830</v>
      </c>
      <c r="P5465" s="1" t="s">
        <v>1925</v>
      </c>
      <c r="Q5465" s="30" t="s">
        <v>2567</v>
      </c>
      <c r="R5465" s="33" t="s">
        <v>3474</v>
      </c>
      <c r="S5465">
        <v>35</v>
      </c>
      <c r="T5465" s="1" t="s">
        <v>5416</v>
      </c>
      <c r="U5465" s="1" t="str">
        <f>HYPERLINK("http://ictvonline.org/taxonomy/p/taxonomy-history?taxnode_id=202102987","ICTVonline=202102987")</f>
        <v>ICTVonline=202102987</v>
      </c>
    </row>
    <row r="5466" spans="1:21" x14ac:dyDescent="0.2">
      <c r="A5466" s="3">
        <v>5465</v>
      </c>
      <c r="B5466" s="1" t="s">
        <v>4226</v>
      </c>
      <c r="D5466" s="1" t="s">
        <v>5412</v>
      </c>
      <c r="F5466" s="1" t="s">
        <v>5430</v>
      </c>
      <c r="H5466" s="1" t="s">
        <v>5431</v>
      </c>
      <c r="J5466" s="1" t="s">
        <v>5433</v>
      </c>
      <c r="L5466" s="1" t="s">
        <v>1829</v>
      </c>
      <c r="N5466" s="1" t="s">
        <v>1830</v>
      </c>
      <c r="P5466" s="1" t="s">
        <v>1697</v>
      </c>
      <c r="Q5466" s="30" t="s">
        <v>2567</v>
      </c>
      <c r="R5466" s="33" t="s">
        <v>3474</v>
      </c>
      <c r="S5466">
        <v>35</v>
      </c>
      <c r="T5466" s="1" t="s">
        <v>5416</v>
      </c>
      <c r="U5466" s="1" t="str">
        <f>HYPERLINK("http://ictvonline.org/taxonomy/p/taxonomy-history?taxnode_id=202102988","ICTVonline=202102988")</f>
        <v>ICTVonline=202102988</v>
      </c>
    </row>
    <row r="5467" spans="1:21" x14ac:dyDescent="0.2">
      <c r="A5467" s="3">
        <v>5466</v>
      </c>
      <c r="B5467" s="1" t="s">
        <v>4226</v>
      </c>
      <c r="D5467" s="1" t="s">
        <v>5412</v>
      </c>
      <c r="F5467" s="1" t="s">
        <v>5430</v>
      </c>
      <c r="H5467" s="1" t="s">
        <v>5431</v>
      </c>
      <c r="J5467" s="1" t="s">
        <v>5433</v>
      </c>
      <c r="L5467" s="1" t="s">
        <v>1829</v>
      </c>
      <c r="N5467" s="1" t="s">
        <v>1830</v>
      </c>
      <c r="P5467" s="1" t="s">
        <v>5434</v>
      </c>
      <c r="Q5467" s="30" t="s">
        <v>2567</v>
      </c>
      <c r="R5467" s="33" t="s">
        <v>3472</v>
      </c>
      <c r="S5467">
        <v>35</v>
      </c>
      <c r="T5467" s="1" t="s">
        <v>5435</v>
      </c>
      <c r="U5467" s="1" t="str">
        <f>HYPERLINK("http://ictvonline.org/taxonomy/p/taxonomy-history?taxnode_id=202107265","ICTVonline=202107265")</f>
        <v>ICTVonline=202107265</v>
      </c>
    </row>
    <row r="5468" spans="1:21" x14ac:dyDescent="0.2">
      <c r="A5468" s="3">
        <v>5467</v>
      </c>
      <c r="B5468" s="1" t="s">
        <v>4226</v>
      </c>
      <c r="D5468" s="1" t="s">
        <v>5412</v>
      </c>
      <c r="F5468" s="1" t="s">
        <v>5430</v>
      </c>
      <c r="H5468" s="1" t="s">
        <v>5431</v>
      </c>
      <c r="J5468" s="1" t="s">
        <v>5433</v>
      </c>
      <c r="L5468" s="1" t="s">
        <v>1829</v>
      </c>
      <c r="N5468" s="1" t="s">
        <v>1830</v>
      </c>
      <c r="P5468" s="1" t="s">
        <v>1988</v>
      </c>
      <c r="Q5468" s="30" t="s">
        <v>2567</v>
      </c>
      <c r="R5468" s="33" t="s">
        <v>3474</v>
      </c>
      <c r="S5468">
        <v>35</v>
      </c>
      <c r="T5468" s="1" t="s">
        <v>5416</v>
      </c>
      <c r="U5468" s="1" t="str">
        <f>HYPERLINK("http://ictvonline.org/taxonomy/p/taxonomy-history?taxnode_id=202102989","ICTVonline=202102989")</f>
        <v>ICTVonline=202102989</v>
      </c>
    </row>
    <row r="5469" spans="1:21" x14ac:dyDescent="0.2">
      <c r="A5469" s="3">
        <v>5468</v>
      </c>
      <c r="B5469" s="1" t="s">
        <v>4226</v>
      </c>
      <c r="D5469" s="1" t="s">
        <v>5412</v>
      </c>
      <c r="F5469" s="1" t="s">
        <v>5430</v>
      </c>
      <c r="H5469" s="1" t="s">
        <v>5431</v>
      </c>
      <c r="J5469" s="1" t="s">
        <v>5433</v>
      </c>
      <c r="L5469" s="1" t="s">
        <v>1829</v>
      </c>
      <c r="N5469" s="1" t="s">
        <v>1830</v>
      </c>
      <c r="P5469" s="1" t="s">
        <v>6691</v>
      </c>
      <c r="Q5469" s="30" t="s">
        <v>2567</v>
      </c>
      <c r="R5469" s="33" t="s">
        <v>3472</v>
      </c>
      <c r="S5469">
        <v>36</v>
      </c>
      <c r="T5469" s="1" t="s">
        <v>6692</v>
      </c>
      <c r="U5469" s="1" t="str">
        <f>HYPERLINK("http://ictvonline.org/taxonomy/p/taxonomy-history?taxnode_id=202108911","ICTVonline=202108911")</f>
        <v>ICTVonline=202108911</v>
      </c>
    </row>
    <row r="5470" spans="1:21" x14ac:dyDescent="0.2">
      <c r="A5470" s="3">
        <v>5469</v>
      </c>
      <c r="B5470" s="1" t="s">
        <v>4226</v>
      </c>
      <c r="D5470" s="1" t="s">
        <v>5412</v>
      </c>
      <c r="F5470" s="1" t="s">
        <v>5430</v>
      </c>
      <c r="H5470" s="1" t="s">
        <v>5431</v>
      </c>
      <c r="J5470" s="1" t="s">
        <v>5433</v>
      </c>
      <c r="L5470" s="1" t="s">
        <v>1829</v>
      </c>
      <c r="N5470" s="1" t="s">
        <v>12820</v>
      </c>
      <c r="P5470" s="1" t="s">
        <v>2901</v>
      </c>
      <c r="Q5470" s="30" t="s">
        <v>2567</v>
      </c>
      <c r="R5470" s="33" t="s">
        <v>3474</v>
      </c>
      <c r="S5470">
        <v>37</v>
      </c>
      <c r="T5470" s="1" t="s">
        <v>13997</v>
      </c>
      <c r="U5470" s="1" t="str">
        <f>HYPERLINK("http://ictvonline.org/taxonomy/p/taxonomy-history?taxnode_id=202103021","ICTVonline=202103021")</f>
        <v>ICTVonline=202103021</v>
      </c>
    </row>
    <row r="5471" spans="1:21" x14ac:dyDescent="0.2">
      <c r="A5471" s="3">
        <v>5470</v>
      </c>
      <c r="B5471" s="1" t="s">
        <v>4226</v>
      </c>
      <c r="D5471" s="1" t="s">
        <v>5412</v>
      </c>
      <c r="F5471" s="1" t="s">
        <v>5430</v>
      </c>
      <c r="H5471" s="1" t="s">
        <v>5431</v>
      </c>
      <c r="J5471" s="1" t="s">
        <v>5433</v>
      </c>
      <c r="L5471" s="1" t="s">
        <v>1829</v>
      </c>
      <c r="N5471" s="1" t="s">
        <v>1926</v>
      </c>
      <c r="P5471" s="1" t="s">
        <v>5436</v>
      </c>
      <c r="Q5471" s="30" t="s">
        <v>2567</v>
      </c>
      <c r="R5471" s="33" t="s">
        <v>3472</v>
      </c>
      <c r="S5471">
        <v>35</v>
      </c>
      <c r="T5471" s="1" t="s">
        <v>5435</v>
      </c>
      <c r="U5471" s="1" t="str">
        <f>HYPERLINK("http://ictvonline.org/taxonomy/p/taxonomy-history?taxnode_id=202107262","ICTVonline=202107262")</f>
        <v>ICTVonline=202107262</v>
      </c>
    </row>
    <row r="5472" spans="1:21" x14ac:dyDescent="0.2">
      <c r="A5472" s="3">
        <v>5471</v>
      </c>
      <c r="B5472" s="1" t="s">
        <v>4226</v>
      </c>
      <c r="D5472" s="1" t="s">
        <v>5412</v>
      </c>
      <c r="F5472" s="1" t="s">
        <v>5430</v>
      </c>
      <c r="H5472" s="1" t="s">
        <v>5431</v>
      </c>
      <c r="J5472" s="1" t="s">
        <v>5433</v>
      </c>
      <c r="L5472" s="1" t="s">
        <v>1829</v>
      </c>
      <c r="N5472" s="1" t="s">
        <v>1926</v>
      </c>
      <c r="P5472" s="1" t="s">
        <v>1927</v>
      </c>
      <c r="Q5472" s="30" t="s">
        <v>2567</v>
      </c>
      <c r="R5472" s="33" t="s">
        <v>3474</v>
      </c>
      <c r="S5472">
        <v>35</v>
      </c>
      <c r="T5472" s="1" t="s">
        <v>5416</v>
      </c>
      <c r="U5472" s="1" t="str">
        <f>HYPERLINK("http://ictvonline.org/taxonomy/p/taxonomy-history?taxnode_id=202102991","ICTVonline=202102991")</f>
        <v>ICTVonline=202102991</v>
      </c>
    </row>
    <row r="5473" spans="1:21" x14ac:dyDescent="0.2">
      <c r="A5473" s="3">
        <v>5472</v>
      </c>
      <c r="B5473" s="1" t="s">
        <v>4226</v>
      </c>
      <c r="D5473" s="1" t="s">
        <v>5412</v>
      </c>
      <c r="F5473" s="1" t="s">
        <v>5430</v>
      </c>
      <c r="H5473" s="1" t="s">
        <v>5431</v>
      </c>
      <c r="J5473" s="1" t="s">
        <v>5433</v>
      </c>
      <c r="L5473" s="1" t="s">
        <v>1829</v>
      </c>
      <c r="N5473" s="1" t="s">
        <v>1926</v>
      </c>
      <c r="P5473" s="1" t="s">
        <v>1928</v>
      </c>
      <c r="Q5473" s="30" t="s">
        <v>2567</v>
      </c>
      <c r="R5473" s="33" t="s">
        <v>8665</v>
      </c>
      <c r="S5473">
        <v>36</v>
      </c>
      <c r="T5473" s="1" t="s">
        <v>8661</v>
      </c>
      <c r="U5473" s="1" t="str">
        <f>HYPERLINK("http://ictvonline.org/taxonomy/p/taxonomy-history?taxnode_id=202102992","ICTVonline=202102992")</f>
        <v>ICTVonline=202102992</v>
      </c>
    </row>
    <row r="5474" spans="1:21" x14ac:dyDescent="0.2">
      <c r="A5474" s="3">
        <v>5473</v>
      </c>
      <c r="B5474" s="1" t="s">
        <v>4226</v>
      </c>
      <c r="D5474" s="1" t="s">
        <v>5412</v>
      </c>
      <c r="F5474" s="1" t="s">
        <v>5430</v>
      </c>
      <c r="H5474" s="1" t="s">
        <v>5431</v>
      </c>
      <c r="J5474" s="1" t="s">
        <v>5433</v>
      </c>
      <c r="L5474" s="1" t="s">
        <v>1829</v>
      </c>
      <c r="N5474" s="1" t="s">
        <v>1926</v>
      </c>
      <c r="P5474" s="1" t="s">
        <v>5437</v>
      </c>
      <c r="Q5474" s="30" t="s">
        <v>2567</v>
      </c>
      <c r="R5474" s="33" t="s">
        <v>3472</v>
      </c>
      <c r="S5474">
        <v>35</v>
      </c>
      <c r="T5474" s="1" t="s">
        <v>5435</v>
      </c>
      <c r="U5474" s="1" t="str">
        <f>HYPERLINK("http://ictvonline.org/taxonomy/p/taxonomy-history?taxnode_id=202107264","ICTVonline=202107264")</f>
        <v>ICTVonline=202107264</v>
      </c>
    </row>
    <row r="5475" spans="1:21" x14ac:dyDescent="0.2">
      <c r="A5475" s="3">
        <v>5474</v>
      </c>
      <c r="B5475" s="1" t="s">
        <v>4226</v>
      </c>
      <c r="D5475" s="1" t="s">
        <v>5412</v>
      </c>
      <c r="F5475" s="1" t="s">
        <v>5430</v>
      </c>
      <c r="H5475" s="1" t="s">
        <v>5431</v>
      </c>
      <c r="J5475" s="1" t="s">
        <v>5433</v>
      </c>
      <c r="L5475" s="1" t="s">
        <v>1829</v>
      </c>
      <c r="N5475" s="1" t="s">
        <v>1926</v>
      </c>
      <c r="P5475" s="1" t="s">
        <v>1929</v>
      </c>
      <c r="Q5475" s="30" t="s">
        <v>2567</v>
      </c>
      <c r="R5475" s="33" t="s">
        <v>3474</v>
      </c>
      <c r="S5475">
        <v>35</v>
      </c>
      <c r="T5475" s="1" t="s">
        <v>5416</v>
      </c>
      <c r="U5475" s="1" t="str">
        <f>HYPERLINK("http://ictvonline.org/taxonomy/p/taxonomy-history?taxnode_id=202102993","ICTVonline=202102993")</f>
        <v>ICTVonline=202102993</v>
      </c>
    </row>
    <row r="5476" spans="1:21" x14ac:dyDescent="0.2">
      <c r="A5476" s="3">
        <v>5475</v>
      </c>
      <c r="B5476" s="1" t="s">
        <v>4226</v>
      </c>
      <c r="D5476" s="1" t="s">
        <v>5412</v>
      </c>
      <c r="F5476" s="1" t="s">
        <v>5430</v>
      </c>
      <c r="H5476" s="1" t="s">
        <v>5431</v>
      </c>
      <c r="J5476" s="1" t="s">
        <v>5433</v>
      </c>
      <c r="L5476" s="1" t="s">
        <v>1829</v>
      </c>
      <c r="N5476" s="1" t="s">
        <v>1926</v>
      </c>
      <c r="P5476" s="1" t="s">
        <v>1930</v>
      </c>
      <c r="Q5476" s="30" t="s">
        <v>2567</v>
      </c>
      <c r="R5476" s="33" t="s">
        <v>3474</v>
      </c>
      <c r="S5476">
        <v>35</v>
      </c>
      <c r="T5476" s="1" t="s">
        <v>5416</v>
      </c>
      <c r="U5476" s="1" t="str">
        <f>HYPERLINK("http://ictvonline.org/taxonomy/p/taxonomy-history?taxnode_id=202102994","ICTVonline=202102994")</f>
        <v>ICTVonline=202102994</v>
      </c>
    </row>
    <row r="5477" spans="1:21" x14ac:dyDescent="0.2">
      <c r="A5477" s="3">
        <v>5476</v>
      </c>
      <c r="B5477" s="1" t="s">
        <v>4226</v>
      </c>
      <c r="D5477" s="1" t="s">
        <v>5412</v>
      </c>
      <c r="F5477" s="1" t="s">
        <v>5430</v>
      </c>
      <c r="H5477" s="1" t="s">
        <v>5431</v>
      </c>
      <c r="J5477" s="1" t="s">
        <v>5433</v>
      </c>
      <c r="L5477" s="1" t="s">
        <v>1829</v>
      </c>
      <c r="N5477" s="1" t="s">
        <v>1926</v>
      </c>
      <c r="P5477" s="1" t="s">
        <v>6693</v>
      </c>
      <c r="Q5477" s="30" t="s">
        <v>2567</v>
      </c>
      <c r="R5477" s="33" t="s">
        <v>3472</v>
      </c>
      <c r="S5477">
        <v>36</v>
      </c>
      <c r="T5477" s="1" t="s">
        <v>6692</v>
      </c>
      <c r="U5477" s="1" t="str">
        <f>HYPERLINK("http://ictvonline.org/taxonomy/p/taxonomy-history?taxnode_id=202108910","ICTVonline=202108910")</f>
        <v>ICTVonline=202108910</v>
      </c>
    </row>
    <row r="5478" spans="1:21" x14ac:dyDescent="0.2">
      <c r="A5478" s="3">
        <v>5477</v>
      </c>
      <c r="B5478" s="1" t="s">
        <v>4226</v>
      </c>
      <c r="D5478" s="1" t="s">
        <v>5412</v>
      </c>
      <c r="F5478" s="1" t="s">
        <v>5430</v>
      </c>
      <c r="H5478" s="1" t="s">
        <v>5431</v>
      </c>
      <c r="J5478" s="1" t="s">
        <v>5433</v>
      </c>
      <c r="L5478" s="1" t="s">
        <v>1829</v>
      </c>
      <c r="N5478" s="1" t="s">
        <v>1926</v>
      </c>
      <c r="P5478" s="1" t="s">
        <v>1931</v>
      </c>
      <c r="Q5478" s="30" t="s">
        <v>2567</v>
      </c>
      <c r="R5478" s="33" t="s">
        <v>3474</v>
      </c>
      <c r="S5478">
        <v>35</v>
      </c>
      <c r="T5478" s="1" t="s">
        <v>5416</v>
      </c>
      <c r="U5478" s="1" t="str">
        <f>HYPERLINK("http://ictvonline.org/taxonomy/p/taxonomy-history?taxnode_id=202102995","ICTVonline=202102995")</f>
        <v>ICTVonline=202102995</v>
      </c>
    </row>
    <row r="5479" spans="1:21" x14ac:dyDescent="0.2">
      <c r="A5479" s="3">
        <v>5478</v>
      </c>
      <c r="B5479" s="1" t="s">
        <v>4226</v>
      </c>
      <c r="D5479" s="1" t="s">
        <v>5412</v>
      </c>
      <c r="F5479" s="1" t="s">
        <v>5430</v>
      </c>
      <c r="H5479" s="1" t="s">
        <v>5431</v>
      </c>
      <c r="J5479" s="1" t="s">
        <v>5433</v>
      </c>
      <c r="L5479" s="1" t="s">
        <v>1829</v>
      </c>
      <c r="N5479" s="1" t="s">
        <v>1926</v>
      </c>
      <c r="P5479" s="1" t="s">
        <v>1932</v>
      </c>
      <c r="Q5479" s="30" t="s">
        <v>2567</v>
      </c>
      <c r="R5479" s="33" t="s">
        <v>3474</v>
      </c>
      <c r="S5479">
        <v>35</v>
      </c>
      <c r="T5479" s="1" t="s">
        <v>5416</v>
      </c>
      <c r="U5479" s="1" t="str">
        <f>HYPERLINK("http://ictvonline.org/taxonomy/p/taxonomy-history?taxnode_id=202102996","ICTVonline=202102996")</f>
        <v>ICTVonline=202102996</v>
      </c>
    </row>
    <row r="5480" spans="1:21" x14ac:dyDescent="0.2">
      <c r="A5480" s="3">
        <v>5479</v>
      </c>
      <c r="B5480" s="1" t="s">
        <v>4226</v>
      </c>
      <c r="D5480" s="1" t="s">
        <v>5412</v>
      </c>
      <c r="F5480" s="1" t="s">
        <v>5430</v>
      </c>
      <c r="H5480" s="1" t="s">
        <v>5431</v>
      </c>
      <c r="J5480" s="1" t="s">
        <v>5433</v>
      </c>
      <c r="L5480" s="1" t="s">
        <v>1829</v>
      </c>
      <c r="N5480" s="1" t="s">
        <v>1926</v>
      </c>
      <c r="P5480" s="1" t="s">
        <v>1933</v>
      </c>
      <c r="Q5480" s="30" t="s">
        <v>2567</v>
      </c>
      <c r="R5480" s="33" t="s">
        <v>3474</v>
      </c>
      <c r="S5480">
        <v>35</v>
      </c>
      <c r="T5480" s="1" t="s">
        <v>5416</v>
      </c>
      <c r="U5480" s="1" t="str">
        <f>HYPERLINK("http://ictvonline.org/taxonomy/p/taxonomy-history?taxnode_id=202102997","ICTVonline=202102997")</f>
        <v>ICTVonline=202102997</v>
      </c>
    </row>
    <row r="5481" spans="1:21" x14ac:dyDescent="0.2">
      <c r="A5481" s="3">
        <v>5480</v>
      </c>
      <c r="B5481" s="1" t="s">
        <v>4226</v>
      </c>
      <c r="D5481" s="1" t="s">
        <v>5412</v>
      </c>
      <c r="F5481" s="1" t="s">
        <v>5430</v>
      </c>
      <c r="H5481" s="1" t="s">
        <v>5431</v>
      </c>
      <c r="J5481" s="1" t="s">
        <v>5433</v>
      </c>
      <c r="L5481" s="1" t="s">
        <v>1829</v>
      </c>
      <c r="N5481" s="1" t="s">
        <v>1926</v>
      </c>
      <c r="P5481" s="1" t="s">
        <v>1934</v>
      </c>
      <c r="Q5481" s="30" t="s">
        <v>2567</v>
      </c>
      <c r="R5481" s="33" t="s">
        <v>3474</v>
      </c>
      <c r="S5481">
        <v>35</v>
      </c>
      <c r="T5481" s="1" t="s">
        <v>5416</v>
      </c>
      <c r="U5481" s="1" t="str">
        <f>HYPERLINK("http://ictvonline.org/taxonomy/p/taxonomy-history?taxnode_id=202102998","ICTVonline=202102998")</f>
        <v>ICTVonline=202102998</v>
      </c>
    </row>
    <row r="5482" spans="1:21" x14ac:dyDescent="0.2">
      <c r="A5482" s="3">
        <v>5481</v>
      </c>
      <c r="B5482" s="1" t="s">
        <v>4226</v>
      </c>
      <c r="D5482" s="1" t="s">
        <v>5412</v>
      </c>
      <c r="F5482" s="1" t="s">
        <v>5430</v>
      </c>
      <c r="H5482" s="1" t="s">
        <v>5431</v>
      </c>
      <c r="J5482" s="1" t="s">
        <v>5433</v>
      </c>
      <c r="L5482" s="1" t="s">
        <v>1829</v>
      </c>
      <c r="N5482" s="1" t="s">
        <v>1926</v>
      </c>
      <c r="P5482" s="1" t="s">
        <v>89</v>
      </c>
      <c r="Q5482" s="30" t="s">
        <v>2567</v>
      </c>
      <c r="R5482" s="33" t="s">
        <v>3474</v>
      </c>
      <c r="S5482">
        <v>35</v>
      </c>
      <c r="T5482" s="1" t="s">
        <v>5416</v>
      </c>
      <c r="U5482" s="1" t="str">
        <f>HYPERLINK("http://ictvonline.org/taxonomy/p/taxonomy-history?taxnode_id=202102999","ICTVonline=202102999")</f>
        <v>ICTVonline=202102999</v>
      </c>
    </row>
    <row r="5483" spans="1:21" x14ac:dyDescent="0.2">
      <c r="A5483" s="3">
        <v>5482</v>
      </c>
      <c r="B5483" s="1" t="s">
        <v>4226</v>
      </c>
      <c r="D5483" s="1" t="s">
        <v>5412</v>
      </c>
      <c r="F5483" s="1" t="s">
        <v>5430</v>
      </c>
      <c r="H5483" s="1" t="s">
        <v>5431</v>
      </c>
      <c r="J5483" s="1" t="s">
        <v>5433</v>
      </c>
      <c r="L5483" s="1" t="s">
        <v>1829</v>
      </c>
      <c r="N5483" s="1" t="s">
        <v>1926</v>
      </c>
      <c r="P5483" s="1" t="s">
        <v>5438</v>
      </c>
      <c r="Q5483" s="30" t="s">
        <v>2567</v>
      </c>
      <c r="R5483" s="33" t="s">
        <v>3472</v>
      </c>
      <c r="S5483">
        <v>35</v>
      </c>
      <c r="T5483" s="1" t="s">
        <v>5435</v>
      </c>
      <c r="U5483" s="1" t="str">
        <f>HYPERLINK("http://ictvonline.org/taxonomy/p/taxonomy-history?taxnode_id=202107263","ICTVonline=202107263")</f>
        <v>ICTVonline=202107263</v>
      </c>
    </row>
    <row r="5484" spans="1:21" x14ac:dyDescent="0.2">
      <c r="A5484" s="3">
        <v>5483</v>
      </c>
      <c r="B5484" s="1" t="s">
        <v>4226</v>
      </c>
      <c r="D5484" s="1" t="s">
        <v>5412</v>
      </c>
      <c r="F5484" s="1" t="s">
        <v>5430</v>
      </c>
      <c r="H5484" s="1" t="s">
        <v>5431</v>
      </c>
      <c r="J5484" s="1" t="s">
        <v>5433</v>
      </c>
      <c r="L5484" s="1" t="s">
        <v>1829</v>
      </c>
      <c r="N5484" s="1" t="s">
        <v>1926</v>
      </c>
      <c r="P5484" s="1" t="s">
        <v>3317</v>
      </c>
      <c r="Q5484" s="30" t="s">
        <v>2567</v>
      </c>
      <c r="R5484" s="33" t="s">
        <v>3474</v>
      </c>
      <c r="S5484">
        <v>35</v>
      </c>
      <c r="T5484" s="1" t="s">
        <v>5416</v>
      </c>
      <c r="U5484" s="1" t="str">
        <f>HYPERLINK("http://ictvonline.org/taxonomy/p/taxonomy-history?taxnode_id=202103000","ICTVonline=202103000")</f>
        <v>ICTVonline=202103000</v>
      </c>
    </row>
    <row r="5485" spans="1:21" x14ac:dyDescent="0.2">
      <c r="A5485" s="3">
        <v>5484</v>
      </c>
      <c r="B5485" s="1" t="s">
        <v>4226</v>
      </c>
      <c r="D5485" s="1" t="s">
        <v>5412</v>
      </c>
      <c r="F5485" s="1" t="s">
        <v>5430</v>
      </c>
      <c r="H5485" s="1" t="s">
        <v>5431</v>
      </c>
      <c r="J5485" s="1" t="s">
        <v>5433</v>
      </c>
      <c r="L5485" s="1" t="s">
        <v>1829</v>
      </c>
      <c r="N5485" s="1" t="s">
        <v>1926</v>
      </c>
      <c r="P5485" s="1" t="s">
        <v>90</v>
      </c>
      <c r="Q5485" s="30" t="s">
        <v>2567</v>
      </c>
      <c r="R5485" s="33" t="s">
        <v>3474</v>
      </c>
      <c r="S5485">
        <v>35</v>
      </c>
      <c r="T5485" s="1" t="s">
        <v>5416</v>
      </c>
      <c r="U5485" s="1" t="str">
        <f>HYPERLINK("http://ictvonline.org/taxonomy/p/taxonomy-history?taxnode_id=202103001","ICTVonline=202103001")</f>
        <v>ICTVonline=202103001</v>
      </c>
    </row>
    <row r="5486" spans="1:21" x14ac:dyDescent="0.2">
      <c r="A5486" s="3">
        <v>5485</v>
      </c>
      <c r="B5486" s="1" t="s">
        <v>4226</v>
      </c>
      <c r="D5486" s="1" t="s">
        <v>5412</v>
      </c>
      <c r="F5486" s="1" t="s">
        <v>5430</v>
      </c>
      <c r="H5486" s="1" t="s">
        <v>5431</v>
      </c>
      <c r="J5486" s="1" t="s">
        <v>5433</v>
      </c>
      <c r="L5486" s="1" t="s">
        <v>1829</v>
      </c>
      <c r="N5486" s="1" t="s">
        <v>1926</v>
      </c>
      <c r="P5486" s="1" t="s">
        <v>3318</v>
      </c>
      <c r="Q5486" s="30" t="s">
        <v>2567</v>
      </c>
      <c r="R5486" s="33" t="s">
        <v>3474</v>
      </c>
      <c r="S5486">
        <v>35</v>
      </c>
      <c r="T5486" s="1" t="s">
        <v>5416</v>
      </c>
      <c r="U5486" s="1" t="str">
        <f>HYPERLINK("http://ictvonline.org/taxonomy/p/taxonomy-history?taxnode_id=202103002","ICTVonline=202103002")</f>
        <v>ICTVonline=202103002</v>
      </c>
    </row>
    <row r="5487" spans="1:21" x14ac:dyDescent="0.2">
      <c r="A5487" s="3">
        <v>5486</v>
      </c>
      <c r="B5487" s="1" t="s">
        <v>4226</v>
      </c>
      <c r="D5487" s="1" t="s">
        <v>5412</v>
      </c>
      <c r="F5487" s="1" t="s">
        <v>5430</v>
      </c>
      <c r="H5487" s="1" t="s">
        <v>5431</v>
      </c>
      <c r="J5487" s="1" t="s">
        <v>5433</v>
      </c>
      <c r="L5487" s="1" t="s">
        <v>1829</v>
      </c>
      <c r="N5487" s="1" t="s">
        <v>1926</v>
      </c>
      <c r="P5487" s="1" t="s">
        <v>1935</v>
      </c>
      <c r="Q5487" s="30" t="s">
        <v>2567</v>
      </c>
      <c r="R5487" s="33" t="s">
        <v>3474</v>
      </c>
      <c r="S5487">
        <v>35</v>
      </c>
      <c r="T5487" s="1" t="s">
        <v>5416</v>
      </c>
      <c r="U5487" s="1" t="str">
        <f>HYPERLINK("http://ictvonline.org/taxonomy/p/taxonomy-history?taxnode_id=202103003","ICTVonline=202103003")</f>
        <v>ICTVonline=202103003</v>
      </c>
    </row>
    <row r="5488" spans="1:21" x14ac:dyDescent="0.2">
      <c r="A5488" s="3">
        <v>5487</v>
      </c>
      <c r="B5488" s="1" t="s">
        <v>4226</v>
      </c>
      <c r="D5488" s="1" t="s">
        <v>5412</v>
      </c>
      <c r="F5488" s="1" t="s">
        <v>5430</v>
      </c>
      <c r="H5488" s="1" t="s">
        <v>5431</v>
      </c>
      <c r="J5488" s="1" t="s">
        <v>5433</v>
      </c>
      <c r="L5488" s="1" t="s">
        <v>1829</v>
      </c>
      <c r="N5488" s="1" t="s">
        <v>1936</v>
      </c>
      <c r="P5488" s="1" t="s">
        <v>1937</v>
      </c>
      <c r="Q5488" s="30" t="s">
        <v>2567</v>
      </c>
      <c r="R5488" s="33" t="s">
        <v>3474</v>
      </c>
      <c r="S5488">
        <v>35</v>
      </c>
      <c r="T5488" s="1" t="s">
        <v>5416</v>
      </c>
      <c r="U5488" s="1" t="str">
        <f>HYPERLINK("http://ictvonline.org/taxonomy/p/taxonomy-history?taxnode_id=202103005","ICTVonline=202103005")</f>
        <v>ICTVonline=202103005</v>
      </c>
    </row>
    <row r="5489" spans="1:21" x14ac:dyDescent="0.2">
      <c r="A5489" s="3">
        <v>5488</v>
      </c>
      <c r="B5489" s="1" t="s">
        <v>4226</v>
      </c>
      <c r="D5489" s="1" t="s">
        <v>5412</v>
      </c>
      <c r="F5489" s="1" t="s">
        <v>5430</v>
      </c>
      <c r="H5489" s="1" t="s">
        <v>5431</v>
      </c>
      <c r="J5489" s="1" t="s">
        <v>5433</v>
      </c>
      <c r="L5489" s="1" t="s">
        <v>1829</v>
      </c>
      <c r="N5489" s="1" t="s">
        <v>1936</v>
      </c>
      <c r="P5489" s="1" t="s">
        <v>1989</v>
      </c>
      <c r="Q5489" s="30" t="s">
        <v>2567</v>
      </c>
      <c r="R5489" s="33" t="s">
        <v>3474</v>
      </c>
      <c r="S5489">
        <v>35</v>
      </c>
      <c r="T5489" s="1" t="s">
        <v>5416</v>
      </c>
      <c r="U5489" s="1" t="str">
        <f>HYPERLINK("http://ictvonline.org/taxonomy/p/taxonomy-history?taxnode_id=202103006","ICTVonline=202103006")</f>
        <v>ICTVonline=202103006</v>
      </c>
    </row>
    <row r="5490" spans="1:21" x14ac:dyDescent="0.2">
      <c r="A5490" s="3">
        <v>5489</v>
      </c>
      <c r="B5490" s="1" t="s">
        <v>4226</v>
      </c>
      <c r="D5490" s="1" t="s">
        <v>5412</v>
      </c>
      <c r="F5490" s="1" t="s">
        <v>5430</v>
      </c>
      <c r="H5490" s="1" t="s">
        <v>5431</v>
      </c>
      <c r="J5490" s="1" t="s">
        <v>5433</v>
      </c>
      <c r="L5490" s="1" t="s">
        <v>1829</v>
      </c>
      <c r="N5490" s="1" t="s">
        <v>1936</v>
      </c>
      <c r="P5490" s="1" t="s">
        <v>466</v>
      </c>
      <c r="Q5490" s="30" t="s">
        <v>2567</v>
      </c>
      <c r="R5490" s="33" t="s">
        <v>3474</v>
      </c>
      <c r="S5490">
        <v>35</v>
      </c>
      <c r="T5490" s="1" t="s">
        <v>5416</v>
      </c>
      <c r="U5490" s="1" t="str">
        <f>HYPERLINK("http://ictvonline.org/taxonomy/p/taxonomy-history?taxnode_id=202103007","ICTVonline=202103007")</f>
        <v>ICTVonline=202103007</v>
      </c>
    </row>
    <row r="5491" spans="1:21" x14ac:dyDescent="0.2">
      <c r="A5491" s="3">
        <v>5490</v>
      </c>
      <c r="B5491" s="1" t="s">
        <v>4226</v>
      </c>
      <c r="D5491" s="1" t="s">
        <v>5412</v>
      </c>
      <c r="F5491" s="1" t="s">
        <v>5430</v>
      </c>
      <c r="H5491" s="1" t="s">
        <v>5431</v>
      </c>
      <c r="J5491" s="1" t="s">
        <v>5433</v>
      </c>
      <c r="L5491" s="1" t="s">
        <v>1829</v>
      </c>
      <c r="N5491" s="1" t="s">
        <v>1936</v>
      </c>
      <c r="P5491" s="1" t="s">
        <v>467</v>
      </c>
      <c r="Q5491" s="30" t="s">
        <v>2567</v>
      </c>
      <c r="R5491" s="33" t="s">
        <v>3474</v>
      </c>
      <c r="S5491">
        <v>35</v>
      </c>
      <c r="T5491" s="1" t="s">
        <v>5416</v>
      </c>
      <c r="U5491" s="1" t="str">
        <f>HYPERLINK("http://ictvonline.org/taxonomy/p/taxonomy-history?taxnode_id=202103008","ICTVonline=202103008")</f>
        <v>ICTVonline=202103008</v>
      </c>
    </row>
    <row r="5492" spans="1:21" x14ac:dyDescent="0.2">
      <c r="A5492" s="3">
        <v>5491</v>
      </c>
      <c r="B5492" s="1" t="s">
        <v>4226</v>
      </c>
      <c r="D5492" s="1" t="s">
        <v>5412</v>
      </c>
      <c r="F5492" s="1" t="s">
        <v>5430</v>
      </c>
      <c r="H5492" s="1" t="s">
        <v>5431</v>
      </c>
      <c r="J5492" s="1" t="s">
        <v>5433</v>
      </c>
      <c r="L5492" s="1" t="s">
        <v>1829</v>
      </c>
      <c r="N5492" s="1" t="s">
        <v>1936</v>
      </c>
      <c r="P5492" s="1" t="s">
        <v>1938</v>
      </c>
      <c r="Q5492" s="30" t="s">
        <v>2567</v>
      </c>
      <c r="R5492" s="33" t="s">
        <v>3474</v>
      </c>
      <c r="S5492">
        <v>35</v>
      </c>
      <c r="T5492" s="1" t="s">
        <v>5416</v>
      </c>
      <c r="U5492" s="1" t="str">
        <f>HYPERLINK("http://ictvonline.org/taxonomy/p/taxonomy-history?taxnode_id=202103009","ICTVonline=202103009")</f>
        <v>ICTVonline=202103009</v>
      </c>
    </row>
    <row r="5493" spans="1:21" x14ac:dyDescent="0.2">
      <c r="A5493" s="3">
        <v>5492</v>
      </c>
      <c r="B5493" s="1" t="s">
        <v>4226</v>
      </c>
      <c r="D5493" s="1" t="s">
        <v>5412</v>
      </c>
      <c r="F5493" s="1" t="s">
        <v>5430</v>
      </c>
      <c r="H5493" s="1" t="s">
        <v>5431</v>
      </c>
      <c r="J5493" s="1" t="s">
        <v>5433</v>
      </c>
      <c r="L5493" s="1" t="s">
        <v>1829</v>
      </c>
      <c r="N5493" s="1" t="s">
        <v>1936</v>
      </c>
      <c r="P5493" s="1" t="s">
        <v>2078</v>
      </c>
      <c r="Q5493" s="30" t="s">
        <v>2567</v>
      </c>
      <c r="R5493" s="33" t="s">
        <v>3474</v>
      </c>
      <c r="S5493">
        <v>35</v>
      </c>
      <c r="T5493" s="1" t="s">
        <v>5416</v>
      </c>
      <c r="U5493" s="1" t="str">
        <f>HYPERLINK("http://ictvonline.org/taxonomy/p/taxonomy-history?taxnode_id=202103010","ICTVonline=202103010")</f>
        <v>ICTVonline=202103010</v>
      </c>
    </row>
    <row r="5494" spans="1:21" x14ac:dyDescent="0.2">
      <c r="A5494" s="3">
        <v>5493</v>
      </c>
      <c r="B5494" s="1" t="s">
        <v>4226</v>
      </c>
      <c r="D5494" s="1" t="s">
        <v>5412</v>
      </c>
      <c r="F5494" s="1" t="s">
        <v>5430</v>
      </c>
      <c r="H5494" s="1" t="s">
        <v>5431</v>
      </c>
      <c r="J5494" s="1" t="s">
        <v>5433</v>
      </c>
      <c r="L5494" s="1" t="s">
        <v>1829</v>
      </c>
      <c r="N5494" s="1" t="s">
        <v>1936</v>
      </c>
      <c r="P5494" s="1" t="s">
        <v>1836</v>
      </c>
      <c r="Q5494" s="30" t="s">
        <v>2567</v>
      </c>
      <c r="R5494" s="33" t="s">
        <v>3474</v>
      </c>
      <c r="S5494">
        <v>35</v>
      </c>
      <c r="T5494" s="1" t="s">
        <v>5416</v>
      </c>
      <c r="U5494" s="1" t="str">
        <f>HYPERLINK("http://ictvonline.org/taxonomy/p/taxonomy-history?taxnode_id=202103011","ICTVonline=202103011")</f>
        <v>ICTVonline=202103011</v>
      </c>
    </row>
    <row r="5495" spans="1:21" x14ac:dyDescent="0.2">
      <c r="A5495" s="3">
        <v>5494</v>
      </c>
      <c r="B5495" s="1" t="s">
        <v>4226</v>
      </c>
      <c r="D5495" s="1" t="s">
        <v>5412</v>
      </c>
      <c r="F5495" s="1" t="s">
        <v>5430</v>
      </c>
      <c r="H5495" s="1" t="s">
        <v>5431</v>
      </c>
      <c r="J5495" s="1" t="s">
        <v>5433</v>
      </c>
      <c r="L5495" s="1" t="s">
        <v>1829</v>
      </c>
      <c r="N5495" s="1" t="s">
        <v>1936</v>
      </c>
      <c r="P5495" s="1" t="s">
        <v>1837</v>
      </c>
      <c r="Q5495" s="30" t="s">
        <v>2567</v>
      </c>
      <c r="R5495" s="33" t="s">
        <v>8665</v>
      </c>
      <c r="S5495">
        <v>36</v>
      </c>
      <c r="T5495" s="1" t="s">
        <v>8661</v>
      </c>
      <c r="U5495" s="1" t="str">
        <f>HYPERLINK("http://ictvonline.org/taxonomy/p/taxonomy-history?taxnode_id=202103012","ICTVonline=202103012")</f>
        <v>ICTVonline=202103012</v>
      </c>
    </row>
    <row r="5496" spans="1:21" x14ac:dyDescent="0.2">
      <c r="A5496" s="3">
        <v>5495</v>
      </c>
      <c r="B5496" s="1" t="s">
        <v>4226</v>
      </c>
      <c r="D5496" s="1" t="s">
        <v>5412</v>
      </c>
      <c r="F5496" s="1" t="s">
        <v>5430</v>
      </c>
      <c r="H5496" s="1" t="s">
        <v>5431</v>
      </c>
      <c r="J5496" s="1" t="s">
        <v>5433</v>
      </c>
      <c r="L5496" s="1" t="s">
        <v>1829</v>
      </c>
      <c r="N5496" s="1" t="s">
        <v>1936</v>
      </c>
      <c r="P5496" s="1" t="s">
        <v>1838</v>
      </c>
      <c r="Q5496" s="30" t="s">
        <v>2567</v>
      </c>
      <c r="R5496" s="33" t="s">
        <v>3474</v>
      </c>
      <c r="S5496">
        <v>35</v>
      </c>
      <c r="T5496" s="1" t="s">
        <v>5416</v>
      </c>
      <c r="U5496" s="1" t="str">
        <f>HYPERLINK("http://ictvonline.org/taxonomy/p/taxonomy-history?taxnode_id=202103013","ICTVonline=202103013")</f>
        <v>ICTVonline=202103013</v>
      </c>
    </row>
    <row r="5497" spans="1:21" x14ac:dyDescent="0.2">
      <c r="A5497" s="3">
        <v>5496</v>
      </c>
      <c r="B5497" s="1" t="s">
        <v>4226</v>
      </c>
      <c r="D5497" s="1" t="s">
        <v>5412</v>
      </c>
      <c r="F5497" s="1" t="s">
        <v>5430</v>
      </c>
      <c r="H5497" s="1" t="s">
        <v>5431</v>
      </c>
      <c r="J5497" s="1" t="s">
        <v>5433</v>
      </c>
      <c r="L5497" s="1" t="s">
        <v>1829</v>
      </c>
      <c r="N5497" s="1" t="s">
        <v>1936</v>
      </c>
      <c r="P5497" s="1" t="s">
        <v>1839</v>
      </c>
      <c r="Q5497" s="30" t="s">
        <v>2567</v>
      </c>
      <c r="R5497" s="33" t="s">
        <v>3474</v>
      </c>
      <c r="S5497">
        <v>35</v>
      </c>
      <c r="T5497" s="1" t="s">
        <v>5416</v>
      </c>
      <c r="U5497" s="1" t="str">
        <f>HYPERLINK("http://ictvonline.org/taxonomy/p/taxonomy-history?taxnode_id=202103014","ICTVonline=202103014")</f>
        <v>ICTVonline=202103014</v>
      </c>
    </row>
    <row r="5498" spans="1:21" x14ac:dyDescent="0.2">
      <c r="A5498" s="3">
        <v>5497</v>
      </c>
      <c r="B5498" s="1" t="s">
        <v>4226</v>
      </c>
      <c r="D5498" s="1" t="s">
        <v>5412</v>
      </c>
      <c r="F5498" s="1" t="s">
        <v>5430</v>
      </c>
      <c r="H5498" s="1" t="s">
        <v>5431</v>
      </c>
      <c r="J5498" s="1" t="s">
        <v>5433</v>
      </c>
      <c r="L5498" s="1" t="s">
        <v>1829</v>
      </c>
      <c r="N5498" s="1" t="s">
        <v>1936</v>
      </c>
      <c r="P5498" s="1" t="s">
        <v>464</v>
      </c>
      <c r="Q5498" s="30" t="s">
        <v>2567</v>
      </c>
      <c r="R5498" s="33" t="s">
        <v>3474</v>
      </c>
      <c r="S5498">
        <v>35</v>
      </c>
      <c r="T5498" s="1" t="s">
        <v>5416</v>
      </c>
      <c r="U5498" s="1" t="str">
        <f>HYPERLINK("http://ictvonline.org/taxonomy/p/taxonomy-history?taxnode_id=202103015","ICTVonline=202103015")</f>
        <v>ICTVonline=202103015</v>
      </c>
    </row>
    <row r="5499" spans="1:21" x14ac:dyDescent="0.2">
      <c r="A5499" s="3">
        <v>5498</v>
      </c>
      <c r="B5499" s="1" t="s">
        <v>4226</v>
      </c>
      <c r="D5499" s="1" t="s">
        <v>5412</v>
      </c>
      <c r="F5499" s="1" t="s">
        <v>5430</v>
      </c>
      <c r="H5499" s="1" t="s">
        <v>5431</v>
      </c>
      <c r="J5499" s="1" t="s">
        <v>5433</v>
      </c>
      <c r="L5499" s="1" t="s">
        <v>1829</v>
      </c>
      <c r="N5499" s="1" t="s">
        <v>1936</v>
      </c>
      <c r="P5499" s="1" t="s">
        <v>3319</v>
      </c>
      <c r="Q5499" s="30" t="s">
        <v>2567</v>
      </c>
      <c r="R5499" s="33" t="s">
        <v>3474</v>
      </c>
      <c r="S5499">
        <v>35</v>
      </c>
      <c r="T5499" s="1" t="s">
        <v>5416</v>
      </c>
      <c r="U5499" s="1" t="str">
        <f>HYPERLINK("http://ictvonline.org/taxonomy/p/taxonomy-history?taxnode_id=202103016","ICTVonline=202103016")</f>
        <v>ICTVonline=202103016</v>
      </c>
    </row>
    <row r="5500" spans="1:21" x14ac:dyDescent="0.2">
      <c r="A5500" s="3">
        <v>5499</v>
      </c>
      <c r="B5500" s="1" t="s">
        <v>4226</v>
      </c>
      <c r="D5500" s="1" t="s">
        <v>5412</v>
      </c>
      <c r="F5500" s="1" t="s">
        <v>5430</v>
      </c>
      <c r="H5500" s="1" t="s">
        <v>5431</v>
      </c>
      <c r="J5500" s="1" t="s">
        <v>5433</v>
      </c>
      <c r="L5500" s="1" t="s">
        <v>1829</v>
      </c>
      <c r="N5500" s="1" t="s">
        <v>1936</v>
      </c>
      <c r="P5500" s="1" t="s">
        <v>465</v>
      </c>
      <c r="Q5500" s="30" t="s">
        <v>2567</v>
      </c>
      <c r="R5500" s="33" t="s">
        <v>3474</v>
      </c>
      <c r="S5500">
        <v>35</v>
      </c>
      <c r="T5500" s="1" t="s">
        <v>5416</v>
      </c>
      <c r="U5500" s="1" t="str">
        <f>HYPERLINK("http://ictvonline.org/taxonomy/p/taxonomy-history?taxnode_id=202103017","ICTVonline=202103017")</f>
        <v>ICTVonline=202103017</v>
      </c>
    </row>
    <row r="5501" spans="1:21" x14ac:dyDescent="0.2">
      <c r="A5501" s="3">
        <v>5500</v>
      </c>
      <c r="B5501" s="1" t="s">
        <v>4226</v>
      </c>
      <c r="D5501" s="1" t="s">
        <v>5412</v>
      </c>
      <c r="F5501" s="1" t="s">
        <v>5430</v>
      </c>
      <c r="H5501" s="1" t="s">
        <v>5431</v>
      </c>
      <c r="J5501" s="1" t="s">
        <v>5433</v>
      </c>
      <c r="L5501" s="1" t="s">
        <v>1829</v>
      </c>
      <c r="N5501" s="1" t="s">
        <v>1936</v>
      </c>
      <c r="P5501" s="1" t="s">
        <v>1451</v>
      </c>
      <c r="Q5501" s="30" t="s">
        <v>2567</v>
      </c>
      <c r="R5501" s="33" t="s">
        <v>3474</v>
      </c>
      <c r="S5501">
        <v>35</v>
      </c>
      <c r="T5501" s="1" t="s">
        <v>5416</v>
      </c>
      <c r="U5501" s="1" t="str">
        <f>HYPERLINK("http://ictvonline.org/taxonomy/p/taxonomy-history?taxnode_id=202103018","ICTVonline=202103018")</f>
        <v>ICTVonline=202103018</v>
      </c>
    </row>
    <row r="5502" spans="1:21" x14ac:dyDescent="0.2">
      <c r="A5502" s="3">
        <v>5501</v>
      </c>
      <c r="B5502" s="1" t="s">
        <v>4226</v>
      </c>
      <c r="D5502" s="1" t="s">
        <v>5412</v>
      </c>
      <c r="F5502" s="1" t="s">
        <v>5430</v>
      </c>
      <c r="H5502" s="1" t="s">
        <v>5431</v>
      </c>
      <c r="J5502" s="1" t="s">
        <v>5433</v>
      </c>
      <c r="L5502" s="1" t="s">
        <v>1829</v>
      </c>
      <c r="N5502" s="1" t="s">
        <v>12821</v>
      </c>
      <c r="P5502" s="1" t="s">
        <v>1452</v>
      </c>
      <c r="Q5502" s="30" t="s">
        <v>2567</v>
      </c>
      <c r="R5502" s="33" t="s">
        <v>3474</v>
      </c>
      <c r="S5502">
        <v>37</v>
      </c>
      <c r="T5502" s="1" t="s">
        <v>13997</v>
      </c>
      <c r="U5502" s="1" t="str">
        <f>HYPERLINK("http://ictvonline.org/taxonomy/p/taxonomy-history?taxnode_id=202103023","ICTVonline=202103023")</f>
        <v>ICTVonline=202103023</v>
      </c>
    </row>
    <row r="5503" spans="1:21" x14ac:dyDescent="0.2">
      <c r="A5503" s="3">
        <v>5502</v>
      </c>
      <c r="B5503" s="1" t="s">
        <v>4226</v>
      </c>
      <c r="D5503" s="1" t="s">
        <v>5412</v>
      </c>
      <c r="F5503" s="1" t="s">
        <v>5430</v>
      </c>
      <c r="H5503" s="1" t="s">
        <v>5431</v>
      </c>
      <c r="J5503" s="1" t="s">
        <v>5433</v>
      </c>
      <c r="L5503" s="1" t="s">
        <v>1829</v>
      </c>
      <c r="N5503" s="1" t="s">
        <v>12822</v>
      </c>
      <c r="P5503" s="1" t="s">
        <v>4469</v>
      </c>
      <c r="Q5503" s="30" t="s">
        <v>2567</v>
      </c>
      <c r="R5503" s="33" t="s">
        <v>3474</v>
      </c>
      <c r="S5503">
        <v>37</v>
      </c>
      <c r="T5503" s="1" t="s">
        <v>13997</v>
      </c>
      <c r="U5503" s="1" t="str">
        <f>HYPERLINK("http://ictvonline.org/taxonomy/p/taxonomy-history?taxnode_id=202106657","ICTVonline=202106657")</f>
        <v>ICTVonline=202106657</v>
      </c>
    </row>
    <row r="5504" spans="1:21" x14ac:dyDescent="0.2">
      <c r="A5504" s="3">
        <v>5503</v>
      </c>
      <c r="B5504" s="1" t="s">
        <v>4226</v>
      </c>
      <c r="D5504" s="1" t="s">
        <v>5412</v>
      </c>
      <c r="F5504" s="1" t="s">
        <v>5430</v>
      </c>
      <c r="H5504" s="1" t="s">
        <v>5431</v>
      </c>
      <c r="J5504" s="1" t="s">
        <v>5433</v>
      </c>
      <c r="L5504" s="1" t="s">
        <v>1829</v>
      </c>
      <c r="N5504" s="1" t="s">
        <v>12822</v>
      </c>
      <c r="P5504" s="1" t="s">
        <v>2015</v>
      </c>
      <c r="Q5504" s="30" t="s">
        <v>2567</v>
      </c>
      <c r="R5504" s="33" t="s">
        <v>3474</v>
      </c>
      <c r="S5504">
        <v>37</v>
      </c>
      <c r="T5504" s="1" t="s">
        <v>13997</v>
      </c>
      <c r="U5504" s="1" t="str">
        <f>HYPERLINK("http://ictvonline.org/taxonomy/p/taxonomy-history?taxnode_id=202103024","ICTVonline=202103024")</f>
        <v>ICTVonline=202103024</v>
      </c>
    </row>
    <row r="5505" spans="1:21" x14ac:dyDescent="0.2">
      <c r="A5505" s="3">
        <v>5504</v>
      </c>
      <c r="B5505" s="1" t="s">
        <v>4226</v>
      </c>
      <c r="D5505" s="1" t="s">
        <v>5412</v>
      </c>
      <c r="F5505" s="1" t="s">
        <v>5430</v>
      </c>
      <c r="H5505" s="1" t="s">
        <v>5431</v>
      </c>
      <c r="J5505" s="1" t="s">
        <v>5433</v>
      </c>
      <c r="L5505" s="1" t="s">
        <v>1829</v>
      </c>
      <c r="N5505" s="1" t="s">
        <v>12822</v>
      </c>
      <c r="P5505" s="1" t="s">
        <v>3320</v>
      </c>
      <c r="Q5505" s="30" t="s">
        <v>2567</v>
      </c>
      <c r="R5505" s="33" t="s">
        <v>3474</v>
      </c>
      <c r="S5505">
        <v>37</v>
      </c>
      <c r="T5505" s="1" t="s">
        <v>13997</v>
      </c>
      <c r="U5505" s="1" t="str">
        <f>HYPERLINK("http://ictvonline.org/taxonomy/p/taxonomy-history?taxnode_id=202103025","ICTVonline=202103025")</f>
        <v>ICTVonline=202103025</v>
      </c>
    </row>
    <row r="5506" spans="1:21" x14ac:dyDescent="0.2">
      <c r="A5506" s="3">
        <v>5505</v>
      </c>
      <c r="B5506" s="1" t="s">
        <v>4226</v>
      </c>
      <c r="D5506" s="1" t="s">
        <v>5412</v>
      </c>
      <c r="F5506" s="1" t="s">
        <v>5430</v>
      </c>
      <c r="H5506" s="1" t="s">
        <v>5431</v>
      </c>
      <c r="J5506" s="1" t="s">
        <v>5433</v>
      </c>
      <c r="L5506" s="1" t="s">
        <v>1829</v>
      </c>
      <c r="N5506" s="1" t="s">
        <v>2226</v>
      </c>
      <c r="P5506" s="1" t="s">
        <v>3321</v>
      </c>
      <c r="Q5506" s="30" t="s">
        <v>2567</v>
      </c>
      <c r="R5506" s="33" t="s">
        <v>3474</v>
      </c>
      <c r="S5506">
        <v>35</v>
      </c>
      <c r="T5506" s="1" t="s">
        <v>5416</v>
      </c>
      <c r="U5506" s="1" t="str">
        <f>HYPERLINK("http://ictvonline.org/taxonomy/p/taxonomy-history?taxnode_id=202103027","ICTVonline=202103027")</f>
        <v>ICTVonline=202103027</v>
      </c>
    </row>
    <row r="5507" spans="1:21" x14ac:dyDescent="0.2">
      <c r="A5507" s="3">
        <v>5506</v>
      </c>
      <c r="B5507" s="1" t="s">
        <v>4226</v>
      </c>
      <c r="D5507" s="1" t="s">
        <v>5412</v>
      </c>
      <c r="F5507" s="1" t="s">
        <v>5430</v>
      </c>
      <c r="H5507" s="1" t="s">
        <v>5431</v>
      </c>
      <c r="J5507" s="1" t="s">
        <v>5433</v>
      </c>
      <c r="L5507" s="1" t="s">
        <v>1829</v>
      </c>
      <c r="N5507" s="1" t="s">
        <v>2226</v>
      </c>
      <c r="P5507" s="1" t="s">
        <v>2227</v>
      </c>
      <c r="Q5507" s="30" t="s">
        <v>2567</v>
      </c>
      <c r="R5507" s="33" t="s">
        <v>3474</v>
      </c>
      <c r="S5507">
        <v>35</v>
      </c>
      <c r="T5507" s="1" t="s">
        <v>5416</v>
      </c>
      <c r="U5507" s="1" t="str">
        <f>HYPERLINK("http://ictvonline.org/taxonomy/p/taxonomy-history?taxnode_id=202103028","ICTVonline=202103028")</f>
        <v>ICTVonline=202103028</v>
      </c>
    </row>
    <row r="5508" spans="1:21" x14ac:dyDescent="0.2">
      <c r="A5508" s="3">
        <v>5507</v>
      </c>
      <c r="B5508" s="1" t="s">
        <v>4226</v>
      </c>
      <c r="D5508" s="1" t="s">
        <v>5412</v>
      </c>
      <c r="F5508" s="1" t="s">
        <v>5430</v>
      </c>
      <c r="H5508" s="1" t="s">
        <v>5431</v>
      </c>
      <c r="J5508" s="1" t="s">
        <v>5433</v>
      </c>
      <c r="L5508" s="1" t="s">
        <v>1829</v>
      </c>
      <c r="N5508" s="1" t="s">
        <v>2226</v>
      </c>
      <c r="P5508" s="1" t="s">
        <v>2902</v>
      </c>
      <c r="Q5508" s="30" t="s">
        <v>2567</v>
      </c>
      <c r="R5508" s="33" t="s">
        <v>3474</v>
      </c>
      <c r="S5508">
        <v>35</v>
      </c>
      <c r="T5508" s="1" t="s">
        <v>5416</v>
      </c>
      <c r="U5508" s="1" t="str">
        <f>HYPERLINK("http://ictvonline.org/taxonomy/p/taxonomy-history?taxnode_id=202103029","ICTVonline=202103029")</f>
        <v>ICTVonline=202103029</v>
      </c>
    </row>
    <row r="5509" spans="1:21" x14ac:dyDescent="0.2">
      <c r="A5509" s="3">
        <v>5508</v>
      </c>
      <c r="B5509" s="1" t="s">
        <v>4226</v>
      </c>
      <c r="D5509" s="1" t="s">
        <v>5412</v>
      </c>
      <c r="F5509" s="1" t="s">
        <v>5430</v>
      </c>
      <c r="H5509" s="1" t="s">
        <v>5431</v>
      </c>
      <c r="J5509" s="1" t="s">
        <v>5433</v>
      </c>
      <c r="L5509" s="1" t="s">
        <v>1829</v>
      </c>
      <c r="N5509" s="1" t="s">
        <v>2226</v>
      </c>
      <c r="P5509" s="1" t="s">
        <v>2903</v>
      </c>
      <c r="Q5509" s="30" t="s">
        <v>2567</v>
      </c>
      <c r="R5509" s="33" t="s">
        <v>3474</v>
      </c>
      <c r="S5509">
        <v>35</v>
      </c>
      <c r="T5509" s="1" t="s">
        <v>5416</v>
      </c>
      <c r="U5509" s="1" t="str">
        <f>HYPERLINK("http://ictvonline.org/taxonomy/p/taxonomy-history?taxnode_id=202103030","ICTVonline=202103030")</f>
        <v>ICTVonline=202103030</v>
      </c>
    </row>
    <row r="5510" spans="1:21" x14ac:dyDescent="0.2">
      <c r="A5510" s="3">
        <v>5509</v>
      </c>
      <c r="B5510" s="1" t="s">
        <v>4226</v>
      </c>
      <c r="D5510" s="1" t="s">
        <v>5412</v>
      </c>
      <c r="F5510" s="1" t="s">
        <v>5430</v>
      </c>
      <c r="H5510" s="1" t="s">
        <v>5431</v>
      </c>
      <c r="J5510" s="1" t="s">
        <v>5433</v>
      </c>
      <c r="L5510" s="1" t="s">
        <v>1829</v>
      </c>
      <c r="N5510" s="1" t="s">
        <v>2226</v>
      </c>
      <c r="P5510" s="1" t="s">
        <v>2904</v>
      </c>
      <c r="Q5510" s="30" t="s">
        <v>2567</v>
      </c>
      <c r="R5510" s="33" t="s">
        <v>3474</v>
      </c>
      <c r="S5510">
        <v>35</v>
      </c>
      <c r="T5510" s="1" t="s">
        <v>5416</v>
      </c>
      <c r="U5510" s="1" t="str">
        <f>HYPERLINK("http://ictvonline.org/taxonomy/p/taxonomy-history?taxnode_id=202103031","ICTVonline=202103031")</f>
        <v>ICTVonline=202103031</v>
      </c>
    </row>
    <row r="5511" spans="1:21" x14ac:dyDescent="0.2">
      <c r="A5511" s="3">
        <v>5510</v>
      </c>
      <c r="B5511" s="1" t="s">
        <v>4226</v>
      </c>
      <c r="D5511" s="1" t="s">
        <v>5412</v>
      </c>
      <c r="F5511" s="1" t="s">
        <v>5430</v>
      </c>
      <c r="H5511" s="1" t="s">
        <v>5431</v>
      </c>
      <c r="J5511" s="1" t="s">
        <v>5433</v>
      </c>
      <c r="L5511" s="1" t="s">
        <v>1829</v>
      </c>
      <c r="N5511" s="1" t="s">
        <v>2226</v>
      </c>
      <c r="P5511" s="1" t="s">
        <v>2013</v>
      </c>
      <c r="Q5511" s="30" t="s">
        <v>2567</v>
      </c>
      <c r="R5511" s="33" t="s">
        <v>8665</v>
      </c>
      <c r="S5511">
        <v>36</v>
      </c>
      <c r="T5511" s="1" t="s">
        <v>8661</v>
      </c>
      <c r="U5511" s="1" t="str">
        <f>HYPERLINK("http://ictvonline.org/taxonomy/p/taxonomy-history?taxnode_id=202103032","ICTVonline=202103032")</f>
        <v>ICTVonline=202103032</v>
      </c>
    </row>
    <row r="5512" spans="1:21" x14ac:dyDescent="0.2">
      <c r="A5512" s="3">
        <v>5511</v>
      </c>
      <c r="B5512" s="1" t="s">
        <v>4226</v>
      </c>
      <c r="D5512" s="1" t="s">
        <v>5412</v>
      </c>
      <c r="F5512" s="1" t="s">
        <v>5430</v>
      </c>
      <c r="H5512" s="1" t="s">
        <v>5431</v>
      </c>
      <c r="J5512" s="1" t="s">
        <v>5433</v>
      </c>
      <c r="L5512" s="1" t="s">
        <v>1829</v>
      </c>
      <c r="N5512" s="1" t="s">
        <v>2226</v>
      </c>
      <c r="P5512" s="1" t="s">
        <v>2014</v>
      </c>
      <c r="Q5512" s="30" t="s">
        <v>2567</v>
      </c>
      <c r="R5512" s="33" t="s">
        <v>3474</v>
      </c>
      <c r="S5512">
        <v>35</v>
      </c>
      <c r="T5512" s="1" t="s">
        <v>5416</v>
      </c>
      <c r="U5512" s="1" t="str">
        <f>HYPERLINK("http://ictvonline.org/taxonomy/p/taxonomy-history?taxnode_id=202103033","ICTVonline=202103033")</f>
        <v>ICTVonline=202103033</v>
      </c>
    </row>
    <row r="5513" spans="1:21" x14ac:dyDescent="0.2">
      <c r="A5513" s="3">
        <v>5512</v>
      </c>
      <c r="B5513" s="1" t="s">
        <v>4226</v>
      </c>
      <c r="D5513" s="1" t="s">
        <v>5412</v>
      </c>
      <c r="F5513" s="1" t="s">
        <v>5430</v>
      </c>
      <c r="H5513" s="1" t="s">
        <v>5431</v>
      </c>
      <c r="J5513" s="1" t="s">
        <v>5433</v>
      </c>
      <c r="L5513" s="1" t="s">
        <v>1829</v>
      </c>
      <c r="N5513" s="1" t="s">
        <v>2226</v>
      </c>
      <c r="P5513" s="1" t="s">
        <v>6694</v>
      </c>
      <c r="Q5513" s="30" t="s">
        <v>2567</v>
      </c>
      <c r="R5513" s="33" t="s">
        <v>3472</v>
      </c>
      <c r="S5513">
        <v>36</v>
      </c>
      <c r="T5513" s="1" t="s">
        <v>6692</v>
      </c>
      <c r="U5513" s="1" t="str">
        <f>HYPERLINK("http://ictvonline.org/taxonomy/p/taxonomy-history?taxnode_id=202108912","ICTVonline=202108912")</f>
        <v>ICTVonline=202108912</v>
      </c>
    </row>
    <row r="5514" spans="1:21" x14ac:dyDescent="0.2">
      <c r="A5514" s="3">
        <v>5513</v>
      </c>
      <c r="B5514" s="1" t="s">
        <v>4226</v>
      </c>
      <c r="D5514" s="1" t="s">
        <v>5412</v>
      </c>
      <c r="F5514" s="1" t="s">
        <v>5430</v>
      </c>
      <c r="H5514" s="1" t="s">
        <v>5431</v>
      </c>
      <c r="J5514" s="1" t="s">
        <v>5433</v>
      </c>
      <c r="L5514" s="1" t="s">
        <v>1525</v>
      </c>
      <c r="N5514" s="1" t="s">
        <v>3097</v>
      </c>
      <c r="P5514" s="1" t="s">
        <v>5439</v>
      </c>
      <c r="Q5514" s="30" t="s">
        <v>2567</v>
      </c>
      <c r="R5514" s="33" t="s">
        <v>3472</v>
      </c>
      <c r="S5514">
        <v>35</v>
      </c>
      <c r="T5514" s="1" t="s">
        <v>5440</v>
      </c>
      <c r="U5514" s="1" t="str">
        <f>HYPERLINK("http://ictvonline.org/taxonomy/p/taxonomy-history?taxnode_id=202107538","ICTVonline=202107538")</f>
        <v>ICTVonline=202107538</v>
      </c>
    </row>
    <row r="5515" spans="1:21" x14ac:dyDescent="0.2">
      <c r="A5515" s="3">
        <v>5514</v>
      </c>
      <c r="B5515" s="1" t="s">
        <v>4226</v>
      </c>
      <c r="D5515" s="1" t="s">
        <v>5412</v>
      </c>
      <c r="F5515" s="1" t="s">
        <v>5430</v>
      </c>
      <c r="H5515" s="1" t="s">
        <v>5431</v>
      </c>
      <c r="J5515" s="1" t="s">
        <v>5433</v>
      </c>
      <c r="L5515" s="1" t="s">
        <v>1525</v>
      </c>
      <c r="N5515" s="1" t="s">
        <v>3097</v>
      </c>
      <c r="P5515" s="1" t="s">
        <v>3098</v>
      </c>
      <c r="Q5515" s="30" t="s">
        <v>2567</v>
      </c>
      <c r="R5515" s="33" t="s">
        <v>3474</v>
      </c>
      <c r="S5515">
        <v>35</v>
      </c>
      <c r="T5515" s="1" t="s">
        <v>5416</v>
      </c>
      <c r="U5515" s="1" t="str">
        <f>HYPERLINK("http://ictvonline.org/taxonomy/p/taxonomy-history?taxnode_id=202103045","ICTVonline=202103045")</f>
        <v>ICTVonline=202103045</v>
      </c>
    </row>
    <row r="5516" spans="1:21" x14ac:dyDescent="0.2">
      <c r="A5516" s="3">
        <v>5515</v>
      </c>
      <c r="B5516" s="1" t="s">
        <v>4226</v>
      </c>
      <c r="D5516" s="1" t="s">
        <v>5412</v>
      </c>
      <c r="F5516" s="1" t="s">
        <v>5430</v>
      </c>
      <c r="H5516" s="1" t="s">
        <v>5431</v>
      </c>
      <c r="J5516" s="1" t="s">
        <v>5433</v>
      </c>
      <c r="L5516" s="1" t="s">
        <v>1525</v>
      </c>
      <c r="N5516" s="1" t="s">
        <v>3097</v>
      </c>
      <c r="P5516" s="1" t="s">
        <v>3099</v>
      </c>
      <c r="Q5516" s="30" t="s">
        <v>2567</v>
      </c>
      <c r="R5516" s="33" t="s">
        <v>3474</v>
      </c>
      <c r="S5516">
        <v>35</v>
      </c>
      <c r="T5516" s="1" t="s">
        <v>5416</v>
      </c>
      <c r="U5516" s="1" t="str">
        <f>HYPERLINK("http://ictvonline.org/taxonomy/p/taxonomy-history?taxnode_id=202103046","ICTVonline=202103046")</f>
        <v>ICTVonline=202103046</v>
      </c>
    </row>
    <row r="5517" spans="1:21" x14ac:dyDescent="0.2">
      <c r="A5517" s="3">
        <v>5516</v>
      </c>
      <c r="B5517" s="1" t="s">
        <v>4226</v>
      </c>
      <c r="D5517" s="1" t="s">
        <v>5412</v>
      </c>
      <c r="F5517" s="1" t="s">
        <v>5430</v>
      </c>
      <c r="H5517" s="1" t="s">
        <v>5431</v>
      </c>
      <c r="J5517" s="1" t="s">
        <v>5433</v>
      </c>
      <c r="L5517" s="1" t="s">
        <v>1525</v>
      </c>
      <c r="N5517" s="1" t="s">
        <v>3097</v>
      </c>
      <c r="P5517" s="1" t="s">
        <v>5441</v>
      </c>
      <c r="Q5517" s="30" t="s">
        <v>2567</v>
      </c>
      <c r="R5517" s="33" t="s">
        <v>3472</v>
      </c>
      <c r="S5517">
        <v>35</v>
      </c>
      <c r="T5517" s="1" t="s">
        <v>5440</v>
      </c>
      <c r="U5517" s="1" t="str">
        <f>HYPERLINK("http://ictvonline.org/taxonomy/p/taxonomy-history?taxnode_id=202107539","ICTVonline=202107539")</f>
        <v>ICTVonline=202107539</v>
      </c>
    </row>
    <row r="5518" spans="1:21" x14ac:dyDescent="0.2">
      <c r="A5518" s="3">
        <v>5517</v>
      </c>
      <c r="B5518" s="1" t="s">
        <v>4226</v>
      </c>
      <c r="D5518" s="1" t="s">
        <v>5412</v>
      </c>
      <c r="F5518" s="1" t="s">
        <v>5430</v>
      </c>
      <c r="H5518" s="1" t="s">
        <v>5431</v>
      </c>
      <c r="J5518" s="1" t="s">
        <v>5433</v>
      </c>
      <c r="L5518" s="1" t="s">
        <v>1525</v>
      </c>
      <c r="N5518" s="1" t="s">
        <v>3097</v>
      </c>
      <c r="P5518" s="1" t="s">
        <v>3322</v>
      </c>
      <c r="Q5518" s="30" t="s">
        <v>2567</v>
      </c>
      <c r="R5518" s="33" t="s">
        <v>3474</v>
      </c>
      <c r="S5518">
        <v>35</v>
      </c>
      <c r="T5518" s="1" t="s">
        <v>5416</v>
      </c>
      <c r="U5518" s="1" t="str">
        <f>HYPERLINK("http://ictvonline.org/taxonomy/p/taxonomy-history?taxnode_id=202103047","ICTVonline=202103047")</f>
        <v>ICTVonline=202103047</v>
      </c>
    </row>
    <row r="5519" spans="1:21" x14ac:dyDescent="0.2">
      <c r="A5519" s="3">
        <v>5518</v>
      </c>
      <c r="B5519" s="1" t="s">
        <v>4226</v>
      </c>
      <c r="D5519" s="1" t="s">
        <v>5412</v>
      </c>
      <c r="F5519" s="1" t="s">
        <v>5430</v>
      </c>
      <c r="H5519" s="1" t="s">
        <v>5431</v>
      </c>
      <c r="J5519" s="1" t="s">
        <v>5433</v>
      </c>
      <c r="L5519" s="1" t="s">
        <v>1525</v>
      </c>
      <c r="N5519" s="1" t="s">
        <v>3097</v>
      </c>
      <c r="P5519" s="1" t="s">
        <v>3323</v>
      </c>
      <c r="Q5519" s="30" t="s">
        <v>2567</v>
      </c>
      <c r="R5519" s="33" t="s">
        <v>3474</v>
      </c>
      <c r="S5519">
        <v>35</v>
      </c>
      <c r="T5519" s="1" t="s">
        <v>5416</v>
      </c>
      <c r="U5519" s="1" t="str">
        <f>HYPERLINK("http://ictvonline.org/taxonomy/p/taxonomy-history?taxnode_id=202103048","ICTVonline=202103048")</f>
        <v>ICTVonline=202103048</v>
      </c>
    </row>
    <row r="5520" spans="1:21" x14ac:dyDescent="0.2">
      <c r="A5520" s="3">
        <v>5519</v>
      </c>
      <c r="B5520" s="1" t="s">
        <v>4226</v>
      </c>
      <c r="D5520" s="1" t="s">
        <v>5412</v>
      </c>
      <c r="F5520" s="1" t="s">
        <v>5430</v>
      </c>
      <c r="H5520" s="1" t="s">
        <v>5431</v>
      </c>
      <c r="J5520" s="1" t="s">
        <v>5433</v>
      </c>
      <c r="L5520" s="1" t="s">
        <v>1525</v>
      </c>
      <c r="N5520" s="1" t="s">
        <v>3097</v>
      </c>
      <c r="P5520" s="1" t="s">
        <v>3324</v>
      </c>
      <c r="Q5520" s="30" t="s">
        <v>2567</v>
      </c>
      <c r="R5520" s="33" t="s">
        <v>3474</v>
      </c>
      <c r="S5520">
        <v>35</v>
      </c>
      <c r="T5520" s="1" t="s">
        <v>5416</v>
      </c>
      <c r="U5520" s="1" t="str">
        <f>HYPERLINK("http://ictvonline.org/taxonomy/p/taxonomy-history?taxnode_id=202103049","ICTVonline=202103049")</f>
        <v>ICTVonline=202103049</v>
      </c>
    </row>
    <row r="5521" spans="1:21" x14ac:dyDescent="0.2">
      <c r="A5521" s="3">
        <v>5520</v>
      </c>
      <c r="B5521" s="1" t="s">
        <v>4226</v>
      </c>
      <c r="D5521" s="1" t="s">
        <v>5412</v>
      </c>
      <c r="F5521" s="1" t="s">
        <v>5430</v>
      </c>
      <c r="H5521" s="1" t="s">
        <v>5431</v>
      </c>
      <c r="J5521" s="1" t="s">
        <v>5433</v>
      </c>
      <c r="L5521" s="1" t="s">
        <v>1525</v>
      </c>
      <c r="N5521" s="1" t="s">
        <v>3097</v>
      </c>
      <c r="P5521" s="1" t="s">
        <v>5442</v>
      </c>
      <c r="Q5521" s="30" t="s">
        <v>2567</v>
      </c>
      <c r="R5521" s="33" t="s">
        <v>3472</v>
      </c>
      <c r="S5521">
        <v>35</v>
      </c>
      <c r="T5521" s="1" t="s">
        <v>5440</v>
      </c>
      <c r="U5521" s="1" t="str">
        <f>HYPERLINK("http://ictvonline.org/taxonomy/p/taxonomy-history?taxnode_id=202107540","ICTVonline=202107540")</f>
        <v>ICTVonline=202107540</v>
      </c>
    </row>
    <row r="5522" spans="1:21" x14ac:dyDescent="0.2">
      <c r="A5522" s="3">
        <v>5521</v>
      </c>
      <c r="B5522" s="1" t="s">
        <v>4226</v>
      </c>
      <c r="D5522" s="1" t="s">
        <v>5412</v>
      </c>
      <c r="F5522" s="1" t="s">
        <v>5430</v>
      </c>
      <c r="H5522" s="1" t="s">
        <v>5431</v>
      </c>
      <c r="J5522" s="1" t="s">
        <v>5433</v>
      </c>
      <c r="L5522" s="1" t="s">
        <v>1525</v>
      </c>
      <c r="N5522" s="1" t="s">
        <v>3097</v>
      </c>
      <c r="P5522" s="1" t="s">
        <v>3100</v>
      </c>
      <c r="Q5522" s="30" t="s">
        <v>2567</v>
      </c>
      <c r="R5522" s="33" t="s">
        <v>3474</v>
      </c>
      <c r="S5522">
        <v>35</v>
      </c>
      <c r="T5522" s="1" t="s">
        <v>5416</v>
      </c>
      <c r="U5522" s="1" t="str">
        <f>HYPERLINK("http://ictvonline.org/taxonomy/p/taxonomy-history?taxnode_id=202103050","ICTVonline=202103050")</f>
        <v>ICTVonline=202103050</v>
      </c>
    </row>
    <row r="5523" spans="1:21" x14ac:dyDescent="0.2">
      <c r="A5523" s="3">
        <v>5522</v>
      </c>
      <c r="B5523" s="1" t="s">
        <v>4226</v>
      </c>
      <c r="D5523" s="1" t="s">
        <v>5412</v>
      </c>
      <c r="F5523" s="1" t="s">
        <v>5430</v>
      </c>
      <c r="H5523" s="1" t="s">
        <v>5431</v>
      </c>
      <c r="J5523" s="1" t="s">
        <v>5433</v>
      </c>
      <c r="L5523" s="1" t="s">
        <v>1525</v>
      </c>
      <c r="N5523" s="1" t="s">
        <v>3097</v>
      </c>
      <c r="P5523" s="1" t="s">
        <v>3325</v>
      </c>
      <c r="Q5523" s="30" t="s">
        <v>2567</v>
      </c>
      <c r="R5523" s="33" t="s">
        <v>3474</v>
      </c>
      <c r="S5523">
        <v>35</v>
      </c>
      <c r="T5523" s="1" t="s">
        <v>5416</v>
      </c>
      <c r="U5523" s="1" t="str">
        <f>HYPERLINK("http://ictvonline.org/taxonomy/p/taxonomy-history?taxnode_id=202103051","ICTVonline=202103051")</f>
        <v>ICTVonline=202103051</v>
      </c>
    </row>
    <row r="5524" spans="1:21" x14ac:dyDescent="0.2">
      <c r="A5524" s="3">
        <v>5523</v>
      </c>
      <c r="B5524" s="1" t="s">
        <v>4226</v>
      </c>
      <c r="D5524" s="1" t="s">
        <v>5412</v>
      </c>
      <c r="F5524" s="1" t="s">
        <v>5430</v>
      </c>
      <c r="H5524" s="1" t="s">
        <v>5431</v>
      </c>
      <c r="J5524" s="1" t="s">
        <v>5433</v>
      </c>
      <c r="L5524" s="1" t="s">
        <v>1525</v>
      </c>
      <c r="N5524" s="1" t="s">
        <v>3097</v>
      </c>
      <c r="P5524" s="1" t="s">
        <v>3326</v>
      </c>
      <c r="Q5524" s="30" t="s">
        <v>2567</v>
      </c>
      <c r="R5524" s="33" t="s">
        <v>3474</v>
      </c>
      <c r="S5524">
        <v>35</v>
      </c>
      <c r="T5524" s="1" t="s">
        <v>5416</v>
      </c>
      <c r="U5524" s="1" t="str">
        <f>HYPERLINK("http://ictvonline.org/taxonomy/p/taxonomy-history?taxnode_id=202103052","ICTVonline=202103052")</f>
        <v>ICTVonline=202103052</v>
      </c>
    </row>
    <row r="5525" spans="1:21" x14ac:dyDescent="0.2">
      <c r="A5525" s="3">
        <v>5524</v>
      </c>
      <c r="B5525" s="1" t="s">
        <v>4226</v>
      </c>
      <c r="D5525" s="1" t="s">
        <v>5412</v>
      </c>
      <c r="F5525" s="1" t="s">
        <v>5430</v>
      </c>
      <c r="H5525" s="1" t="s">
        <v>5431</v>
      </c>
      <c r="J5525" s="1" t="s">
        <v>5433</v>
      </c>
      <c r="L5525" s="1" t="s">
        <v>1525</v>
      </c>
      <c r="N5525" s="1" t="s">
        <v>3097</v>
      </c>
      <c r="P5525" s="1" t="s">
        <v>3327</v>
      </c>
      <c r="Q5525" s="30" t="s">
        <v>2567</v>
      </c>
      <c r="R5525" s="33" t="s">
        <v>3474</v>
      </c>
      <c r="S5525">
        <v>35</v>
      </c>
      <c r="T5525" s="1" t="s">
        <v>5416</v>
      </c>
      <c r="U5525" s="1" t="str">
        <f>HYPERLINK("http://ictvonline.org/taxonomy/p/taxonomy-history?taxnode_id=202103053","ICTVonline=202103053")</f>
        <v>ICTVonline=202103053</v>
      </c>
    </row>
    <row r="5526" spans="1:21" x14ac:dyDescent="0.2">
      <c r="A5526" s="3">
        <v>5525</v>
      </c>
      <c r="B5526" s="1" t="s">
        <v>4226</v>
      </c>
      <c r="D5526" s="1" t="s">
        <v>5412</v>
      </c>
      <c r="F5526" s="1" t="s">
        <v>5430</v>
      </c>
      <c r="H5526" s="1" t="s">
        <v>5431</v>
      </c>
      <c r="J5526" s="1" t="s">
        <v>5433</v>
      </c>
      <c r="L5526" s="1" t="s">
        <v>1525</v>
      </c>
      <c r="N5526" s="1" t="s">
        <v>3097</v>
      </c>
      <c r="P5526" s="1" t="s">
        <v>3101</v>
      </c>
      <c r="Q5526" s="30" t="s">
        <v>2567</v>
      </c>
      <c r="R5526" s="33" t="s">
        <v>3474</v>
      </c>
      <c r="S5526">
        <v>35</v>
      </c>
      <c r="T5526" s="1" t="s">
        <v>5416</v>
      </c>
      <c r="U5526" s="1" t="str">
        <f>HYPERLINK("http://ictvonline.org/taxonomy/p/taxonomy-history?taxnode_id=202103054","ICTVonline=202103054")</f>
        <v>ICTVonline=202103054</v>
      </c>
    </row>
    <row r="5527" spans="1:21" x14ac:dyDescent="0.2">
      <c r="A5527" s="3">
        <v>5526</v>
      </c>
      <c r="B5527" s="1" t="s">
        <v>4226</v>
      </c>
      <c r="D5527" s="1" t="s">
        <v>5412</v>
      </c>
      <c r="F5527" s="1" t="s">
        <v>5430</v>
      </c>
      <c r="H5527" s="1" t="s">
        <v>5431</v>
      </c>
      <c r="J5527" s="1" t="s">
        <v>5433</v>
      </c>
      <c r="L5527" s="1" t="s">
        <v>1525</v>
      </c>
      <c r="N5527" s="1" t="s">
        <v>3097</v>
      </c>
      <c r="P5527" s="1" t="s">
        <v>3102</v>
      </c>
      <c r="Q5527" s="30" t="s">
        <v>2567</v>
      </c>
      <c r="R5527" s="33" t="s">
        <v>8665</v>
      </c>
      <c r="S5527">
        <v>36</v>
      </c>
      <c r="T5527" s="1" t="s">
        <v>8661</v>
      </c>
      <c r="U5527" s="1" t="str">
        <f>HYPERLINK("http://ictvonline.org/taxonomy/p/taxonomy-history?taxnode_id=202103055","ICTVonline=202103055")</f>
        <v>ICTVonline=202103055</v>
      </c>
    </row>
    <row r="5528" spans="1:21" x14ac:dyDescent="0.2">
      <c r="A5528" s="3">
        <v>5527</v>
      </c>
      <c r="B5528" s="1" t="s">
        <v>4226</v>
      </c>
      <c r="D5528" s="1" t="s">
        <v>5412</v>
      </c>
      <c r="F5528" s="1" t="s">
        <v>5430</v>
      </c>
      <c r="H5528" s="1" t="s">
        <v>5431</v>
      </c>
      <c r="J5528" s="1" t="s">
        <v>5433</v>
      </c>
      <c r="L5528" s="1" t="s">
        <v>1525</v>
      </c>
      <c r="N5528" s="1" t="s">
        <v>3097</v>
      </c>
      <c r="P5528" s="1" t="s">
        <v>3103</v>
      </c>
      <c r="Q5528" s="30" t="s">
        <v>2567</v>
      </c>
      <c r="R5528" s="33" t="s">
        <v>3474</v>
      </c>
      <c r="S5528">
        <v>35</v>
      </c>
      <c r="T5528" s="1" t="s">
        <v>5416</v>
      </c>
      <c r="U5528" s="1" t="str">
        <f>HYPERLINK("http://ictvonline.org/taxonomy/p/taxonomy-history?taxnode_id=202103056","ICTVonline=202103056")</f>
        <v>ICTVonline=202103056</v>
      </c>
    </row>
    <row r="5529" spans="1:21" x14ac:dyDescent="0.2">
      <c r="A5529" s="3">
        <v>5528</v>
      </c>
      <c r="B5529" s="1" t="s">
        <v>4226</v>
      </c>
      <c r="D5529" s="1" t="s">
        <v>5412</v>
      </c>
      <c r="F5529" s="1" t="s">
        <v>5430</v>
      </c>
      <c r="H5529" s="1" t="s">
        <v>5431</v>
      </c>
      <c r="J5529" s="1" t="s">
        <v>5433</v>
      </c>
      <c r="L5529" s="1" t="s">
        <v>1525</v>
      </c>
      <c r="N5529" s="1" t="s">
        <v>3097</v>
      </c>
      <c r="P5529" s="1" t="s">
        <v>3104</v>
      </c>
      <c r="Q5529" s="30" t="s">
        <v>2567</v>
      </c>
      <c r="R5529" s="33" t="s">
        <v>3474</v>
      </c>
      <c r="S5529">
        <v>35</v>
      </c>
      <c r="T5529" s="1" t="s">
        <v>5416</v>
      </c>
      <c r="U5529" s="1" t="str">
        <f>HYPERLINK("http://ictvonline.org/taxonomy/p/taxonomy-history?taxnode_id=202103057","ICTVonline=202103057")</f>
        <v>ICTVonline=202103057</v>
      </c>
    </row>
    <row r="5530" spans="1:21" x14ac:dyDescent="0.2">
      <c r="A5530" s="3">
        <v>5529</v>
      </c>
      <c r="B5530" s="1" t="s">
        <v>4226</v>
      </c>
      <c r="D5530" s="1" t="s">
        <v>5412</v>
      </c>
      <c r="F5530" s="1" t="s">
        <v>5430</v>
      </c>
      <c r="H5530" s="1" t="s">
        <v>5431</v>
      </c>
      <c r="J5530" s="1" t="s">
        <v>5433</v>
      </c>
      <c r="L5530" s="1" t="s">
        <v>1525</v>
      </c>
      <c r="N5530" s="1" t="s">
        <v>3097</v>
      </c>
      <c r="P5530" s="1" t="s">
        <v>3105</v>
      </c>
      <c r="Q5530" s="30" t="s">
        <v>2567</v>
      </c>
      <c r="R5530" s="33" t="s">
        <v>3474</v>
      </c>
      <c r="S5530">
        <v>35</v>
      </c>
      <c r="T5530" s="1" t="s">
        <v>5416</v>
      </c>
      <c r="U5530" s="1" t="str">
        <f>HYPERLINK("http://ictvonline.org/taxonomy/p/taxonomy-history?taxnode_id=202103058","ICTVonline=202103058")</f>
        <v>ICTVonline=202103058</v>
      </c>
    </row>
    <row r="5531" spans="1:21" x14ac:dyDescent="0.2">
      <c r="A5531" s="3">
        <v>5530</v>
      </c>
      <c r="B5531" s="1" t="s">
        <v>4226</v>
      </c>
      <c r="D5531" s="1" t="s">
        <v>5412</v>
      </c>
      <c r="F5531" s="1" t="s">
        <v>5430</v>
      </c>
      <c r="H5531" s="1" t="s">
        <v>5431</v>
      </c>
      <c r="J5531" s="1" t="s">
        <v>5433</v>
      </c>
      <c r="L5531" s="1" t="s">
        <v>1525</v>
      </c>
      <c r="N5531" s="1" t="s">
        <v>3097</v>
      </c>
      <c r="P5531" s="1" t="s">
        <v>5443</v>
      </c>
      <c r="Q5531" s="30" t="s">
        <v>2567</v>
      </c>
      <c r="R5531" s="33" t="s">
        <v>3472</v>
      </c>
      <c r="S5531">
        <v>35</v>
      </c>
      <c r="T5531" s="1" t="s">
        <v>5440</v>
      </c>
      <c r="U5531" s="1" t="str">
        <f>HYPERLINK("http://ictvonline.org/taxonomy/p/taxonomy-history?taxnode_id=202107541","ICTVonline=202107541")</f>
        <v>ICTVonline=202107541</v>
      </c>
    </row>
    <row r="5532" spans="1:21" x14ac:dyDescent="0.2">
      <c r="A5532" s="3">
        <v>5531</v>
      </c>
      <c r="B5532" s="1" t="s">
        <v>4226</v>
      </c>
      <c r="D5532" s="1" t="s">
        <v>5412</v>
      </c>
      <c r="F5532" s="1" t="s">
        <v>5430</v>
      </c>
      <c r="H5532" s="1" t="s">
        <v>5431</v>
      </c>
      <c r="J5532" s="1" t="s">
        <v>5433</v>
      </c>
      <c r="L5532" s="1" t="s">
        <v>1525</v>
      </c>
      <c r="N5532" s="1" t="s">
        <v>3097</v>
      </c>
      <c r="P5532" s="1" t="s">
        <v>3106</v>
      </c>
      <c r="Q5532" s="30" t="s">
        <v>2567</v>
      </c>
      <c r="R5532" s="33" t="s">
        <v>3474</v>
      </c>
      <c r="S5532">
        <v>35</v>
      </c>
      <c r="T5532" s="1" t="s">
        <v>5416</v>
      </c>
      <c r="U5532" s="1" t="str">
        <f>HYPERLINK("http://ictvonline.org/taxonomy/p/taxonomy-history?taxnode_id=202103059","ICTVonline=202103059")</f>
        <v>ICTVonline=202103059</v>
      </c>
    </row>
    <row r="5533" spans="1:21" x14ac:dyDescent="0.2">
      <c r="A5533" s="3">
        <v>5532</v>
      </c>
      <c r="B5533" s="1" t="s">
        <v>4226</v>
      </c>
      <c r="D5533" s="1" t="s">
        <v>5412</v>
      </c>
      <c r="F5533" s="1" t="s">
        <v>5430</v>
      </c>
      <c r="H5533" s="1" t="s">
        <v>5431</v>
      </c>
      <c r="J5533" s="1" t="s">
        <v>5433</v>
      </c>
      <c r="L5533" s="1" t="s">
        <v>1525</v>
      </c>
      <c r="N5533" s="1" t="s">
        <v>3097</v>
      </c>
      <c r="P5533" s="1" t="s">
        <v>3328</v>
      </c>
      <c r="Q5533" s="30" t="s">
        <v>2567</v>
      </c>
      <c r="R5533" s="33" t="s">
        <v>3474</v>
      </c>
      <c r="S5533">
        <v>35</v>
      </c>
      <c r="T5533" s="1" t="s">
        <v>5416</v>
      </c>
      <c r="U5533" s="1" t="str">
        <f>HYPERLINK("http://ictvonline.org/taxonomy/p/taxonomy-history?taxnode_id=202103060","ICTVonline=202103060")</f>
        <v>ICTVonline=202103060</v>
      </c>
    </row>
    <row r="5534" spans="1:21" x14ac:dyDescent="0.2">
      <c r="A5534" s="3">
        <v>5533</v>
      </c>
      <c r="B5534" s="1" t="s">
        <v>4226</v>
      </c>
      <c r="D5534" s="1" t="s">
        <v>5412</v>
      </c>
      <c r="F5534" s="1" t="s">
        <v>5430</v>
      </c>
      <c r="H5534" s="1" t="s">
        <v>5431</v>
      </c>
      <c r="J5534" s="1" t="s">
        <v>5433</v>
      </c>
      <c r="L5534" s="1" t="s">
        <v>1525</v>
      </c>
      <c r="N5534" s="1" t="s">
        <v>3097</v>
      </c>
      <c r="P5534" s="1" t="s">
        <v>5444</v>
      </c>
      <c r="Q5534" s="30" t="s">
        <v>2567</v>
      </c>
      <c r="R5534" s="33" t="s">
        <v>3472</v>
      </c>
      <c r="S5534">
        <v>35</v>
      </c>
      <c r="T5534" s="1" t="s">
        <v>5440</v>
      </c>
      <c r="U5534" s="1" t="str">
        <f>HYPERLINK("http://ictvonline.org/taxonomy/p/taxonomy-history?taxnode_id=202107542","ICTVonline=202107542")</f>
        <v>ICTVonline=202107542</v>
      </c>
    </row>
    <row r="5535" spans="1:21" x14ac:dyDescent="0.2">
      <c r="A5535" s="3">
        <v>5534</v>
      </c>
      <c r="B5535" s="1" t="s">
        <v>4226</v>
      </c>
      <c r="D5535" s="1" t="s">
        <v>5412</v>
      </c>
      <c r="F5535" s="1" t="s">
        <v>5430</v>
      </c>
      <c r="H5535" s="1" t="s">
        <v>5431</v>
      </c>
      <c r="J5535" s="1" t="s">
        <v>5433</v>
      </c>
      <c r="L5535" s="1" t="s">
        <v>1525</v>
      </c>
      <c r="N5535" s="1" t="s">
        <v>3097</v>
      </c>
      <c r="P5535" s="1" t="s">
        <v>3107</v>
      </c>
      <c r="Q5535" s="30" t="s">
        <v>2567</v>
      </c>
      <c r="R5535" s="33" t="s">
        <v>3474</v>
      </c>
      <c r="S5535">
        <v>35</v>
      </c>
      <c r="T5535" s="1" t="s">
        <v>5416</v>
      </c>
      <c r="U5535" s="1" t="str">
        <f>HYPERLINK("http://ictvonline.org/taxonomy/p/taxonomy-history?taxnode_id=202103061","ICTVonline=202103061")</f>
        <v>ICTVonline=202103061</v>
      </c>
    </row>
    <row r="5536" spans="1:21" x14ac:dyDescent="0.2">
      <c r="A5536" s="3">
        <v>5535</v>
      </c>
      <c r="B5536" s="1" t="s">
        <v>4226</v>
      </c>
      <c r="D5536" s="1" t="s">
        <v>5412</v>
      </c>
      <c r="F5536" s="1" t="s">
        <v>5430</v>
      </c>
      <c r="H5536" s="1" t="s">
        <v>5431</v>
      </c>
      <c r="J5536" s="1" t="s">
        <v>5433</v>
      </c>
      <c r="L5536" s="1" t="s">
        <v>1525</v>
      </c>
      <c r="N5536" s="1" t="s">
        <v>3097</v>
      </c>
      <c r="P5536" s="1" t="s">
        <v>3787</v>
      </c>
      <c r="Q5536" s="30" t="s">
        <v>2567</v>
      </c>
      <c r="R5536" s="33" t="s">
        <v>3474</v>
      </c>
      <c r="S5536">
        <v>35</v>
      </c>
      <c r="T5536" s="1" t="s">
        <v>5416</v>
      </c>
      <c r="U5536" s="1" t="str">
        <f>HYPERLINK("http://ictvonline.org/taxonomy/p/taxonomy-history?taxnode_id=202105778","ICTVonline=202105778")</f>
        <v>ICTVonline=202105778</v>
      </c>
    </row>
    <row r="5537" spans="1:21" x14ac:dyDescent="0.2">
      <c r="A5537" s="3">
        <v>5536</v>
      </c>
      <c r="B5537" s="1" t="s">
        <v>4226</v>
      </c>
      <c r="D5537" s="1" t="s">
        <v>5412</v>
      </c>
      <c r="F5537" s="1" t="s">
        <v>5430</v>
      </c>
      <c r="H5537" s="1" t="s">
        <v>5431</v>
      </c>
      <c r="J5537" s="1" t="s">
        <v>5433</v>
      </c>
      <c r="L5537" s="1" t="s">
        <v>1525</v>
      </c>
      <c r="N5537" s="1" t="s">
        <v>3097</v>
      </c>
      <c r="P5537" s="1" t="s">
        <v>3108</v>
      </c>
      <c r="Q5537" s="30" t="s">
        <v>2567</v>
      </c>
      <c r="R5537" s="33" t="s">
        <v>3474</v>
      </c>
      <c r="S5537">
        <v>35</v>
      </c>
      <c r="T5537" s="1" t="s">
        <v>5416</v>
      </c>
      <c r="U5537" s="1" t="str">
        <f>HYPERLINK("http://ictvonline.org/taxonomy/p/taxonomy-history?taxnode_id=202103062","ICTVonline=202103062")</f>
        <v>ICTVonline=202103062</v>
      </c>
    </row>
    <row r="5538" spans="1:21" x14ac:dyDescent="0.2">
      <c r="A5538" s="3">
        <v>5537</v>
      </c>
      <c r="B5538" s="1" t="s">
        <v>4226</v>
      </c>
      <c r="D5538" s="1" t="s">
        <v>5412</v>
      </c>
      <c r="F5538" s="1" t="s">
        <v>5430</v>
      </c>
      <c r="H5538" s="1" t="s">
        <v>5431</v>
      </c>
      <c r="J5538" s="1" t="s">
        <v>5433</v>
      </c>
      <c r="L5538" s="1" t="s">
        <v>1525</v>
      </c>
      <c r="N5538" s="1" t="s">
        <v>3130</v>
      </c>
      <c r="P5538" s="1" t="s">
        <v>3329</v>
      </c>
      <c r="Q5538" s="30" t="s">
        <v>2567</v>
      </c>
      <c r="R5538" s="33" t="s">
        <v>3474</v>
      </c>
      <c r="S5538">
        <v>35</v>
      </c>
      <c r="T5538" s="1" t="s">
        <v>5416</v>
      </c>
      <c r="U5538" s="1" t="str">
        <f>HYPERLINK("http://ictvonline.org/taxonomy/p/taxonomy-history?taxnode_id=202103064","ICTVonline=202103064")</f>
        <v>ICTVonline=202103064</v>
      </c>
    </row>
    <row r="5539" spans="1:21" x14ac:dyDescent="0.2">
      <c r="A5539" s="3">
        <v>5538</v>
      </c>
      <c r="B5539" s="1" t="s">
        <v>4226</v>
      </c>
      <c r="D5539" s="1" t="s">
        <v>5412</v>
      </c>
      <c r="F5539" s="1" t="s">
        <v>5430</v>
      </c>
      <c r="H5539" s="1" t="s">
        <v>5431</v>
      </c>
      <c r="J5539" s="1" t="s">
        <v>5433</v>
      </c>
      <c r="L5539" s="1" t="s">
        <v>1525</v>
      </c>
      <c r="N5539" s="1" t="s">
        <v>3130</v>
      </c>
      <c r="P5539" s="1" t="s">
        <v>3788</v>
      </c>
      <c r="Q5539" s="30" t="s">
        <v>2567</v>
      </c>
      <c r="R5539" s="33" t="s">
        <v>3474</v>
      </c>
      <c r="S5539">
        <v>35</v>
      </c>
      <c r="T5539" s="1" t="s">
        <v>5416</v>
      </c>
      <c r="U5539" s="1" t="str">
        <f>HYPERLINK("http://ictvonline.org/taxonomy/p/taxonomy-history?taxnode_id=202105779","ICTVonline=202105779")</f>
        <v>ICTVonline=202105779</v>
      </c>
    </row>
    <row r="5540" spans="1:21" x14ac:dyDescent="0.2">
      <c r="A5540" s="3">
        <v>5539</v>
      </c>
      <c r="B5540" s="1" t="s">
        <v>4226</v>
      </c>
      <c r="D5540" s="1" t="s">
        <v>5412</v>
      </c>
      <c r="F5540" s="1" t="s">
        <v>5430</v>
      </c>
      <c r="H5540" s="1" t="s">
        <v>5431</v>
      </c>
      <c r="J5540" s="1" t="s">
        <v>5433</v>
      </c>
      <c r="L5540" s="1" t="s">
        <v>1525</v>
      </c>
      <c r="N5540" s="1" t="s">
        <v>3130</v>
      </c>
      <c r="P5540" s="1" t="s">
        <v>3330</v>
      </c>
      <c r="Q5540" s="30" t="s">
        <v>2567</v>
      </c>
      <c r="R5540" s="33" t="s">
        <v>3474</v>
      </c>
      <c r="S5540">
        <v>35</v>
      </c>
      <c r="T5540" s="1" t="s">
        <v>5416</v>
      </c>
      <c r="U5540" s="1" t="str">
        <f>HYPERLINK("http://ictvonline.org/taxonomy/p/taxonomy-history?taxnode_id=202103065","ICTVonline=202103065")</f>
        <v>ICTVonline=202103065</v>
      </c>
    </row>
    <row r="5541" spans="1:21" x14ac:dyDescent="0.2">
      <c r="A5541" s="3">
        <v>5540</v>
      </c>
      <c r="B5541" s="1" t="s">
        <v>4226</v>
      </c>
      <c r="D5541" s="1" t="s">
        <v>5412</v>
      </c>
      <c r="F5541" s="1" t="s">
        <v>5430</v>
      </c>
      <c r="H5541" s="1" t="s">
        <v>5431</v>
      </c>
      <c r="J5541" s="1" t="s">
        <v>5433</v>
      </c>
      <c r="L5541" s="1" t="s">
        <v>1525</v>
      </c>
      <c r="N5541" s="1" t="s">
        <v>3130</v>
      </c>
      <c r="P5541" s="1" t="s">
        <v>5445</v>
      </c>
      <c r="Q5541" s="30" t="s">
        <v>2567</v>
      </c>
      <c r="R5541" s="33" t="s">
        <v>3472</v>
      </c>
      <c r="S5541">
        <v>35</v>
      </c>
      <c r="T5541" s="1" t="s">
        <v>5440</v>
      </c>
      <c r="U5541" s="1" t="str">
        <f>HYPERLINK("http://ictvonline.org/taxonomy/p/taxonomy-history?taxnode_id=202107543","ICTVonline=202107543")</f>
        <v>ICTVonline=202107543</v>
      </c>
    </row>
    <row r="5542" spans="1:21" x14ac:dyDescent="0.2">
      <c r="A5542" s="3">
        <v>5541</v>
      </c>
      <c r="B5542" s="1" t="s">
        <v>4226</v>
      </c>
      <c r="D5542" s="1" t="s">
        <v>5412</v>
      </c>
      <c r="F5542" s="1" t="s">
        <v>5430</v>
      </c>
      <c r="H5542" s="1" t="s">
        <v>5431</v>
      </c>
      <c r="J5542" s="1" t="s">
        <v>5433</v>
      </c>
      <c r="L5542" s="1" t="s">
        <v>1525</v>
      </c>
      <c r="N5542" s="1" t="s">
        <v>3130</v>
      </c>
      <c r="P5542" s="1" t="s">
        <v>5446</v>
      </c>
      <c r="Q5542" s="30" t="s">
        <v>2567</v>
      </c>
      <c r="R5542" s="33" t="s">
        <v>3472</v>
      </c>
      <c r="S5542">
        <v>35</v>
      </c>
      <c r="T5542" s="1" t="s">
        <v>5440</v>
      </c>
      <c r="U5542" s="1" t="str">
        <f>HYPERLINK("http://ictvonline.org/taxonomy/p/taxonomy-history?taxnode_id=202107544","ICTVonline=202107544")</f>
        <v>ICTVonline=202107544</v>
      </c>
    </row>
    <row r="5543" spans="1:21" x14ac:dyDescent="0.2">
      <c r="A5543" s="3">
        <v>5542</v>
      </c>
      <c r="B5543" s="1" t="s">
        <v>4226</v>
      </c>
      <c r="D5543" s="1" t="s">
        <v>5412</v>
      </c>
      <c r="F5543" s="1" t="s">
        <v>5430</v>
      </c>
      <c r="H5543" s="1" t="s">
        <v>5431</v>
      </c>
      <c r="J5543" s="1" t="s">
        <v>5433</v>
      </c>
      <c r="L5543" s="1" t="s">
        <v>1525</v>
      </c>
      <c r="N5543" s="1" t="s">
        <v>3130</v>
      </c>
      <c r="P5543" s="1" t="s">
        <v>3131</v>
      </c>
      <c r="Q5543" s="30" t="s">
        <v>2567</v>
      </c>
      <c r="R5543" s="33" t="s">
        <v>8665</v>
      </c>
      <c r="S5543">
        <v>36</v>
      </c>
      <c r="T5543" s="1" t="s">
        <v>8661</v>
      </c>
      <c r="U5543" s="1" t="str">
        <f>HYPERLINK("http://ictvonline.org/taxonomy/p/taxonomy-history?taxnode_id=202103066","ICTVonline=202103066")</f>
        <v>ICTVonline=202103066</v>
      </c>
    </row>
    <row r="5544" spans="1:21" x14ac:dyDescent="0.2">
      <c r="A5544" s="3">
        <v>5543</v>
      </c>
      <c r="B5544" s="1" t="s">
        <v>4226</v>
      </c>
      <c r="D5544" s="1" t="s">
        <v>5412</v>
      </c>
      <c r="F5544" s="1" t="s">
        <v>5430</v>
      </c>
      <c r="H5544" s="1" t="s">
        <v>5431</v>
      </c>
      <c r="J5544" s="1" t="s">
        <v>5433</v>
      </c>
      <c r="L5544" s="1" t="s">
        <v>1525</v>
      </c>
      <c r="N5544" s="1" t="s">
        <v>3130</v>
      </c>
      <c r="P5544" s="1" t="s">
        <v>3331</v>
      </c>
      <c r="Q5544" s="30" t="s">
        <v>2567</v>
      </c>
      <c r="R5544" s="33" t="s">
        <v>3474</v>
      </c>
      <c r="S5544">
        <v>35</v>
      </c>
      <c r="T5544" s="1" t="s">
        <v>5416</v>
      </c>
      <c r="U5544" s="1" t="str">
        <f>HYPERLINK("http://ictvonline.org/taxonomy/p/taxonomy-history?taxnode_id=202103067","ICTVonline=202103067")</f>
        <v>ICTVonline=202103067</v>
      </c>
    </row>
    <row r="5545" spans="1:21" x14ac:dyDescent="0.2">
      <c r="A5545" s="3">
        <v>5544</v>
      </c>
      <c r="B5545" s="1" t="s">
        <v>4226</v>
      </c>
      <c r="D5545" s="1" t="s">
        <v>5412</v>
      </c>
      <c r="F5545" s="1" t="s">
        <v>5430</v>
      </c>
      <c r="H5545" s="1" t="s">
        <v>5431</v>
      </c>
      <c r="J5545" s="1" t="s">
        <v>5433</v>
      </c>
      <c r="L5545" s="1" t="s">
        <v>4470</v>
      </c>
      <c r="N5545" s="1" t="s">
        <v>3465</v>
      </c>
      <c r="P5545" s="1" t="s">
        <v>3466</v>
      </c>
      <c r="Q5545" s="30" t="s">
        <v>2567</v>
      </c>
      <c r="R5545" s="33" t="s">
        <v>8665</v>
      </c>
      <c r="S5545">
        <v>36</v>
      </c>
      <c r="T5545" s="1" t="s">
        <v>8661</v>
      </c>
      <c r="U5545" s="1" t="str">
        <f>HYPERLINK("http://ictvonline.org/taxonomy/p/taxonomy-history?taxnode_id=202105341","ICTVonline=202105341")</f>
        <v>ICTVonline=202105341</v>
      </c>
    </row>
    <row r="5546" spans="1:21" x14ac:dyDescent="0.2">
      <c r="A5546" s="3">
        <v>5545</v>
      </c>
      <c r="B5546" s="1" t="s">
        <v>4226</v>
      </c>
      <c r="D5546" s="1" t="s">
        <v>5412</v>
      </c>
      <c r="F5546" s="1" t="s">
        <v>5430</v>
      </c>
      <c r="H5546" s="1" t="s">
        <v>5431</v>
      </c>
      <c r="J5546" s="1" t="s">
        <v>5433</v>
      </c>
      <c r="L5546" s="1" t="s">
        <v>4470</v>
      </c>
      <c r="N5546" s="1" t="s">
        <v>3465</v>
      </c>
      <c r="P5546" s="1" t="s">
        <v>5447</v>
      </c>
      <c r="Q5546" s="30" t="s">
        <v>2567</v>
      </c>
      <c r="R5546" s="33" t="s">
        <v>3472</v>
      </c>
      <c r="S5546">
        <v>35</v>
      </c>
      <c r="T5546" s="1" t="s">
        <v>5448</v>
      </c>
      <c r="U5546" s="1" t="str">
        <f>HYPERLINK("http://ictvonline.org/taxonomy/p/taxonomy-history?taxnode_id=202107186","ICTVonline=202107186")</f>
        <v>ICTVonline=202107186</v>
      </c>
    </row>
    <row r="5547" spans="1:21" x14ac:dyDescent="0.2">
      <c r="A5547" s="3">
        <v>5546</v>
      </c>
      <c r="B5547" s="1" t="s">
        <v>4226</v>
      </c>
      <c r="D5547" s="1" t="s">
        <v>5412</v>
      </c>
      <c r="F5547" s="1" t="s">
        <v>5430</v>
      </c>
      <c r="H5547" s="1" t="s">
        <v>5431</v>
      </c>
      <c r="J5547" s="1" t="s">
        <v>5433</v>
      </c>
      <c r="L5547" s="1" t="s">
        <v>4470</v>
      </c>
      <c r="N5547" s="1" t="s">
        <v>3465</v>
      </c>
      <c r="P5547" s="1" t="s">
        <v>6695</v>
      </c>
      <c r="Q5547" s="30" t="s">
        <v>2567</v>
      </c>
      <c r="R5547" s="33" t="s">
        <v>3472</v>
      </c>
      <c r="S5547">
        <v>36</v>
      </c>
      <c r="T5547" s="1" t="s">
        <v>6696</v>
      </c>
      <c r="U5547" s="1" t="str">
        <f>HYPERLINK("http://ictvonline.org/taxonomy/p/taxonomy-history?taxnode_id=202109259","ICTVonline=202109259")</f>
        <v>ICTVonline=202109259</v>
      </c>
    </row>
    <row r="5548" spans="1:21" x14ac:dyDescent="0.2">
      <c r="A5548" s="3">
        <v>5547</v>
      </c>
      <c r="B5548" s="1" t="s">
        <v>4226</v>
      </c>
      <c r="D5548" s="1" t="s">
        <v>5412</v>
      </c>
      <c r="F5548" s="1" t="s">
        <v>5430</v>
      </c>
      <c r="H5548" s="1" t="s">
        <v>5431</v>
      </c>
      <c r="J5548" s="1" t="s">
        <v>5433</v>
      </c>
      <c r="L5548" s="1" t="s">
        <v>4470</v>
      </c>
      <c r="N5548" s="1" t="s">
        <v>1859</v>
      </c>
      <c r="P5548" s="1" t="s">
        <v>12823</v>
      </c>
      <c r="Q5548" s="30" t="s">
        <v>2567</v>
      </c>
      <c r="R5548" s="33" t="s">
        <v>3472</v>
      </c>
      <c r="S5548">
        <v>37</v>
      </c>
      <c r="T5548" s="1" t="s">
        <v>13998</v>
      </c>
      <c r="U5548" s="1" t="str">
        <f>HYPERLINK("http://ictvonline.org/taxonomy/p/taxonomy-history?taxnode_id=202113862","ICTVonline=202113862")</f>
        <v>ICTVonline=202113862</v>
      </c>
    </row>
    <row r="5549" spans="1:21" x14ac:dyDescent="0.2">
      <c r="A5549" s="3">
        <v>5548</v>
      </c>
      <c r="B5549" s="1" t="s">
        <v>4226</v>
      </c>
      <c r="D5549" s="1" t="s">
        <v>5412</v>
      </c>
      <c r="F5549" s="1" t="s">
        <v>5430</v>
      </c>
      <c r="H5549" s="1" t="s">
        <v>5431</v>
      </c>
      <c r="J5549" s="1" t="s">
        <v>5433</v>
      </c>
      <c r="L5549" s="1" t="s">
        <v>4470</v>
      </c>
      <c r="N5549" s="1" t="s">
        <v>1859</v>
      </c>
      <c r="P5549" s="1" t="s">
        <v>1860</v>
      </c>
      <c r="Q5549" s="30" t="s">
        <v>2567</v>
      </c>
      <c r="R5549" s="33" t="s">
        <v>8665</v>
      </c>
      <c r="S5549">
        <v>36</v>
      </c>
      <c r="T5549" s="1" t="s">
        <v>8661</v>
      </c>
      <c r="U5549" s="1" t="str">
        <f>HYPERLINK("http://ictvonline.org/taxonomy/p/taxonomy-history?taxnode_id=202105345","ICTVonline=202105345")</f>
        <v>ICTVonline=202105345</v>
      </c>
    </row>
    <row r="5550" spans="1:21" x14ac:dyDescent="0.2">
      <c r="A5550" s="3">
        <v>5549</v>
      </c>
      <c r="B5550" s="1" t="s">
        <v>4226</v>
      </c>
      <c r="D5550" s="1" t="s">
        <v>5412</v>
      </c>
      <c r="F5550" s="1" t="s">
        <v>5430</v>
      </c>
      <c r="H5550" s="1" t="s">
        <v>5431</v>
      </c>
      <c r="J5550" s="1" t="s">
        <v>5433</v>
      </c>
      <c r="L5550" s="1" t="s">
        <v>4470</v>
      </c>
      <c r="N5550" s="1" t="s">
        <v>1859</v>
      </c>
      <c r="P5550" s="1" t="s">
        <v>3467</v>
      </c>
      <c r="Q5550" s="30" t="s">
        <v>2567</v>
      </c>
      <c r="R5550" s="33" t="s">
        <v>3474</v>
      </c>
      <c r="S5550">
        <v>35</v>
      </c>
      <c r="T5550" s="1" t="s">
        <v>5416</v>
      </c>
      <c r="U5550" s="1" t="str">
        <f>HYPERLINK("http://ictvonline.org/taxonomy/p/taxonomy-history?taxnode_id=202105346","ICTVonline=202105346")</f>
        <v>ICTVonline=202105346</v>
      </c>
    </row>
    <row r="5551" spans="1:21" x14ac:dyDescent="0.2">
      <c r="A5551" s="3">
        <v>5550</v>
      </c>
      <c r="B5551" s="1" t="s">
        <v>4226</v>
      </c>
      <c r="D5551" s="1" t="s">
        <v>5412</v>
      </c>
      <c r="F5551" s="1" t="s">
        <v>5430</v>
      </c>
      <c r="H5551" s="1" t="s">
        <v>5431</v>
      </c>
      <c r="J5551" s="1" t="s">
        <v>5433</v>
      </c>
      <c r="L5551" s="1" t="s">
        <v>4470</v>
      </c>
      <c r="N5551" s="1" t="s">
        <v>1859</v>
      </c>
      <c r="P5551" s="1" t="s">
        <v>6697</v>
      </c>
      <c r="Q5551" s="30" t="s">
        <v>2567</v>
      </c>
      <c r="R5551" s="33" t="s">
        <v>3472</v>
      </c>
      <c r="S5551">
        <v>36</v>
      </c>
      <c r="T5551" s="1" t="s">
        <v>6698</v>
      </c>
      <c r="U5551" s="1" t="str">
        <f>HYPERLINK("http://ictvonline.org/taxonomy/p/taxonomy-history?taxnode_id=202109287","ICTVonline=202109287")</f>
        <v>ICTVonline=202109287</v>
      </c>
    </row>
    <row r="5552" spans="1:21" x14ac:dyDescent="0.2">
      <c r="A5552" s="3">
        <v>5551</v>
      </c>
      <c r="B5552" s="1" t="s">
        <v>4226</v>
      </c>
      <c r="D5552" s="1" t="s">
        <v>5412</v>
      </c>
      <c r="F5552" s="1" t="s">
        <v>5430</v>
      </c>
      <c r="H5552" s="1" t="s">
        <v>5431</v>
      </c>
      <c r="J5552" s="1" t="s">
        <v>5433</v>
      </c>
      <c r="L5552" s="1" t="s">
        <v>4470</v>
      </c>
      <c r="N5552" s="1" t="s">
        <v>2455</v>
      </c>
      <c r="P5552" s="1" t="s">
        <v>2456</v>
      </c>
      <c r="Q5552" s="30" t="s">
        <v>2567</v>
      </c>
      <c r="R5552" s="33" t="s">
        <v>8665</v>
      </c>
      <c r="S5552">
        <v>36</v>
      </c>
      <c r="T5552" s="1" t="s">
        <v>8661</v>
      </c>
      <c r="U5552" s="1" t="str">
        <f>HYPERLINK("http://ictvonline.org/taxonomy/p/taxonomy-history?taxnode_id=202105352","ICTVonline=202105352")</f>
        <v>ICTVonline=202105352</v>
      </c>
    </row>
    <row r="5553" spans="1:21" x14ac:dyDescent="0.2">
      <c r="A5553" s="3">
        <v>5552</v>
      </c>
      <c r="B5553" s="1" t="s">
        <v>4226</v>
      </c>
      <c r="D5553" s="1" t="s">
        <v>5412</v>
      </c>
      <c r="F5553" s="1" t="s">
        <v>5430</v>
      </c>
      <c r="H5553" s="1" t="s">
        <v>5431</v>
      </c>
      <c r="J5553" s="1" t="s">
        <v>5433</v>
      </c>
      <c r="L5553" s="1" t="s">
        <v>5449</v>
      </c>
      <c r="N5553" s="1" t="s">
        <v>255</v>
      </c>
      <c r="P5553" s="1" t="s">
        <v>12824</v>
      </c>
      <c r="Q5553" s="30" t="s">
        <v>2567</v>
      </c>
      <c r="R5553" s="33" t="s">
        <v>3475</v>
      </c>
      <c r="S5553">
        <v>37</v>
      </c>
      <c r="T5553" s="1" t="s">
        <v>13999</v>
      </c>
      <c r="U5553" s="1" t="str">
        <f>HYPERLINK("http://ictvonline.org/taxonomy/p/taxonomy-history?taxnode_id=202106633","ICTVonline=202106633")</f>
        <v>ICTVonline=202106633</v>
      </c>
    </row>
    <row r="5554" spans="1:21" x14ac:dyDescent="0.2">
      <c r="A5554" s="3">
        <v>5553</v>
      </c>
      <c r="B5554" s="1" t="s">
        <v>4226</v>
      </c>
      <c r="D5554" s="1" t="s">
        <v>5412</v>
      </c>
      <c r="F5554" s="1" t="s">
        <v>5430</v>
      </c>
      <c r="H5554" s="1" t="s">
        <v>5431</v>
      </c>
      <c r="J5554" s="1" t="s">
        <v>5433</v>
      </c>
      <c r="L5554" s="1" t="s">
        <v>5449</v>
      </c>
      <c r="N5554" s="1" t="s">
        <v>255</v>
      </c>
      <c r="P5554" s="1" t="s">
        <v>12825</v>
      </c>
      <c r="Q5554" s="30" t="s">
        <v>2567</v>
      </c>
      <c r="R5554" s="33" t="s">
        <v>3475</v>
      </c>
      <c r="S5554">
        <v>37</v>
      </c>
      <c r="T5554" s="1" t="s">
        <v>13999</v>
      </c>
      <c r="U5554" s="1" t="str">
        <f>HYPERLINK("http://ictvonline.org/taxonomy/p/taxonomy-history?taxnode_id=202105354","ICTVonline=202105354")</f>
        <v>ICTVonline=202105354</v>
      </c>
    </row>
    <row r="5555" spans="1:21" x14ac:dyDescent="0.2">
      <c r="A5555" s="3">
        <v>5554</v>
      </c>
      <c r="B5555" s="1" t="s">
        <v>4226</v>
      </c>
      <c r="D5555" s="1" t="s">
        <v>5412</v>
      </c>
      <c r="F5555" s="1" t="s">
        <v>5430</v>
      </c>
      <c r="H5555" s="1" t="s">
        <v>5431</v>
      </c>
      <c r="J5555" s="1" t="s">
        <v>5433</v>
      </c>
      <c r="L5555" s="1" t="s">
        <v>5449</v>
      </c>
      <c r="N5555" s="1" t="s">
        <v>5450</v>
      </c>
      <c r="P5555" s="1" t="s">
        <v>12826</v>
      </c>
      <c r="Q5555" s="30" t="s">
        <v>2567</v>
      </c>
      <c r="R5555" s="33" t="s">
        <v>3475</v>
      </c>
      <c r="S5555">
        <v>37</v>
      </c>
      <c r="T5555" s="1" t="s">
        <v>13999</v>
      </c>
      <c r="U5555" s="1" t="str">
        <f>HYPERLINK("http://ictvonline.org/taxonomy/p/taxonomy-history?taxnode_id=202107565","ICTVonline=202107565")</f>
        <v>ICTVonline=202107565</v>
      </c>
    </row>
    <row r="5556" spans="1:21" x14ac:dyDescent="0.2">
      <c r="A5556" s="3">
        <v>5555</v>
      </c>
      <c r="B5556" s="1" t="s">
        <v>4226</v>
      </c>
      <c r="D5556" s="1" t="s">
        <v>5412</v>
      </c>
      <c r="F5556" s="1" t="s">
        <v>5430</v>
      </c>
      <c r="H5556" s="1" t="s">
        <v>5431</v>
      </c>
      <c r="J5556" s="1" t="s">
        <v>5433</v>
      </c>
      <c r="L5556" s="1" t="s">
        <v>5449</v>
      </c>
      <c r="N5556" s="1" t="s">
        <v>5450</v>
      </c>
      <c r="P5556" s="1" t="s">
        <v>12827</v>
      </c>
      <c r="Q5556" s="30" t="s">
        <v>2567</v>
      </c>
      <c r="R5556" s="33" t="s">
        <v>3475</v>
      </c>
      <c r="S5556">
        <v>37</v>
      </c>
      <c r="T5556" s="1" t="s">
        <v>13999</v>
      </c>
      <c r="U5556" s="1" t="str">
        <f>HYPERLINK("http://ictvonline.org/taxonomy/p/taxonomy-history?taxnode_id=202107566","ICTVonline=202107566")</f>
        <v>ICTVonline=202107566</v>
      </c>
    </row>
    <row r="5557" spans="1:21" x14ac:dyDescent="0.2">
      <c r="A5557" s="3">
        <v>5556</v>
      </c>
      <c r="B5557" s="1" t="s">
        <v>4226</v>
      </c>
      <c r="D5557" s="1" t="s">
        <v>5412</v>
      </c>
      <c r="F5557" s="1" t="s">
        <v>5430</v>
      </c>
      <c r="H5557" s="1" t="s">
        <v>5431</v>
      </c>
      <c r="J5557" s="1" t="s">
        <v>5433</v>
      </c>
      <c r="L5557" s="1" t="s">
        <v>801</v>
      </c>
      <c r="N5557" s="1" t="s">
        <v>802</v>
      </c>
      <c r="P5557" s="1" t="s">
        <v>803</v>
      </c>
      <c r="Q5557" s="30" t="s">
        <v>2567</v>
      </c>
      <c r="R5557" s="33" t="s">
        <v>3474</v>
      </c>
      <c r="S5557">
        <v>35</v>
      </c>
      <c r="T5557" s="1" t="s">
        <v>5416</v>
      </c>
      <c r="U5557" s="1" t="str">
        <f>HYPERLINK("http://ictvonline.org/taxonomy/p/taxonomy-history?taxnode_id=202105083","ICTVonline=202105083")</f>
        <v>ICTVonline=202105083</v>
      </c>
    </row>
    <row r="5558" spans="1:21" x14ac:dyDescent="0.2">
      <c r="A5558" s="3">
        <v>5557</v>
      </c>
      <c r="B5558" s="1" t="s">
        <v>4226</v>
      </c>
      <c r="D5558" s="1" t="s">
        <v>5412</v>
      </c>
      <c r="F5558" s="1" t="s">
        <v>5430</v>
      </c>
      <c r="H5558" s="1" t="s">
        <v>5431</v>
      </c>
      <c r="J5558" s="1" t="s">
        <v>5433</v>
      </c>
      <c r="L5558" s="1" t="s">
        <v>801</v>
      </c>
      <c r="N5558" s="1" t="s">
        <v>802</v>
      </c>
      <c r="P5558" s="1" t="s">
        <v>804</v>
      </c>
      <c r="Q5558" s="30" t="s">
        <v>2567</v>
      </c>
      <c r="R5558" s="33" t="s">
        <v>3474</v>
      </c>
      <c r="S5558">
        <v>35</v>
      </c>
      <c r="T5558" s="1" t="s">
        <v>5416</v>
      </c>
      <c r="U5558" s="1" t="str">
        <f>HYPERLINK("http://ictvonline.org/taxonomy/p/taxonomy-history?taxnode_id=202105084","ICTVonline=202105084")</f>
        <v>ICTVonline=202105084</v>
      </c>
    </row>
    <row r="5559" spans="1:21" x14ac:dyDescent="0.2">
      <c r="A5559" s="3">
        <v>5558</v>
      </c>
      <c r="B5559" s="1" t="s">
        <v>4226</v>
      </c>
      <c r="D5559" s="1" t="s">
        <v>5412</v>
      </c>
      <c r="F5559" s="1" t="s">
        <v>5430</v>
      </c>
      <c r="H5559" s="1" t="s">
        <v>5431</v>
      </c>
      <c r="J5559" s="1" t="s">
        <v>5433</v>
      </c>
      <c r="L5559" s="1" t="s">
        <v>801</v>
      </c>
      <c r="N5559" s="1" t="s">
        <v>802</v>
      </c>
      <c r="P5559" s="1" t="s">
        <v>805</v>
      </c>
      <c r="Q5559" s="30" t="s">
        <v>2567</v>
      </c>
      <c r="R5559" s="33" t="s">
        <v>3474</v>
      </c>
      <c r="S5559">
        <v>35</v>
      </c>
      <c r="T5559" s="1" t="s">
        <v>5416</v>
      </c>
      <c r="U5559" s="1" t="str">
        <f>HYPERLINK("http://ictvonline.org/taxonomy/p/taxonomy-history?taxnode_id=202105085","ICTVonline=202105085")</f>
        <v>ICTVonline=202105085</v>
      </c>
    </row>
    <row r="5560" spans="1:21" x14ac:dyDescent="0.2">
      <c r="A5560" s="3">
        <v>5559</v>
      </c>
      <c r="B5560" s="1" t="s">
        <v>4226</v>
      </c>
      <c r="D5560" s="1" t="s">
        <v>5412</v>
      </c>
      <c r="F5560" s="1" t="s">
        <v>5430</v>
      </c>
      <c r="H5560" s="1" t="s">
        <v>5431</v>
      </c>
      <c r="J5560" s="1" t="s">
        <v>5433</v>
      </c>
      <c r="L5560" s="1" t="s">
        <v>801</v>
      </c>
      <c r="N5560" s="1" t="s">
        <v>802</v>
      </c>
      <c r="P5560" s="1" t="s">
        <v>6699</v>
      </c>
      <c r="Q5560" s="30" t="s">
        <v>2567</v>
      </c>
      <c r="R5560" s="33" t="s">
        <v>3472</v>
      </c>
      <c r="S5560">
        <v>36</v>
      </c>
      <c r="T5560" s="1" t="s">
        <v>6700</v>
      </c>
      <c r="U5560" s="1" t="str">
        <f>HYPERLINK("http://ictvonline.org/taxonomy/p/taxonomy-history?taxnode_id=202109260","ICTVonline=202109260")</f>
        <v>ICTVonline=202109260</v>
      </c>
    </row>
    <row r="5561" spans="1:21" x14ac:dyDescent="0.2">
      <c r="A5561" s="3">
        <v>5560</v>
      </c>
      <c r="B5561" s="1" t="s">
        <v>4226</v>
      </c>
      <c r="D5561" s="1" t="s">
        <v>5412</v>
      </c>
      <c r="F5561" s="1" t="s">
        <v>5430</v>
      </c>
      <c r="H5561" s="1" t="s">
        <v>5431</v>
      </c>
      <c r="J5561" s="1" t="s">
        <v>5433</v>
      </c>
      <c r="L5561" s="1" t="s">
        <v>801</v>
      </c>
      <c r="N5561" s="1" t="s">
        <v>802</v>
      </c>
      <c r="P5561" s="1" t="s">
        <v>806</v>
      </c>
      <c r="Q5561" s="30" t="s">
        <v>2567</v>
      </c>
      <c r="R5561" s="33" t="s">
        <v>3474</v>
      </c>
      <c r="S5561">
        <v>35</v>
      </c>
      <c r="T5561" s="1" t="s">
        <v>5416</v>
      </c>
      <c r="U5561" s="1" t="str">
        <f>HYPERLINK("http://ictvonline.org/taxonomy/p/taxonomy-history?taxnode_id=202105086","ICTVonline=202105086")</f>
        <v>ICTVonline=202105086</v>
      </c>
    </row>
    <row r="5562" spans="1:21" x14ac:dyDescent="0.2">
      <c r="A5562" s="3">
        <v>5561</v>
      </c>
      <c r="B5562" s="1" t="s">
        <v>4226</v>
      </c>
      <c r="D5562" s="1" t="s">
        <v>5412</v>
      </c>
      <c r="F5562" s="1" t="s">
        <v>5430</v>
      </c>
      <c r="H5562" s="1" t="s">
        <v>5431</v>
      </c>
      <c r="J5562" s="1" t="s">
        <v>5433</v>
      </c>
      <c r="L5562" s="1" t="s">
        <v>801</v>
      </c>
      <c r="N5562" s="1" t="s">
        <v>802</v>
      </c>
      <c r="P5562" s="1" t="s">
        <v>807</v>
      </c>
      <c r="Q5562" s="30" t="s">
        <v>2567</v>
      </c>
      <c r="R5562" s="33" t="s">
        <v>3474</v>
      </c>
      <c r="S5562">
        <v>35</v>
      </c>
      <c r="T5562" s="1" t="s">
        <v>5416</v>
      </c>
      <c r="U5562" s="1" t="str">
        <f>HYPERLINK("http://ictvonline.org/taxonomy/p/taxonomy-history?taxnode_id=202105087","ICTVonline=202105087")</f>
        <v>ICTVonline=202105087</v>
      </c>
    </row>
    <row r="5563" spans="1:21" x14ac:dyDescent="0.2">
      <c r="A5563" s="3">
        <v>5562</v>
      </c>
      <c r="B5563" s="1" t="s">
        <v>4226</v>
      </c>
      <c r="D5563" s="1" t="s">
        <v>5412</v>
      </c>
      <c r="F5563" s="1" t="s">
        <v>5430</v>
      </c>
      <c r="H5563" s="1" t="s">
        <v>5431</v>
      </c>
      <c r="J5563" s="1" t="s">
        <v>5433</v>
      </c>
      <c r="L5563" s="1" t="s">
        <v>801</v>
      </c>
      <c r="N5563" s="1" t="s">
        <v>802</v>
      </c>
      <c r="P5563" s="1" t="s">
        <v>808</v>
      </c>
      <c r="Q5563" s="30" t="s">
        <v>2567</v>
      </c>
      <c r="R5563" s="33" t="s">
        <v>3474</v>
      </c>
      <c r="S5563">
        <v>35</v>
      </c>
      <c r="T5563" s="1" t="s">
        <v>5416</v>
      </c>
      <c r="U5563" s="1" t="str">
        <f>HYPERLINK("http://ictvonline.org/taxonomy/p/taxonomy-history?taxnode_id=202105088","ICTVonline=202105088")</f>
        <v>ICTVonline=202105088</v>
      </c>
    </row>
    <row r="5564" spans="1:21" x14ac:dyDescent="0.2">
      <c r="A5564" s="3">
        <v>5563</v>
      </c>
      <c r="B5564" s="1" t="s">
        <v>4226</v>
      </c>
      <c r="D5564" s="1" t="s">
        <v>5412</v>
      </c>
      <c r="F5564" s="1" t="s">
        <v>5430</v>
      </c>
      <c r="H5564" s="1" t="s">
        <v>5431</v>
      </c>
      <c r="J5564" s="1" t="s">
        <v>5433</v>
      </c>
      <c r="L5564" s="1" t="s">
        <v>801</v>
      </c>
      <c r="N5564" s="1" t="s">
        <v>802</v>
      </c>
      <c r="P5564" s="1" t="s">
        <v>2438</v>
      </c>
      <c r="Q5564" s="30" t="s">
        <v>2567</v>
      </c>
      <c r="R5564" s="33" t="s">
        <v>3474</v>
      </c>
      <c r="S5564">
        <v>35</v>
      </c>
      <c r="T5564" s="1" t="s">
        <v>5416</v>
      </c>
      <c r="U5564" s="1" t="str">
        <f>HYPERLINK("http://ictvonline.org/taxonomy/p/taxonomy-history?taxnode_id=202105089","ICTVonline=202105089")</f>
        <v>ICTVonline=202105089</v>
      </c>
    </row>
    <row r="5565" spans="1:21" x14ac:dyDescent="0.2">
      <c r="A5565" s="3">
        <v>5564</v>
      </c>
      <c r="B5565" s="1" t="s">
        <v>4226</v>
      </c>
      <c r="D5565" s="1" t="s">
        <v>5412</v>
      </c>
      <c r="F5565" s="1" t="s">
        <v>5430</v>
      </c>
      <c r="H5565" s="1" t="s">
        <v>5431</v>
      </c>
      <c r="J5565" s="1" t="s">
        <v>5433</v>
      </c>
      <c r="L5565" s="1" t="s">
        <v>801</v>
      </c>
      <c r="N5565" s="1" t="s">
        <v>802</v>
      </c>
      <c r="P5565" s="1" t="s">
        <v>809</v>
      </c>
      <c r="Q5565" s="30" t="s">
        <v>2567</v>
      </c>
      <c r="R5565" s="33" t="s">
        <v>3474</v>
      </c>
      <c r="S5565">
        <v>35</v>
      </c>
      <c r="T5565" s="1" t="s">
        <v>5416</v>
      </c>
      <c r="U5565" s="1" t="str">
        <f>HYPERLINK("http://ictvonline.org/taxonomy/p/taxonomy-history?taxnode_id=202105090","ICTVonline=202105090")</f>
        <v>ICTVonline=202105090</v>
      </c>
    </row>
    <row r="5566" spans="1:21" x14ac:dyDescent="0.2">
      <c r="A5566" s="3">
        <v>5565</v>
      </c>
      <c r="B5566" s="1" t="s">
        <v>4226</v>
      </c>
      <c r="D5566" s="1" t="s">
        <v>5412</v>
      </c>
      <c r="F5566" s="1" t="s">
        <v>5430</v>
      </c>
      <c r="H5566" s="1" t="s">
        <v>5431</v>
      </c>
      <c r="J5566" s="1" t="s">
        <v>5433</v>
      </c>
      <c r="L5566" s="1" t="s">
        <v>801</v>
      </c>
      <c r="N5566" s="1" t="s">
        <v>802</v>
      </c>
      <c r="P5566" s="1" t="s">
        <v>810</v>
      </c>
      <c r="Q5566" s="30" t="s">
        <v>2567</v>
      </c>
      <c r="R5566" s="33" t="s">
        <v>3474</v>
      </c>
      <c r="S5566">
        <v>35</v>
      </c>
      <c r="T5566" s="1" t="s">
        <v>5416</v>
      </c>
      <c r="U5566" s="1" t="str">
        <f>HYPERLINK("http://ictvonline.org/taxonomy/p/taxonomy-history?taxnode_id=202105091","ICTVonline=202105091")</f>
        <v>ICTVonline=202105091</v>
      </c>
    </row>
    <row r="5567" spans="1:21" x14ac:dyDescent="0.2">
      <c r="A5567" s="3">
        <v>5566</v>
      </c>
      <c r="B5567" s="1" t="s">
        <v>4226</v>
      </c>
      <c r="D5567" s="1" t="s">
        <v>5412</v>
      </c>
      <c r="F5567" s="1" t="s">
        <v>5430</v>
      </c>
      <c r="H5567" s="1" t="s">
        <v>5431</v>
      </c>
      <c r="J5567" s="1" t="s">
        <v>5433</v>
      </c>
      <c r="L5567" s="1" t="s">
        <v>801</v>
      </c>
      <c r="N5567" s="1" t="s">
        <v>802</v>
      </c>
      <c r="P5567" s="1" t="s">
        <v>811</v>
      </c>
      <c r="Q5567" s="30" t="s">
        <v>2567</v>
      </c>
      <c r="R5567" s="33" t="s">
        <v>3474</v>
      </c>
      <c r="S5567">
        <v>35</v>
      </c>
      <c r="T5567" s="1" t="s">
        <v>5416</v>
      </c>
      <c r="U5567" s="1" t="str">
        <f>HYPERLINK("http://ictvonline.org/taxonomy/p/taxonomy-history?taxnode_id=202105092","ICTVonline=202105092")</f>
        <v>ICTVonline=202105092</v>
      </c>
    </row>
    <row r="5568" spans="1:21" x14ac:dyDescent="0.2">
      <c r="A5568" s="3">
        <v>5567</v>
      </c>
      <c r="B5568" s="1" t="s">
        <v>4226</v>
      </c>
      <c r="D5568" s="1" t="s">
        <v>5412</v>
      </c>
      <c r="F5568" s="1" t="s">
        <v>5430</v>
      </c>
      <c r="H5568" s="1" t="s">
        <v>5431</v>
      </c>
      <c r="J5568" s="1" t="s">
        <v>5433</v>
      </c>
      <c r="L5568" s="1" t="s">
        <v>801</v>
      </c>
      <c r="N5568" s="1" t="s">
        <v>802</v>
      </c>
      <c r="P5568" s="1" t="s">
        <v>812</v>
      </c>
      <c r="Q5568" s="30" t="s">
        <v>2567</v>
      </c>
      <c r="R5568" s="33" t="s">
        <v>3474</v>
      </c>
      <c r="S5568">
        <v>35</v>
      </c>
      <c r="T5568" s="1" t="s">
        <v>5416</v>
      </c>
      <c r="U5568" s="1" t="str">
        <f>HYPERLINK("http://ictvonline.org/taxonomy/p/taxonomy-history?taxnode_id=202105093","ICTVonline=202105093")</f>
        <v>ICTVonline=202105093</v>
      </c>
    </row>
    <row r="5569" spans="1:21" x14ac:dyDescent="0.2">
      <c r="A5569" s="3">
        <v>5568</v>
      </c>
      <c r="B5569" s="1" t="s">
        <v>4226</v>
      </c>
      <c r="D5569" s="1" t="s">
        <v>5412</v>
      </c>
      <c r="F5569" s="1" t="s">
        <v>5430</v>
      </c>
      <c r="H5569" s="1" t="s">
        <v>5431</v>
      </c>
      <c r="J5569" s="1" t="s">
        <v>5433</v>
      </c>
      <c r="L5569" s="1" t="s">
        <v>801</v>
      </c>
      <c r="N5569" s="1" t="s">
        <v>802</v>
      </c>
      <c r="P5569" s="1" t="s">
        <v>2123</v>
      </c>
      <c r="Q5569" s="30" t="s">
        <v>2567</v>
      </c>
      <c r="R5569" s="33" t="s">
        <v>3474</v>
      </c>
      <c r="S5569">
        <v>35</v>
      </c>
      <c r="T5569" s="1" t="s">
        <v>5416</v>
      </c>
      <c r="U5569" s="1" t="str">
        <f>HYPERLINK("http://ictvonline.org/taxonomy/p/taxonomy-history?taxnode_id=202105094","ICTVonline=202105094")</f>
        <v>ICTVonline=202105094</v>
      </c>
    </row>
    <row r="5570" spans="1:21" x14ac:dyDescent="0.2">
      <c r="A5570" s="3">
        <v>5569</v>
      </c>
      <c r="B5570" s="1" t="s">
        <v>4226</v>
      </c>
      <c r="D5570" s="1" t="s">
        <v>5412</v>
      </c>
      <c r="F5570" s="1" t="s">
        <v>5430</v>
      </c>
      <c r="H5570" s="1" t="s">
        <v>5431</v>
      </c>
      <c r="J5570" s="1" t="s">
        <v>5433</v>
      </c>
      <c r="L5570" s="1" t="s">
        <v>801</v>
      </c>
      <c r="N5570" s="1" t="s">
        <v>802</v>
      </c>
      <c r="P5570" s="1" t="s">
        <v>813</v>
      </c>
      <c r="Q5570" s="30" t="s">
        <v>2567</v>
      </c>
      <c r="R5570" s="33" t="s">
        <v>3474</v>
      </c>
      <c r="S5570">
        <v>35</v>
      </c>
      <c r="T5570" s="1" t="s">
        <v>5416</v>
      </c>
      <c r="U5570" s="1" t="str">
        <f>HYPERLINK("http://ictvonline.org/taxonomy/p/taxonomy-history?taxnode_id=202105095","ICTVonline=202105095")</f>
        <v>ICTVonline=202105095</v>
      </c>
    </row>
    <row r="5571" spans="1:21" x14ac:dyDescent="0.2">
      <c r="A5571" s="3">
        <v>5570</v>
      </c>
      <c r="B5571" s="1" t="s">
        <v>4226</v>
      </c>
      <c r="D5571" s="1" t="s">
        <v>5412</v>
      </c>
      <c r="F5571" s="1" t="s">
        <v>5430</v>
      </c>
      <c r="H5571" s="1" t="s">
        <v>5431</v>
      </c>
      <c r="J5571" s="1" t="s">
        <v>5433</v>
      </c>
      <c r="L5571" s="1" t="s">
        <v>801</v>
      </c>
      <c r="N5571" s="1" t="s">
        <v>802</v>
      </c>
      <c r="P5571" s="1" t="s">
        <v>814</v>
      </c>
      <c r="Q5571" s="30" t="s">
        <v>2567</v>
      </c>
      <c r="R5571" s="33" t="s">
        <v>3474</v>
      </c>
      <c r="S5571">
        <v>35</v>
      </c>
      <c r="T5571" s="1" t="s">
        <v>5416</v>
      </c>
      <c r="U5571" s="1" t="str">
        <f>HYPERLINK("http://ictvonline.org/taxonomy/p/taxonomy-history?taxnode_id=202105096","ICTVonline=202105096")</f>
        <v>ICTVonline=202105096</v>
      </c>
    </row>
    <row r="5572" spans="1:21" x14ac:dyDescent="0.2">
      <c r="A5572" s="3">
        <v>5571</v>
      </c>
      <c r="B5572" s="1" t="s">
        <v>4226</v>
      </c>
      <c r="D5572" s="1" t="s">
        <v>5412</v>
      </c>
      <c r="F5572" s="1" t="s">
        <v>5430</v>
      </c>
      <c r="H5572" s="1" t="s">
        <v>5431</v>
      </c>
      <c r="J5572" s="1" t="s">
        <v>5433</v>
      </c>
      <c r="L5572" s="1" t="s">
        <v>801</v>
      </c>
      <c r="N5572" s="1" t="s">
        <v>802</v>
      </c>
      <c r="P5572" s="1" t="s">
        <v>2571</v>
      </c>
      <c r="Q5572" s="30" t="s">
        <v>2567</v>
      </c>
      <c r="R5572" s="33" t="s">
        <v>3474</v>
      </c>
      <c r="S5572">
        <v>35</v>
      </c>
      <c r="T5572" s="1" t="s">
        <v>5416</v>
      </c>
      <c r="U5572" s="1" t="str">
        <f>HYPERLINK("http://ictvonline.org/taxonomy/p/taxonomy-history?taxnode_id=202105097","ICTVonline=202105097")</f>
        <v>ICTVonline=202105097</v>
      </c>
    </row>
    <row r="5573" spans="1:21" x14ac:dyDescent="0.2">
      <c r="A5573" s="3">
        <v>5572</v>
      </c>
      <c r="B5573" s="1" t="s">
        <v>4226</v>
      </c>
      <c r="D5573" s="1" t="s">
        <v>5412</v>
      </c>
      <c r="F5573" s="1" t="s">
        <v>5430</v>
      </c>
      <c r="H5573" s="1" t="s">
        <v>5431</v>
      </c>
      <c r="J5573" s="1" t="s">
        <v>5433</v>
      </c>
      <c r="L5573" s="1" t="s">
        <v>801</v>
      </c>
      <c r="N5573" s="1" t="s">
        <v>802</v>
      </c>
      <c r="P5573" s="1" t="s">
        <v>815</v>
      </c>
      <c r="Q5573" s="30" t="s">
        <v>2567</v>
      </c>
      <c r="R5573" s="33" t="s">
        <v>3474</v>
      </c>
      <c r="S5573">
        <v>35</v>
      </c>
      <c r="T5573" s="1" t="s">
        <v>5416</v>
      </c>
      <c r="U5573" s="1" t="str">
        <f>HYPERLINK("http://ictvonline.org/taxonomy/p/taxonomy-history?taxnode_id=202105098","ICTVonline=202105098")</f>
        <v>ICTVonline=202105098</v>
      </c>
    </row>
    <row r="5574" spans="1:21" x14ac:dyDescent="0.2">
      <c r="A5574" s="3">
        <v>5573</v>
      </c>
      <c r="B5574" s="1" t="s">
        <v>4226</v>
      </c>
      <c r="D5574" s="1" t="s">
        <v>5412</v>
      </c>
      <c r="F5574" s="1" t="s">
        <v>5430</v>
      </c>
      <c r="H5574" s="1" t="s">
        <v>5431</v>
      </c>
      <c r="J5574" s="1" t="s">
        <v>5433</v>
      </c>
      <c r="L5574" s="1" t="s">
        <v>801</v>
      </c>
      <c r="N5574" s="1" t="s">
        <v>802</v>
      </c>
      <c r="P5574" s="1" t="s">
        <v>816</v>
      </c>
      <c r="Q5574" s="30" t="s">
        <v>2567</v>
      </c>
      <c r="R5574" s="33" t="s">
        <v>3474</v>
      </c>
      <c r="S5574">
        <v>35</v>
      </c>
      <c r="T5574" s="1" t="s">
        <v>5416</v>
      </c>
      <c r="U5574" s="1" t="str">
        <f>HYPERLINK("http://ictvonline.org/taxonomy/p/taxonomy-history?taxnode_id=202105099","ICTVonline=202105099")</f>
        <v>ICTVonline=202105099</v>
      </c>
    </row>
    <row r="5575" spans="1:21" x14ac:dyDescent="0.2">
      <c r="A5575" s="3">
        <v>5574</v>
      </c>
      <c r="B5575" s="1" t="s">
        <v>4226</v>
      </c>
      <c r="D5575" s="1" t="s">
        <v>5412</v>
      </c>
      <c r="F5575" s="1" t="s">
        <v>5430</v>
      </c>
      <c r="H5575" s="1" t="s">
        <v>5431</v>
      </c>
      <c r="J5575" s="1" t="s">
        <v>5433</v>
      </c>
      <c r="L5575" s="1" t="s">
        <v>801</v>
      </c>
      <c r="N5575" s="1" t="s">
        <v>802</v>
      </c>
      <c r="P5575" s="1" t="s">
        <v>3966</v>
      </c>
      <c r="Q5575" s="30" t="s">
        <v>2567</v>
      </c>
      <c r="R5575" s="33" t="s">
        <v>3474</v>
      </c>
      <c r="S5575">
        <v>35</v>
      </c>
      <c r="T5575" s="1" t="s">
        <v>5416</v>
      </c>
      <c r="U5575" s="1" t="str">
        <f>HYPERLINK("http://ictvonline.org/taxonomy/p/taxonomy-history?taxnode_id=202105100","ICTVonline=202105100")</f>
        <v>ICTVonline=202105100</v>
      </c>
    </row>
    <row r="5576" spans="1:21" x14ac:dyDescent="0.2">
      <c r="A5576" s="3">
        <v>5575</v>
      </c>
      <c r="B5576" s="1" t="s">
        <v>4226</v>
      </c>
      <c r="D5576" s="1" t="s">
        <v>5412</v>
      </c>
      <c r="F5576" s="1" t="s">
        <v>5430</v>
      </c>
      <c r="H5576" s="1" t="s">
        <v>5431</v>
      </c>
      <c r="J5576" s="1" t="s">
        <v>5433</v>
      </c>
      <c r="L5576" s="1" t="s">
        <v>801</v>
      </c>
      <c r="N5576" s="1" t="s">
        <v>802</v>
      </c>
      <c r="P5576" s="1" t="s">
        <v>817</v>
      </c>
      <c r="Q5576" s="30" t="s">
        <v>2567</v>
      </c>
      <c r="R5576" s="33" t="s">
        <v>3474</v>
      </c>
      <c r="S5576">
        <v>35</v>
      </c>
      <c r="T5576" s="1" t="s">
        <v>5416</v>
      </c>
      <c r="U5576" s="1" t="str">
        <f>HYPERLINK("http://ictvonline.org/taxonomy/p/taxonomy-history?taxnode_id=202105101","ICTVonline=202105101")</f>
        <v>ICTVonline=202105101</v>
      </c>
    </row>
    <row r="5577" spans="1:21" x14ac:dyDescent="0.2">
      <c r="A5577" s="3">
        <v>5576</v>
      </c>
      <c r="B5577" s="1" t="s">
        <v>4226</v>
      </c>
      <c r="D5577" s="1" t="s">
        <v>5412</v>
      </c>
      <c r="F5577" s="1" t="s">
        <v>5430</v>
      </c>
      <c r="H5577" s="1" t="s">
        <v>5431</v>
      </c>
      <c r="J5577" s="1" t="s">
        <v>5433</v>
      </c>
      <c r="L5577" s="1" t="s">
        <v>801</v>
      </c>
      <c r="N5577" s="1" t="s">
        <v>802</v>
      </c>
      <c r="P5577" s="1" t="s">
        <v>1217</v>
      </c>
      <c r="Q5577" s="30" t="s">
        <v>2567</v>
      </c>
      <c r="R5577" s="33" t="s">
        <v>3474</v>
      </c>
      <c r="S5577">
        <v>35</v>
      </c>
      <c r="T5577" s="1" t="s">
        <v>5416</v>
      </c>
      <c r="U5577" s="1" t="str">
        <f>HYPERLINK("http://ictvonline.org/taxonomy/p/taxonomy-history?taxnode_id=202105102","ICTVonline=202105102")</f>
        <v>ICTVonline=202105102</v>
      </c>
    </row>
    <row r="5578" spans="1:21" x14ac:dyDescent="0.2">
      <c r="A5578" s="3">
        <v>5577</v>
      </c>
      <c r="B5578" s="1" t="s">
        <v>4226</v>
      </c>
      <c r="D5578" s="1" t="s">
        <v>5412</v>
      </c>
      <c r="F5578" s="1" t="s">
        <v>5430</v>
      </c>
      <c r="H5578" s="1" t="s">
        <v>5431</v>
      </c>
      <c r="J5578" s="1" t="s">
        <v>5433</v>
      </c>
      <c r="L5578" s="1" t="s">
        <v>801</v>
      </c>
      <c r="N5578" s="1" t="s">
        <v>802</v>
      </c>
      <c r="P5578" s="1" t="s">
        <v>1218</v>
      </c>
      <c r="Q5578" s="30" t="s">
        <v>2567</v>
      </c>
      <c r="R5578" s="33" t="s">
        <v>3474</v>
      </c>
      <c r="S5578">
        <v>35</v>
      </c>
      <c r="T5578" s="1" t="s">
        <v>5416</v>
      </c>
      <c r="U5578" s="1" t="str">
        <f>HYPERLINK("http://ictvonline.org/taxonomy/p/taxonomy-history?taxnode_id=202105103","ICTVonline=202105103")</f>
        <v>ICTVonline=202105103</v>
      </c>
    </row>
    <row r="5579" spans="1:21" x14ac:dyDescent="0.2">
      <c r="A5579" s="3">
        <v>5578</v>
      </c>
      <c r="B5579" s="1" t="s">
        <v>4226</v>
      </c>
      <c r="D5579" s="1" t="s">
        <v>5412</v>
      </c>
      <c r="F5579" s="1" t="s">
        <v>5430</v>
      </c>
      <c r="H5579" s="1" t="s">
        <v>5431</v>
      </c>
      <c r="J5579" s="1" t="s">
        <v>5433</v>
      </c>
      <c r="L5579" s="1" t="s">
        <v>801</v>
      </c>
      <c r="N5579" s="1" t="s">
        <v>802</v>
      </c>
      <c r="P5579" s="1" t="s">
        <v>1219</v>
      </c>
      <c r="Q5579" s="30" t="s">
        <v>2567</v>
      </c>
      <c r="R5579" s="33" t="s">
        <v>3474</v>
      </c>
      <c r="S5579">
        <v>35</v>
      </c>
      <c r="T5579" s="1" t="s">
        <v>5416</v>
      </c>
      <c r="U5579" s="1" t="str">
        <f>HYPERLINK("http://ictvonline.org/taxonomy/p/taxonomy-history?taxnode_id=202105104","ICTVonline=202105104")</f>
        <v>ICTVonline=202105104</v>
      </c>
    </row>
    <row r="5580" spans="1:21" x14ac:dyDescent="0.2">
      <c r="A5580" s="3">
        <v>5579</v>
      </c>
      <c r="B5580" s="1" t="s">
        <v>4226</v>
      </c>
      <c r="D5580" s="1" t="s">
        <v>5412</v>
      </c>
      <c r="F5580" s="1" t="s">
        <v>5430</v>
      </c>
      <c r="H5580" s="1" t="s">
        <v>5431</v>
      </c>
      <c r="J5580" s="1" t="s">
        <v>5433</v>
      </c>
      <c r="L5580" s="1" t="s">
        <v>801</v>
      </c>
      <c r="N5580" s="1" t="s">
        <v>802</v>
      </c>
      <c r="P5580" s="1" t="s">
        <v>1220</v>
      </c>
      <c r="Q5580" s="30" t="s">
        <v>2567</v>
      </c>
      <c r="R5580" s="33" t="s">
        <v>3474</v>
      </c>
      <c r="S5580">
        <v>35</v>
      </c>
      <c r="T5580" s="1" t="s">
        <v>5416</v>
      </c>
      <c r="U5580" s="1" t="str">
        <f>HYPERLINK("http://ictvonline.org/taxonomy/p/taxonomy-history?taxnode_id=202105105","ICTVonline=202105105")</f>
        <v>ICTVonline=202105105</v>
      </c>
    </row>
    <row r="5581" spans="1:21" x14ac:dyDescent="0.2">
      <c r="A5581" s="3">
        <v>5580</v>
      </c>
      <c r="B5581" s="1" t="s">
        <v>4226</v>
      </c>
      <c r="D5581" s="1" t="s">
        <v>5412</v>
      </c>
      <c r="F5581" s="1" t="s">
        <v>5430</v>
      </c>
      <c r="H5581" s="1" t="s">
        <v>5431</v>
      </c>
      <c r="J5581" s="1" t="s">
        <v>5433</v>
      </c>
      <c r="L5581" s="1" t="s">
        <v>801</v>
      </c>
      <c r="N5581" s="1" t="s">
        <v>802</v>
      </c>
      <c r="P5581" s="1" t="s">
        <v>1221</v>
      </c>
      <c r="Q5581" s="30" t="s">
        <v>2567</v>
      </c>
      <c r="R5581" s="33" t="s">
        <v>8665</v>
      </c>
      <c r="S5581">
        <v>36</v>
      </c>
      <c r="T5581" s="1" t="s">
        <v>8661</v>
      </c>
      <c r="U5581" s="1" t="str">
        <f>HYPERLINK("http://ictvonline.org/taxonomy/p/taxonomy-history?taxnode_id=202105106","ICTVonline=202105106")</f>
        <v>ICTVonline=202105106</v>
      </c>
    </row>
    <row r="5582" spans="1:21" x14ac:dyDescent="0.2">
      <c r="A5582" s="3">
        <v>5581</v>
      </c>
      <c r="B5582" s="1" t="s">
        <v>4226</v>
      </c>
      <c r="D5582" s="1" t="s">
        <v>5412</v>
      </c>
      <c r="F5582" s="1" t="s">
        <v>5430</v>
      </c>
      <c r="H5582" s="1" t="s">
        <v>5431</v>
      </c>
      <c r="J5582" s="1" t="s">
        <v>5433</v>
      </c>
      <c r="L5582" s="1" t="s">
        <v>801</v>
      </c>
      <c r="N5582" s="1" t="s">
        <v>802</v>
      </c>
      <c r="P5582" s="1" t="s">
        <v>1222</v>
      </c>
      <c r="Q5582" s="30" t="s">
        <v>2567</v>
      </c>
      <c r="R5582" s="33" t="s">
        <v>3474</v>
      </c>
      <c r="S5582">
        <v>35</v>
      </c>
      <c r="T5582" s="1" t="s">
        <v>5416</v>
      </c>
      <c r="U5582" s="1" t="str">
        <f>HYPERLINK("http://ictvonline.org/taxonomy/p/taxonomy-history?taxnode_id=202105107","ICTVonline=202105107")</f>
        <v>ICTVonline=202105107</v>
      </c>
    </row>
    <row r="5583" spans="1:21" x14ac:dyDescent="0.2">
      <c r="A5583" s="3">
        <v>5582</v>
      </c>
      <c r="B5583" s="1" t="s">
        <v>4226</v>
      </c>
      <c r="D5583" s="1" t="s">
        <v>5412</v>
      </c>
      <c r="F5583" s="1" t="s">
        <v>5430</v>
      </c>
      <c r="H5583" s="1" t="s">
        <v>5431</v>
      </c>
      <c r="J5583" s="1" t="s">
        <v>5433</v>
      </c>
      <c r="L5583" s="1" t="s">
        <v>801</v>
      </c>
      <c r="N5583" s="1" t="s">
        <v>802</v>
      </c>
      <c r="P5583" s="1" t="s">
        <v>731</v>
      </c>
      <c r="Q5583" s="30" t="s">
        <v>2567</v>
      </c>
      <c r="R5583" s="33" t="s">
        <v>3474</v>
      </c>
      <c r="S5583">
        <v>35</v>
      </c>
      <c r="T5583" s="1" t="s">
        <v>5416</v>
      </c>
      <c r="U5583" s="1" t="str">
        <f>HYPERLINK("http://ictvonline.org/taxonomy/p/taxonomy-history?taxnode_id=202105108","ICTVonline=202105108")</f>
        <v>ICTVonline=202105108</v>
      </c>
    </row>
    <row r="5584" spans="1:21" x14ac:dyDescent="0.2">
      <c r="A5584" s="3">
        <v>5583</v>
      </c>
      <c r="B5584" s="1" t="s">
        <v>4226</v>
      </c>
      <c r="D5584" s="1" t="s">
        <v>5412</v>
      </c>
      <c r="F5584" s="1" t="s">
        <v>5430</v>
      </c>
      <c r="H5584" s="1" t="s">
        <v>5431</v>
      </c>
      <c r="J5584" s="1" t="s">
        <v>5433</v>
      </c>
      <c r="L5584" s="1" t="s">
        <v>801</v>
      </c>
      <c r="N5584" s="1" t="s">
        <v>802</v>
      </c>
      <c r="P5584" s="1" t="s">
        <v>732</v>
      </c>
      <c r="Q5584" s="30" t="s">
        <v>2567</v>
      </c>
      <c r="R5584" s="33" t="s">
        <v>3474</v>
      </c>
      <c r="S5584">
        <v>35</v>
      </c>
      <c r="T5584" s="1" t="s">
        <v>5416</v>
      </c>
      <c r="U5584" s="1" t="str">
        <f>HYPERLINK("http://ictvonline.org/taxonomy/p/taxonomy-history?taxnode_id=202105109","ICTVonline=202105109")</f>
        <v>ICTVonline=202105109</v>
      </c>
    </row>
    <row r="5585" spans="1:21" x14ac:dyDescent="0.2">
      <c r="A5585" s="3">
        <v>5584</v>
      </c>
      <c r="B5585" s="1" t="s">
        <v>4226</v>
      </c>
      <c r="D5585" s="1" t="s">
        <v>5412</v>
      </c>
      <c r="F5585" s="1" t="s">
        <v>5430</v>
      </c>
      <c r="H5585" s="1" t="s">
        <v>5431</v>
      </c>
      <c r="J5585" s="1" t="s">
        <v>5433</v>
      </c>
      <c r="L5585" s="1" t="s">
        <v>801</v>
      </c>
      <c r="N5585" s="1" t="s">
        <v>802</v>
      </c>
      <c r="P5585" s="1" t="s">
        <v>733</v>
      </c>
      <c r="Q5585" s="30" t="s">
        <v>2567</v>
      </c>
      <c r="R5585" s="33" t="s">
        <v>3474</v>
      </c>
      <c r="S5585">
        <v>35</v>
      </c>
      <c r="T5585" s="1" t="s">
        <v>5416</v>
      </c>
      <c r="U5585" s="1" t="str">
        <f>HYPERLINK("http://ictvonline.org/taxonomy/p/taxonomy-history?taxnode_id=202105110","ICTVonline=202105110")</f>
        <v>ICTVonline=202105110</v>
      </c>
    </row>
    <row r="5586" spans="1:21" x14ac:dyDescent="0.2">
      <c r="A5586" s="3">
        <v>5585</v>
      </c>
      <c r="B5586" s="1" t="s">
        <v>4226</v>
      </c>
      <c r="D5586" s="1" t="s">
        <v>5412</v>
      </c>
      <c r="F5586" s="1" t="s">
        <v>5430</v>
      </c>
      <c r="H5586" s="1" t="s">
        <v>5431</v>
      </c>
      <c r="J5586" s="1" t="s">
        <v>5433</v>
      </c>
      <c r="L5586" s="1" t="s">
        <v>801</v>
      </c>
      <c r="N5586" s="1" t="s">
        <v>802</v>
      </c>
      <c r="P5586" s="1" t="s">
        <v>1685</v>
      </c>
      <c r="Q5586" s="30" t="s">
        <v>2567</v>
      </c>
      <c r="R5586" s="33" t="s">
        <v>3474</v>
      </c>
      <c r="S5586">
        <v>35</v>
      </c>
      <c r="T5586" s="1" t="s">
        <v>5416</v>
      </c>
      <c r="U5586" s="1" t="str">
        <f>HYPERLINK("http://ictvonline.org/taxonomy/p/taxonomy-history?taxnode_id=202105111","ICTVonline=202105111")</f>
        <v>ICTVonline=202105111</v>
      </c>
    </row>
    <row r="5587" spans="1:21" x14ac:dyDescent="0.2">
      <c r="A5587" s="3">
        <v>5586</v>
      </c>
      <c r="B5587" s="1" t="s">
        <v>4226</v>
      </c>
      <c r="D5587" s="1" t="s">
        <v>5412</v>
      </c>
      <c r="F5587" s="1" t="s">
        <v>5430</v>
      </c>
      <c r="H5587" s="1" t="s">
        <v>5431</v>
      </c>
      <c r="J5587" s="1" t="s">
        <v>5433</v>
      </c>
      <c r="L5587" s="1" t="s">
        <v>801</v>
      </c>
      <c r="N5587" s="1" t="s">
        <v>802</v>
      </c>
      <c r="P5587" s="1" t="s">
        <v>1686</v>
      </c>
      <c r="Q5587" s="30" t="s">
        <v>2567</v>
      </c>
      <c r="R5587" s="33" t="s">
        <v>3474</v>
      </c>
      <c r="S5587">
        <v>35</v>
      </c>
      <c r="T5587" s="1" t="s">
        <v>5416</v>
      </c>
      <c r="U5587" s="1" t="str">
        <f>HYPERLINK("http://ictvonline.org/taxonomy/p/taxonomy-history?taxnode_id=202105112","ICTVonline=202105112")</f>
        <v>ICTVonline=202105112</v>
      </c>
    </row>
    <row r="5588" spans="1:21" x14ac:dyDescent="0.2">
      <c r="A5588" s="3">
        <v>5587</v>
      </c>
      <c r="B5588" s="1" t="s">
        <v>4226</v>
      </c>
      <c r="D5588" s="1" t="s">
        <v>5412</v>
      </c>
      <c r="F5588" s="1" t="s">
        <v>5430</v>
      </c>
      <c r="H5588" s="1" t="s">
        <v>5431</v>
      </c>
      <c r="J5588" s="1" t="s">
        <v>5433</v>
      </c>
      <c r="L5588" s="1" t="s">
        <v>801</v>
      </c>
      <c r="N5588" s="1" t="s">
        <v>802</v>
      </c>
      <c r="P5588" s="1" t="s">
        <v>1687</v>
      </c>
      <c r="Q5588" s="30" t="s">
        <v>2567</v>
      </c>
      <c r="R5588" s="33" t="s">
        <v>3474</v>
      </c>
      <c r="S5588">
        <v>35</v>
      </c>
      <c r="T5588" s="1" t="s">
        <v>5416</v>
      </c>
      <c r="U5588" s="1" t="str">
        <f>HYPERLINK("http://ictvonline.org/taxonomy/p/taxonomy-history?taxnode_id=202105113","ICTVonline=202105113")</f>
        <v>ICTVonline=202105113</v>
      </c>
    </row>
    <row r="5589" spans="1:21" x14ac:dyDescent="0.2">
      <c r="A5589" s="3">
        <v>5588</v>
      </c>
      <c r="B5589" s="1" t="s">
        <v>4226</v>
      </c>
      <c r="D5589" s="1" t="s">
        <v>5412</v>
      </c>
      <c r="F5589" s="1" t="s">
        <v>5430</v>
      </c>
      <c r="H5589" s="1" t="s">
        <v>5431</v>
      </c>
      <c r="J5589" s="1" t="s">
        <v>5433</v>
      </c>
      <c r="L5589" s="1" t="s">
        <v>1861</v>
      </c>
      <c r="N5589" s="1" t="s">
        <v>1161</v>
      </c>
      <c r="P5589" s="1" t="s">
        <v>1162</v>
      </c>
      <c r="Q5589" s="30" t="s">
        <v>2567</v>
      </c>
      <c r="R5589" s="33" t="s">
        <v>3474</v>
      </c>
      <c r="S5589">
        <v>35</v>
      </c>
      <c r="T5589" s="1" t="s">
        <v>5416</v>
      </c>
      <c r="U5589" s="1" t="str">
        <f>HYPERLINK("http://ictvonline.org/taxonomy/p/taxonomy-history?taxnode_id=202105397","ICTVonline=202105397")</f>
        <v>ICTVonline=202105397</v>
      </c>
    </row>
    <row r="5590" spans="1:21" x14ac:dyDescent="0.2">
      <c r="A5590" s="3">
        <v>5589</v>
      </c>
      <c r="B5590" s="1" t="s">
        <v>4226</v>
      </c>
      <c r="D5590" s="1" t="s">
        <v>5412</v>
      </c>
      <c r="F5590" s="1" t="s">
        <v>5430</v>
      </c>
      <c r="H5590" s="1" t="s">
        <v>5431</v>
      </c>
      <c r="J5590" s="1" t="s">
        <v>5433</v>
      </c>
      <c r="L5590" s="1" t="s">
        <v>1861</v>
      </c>
      <c r="N5590" s="1" t="s">
        <v>1161</v>
      </c>
      <c r="P5590" s="1" t="s">
        <v>211</v>
      </c>
      <c r="Q5590" s="30" t="s">
        <v>2567</v>
      </c>
      <c r="R5590" s="33" t="s">
        <v>3474</v>
      </c>
      <c r="S5590">
        <v>35</v>
      </c>
      <c r="T5590" s="1" t="s">
        <v>5416</v>
      </c>
      <c r="U5590" s="1" t="str">
        <f>HYPERLINK("http://ictvonline.org/taxonomy/p/taxonomy-history?taxnode_id=202105398","ICTVonline=202105398")</f>
        <v>ICTVonline=202105398</v>
      </c>
    </row>
    <row r="5591" spans="1:21" x14ac:dyDescent="0.2">
      <c r="A5591" s="3">
        <v>5590</v>
      </c>
      <c r="B5591" s="1" t="s">
        <v>4226</v>
      </c>
      <c r="D5591" s="1" t="s">
        <v>5412</v>
      </c>
      <c r="F5591" s="1" t="s">
        <v>5430</v>
      </c>
      <c r="H5591" s="1" t="s">
        <v>5431</v>
      </c>
      <c r="J5591" s="1" t="s">
        <v>5433</v>
      </c>
      <c r="L5591" s="1" t="s">
        <v>1861</v>
      </c>
      <c r="N5591" s="1" t="s">
        <v>1161</v>
      </c>
      <c r="P5591" s="1" t="s">
        <v>1163</v>
      </c>
      <c r="Q5591" s="30" t="s">
        <v>2567</v>
      </c>
      <c r="R5591" s="33" t="s">
        <v>3474</v>
      </c>
      <c r="S5591">
        <v>35</v>
      </c>
      <c r="T5591" s="1" t="s">
        <v>5416</v>
      </c>
      <c r="U5591" s="1" t="str">
        <f>HYPERLINK("http://ictvonline.org/taxonomy/p/taxonomy-history?taxnode_id=202105399","ICTVonline=202105399")</f>
        <v>ICTVonline=202105399</v>
      </c>
    </row>
    <row r="5592" spans="1:21" x14ac:dyDescent="0.2">
      <c r="A5592" s="3">
        <v>5591</v>
      </c>
      <c r="B5592" s="1" t="s">
        <v>4226</v>
      </c>
      <c r="D5592" s="1" t="s">
        <v>5412</v>
      </c>
      <c r="F5592" s="1" t="s">
        <v>5430</v>
      </c>
      <c r="H5592" s="1" t="s">
        <v>5431</v>
      </c>
      <c r="J5592" s="1" t="s">
        <v>5433</v>
      </c>
      <c r="L5592" s="1" t="s">
        <v>1861</v>
      </c>
      <c r="N5592" s="1" t="s">
        <v>1161</v>
      </c>
      <c r="P5592" s="1" t="s">
        <v>1164</v>
      </c>
      <c r="Q5592" s="30" t="s">
        <v>2567</v>
      </c>
      <c r="R5592" s="33" t="s">
        <v>3474</v>
      </c>
      <c r="S5592">
        <v>35</v>
      </c>
      <c r="T5592" s="1" t="s">
        <v>5416</v>
      </c>
      <c r="U5592" s="1" t="str">
        <f>HYPERLINK("http://ictvonline.org/taxonomy/p/taxonomy-history?taxnode_id=202105400","ICTVonline=202105400")</f>
        <v>ICTVonline=202105400</v>
      </c>
    </row>
    <row r="5593" spans="1:21" x14ac:dyDescent="0.2">
      <c r="A5593" s="3">
        <v>5592</v>
      </c>
      <c r="B5593" s="1" t="s">
        <v>4226</v>
      </c>
      <c r="D5593" s="1" t="s">
        <v>5412</v>
      </c>
      <c r="F5593" s="1" t="s">
        <v>5430</v>
      </c>
      <c r="H5593" s="1" t="s">
        <v>5431</v>
      </c>
      <c r="J5593" s="1" t="s">
        <v>5433</v>
      </c>
      <c r="L5593" s="1" t="s">
        <v>1861</v>
      </c>
      <c r="N5593" s="1" t="s">
        <v>1161</v>
      </c>
      <c r="P5593" s="1" t="s">
        <v>1165</v>
      </c>
      <c r="Q5593" s="30" t="s">
        <v>2567</v>
      </c>
      <c r="R5593" s="33" t="s">
        <v>8665</v>
      </c>
      <c r="S5593">
        <v>36</v>
      </c>
      <c r="T5593" s="1" t="s">
        <v>8661</v>
      </c>
      <c r="U5593" s="1" t="str">
        <f>HYPERLINK("http://ictvonline.org/taxonomy/p/taxonomy-history?taxnode_id=202105401","ICTVonline=202105401")</f>
        <v>ICTVonline=202105401</v>
      </c>
    </row>
    <row r="5594" spans="1:21" x14ac:dyDescent="0.2">
      <c r="A5594" s="3">
        <v>5593</v>
      </c>
      <c r="B5594" s="1" t="s">
        <v>4226</v>
      </c>
      <c r="D5594" s="1" t="s">
        <v>5412</v>
      </c>
      <c r="F5594" s="1" t="s">
        <v>5430</v>
      </c>
      <c r="H5594" s="1" t="s">
        <v>5431</v>
      </c>
      <c r="J5594" s="1" t="s">
        <v>5433</v>
      </c>
      <c r="L5594" s="1" t="s">
        <v>1861</v>
      </c>
      <c r="N5594" s="1" t="s">
        <v>1161</v>
      </c>
      <c r="P5594" s="1" t="s">
        <v>263</v>
      </c>
      <c r="Q5594" s="30" t="s">
        <v>2567</v>
      </c>
      <c r="R5594" s="33" t="s">
        <v>3474</v>
      </c>
      <c r="S5594">
        <v>35</v>
      </c>
      <c r="T5594" s="1" t="s">
        <v>5416</v>
      </c>
      <c r="U5594" s="1" t="str">
        <f>HYPERLINK("http://ictvonline.org/taxonomy/p/taxonomy-history?taxnode_id=202105402","ICTVonline=202105402")</f>
        <v>ICTVonline=202105402</v>
      </c>
    </row>
    <row r="5595" spans="1:21" x14ac:dyDescent="0.2">
      <c r="A5595" s="3">
        <v>5594</v>
      </c>
      <c r="B5595" s="1" t="s">
        <v>4226</v>
      </c>
      <c r="D5595" s="1" t="s">
        <v>5412</v>
      </c>
      <c r="F5595" s="1" t="s">
        <v>5430</v>
      </c>
      <c r="H5595" s="1" t="s">
        <v>5431</v>
      </c>
      <c r="J5595" s="1" t="s">
        <v>5433</v>
      </c>
      <c r="L5595" s="1" t="s">
        <v>1861</v>
      </c>
      <c r="N5595" s="1" t="s">
        <v>3058</v>
      </c>
      <c r="P5595" s="1" t="s">
        <v>3059</v>
      </c>
      <c r="Q5595" s="30" t="s">
        <v>2567</v>
      </c>
      <c r="R5595" s="33" t="s">
        <v>3474</v>
      </c>
      <c r="S5595">
        <v>35</v>
      </c>
      <c r="T5595" s="1" t="s">
        <v>5416</v>
      </c>
      <c r="U5595" s="1" t="str">
        <f>HYPERLINK("http://ictvonline.org/taxonomy/p/taxonomy-history?taxnode_id=202105404","ICTVonline=202105404")</f>
        <v>ICTVonline=202105404</v>
      </c>
    </row>
    <row r="5596" spans="1:21" x14ac:dyDescent="0.2">
      <c r="A5596" s="3">
        <v>5595</v>
      </c>
      <c r="B5596" s="1" t="s">
        <v>4226</v>
      </c>
      <c r="D5596" s="1" t="s">
        <v>5412</v>
      </c>
      <c r="F5596" s="1" t="s">
        <v>5430</v>
      </c>
      <c r="H5596" s="1" t="s">
        <v>5431</v>
      </c>
      <c r="J5596" s="1" t="s">
        <v>5433</v>
      </c>
      <c r="L5596" s="1" t="s">
        <v>1861</v>
      </c>
      <c r="N5596" s="1" t="s">
        <v>3058</v>
      </c>
      <c r="P5596" s="1" t="s">
        <v>3060</v>
      </c>
      <c r="Q5596" s="30" t="s">
        <v>2567</v>
      </c>
      <c r="R5596" s="33" t="s">
        <v>8665</v>
      </c>
      <c r="S5596">
        <v>36</v>
      </c>
      <c r="T5596" s="1" t="s">
        <v>8661</v>
      </c>
      <c r="U5596" s="1" t="str">
        <f>HYPERLINK("http://ictvonline.org/taxonomy/p/taxonomy-history?taxnode_id=202105405","ICTVonline=202105405")</f>
        <v>ICTVonline=202105405</v>
      </c>
    </row>
    <row r="5597" spans="1:21" x14ac:dyDescent="0.2">
      <c r="A5597" s="3">
        <v>5596</v>
      </c>
      <c r="B5597" s="1" t="s">
        <v>4226</v>
      </c>
      <c r="D5597" s="1" t="s">
        <v>5412</v>
      </c>
      <c r="F5597" s="1" t="s">
        <v>5430</v>
      </c>
      <c r="H5597" s="1" t="s">
        <v>5431</v>
      </c>
      <c r="J5597" s="1" t="s">
        <v>5433</v>
      </c>
      <c r="L5597" s="1" t="s">
        <v>1861</v>
      </c>
      <c r="N5597" s="1" t="s">
        <v>250</v>
      </c>
      <c r="P5597" s="1" t="s">
        <v>251</v>
      </c>
      <c r="Q5597" s="30" t="s">
        <v>2567</v>
      </c>
      <c r="R5597" s="33" t="s">
        <v>3474</v>
      </c>
      <c r="S5597">
        <v>35</v>
      </c>
      <c r="T5597" s="1" t="s">
        <v>5416</v>
      </c>
      <c r="U5597" s="1" t="str">
        <f>HYPERLINK("http://ictvonline.org/taxonomy/p/taxonomy-history?taxnode_id=202105407","ICTVonline=202105407")</f>
        <v>ICTVonline=202105407</v>
      </c>
    </row>
    <row r="5598" spans="1:21" x14ac:dyDescent="0.2">
      <c r="A5598" s="3">
        <v>5597</v>
      </c>
      <c r="B5598" s="1" t="s">
        <v>4226</v>
      </c>
      <c r="D5598" s="1" t="s">
        <v>5412</v>
      </c>
      <c r="F5598" s="1" t="s">
        <v>5430</v>
      </c>
      <c r="H5598" s="1" t="s">
        <v>5431</v>
      </c>
      <c r="J5598" s="1" t="s">
        <v>5433</v>
      </c>
      <c r="L5598" s="1" t="s">
        <v>1861</v>
      </c>
      <c r="N5598" s="1" t="s">
        <v>250</v>
      </c>
      <c r="P5598" s="1" t="s">
        <v>252</v>
      </c>
      <c r="Q5598" s="30" t="s">
        <v>2567</v>
      </c>
      <c r="R5598" s="33" t="s">
        <v>8665</v>
      </c>
      <c r="S5598">
        <v>36</v>
      </c>
      <c r="T5598" s="1" t="s">
        <v>8661</v>
      </c>
      <c r="U5598" s="1" t="str">
        <f>HYPERLINK("http://ictvonline.org/taxonomy/p/taxonomy-history?taxnode_id=202105408","ICTVonline=202105408")</f>
        <v>ICTVonline=202105408</v>
      </c>
    </row>
    <row r="5599" spans="1:21" x14ac:dyDescent="0.2">
      <c r="A5599" s="3">
        <v>5598</v>
      </c>
      <c r="B5599" s="1" t="s">
        <v>4226</v>
      </c>
      <c r="D5599" s="1" t="s">
        <v>5412</v>
      </c>
      <c r="F5599" s="1" t="s">
        <v>5430</v>
      </c>
      <c r="H5599" s="1" t="s">
        <v>5431</v>
      </c>
      <c r="J5599" s="1" t="s">
        <v>5433</v>
      </c>
      <c r="L5599" s="1" t="s">
        <v>1861</v>
      </c>
      <c r="N5599" s="1" t="s">
        <v>250</v>
      </c>
      <c r="P5599" s="1" t="s">
        <v>253</v>
      </c>
      <c r="Q5599" s="30" t="s">
        <v>2567</v>
      </c>
      <c r="R5599" s="33" t="s">
        <v>3474</v>
      </c>
      <c r="S5599">
        <v>35</v>
      </c>
      <c r="T5599" s="1" t="s">
        <v>5416</v>
      </c>
      <c r="U5599" s="1" t="str">
        <f>HYPERLINK("http://ictvonline.org/taxonomy/p/taxonomy-history?taxnode_id=202105409","ICTVonline=202105409")</f>
        <v>ICTVonline=202105409</v>
      </c>
    </row>
    <row r="5600" spans="1:21" x14ac:dyDescent="0.2">
      <c r="A5600" s="3">
        <v>5599</v>
      </c>
      <c r="B5600" s="1" t="s">
        <v>4226</v>
      </c>
      <c r="D5600" s="1" t="s">
        <v>5412</v>
      </c>
      <c r="F5600" s="1" t="s">
        <v>5430</v>
      </c>
      <c r="H5600" s="1" t="s">
        <v>5431</v>
      </c>
      <c r="J5600" s="1" t="s">
        <v>5433</v>
      </c>
      <c r="L5600" s="1" t="s">
        <v>1861</v>
      </c>
      <c r="N5600" s="1" t="s">
        <v>250</v>
      </c>
      <c r="P5600" s="1" t="s">
        <v>254</v>
      </c>
      <c r="Q5600" s="30" t="s">
        <v>2567</v>
      </c>
      <c r="R5600" s="33" t="s">
        <v>3474</v>
      </c>
      <c r="S5600">
        <v>35</v>
      </c>
      <c r="T5600" s="1" t="s">
        <v>5416</v>
      </c>
      <c r="U5600" s="1" t="str">
        <f>HYPERLINK("http://ictvonline.org/taxonomy/p/taxonomy-history?taxnode_id=202105410","ICTVonline=202105410")</f>
        <v>ICTVonline=202105410</v>
      </c>
    </row>
    <row r="5601" spans="1:21" x14ac:dyDescent="0.2">
      <c r="A5601" s="3">
        <v>5600</v>
      </c>
      <c r="B5601" s="1" t="s">
        <v>4226</v>
      </c>
      <c r="D5601" s="1" t="s">
        <v>5412</v>
      </c>
      <c r="F5601" s="1" t="s">
        <v>5430</v>
      </c>
      <c r="H5601" s="1" t="s">
        <v>5431</v>
      </c>
      <c r="J5601" s="1" t="s">
        <v>5433</v>
      </c>
      <c r="L5601" s="1" t="s">
        <v>1861</v>
      </c>
      <c r="N5601" s="1" t="s">
        <v>260</v>
      </c>
      <c r="P5601" s="1" t="s">
        <v>261</v>
      </c>
      <c r="Q5601" s="30" t="s">
        <v>2567</v>
      </c>
      <c r="R5601" s="33" t="s">
        <v>3474</v>
      </c>
      <c r="S5601">
        <v>35</v>
      </c>
      <c r="T5601" s="1" t="s">
        <v>5416</v>
      </c>
      <c r="U5601" s="1" t="str">
        <f>HYPERLINK("http://ictvonline.org/taxonomy/p/taxonomy-history?taxnode_id=202105412","ICTVonline=202105412")</f>
        <v>ICTVonline=202105412</v>
      </c>
    </row>
    <row r="5602" spans="1:21" x14ac:dyDescent="0.2">
      <c r="A5602" s="3">
        <v>5601</v>
      </c>
      <c r="B5602" s="1" t="s">
        <v>4226</v>
      </c>
      <c r="D5602" s="1" t="s">
        <v>5412</v>
      </c>
      <c r="F5602" s="1" t="s">
        <v>5430</v>
      </c>
      <c r="H5602" s="1" t="s">
        <v>5431</v>
      </c>
      <c r="J5602" s="1" t="s">
        <v>5433</v>
      </c>
      <c r="L5602" s="1" t="s">
        <v>1861</v>
      </c>
      <c r="N5602" s="1" t="s">
        <v>260</v>
      </c>
      <c r="P5602" s="1" t="s">
        <v>262</v>
      </c>
      <c r="Q5602" s="30" t="s">
        <v>2567</v>
      </c>
      <c r="R5602" s="33" t="s">
        <v>8665</v>
      </c>
      <c r="S5602">
        <v>36</v>
      </c>
      <c r="T5602" s="1" t="s">
        <v>8661</v>
      </c>
      <c r="U5602" s="1" t="str">
        <f>HYPERLINK("http://ictvonline.org/taxonomy/p/taxonomy-history?taxnode_id=202105413","ICTVonline=202105413")</f>
        <v>ICTVonline=202105413</v>
      </c>
    </row>
    <row r="5603" spans="1:21" x14ac:dyDescent="0.2">
      <c r="A5603" s="3">
        <v>5602</v>
      </c>
      <c r="B5603" s="1" t="s">
        <v>4226</v>
      </c>
      <c r="D5603" s="1" t="s">
        <v>5412</v>
      </c>
      <c r="F5603" s="1" t="s">
        <v>5430</v>
      </c>
      <c r="H5603" s="1" t="s">
        <v>5431</v>
      </c>
      <c r="J5603" s="1" t="s">
        <v>5433</v>
      </c>
      <c r="L5603" s="1" t="s">
        <v>1861</v>
      </c>
      <c r="N5603" s="1" t="s">
        <v>380</v>
      </c>
      <c r="P5603" s="1" t="s">
        <v>381</v>
      </c>
      <c r="Q5603" s="30" t="s">
        <v>2567</v>
      </c>
      <c r="R5603" s="33" t="s">
        <v>3474</v>
      </c>
      <c r="S5603">
        <v>35</v>
      </c>
      <c r="T5603" s="1" t="s">
        <v>5416</v>
      </c>
      <c r="U5603" s="1" t="str">
        <f>HYPERLINK("http://ictvonline.org/taxonomy/p/taxonomy-history?taxnode_id=202105415","ICTVonline=202105415")</f>
        <v>ICTVonline=202105415</v>
      </c>
    </row>
    <row r="5604" spans="1:21" x14ac:dyDescent="0.2">
      <c r="A5604" s="3">
        <v>5603</v>
      </c>
      <c r="B5604" s="1" t="s">
        <v>4226</v>
      </c>
      <c r="D5604" s="1" t="s">
        <v>5412</v>
      </c>
      <c r="F5604" s="1" t="s">
        <v>5430</v>
      </c>
      <c r="H5604" s="1" t="s">
        <v>5431</v>
      </c>
      <c r="J5604" s="1" t="s">
        <v>5433</v>
      </c>
      <c r="L5604" s="1" t="s">
        <v>1861</v>
      </c>
      <c r="N5604" s="1" t="s">
        <v>380</v>
      </c>
      <c r="P5604" s="1" t="s">
        <v>382</v>
      </c>
      <c r="Q5604" s="30" t="s">
        <v>2567</v>
      </c>
      <c r="R5604" s="33" t="s">
        <v>3474</v>
      </c>
      <c r="S5604">
        <v>35</v>
      </c>
      <c r="T5604" s="1" t="s">
        <v>5416</v>
      </c>
      <c r="U5604" s="1" t="str">
        <f>HYPERLINK("http://ictvonline.org/taxonomy/p/taxonomy-history?taxnode_id=202105416","ICTVonline=202105416")</f>
        <v>ICTVonline=202105416</v>
      </c>
    </row>
    <row r="5605" spans="1:21" x14ac:dyDescent="0.2">
      <c r="A5605" s="3">
        <v>5604</v>
      </c>
      <c r="B5605" s="1" t="s">
        <v>4226</v>
      </c>
      <c r="D5605" s="1" t="s">
        <v>5412</v>
      </c>
      <c r="F5605" s="1" t="s">
        <v>5430</v>
      </c>
      <c r="H5605" s="1" t="s">
        <v>5431</v>
      </c>
      <c r="J5605" s="1" t="s">
        <v>5433</v>
      </c>
      <c r="L5605" s="1" t="s">
        <v>1861</v>
      </c>
      <c r="N5605" s="1" t="s">
        <v>380</v>
      </c>
      <c r="P5605" s="1" t="s">
        <v>383</v>
      </c>
      <c r="Q5605" s="30" t="s">
        <v>2567</v>
      </c>
      <c r="R5605" s="33" t="s">
        <v>3474</v>
      </c>
      <c r="S5605">
        <v>35</v>
      </c>
      <c r="T5605" s="1" t="s">
        <v>5416</v>
      </c>
      <c r="U5605" s="1" t="str">
        <f>HYPERLINK("http://ictvonline.org/taxonomy/p/taxonomy-history?taxnode_id=202105417","ICTVonline=202105417")</f>
        <v>ICTVonline=202105417</v>
      </c>
    </row>
    <row r="5606" spans="1:21" x14ac:dyDescent="0.2">
      <c r="A5606" s="3">
        <v>5605</v>
      </c>
      <c r="B5606" s="1" t="s">
        <v>4226</v>
      </c>
      <c r="D5606" s="1" t="s">
        <v>5412</v>
      </c>
      <c r="F5606" s="1" t="s">
        <v>5430</v>
      </c>
      <c r="H5606" s="1" t="s">
        <v>5431</v>
      </c>
      <c r="J5606" s="1" t="s">
        <v>5433</v>
      </c>
      <c r="L5606" s="1" t="s">
        <v>1861</v>
      </c>
      <c r="N5606" s="1" t="s">
        <v>380</v>
      </c>
      <c r="P5606" s="1" t="s">
        <v>3469</v>
      </c>
      <c r="Q5606" s="30" t="s">
        <v>2567</v>
      </c>
      <c r="R5606" s="33" t="s">
        <v>3474</v>
      </c>
      <c r="S5606">
        <v>35</v>
      </c>
      <c r="T5606" s="1" t="s">
        <v>5416</v>
      </c>
      <c r="U5606" s="1" t="str">
        <f>HYPERLINK("http://ictvonline.org/taxonomy/p/taxonomy-history?taxnode_id=202105418","ICTVonline=202105418")</f>
        <v>ICTVonline=202105418</v>
      </c>
    </row>
    <row r="5607" spans="1:21" x14ac:dyDescent="0.2">
      <c r="A5607" s="3">
        <v>5606</v>
      </c>
      <c r="B5607" s="1" t="s">
        <v>4226</v>
      </c>
      <c r="D5607" s="1" t="s">
        <v>5412</v>
      </c>
      <c r="F5607" s="1" t="s">
        <v>5430</v>
      </c>
      <c r="H5607" s="1" t="s">
        <v>5431</v>
      </c>
      <c r="J5607" s="1" t="s">
        <v>5433</v>
      </c>
      <c r="L5607" s="1" t="s">
        <v>1861</v>
      </c>
      <c r="N5607" s="1" t="s">
        <v>380</v>
      </c>
      <c r="P5607" s="1" t="s">
        <v>384</v>
      </c>
      <c r="Q5607" s="30" t="s">
        <v>2567</v>
      </c>
      <c r="R5607" s="33" t="s">
        <v>8665</v>
      </c>
      <c r="S5607">
        <v>36</v>
      </c>
      <c r="T5607" s="1" t="s">
        <v>8661</v>
      </c>
      <c r="U5607" s="1" t="str">
        <f>HYPERLINK("http://ictvonline.org/taxonomy/p/taxonomy-history?taxnode_id=202105419","ICTVonline=202105419")</f>
        <v>ICTVonline=202105419</v>
      </c>
    </row>
    <row r="5608" spans="1:21" x14ac:dyDescent="0.2">
      <c r="A5608" s="3">
        <v>5607</v>
      </c>
      <c r="B5608" s="1" t="s">
        <v>4226</v>
      </c>
      <c r="D5608" s="1" t="s">
        <v>5412</v>
      </c>
      <c r="F5608" s="1" t="s">
        <v>5430</v>
      </c>
      <c r="H5608" s="1" t="s">
        <v>5431</v>
      </c>
      <c r="J5608" s="1" t="s">
        <v>5433</v>
      </c>
      <c r="L5608" s="1" t="s">
        <v>1861</v>
      </c>
      <c r="N5608" s="1" t="s">
        <v>421</v>
      </c>
      <c r="P5608" s="1" t="s">
        <v>2131</v>
      </c>
      <c r="Q5608" s="30" t="s">
        <v>2567</v>
      </c>
      <c r="R5608" s="33" t="s">
        <v>3474</v>
      </c>
      <c r="S5608">
        <v>35</v>
      </c>
      <c r="T5608" s="1" t="s">
        <v>5416</v>
      </c>
      <c r="U5608" s="1" t="str">
        <f>HYPERLINK("http://ictvonline.org/taxonomy/p/taxonomy-history?taxnode_id=202105421","ICTVonline=202105421")</f>
        <v>ICTVonline=202105421</v>
      </c>
    </row>
    <row r="5609" spans="1:21" x14ac:dyDescent="0.2">
      <c r="A5609" s="3">
        <v>5608</v>
      </c>
      <c r="B5609" s="1" t="s">
        <v>4226</v>
      </c>
      <c r="D5609" s="1" t="s">
        <v>5412</v>
      </c>
      <c r="F5609" s="1" t="s">
        <v>5430</v>
      </c>
      <c r="H5609" s="1" t="s">
        <v>5431</v>
      </c>
      <c r="J5609" s="1" t="s">
        <v>5433</v>
      </c>
      <c r="L5609" s="1" t="s">
        <v>1861</v>
      </c>
      <c r="N5609" s="1" t="s">
        <v>421</v>
      </c>
      <c r="P5609" s="1" t="s">
        <v>1416</v>
      </c>
      <c r="Q5609" s="30" t="s">
        <v>2567</v>
      </c>
      <c r="R5609" s="33" t="s">
        <v>3474</v>
      </c>
      <c r="S5609">
        <v>35</v>
      </c>
      <c r="T5609" s="1" t="s">
        <v>5416</v>
      </c>
      <c r="U5609" s="1" t="str">
        <f>HYPERLINK("http://ictvonline.org/taxonomy/p/taxonomy-history?taxnode_id=202105422","ICTVonline=202105422")</f>
        <v>ICTVonline=202105422</v>
      </c>
    </row>
    <row r="5610" spans="1:21" x14ac:dyDescent="0.2">
      <c r="A5610" s="3">
        <v>5609</v>
      </c>
      <c r="B5610" s="1" t="s">
        <v>4226</v>
      </c>
      <c r="D5610" s="1" t="s">
        <v>5412</v>
      </c>
      <c r="F5610" s="1" t="s">
        <v>5430</v>
      </c>
      <c r="H5610" s="1" t="s">
        <v>5431</v>
      </c>
      <c r="J5610" s="1" t="s">
        <v>5433</v>
      </c>
      <c r="L5610" s="1" t="s">
        <v>1861</v>
      </c>
      <c r="N5610" s="1" t="s">
        <v>421</v>
      </c>
      <c r="P5610" s="1" t="s">
        <v>2132</v>
      </c>
      <c r="Q5610" s="30" t="s">
        <v>2567</v>
      </c>
      <c r="R5610" s="33" t="s">
        <v>3474</v>
      </c>
      <c r="S5610">
        <v>35</v>
      </c>
      <c r="T5610" s="1" t="s">
        <v>5416</v>
      </c>
      <c r="U5610" s="1" t="str">
        <f>HYPERLINK("http://ictvonline.org/taxonomy/p/taxonomy-history?taxnode_id=202105423","ICTVonline=202105423")</f>
        <v>ICTVonline=202105423</v>
      </c>
    </row>
    <row r="5611" spans="1:21" x14ac:dyDescent="0.2">
      <c r="A5611" s="3">
        <v>5610</v>
      </c>
      <c r="B5611" s="1" t="s">
        <v>4226</v>
      </c>
      <c r="D5611" s="1" t="s">
        <v>5412</v>
      </c>
      <c r="F5611" s="1" t="s">
        <v>5430</v>
      </c>
      <c r="H5611" s="1" t="s">
        <v>5431</v>
      </c>
      <c r="J5611" s="1" t="s">
        <v>5433</v>
      </c>
      <c r="L5611" s="1" t="s">
        <v>1861</v>
      </c>
      <c r="N5611" s="1" t="s">
        <v>421</v>
      </c>
      <c r="P5611" s="1" t="s">
        <v>2133</v>
      </c>
      <c r="Q5611" s="30" t="s">
        <v>2567</v>
      </c>
      <c r="R5611" s="33" t="s">
        <v>3474</v>
      </c>
      <c r="S5611">
        <v>35</v>
      </c>
      <c r="T5611" s="1" t="s">
        <v>5416</v>
      </c>
      <c r="U5611" s="1" t="str">
        <f>HYPERLINK("http://ictvonline.org/taxonomy/p/taxonomy-history?taxnode_id=202105424","ICTVonline=202105424")</f>
        <v>ICTVonline=202105424</v>
      </c>
    </row>
    <row r="5612" spans="1:21" x14ac:dyDescent="0.2">
      <c r="A5612" s="3">
        <v>5611</v>
      </c>
      <c r="B5612" s="1" t="s">
        <v>4226</v>
      </c>
      <c r="D5612" s="1" t="s">
        <v>5412</v>
      </c>
      <c r="F5612" s="1" t="s">
        <v>5430</v>
      </c>
      <c r="H5612" s="1" t="s">
        <v>5431</v>
      </c>
      <c r="J5612" s="1" t="s">
        <v>5433</v>
      </c>
      <c r="L5612" s="1" t="s">
        <v>1861</v>
      </c>
      <c r="N5612" s="1" t="s">
        <v>421</v>
      </c>
      <c r="P5612" s="1" t="s">
        <v>422</v>
      </c>
      <c r="Q5612" s="30" t="s">
        <v>2567</v>
      </c>
      <c r="R5612" s="33" t="s">
        <v>3474</v>
      </c>
      <c r="S5612">
        <v>35</v>
      </c>
      <c r="T5612" s="1" t="s">
        <v>5416</v>
      </c>
      <c r="U5612" s="1" t="str">
        <f>HYPERLINK("http://ictvonline.org/taxonomy/p/taxonomy-history?taxnode_id=202105425","ICTVonline=202105425")</f>
        <v>ICTVonline=202105425</v>
      </c>
    </row>
    <row r="5613" spans="1:21" x14ac:dyDescent="0.2">
      <c r="A5613" s="3">
        <v>5612</v>
      </c>
      <c r="B5613" s="1" t="s">
        <v>4226</v>
      </c>
      <c r="D5613" s="1" t="s">
        <v>5412</v>
      </c>
      <c r="F5613" s="1" t="s">
        <v>5430</v>
      </c>
      <c r="H5613" s="1" t="s">
        <v>5431</v>
      </c>
      <c r="J5613" s="1" t="s">
        <v>5433</v>
      </c>
      <c r="L5613" s="1" t="s">
        <v>1861</v>
      </c>
      <c r="N5613" s="1" t="s">
        <v>421</v>
      </c>
      <c r="P5613" s="1" t="s">
        <v>423</v>
      </c>
      <c r="Q5613" s="30" t="s">
        <v>2567</v>
      </c>
      <c r="R5613" s="33" t="s">
        <v>3474</v>
      </c>
      <c r="S5613">
        <v>35</v>
      </c>
      <c r="T5613" s="1" t="s">
        <v>5416</v>
      </c>
      <c r="U5613" s="1" t="str">
        <f>HYPERLINK("http://ictvonline.org/taxonomy/p/taxonomy-history?taxnode_id=202105426","ICTVonline=202105426")</f>
        <v>ICTVonline=202105426</v>
      </c>
    </row>
    <row r="5614" spans="1:21" x14ac:dyDescent="0.2">
      <c r="A5614" s="3">
        <v>5613</v>
      </c>
      <c r="B5614" s="1" t="s">
        <v>4226</v>
      </c>
      <c r="D5614" s="1" t="s">
        <v>5412</v>
      </c>
      <c r="F5614" s="1" t="s">
        <v>5430</v>
      </c>
      <c r="H5614" s="1" t="s">
        <v>5431</v>
      </c>
      <c r="J5614" s="1" t="s">
        <v>5433</v>
      </c>
      <c r="L5614" s="1" t="s">
        <v>1861</v>
      </c>
      <c r="N5614" s="1" t="s">
        <v>421</v>
      </c>
      <c r="P5614" s="1" t="s">
        <v>2134</v>
      </c>
      <c r="Q5614" s="30" t="s">
        <v>2567</v>
      </c>
      <c r="R5614" s="33" t="s">
        <v>3474</v>
      </c>
      <c r="S5614">
        <v>35</v>
      </c>
      <c r="T5614" s="1" t="s">
        <v>5416</v>
      </c>
      <c r="U5614" s="1" t="str">
        <f>HYPERLINK("http://ictvonline.org/taxonomy/p/taxonomy-history?taxnode_id=202105427","ICTVonline=202105427")</f>
        <v>ICTVonline=202105427</v>
      </c>
    </row>
    <row r="5615" spans="1:21" x14ac:dyDescent="0.2">
      <c r="A5615" s="3">
        <v>5614</v>
      </c>
      <c r="B5615" s="1" t="s">
        <v>4226</v>
      </c>
      <c r="D5615" s="1" t="s">
        <v>5412</v>
      </c>
      <c r="F5615" s="1" t="s">
        <v>5430</v>
      </c>
      <c r="H5615" s="1" t="s">
        <v>5431</v>
      </c>
      <c r="J5615" s="1" t="s">
        <v>5433</v>
      </c>
      <c r="L5615" s="1" t="s">
        <v>1861</v>
      </c>
      <c r="N5615" s="1" t="s">
        <v>421</v>
      </c>
      <c r="P5615" s="1" t="s">
        <v>424</v>
      </c>
      <c r="Q5615" s="30" t="s">
        <v>2567</v>
      </c>
      <c r="R5615" s="33" t="s">
        <v>3474</v>
      </c>
      <c r="S5615">
        <v>35</v>
      </c>
      <c r="T5615" s="1" t="s">
        <v>5416</v>
      </c>
      <c r="U5615" s="1" t="str">
        <f>HYPERLINK("http://ictvonline.org/taxonomy/p/taxonomy-history?taxnode_id=202105428","ICTVonline=202105428")</f>
        <v>ICTVonline=202105428</v>
      </c>
    </row>
    <row r="5616" spans="1:21" x14ac:dyDescent="0.2">
      <c r="A5616" s="3">
        <v>5615</v>
      </c>
      <c r="B5616" s="1" t="s">
        <v>4226</v>
      </c>
      <c r="D5616" s="1" t="s">
        <v>5412</v>
      </c>
      <c r="F5616" s="1" t="s">
        <v>5430</v>
      </c>
      <c r="H5616" s="1" t="s">
        <v>5431</v>
      </c>
      <c r="J5616" s="1" t="s">
        <v>5433</v>
      </c>
      <c r="L5616" s="1" t="s">
        <v>1861</v>
      </c>
      <c r="N5616" s="1" t="s">
        <v>421</v>
      </c>
      <c r="P5616" s="1" t="s">
        <v>425</v>
      </c>
      <c r="Q5616" s="30" t="s">
        <v>2567</v>
      </c>
      <c r="R5616" s="33" t="s">
        <v>3474</v>
      </c>
      <c r="S5616">
        <v>35</v>
      </c>
      <c r="T5616" s="1" t="s">
        <v>5416</v>
      </c>
      <c r="U5616" s="1" t="str">
        <f>HYPERLINK("http://ictvonline.org/taxonomy/p/taxonomy-history?taxnode_id=202105429","ICTVonline=202105429")</f>
        <v>ICTVonline=202105429</v>
      </c>
    </row>
    <row r="5617" spans="1:21" x14ac:dyDescent="0.2">
      <c r="A5617" s="3">
        <v>5616</v>
      </c>
      <c r="B5617" s="1" t="s">
        <v>4226</v>
      </c>
      <c r="D5617" s="1" t="s">
        <v>5412</v>
      </c>
      <c r="F5617" s="1" t="s">
        <v>5430</v>
      </c>
      <c r="H5617" s="1" t="s">
        <v>5431</v>
      </c>
      <c r="J5617" s="1" t="s">
        <v>5433</v>
      </c>
      <c r="L5617" s="1" t="s">
        <v>1861</v>
      </c>
      <c r="N5617" s="1" t="s">
        <v>421</v>
      </c>
      <c r="P5617" s="1" t="s">
        <v>426</v>
      </c>
      <c r="Q5617" s="30" t="s">
        <v>2567</v>
      </c>
      <c r="R5617" s="33" t="s">
        <v>3474</v>
      </c>
      <c r="S5617">
        <v>35</v>
      </c>
      <c r="T5617" s="1" t="s">
        <v>5416</v>
      </c>
      <c r="U5617" s="1" t="str">
        <f>HYPERLINK("http://ictvonline.org/taxonomy/p/taxonomy-history?taxnode_id=202105430","ICTVonline=202105430")</f>
        <v>ICTVonline=202105430</v>
      </c>
    </row>
    <row r="5618" spans="1:21" x14ac:dyDescent="0.2">
      <c r="A5618" s="3">
        <v>5617</v>
      </c>
      <c r="B5618" s="1" t="s">
        <v>4226</v>
      </c>
      <c r="D5618" s="1" t="s">
        <v>5412</v>
      </c>
      <c r="F5618" s="1" t="s">
        <v>5430</v>
      </c>
      <c r="H5618" s="1" t="s">
        <v>5431</v>
      </c>
      <c r="J5618" s="1" t="s">
        <v>5433</v>
      </c>
      <c r="L5618" s="1" t="s">
        <v>1861</v>
      </c>
      <c r="N5618" s="1" t="s">
        <v>421</v>
      </c>
      <c r="P5618" s="1" t="s">
        <v>427</v>
      </c>
      <c r="Q5618" s="30" t="s">
        <v>2567</v>
      </c>
      <c r="R5618" s="33" t="s">
        <v>3474</v>
      </c>
      <c r="S5618">
        <v>35</v>
      </c>
      <c r="T5618" s="1" t="s">
        <v>5416</v>
      </c>
      <c r="U5618" s="1" t="str">
        <f>HYPERLINK("http://ictvonline.org/taxonomy/p/taxonomy-history?taxnode_id=202105431","ICTVonline=202105431")</f>
        <v>ICTVonline=202105431</v>
      </c>
    </row>
    <row r="5619" spans="1:21" x14ac:dyDescent="0.2">
      <c r="A5619" s="3">
        <v>5618</v>
      </c>
      <c r="B5619" s="1" t="s">
        <v>4226</v>
      </c>
      <c r="D5619" s="1" t="s">
        <v>5412</v>
      </c>
      <c r="F5619" s="1" t="s">
        <v>5430</v>
      </c>
      <c r="H5619" s="1" t="s">
        <v>5431</v>
      </c>
      <c r="J5619" s="1" t="s">
        <v>5433</v>
      </c>
      <c r="L5619" s="1" t="s">
        <v>1861</v>
      </c>
      <c r="N5619" s="1" t="s">
        <v>421</v>
      </c>
      <c r="P5619" s="1" t="s">
        <v>2135</v>
      </c>
      <c r="Q5619" s="30" t="s">
        <v>2567</v>
      </c>
      <c r="R5619" s="33" t="s">
        <v>3474</v>
      </c>
      <c r="S5619">
        <v>35</v>
      </c>
      <c r="T5619" s="1" t="s">
        <v>5416</v>
      </c>
      <c r="U5619" s="1" t="str">
        <f>HYPERLINK("http://ictvonline.org/taxonomy/p/taxonomy-history?taxnode_id=202105432","ICTVonline=202105432")</f>
        <v>ICTVonline=202105432</v>
      </c>
    </row>
    <row r="5620" spans="1:21" x14ac:dyDescent="0.2">
      <c r="A5620" s="3">
        <v>5619</v>
      </c>
      <c r="B5620" s="1" t="s">
        <v>4226</v>
      </c>
      <c r="D5620" s="1" t="s">
        <v>5412</v>
      </c>
      <c r="F5620" s="1" t="s">
        <v>5430</v>
      </c>
      <c r="H5620" s="1" t="s">
        <v>5431</v>
      </c>
      <c r="J5620" s="1" t="s">
        <v>5433</v>
      </c>
      <c r="L5620" s="1" t="s">
        <v>1861</v>
      </c>
      <c r="N5620" s="1" t="s">
        <v>421</v>
      </c>
      <c r="P5620" s="1" t="s">
        <v>407</v>
      </c>
      <c r="Q5620" s="30" t="s">
        <v>2567</v>
      </c>
      <c r="R5620" s="33" t="s">
        <v>3474</v>
      </c>
      <c r="S5620">
        <v>35</v>
      </c>
      <c r="T5620" s="1" t="s">
        <v>5416</v>
      </c>
      <c r="U5620" s="1" t="str">
        <f>HYPERLINK("http://ictvonline.org/taxonomy/p/taxonomy-history?taxnode_id=202105433","ICTVonline=202105433")</f>
        <v>ICTVonline=202105433</v>
      </c>
    </row>
    <row r="5621" spans="1:21" x14ac:dyDescent="0.2">
      <c r="A5621" s="3">
        <v>5620</v>
      </c>
      <c r="B5621" s="1" t="s">
        <v>4226</v>
      </c>
      <c r="D5621" s="1" t="s">
        <v>5412</v>
      </c>
      <c r="F5621" s="1" t="s">
        <v>5430</v>
      </c>
      <c r="H5621" s="1" t="s">
        <v>5431</v>
      </c>
      <c r="J5621" s="1" t="s">
        <v>5433</v>
      </c>
      <c r="L5621" s="1" t="s">
        <v>1861</v>
      </c>
      <c r="N5621" s="1" t="s">
        <v>421</v>
      </c>
      <c r="P5621" s="1" t="s">
        <v>408</v>
      </c>
      <c r="Q5621" s="30" t="s">
        <v>2567</v>
      </c>
      <c r="R5621" s="33" t="s">
        <v>3474</v>
      </c>
      <c r="S5621">
        <v>35</v>
      </c>
      <c r="T5621" s="1" t="s">
        <v>5416</v>
      </c>
      <c r="U5621" s="1" t="str">
        <f>HYPERLINK("http://ictvonline.org/taxonomy/p/taxonomy-history?taxnode_id=202105434","ICTVonline=202105434")</f>
        <v>ICTVonline=202105434</v>
      </c>
    </row>
    <row r="5622" spans="1:21" x14ac:dyDescent="0.2">
      <c r="A5622" s="3">
        <v>5621</v>
      </c>
      <c r="B5622" s="1" t="s">
        <v>4226</v>
      </c>
      <c r="D5622" s="1" t="s">
        <v>5412</v>
      </c>
      <c r="F5622" s="1" t="s">
        <v>5430</v>
      </c>
      <c r="H5622" s="1" t="s">
        <v>5431</v>
      </c>
      <c r="J5622" s="1" t="s">
        <v>5433</v>
      </c>
      <c r="L5622" s="1" t="s">
        <v>1861</v>
      </c>
      <c r="N5622" s="1" t="s">
        <v>421</v>
      </c>
      <c r="P5622" s="1" t="s">
        <v>3970</v>
      </c>
      <c r="Q5622" s="30" t="s">
        <v>2567</v>
      </c>
      <c r="R5622" s="33" t="s">
        <v>3474</v>
      </c>
      <c r="S5622">
        <v>35</v>
      </c>
      <c r="T5622" s="1" t="s">
        <v>5416</v>
      </c>
      <c r="U5622" s="1" t="str">
        <f>HYPERLINK("http://ictvonline.org/taxonomy/p/taxonomy-history?taxnode_id=202105442","ICTVonline=202105442")</f>
        <v>ICTVonline=202105442</v>
      </c>
    </row>
    <row r="5623" spans="1:21" x14ac:dyDescent="0.2">
      <c r="A5623" s="3">
        <v>5622</v>
      </c>
      <c r="B5623" s="1" t="s">
        <v>4226</v>
      </c>
      <c r="D5623" s="1" t="s">
        <v>5412</v>
      </c>
      <c r="F5623" s="1" t="s">
        <v>5430</v>
      </c>
      <c r="H5623" s="1" t="s">
        <v>5431</v>
      </c>
      <c r="J5623" s="1" t="s">
        <v>5433</v>
      </c>
      <c r="L5623" s="1" t="s">
        <v>1861</v>
      </c>
      <c r="N5623" s="1" t="s">
        <v>421</v>
      </c>
      <c r="P5623" s="1" t="s">
        <v>409</v>
      </c>
      <c r="Q5623" s="30" t="s">
        <v>2567</v>
      </c>
      <c r="R5623" s="33" t="s">
        <v>3474</v>
      </c>
      <c r="S5623">
        <v>35</v>
      </c>
      <c r="T5623" s="1" t="s">
        <v>5416</v>
      </c>
      <c r="U5623" s="1" t="str">
        <f>HYPERLINK("http://ictvonline.org/taxonomy/p/taxonomy-history?taxnode_id=202105435","ICTVonline=202105435")</f>
        <v>ICTVonline=202105435</v>
      </c>
    </row>
    <row r="5624" spans="1:21" x14ac:dyDescent="0.2">
      <c r="A5624" s="3">
        <v>5623</v>
      </c>
      <c r="B5624" s="1" t="s">
        <v>4226</v>
      </c>
      <c r="D5624" s="1" t="s">
        <v>5412</v>
      </c>
      <c r="F5624" s="1" t="s">
        <v>5430</v>
      </c>
      <c r="H5624" s="1" t="s">
        <v>5431</v>
      </c>
      <c r="J5624" s="1" t="s">
        <v>5433</v>
      </c>
      <c r="L5624" s="1" t="s">
        <v>1861</v>
      </c>
      <c r="N5624" s="1" t="s">
        <v>421</v>
      </c>
      <c r="P5624" s="1" t="s">
        <v>2136</v>
      </c>
      <c r="Q5624" s="30" t="s">
        <v>2567</v>
      </c>
      <c r="R5624" s="33" t="s">
        <v>3474</v>
      </c>
      <c r="S5624">
        <v>35</v>
      </c>
      <c r="T5624" s="1" t="s">
        <v>5416</v>
      </c>
      <c r="U5624" s="1" t="str">
        <f>HYPERLINK("http://ictvonline.org/taxonomy/p/taxonomy-history?taxnode_id=202105436","ICTVonline=202105436")</f>
        <v>ICTVonline=202105436</v>
      </c>
    </row>
    <row r="5625" spans="1:21" x14ac:dyDescent="0.2">
      <c r="A5625" s="3">
        <v>5624</v>
      </c>
      <c r="B5625" s="1" t="s">
        <v>4226</v>
      </c>
      <c r="D5625" s="1" t="s">
        <v>5412</v>
      </c>
      <c r="F5625" s="1" t="s">
        <v>5430</v>
      </c>
      <c r="H5625" s="1" t="s">
        <v>5431</v>
      </c>
      <c r="J5625" s="1" t="s">
        <v>5433</v>
      </c>
      <c r="L5625" s="1" t="s">
        <v>1861</v>
      </c>
      <c r="N5625" s="1" t="s">
        <v>421</v>
      </c>
      <c r="P5625" s="1" t="s">
        <v>292</v>
      </c>
      <c r="Q5625" s="30" t="s">
        <v>2567</v>
      </c>
      <c r="R5625" s="33" t="s">
        <v>3474</v>
      </c>
      <c r="S5625">
        <v>35</v>
      </c>
      <c r="T5625" s="1" t="s">
        <v>5416</v>
      </c>
      <c r="U5625" s="1" t="str">
        <f>HYPERLINK("http://ictvonline.org/taxonomy/p/taxonomy-history?taxnode_id=202105437","ICTVonline=202105437")</f>
        <v>ICTVonline=202105437</v>
      </c>
    </row>
    <row r="5626" spans="1:21" x14ac:dyDescent="0.2">
      <c r="A5626" s="3">
        <v>5625</v>
      </c>
      <c r="B5626" s="1" t="s">
        <v>4226</v>
      </c>
      <c r="D5626" s="1" t="s">
        <v>5412</v>
      </c>
      <c r="F5626" s="1" t="s">
        <v>5430</v>
      </c>
      <c r="H5626" s="1" t="s">
        <v>5431</v>
      </c>
      <c r="J5626" s="1" t="s">
        <v>5433</v>
      </c>
      <c r="L5626" s="1" t="s">
        <v>1861</v>
      </c>
      <c r="N5626" s="1" t="s">
        <v>421</v>
      </c>
      <c r="P5626" s="1" t="s">
        <v>3470</v>
      </c>
      <c r="Q5626" s="30" t="s">
        <v>2567</v>
      </c>
      <c r="R5626" s="33" t="s">
        <v>3474</v>
      </c>
      <c r="S5626">
        <v>35</v>
      </c>
      <c r="T5626" s="1" t="s">
        <v>5416</v>
      </c>
      <c r="U5626" s="1" t="str">
        <f>HYPERLINK("http://ictvonline.org/taxonomy/p/taxonomy-history?taxnode_id=202105438","ICTVonline=202105438")</f>
        <v>ICTVonline=202105438</v>
      </c>
    </row>
    <row r="5627" spans="1:21" x14ac:dyDescent="0.2">
      <c r="A5627" s="3">
        <v>5626</v>
      </c>
      <c r="B5627" s="1" t="s">
        <v>4226</v>
      </c>
      <c r="D5627" s="1" t="s">
        <v>5412</v>
      </c>
      <c r="F5627" s="1" t="s">
        <v>5430</v>
      </c>
      <c r="H5627" s="1" t="s">
        <v>5431</v>
      </c>
      <c r="J5627" s="1" t="s">
        <v>5433</v>
      </c>
      <c r="L5627" s="1" t="s">
        <v>1861</v>
      </c>
      <c r="N5627" s="1" t="s">
        <v>421</v>
      </c>
      <c r="P5627" s="1" t="s">
        <v>2137</v>
      </c>
      <c r="Q5627" s="30" t="s">
        <v>2567</v>
      </c>
      <c r="R5627" s="33" t="s">
        <v>3474</v>
      </c>
      <c r="S5627">
        <v>35</v>
      </c>
      <c r="T5627" s="1" t="s">
        <v>5416</v>
      </c>
      <c r="U5627" s="1" t="str">
        <f>HYPERLINK("http://ictvonline.org/taxonomy/p/taxonomy-history?taxnode_id=202105439","ICTVonline=202105439")</f>
        <v>ICTVonline=202105439</v>
      </c>
    </row>
    <row r="5628" spans="1:21" x14ac:dyDescent="0.2">
      <c r="A5628" s="3">
        <v>5627</v>
      </c>
      <c r="B5628" s="1" t="s">
        <v>4226</v>
      </c>
      <c r="D5628" s="1" t="s">
        <v>5412</v>
      </c>
      <c r="F5628" s="1" t="s">
        <v>5430</v>
      </c>
      <c r="H5628" s="1" t="s">
        <v>5431</v>
      </c>
      <c r="J5628" s="1" t="s">
        <v>5433</v>
      </c>
      <c r="L5628" s="1" t="s">
        <v>1861</v>
      </c>
      <c r="N5628" s="1" t="s">
        <v>421</v>
      </c>
      <c r="P5628" s="1" t="s">
        <v>1415</v>
      </c>
      <c r="Q5628" s="30" t="s">
        <v>2567</v>
      </c>
      <c r="R5628" s="33" t="s">
        <v>3474</v>
      </c>
      <c r="S5628">
        <v>35</v>
      </c>
      <c r="T5628" s="1" t="s">
        <v>5416</v>
      </c>
      <c r="U5628" s="1" t="str">
        <f>HYPERLINK("http://ictvonline.org/taxonomy/p/taxonomy-history?taxnode_id=202105440","ICTVonline=202105440")</f>
        <v>ICTVonline=202105440</v>
      </c>
    </row>
    <row r="5629" spans="1:21" x14ac:dyDescent="0.2">
      <c r="A5629" s="3">
        <v>5628</v>
      </c>
      <c r="B5629" s="1" t="s">
        <v>4226</v>
      </c>
      <c r="D5629" s="1" t="s">
        <v>5412</v>
      </c>
      <c r="F5629" s="1" t="s">
        <v>5430</v>
      </c>
      <c r="H5629" s="1" t="s">
        <v>5431</v>
      </c>
      <c r="J5629" s="1" t="s">
        <v>5433</v>
      </c>
      <c r="L5629" s="1" t="s">
        <v>1861</v>
      </c>
      <c r="N5629" s="1" t="s">
        <v>421</v>
      </c>
      <c r="P5629" s="1" t="s">
        <v>293</v>
      </c>
      <c r="Q5629" s="30" t="s">
        <v>2567</v>
      </c>
      <c r="R5629" s="33" t="s">
        <v>3474</v>
      </c>
      <c r="S5629">
        <v>35</v>
      </c>
      <c r="T5629" s="1" t="s">
        <v>5416</v>
      </c>
      <c r="U5629" s="1" t="str">
        <f>HYPERLINK("http://ictvonline.org/taxonomy/p/taxonomy-history?taxnode_id=202105441","ICTVonline=202105441")</f>
        <v>ICTVonline=202105441</v>
      </c>
    </row>
    <row r="5630" spans="1:21" x14ac:dyDescent="0.2">
      <c r="A5630" s="3">
        <v>5629</v>
      </c>
      <c r="B5630" s="1" t="s">
        <v>4226</v>
      </c>
      <c r="D5630" s="1" t="s">
        <v>5412</v>
      </c>
      <c r="F5630" s="1" t="s">
        <v>5430</v>
      </c>
      <c r="H5630" s="1" t="s">
        <v>5431</v>
      </c>
      <c r="J5630" s="1" t="s">
        <v>5433</v>
      </c>
      <c r="L5630" s="1" t="s">
        <v>1861</v>
      </c>
      <c r="N5630" s="1" t="s">
        <v>421</v>
      </c>
      <c r="P5630" s="1" t="s">
        <v>1417</v>
      </c>
      <c r="Q5630" s="30" t="s">
        <v>2567</v>
      </c>
      <c r="R5630" s="33" t="s">
        <v>3474</v>
      </c>
      <c r="S5630">
        <v>35</v>
      </c>
      <c r="T5630" s="1" t="s">
        <v>5416</v>
      </c>
      <c r="U5630" s="1" t="str">
        <f>HYPERLINK("http://ictvonline.org/taxonomy/p/taxonomy-history?taxnode_id=202105443","ICTVonline=202105443")</f>
        <v>ICTVonline=202105443</v>
      </c>
    </row>
    <row r="5631" spans="1:21" x14ac:dyDescent="0.2">
      <c r="A5631" s="3">
        <v>5630</v>
      </c>
      <c r="B5631" s="1" t="s">
        <v>4226</v>
      </c>
      <c r="D5631" s="1" t="s">
        <v>5412</v>
      </c>
      <c r="F5631" s="1" t="s">
        <v>5430</v>
      </c>
      <c r="H5631" s="1" t="s">
        <v>5431</v>
      </c>
      <c r="J5631" s="1" t="s">
        <v>5433</v>
      </c>
      <c r="L5631" s="1" t="s">
        <v>1861</v>
      </c>
      <c r="N5631" s="1" t="s">
        <v>421</v>
      </c>
      <c r="P5631" s="1" t="s">
        <v>294</v>
      </c>
      <c r="Q5631" s="30" t="s">
        <v>2567</v>
      </c>
      <c r="R5631" s="33" t="s">
        <v>3474</v>
      </c>
      <c r="S5631">
        <v>35</v>
      </c>
      <c r="T5631" s="1" t="s">
        <v>5416</v>
      </c>
      <c r="U5631" s="1" t="str">
        <f>HYPERLINK("http://ictvonline.org/taxonomy/p/taxonomy-history?taxnode_id=202105444","ICTVonline=202105444")</f>
        <v>ICTVonline=202105444</v>
      </c>
    </row>
    <row r="5632" spans="1:21" x14ac:dyDescent="0.2">
      <c r="A5632" s="3">
        <v>5631</v>
      </c>
      <c r="B5632" s="1" t="s">
        <v>4226</v>
      </c>
      <c r="D5632" s="1" t="s">
        <v>5412</v>
      </c>
      <c r="F5632" s="1" t="s">
        <v>5430</v>
      </c>
      <c r="H5632" s="1" t="s">
        <v>5431</v>
      </c>
      <c r="J5632" s="1" t="s">
        <v>5433</v>
      </c>
      <c r="L5632" s="1" t="s">
        <v>1861</v>
      </c>
      <c r="N5632" s="1" t="s">
        <v>421</v>
      </c>
      <c r="P5632" s="1" t="s">
        <v>1080</v>
      </c>
      <c r="Q5632" s="30" t="s">
        <v>2567</v>
      </c>
      <c r="R5632" s="33" t="s">
        <v>3474</v>
      </c>
      <c r="S5632">
        <v>35</v>
      </c>
      <c r="T5632" s="1" t="s">
        <v>5416</v>
      </c>
      <c r="U5632" s="1" t="str">
        <f>HYPERLINK("http://ictvonline.org/taxonomy/p/taxonomy-history?taxnode_id=202105445","ICTVonline=202105445")</f>
        <v>ICTVonline=202105445</v>
      </c>
    </row>
    <row r="5633" spans="1:21" x14ac:dyDescent="0.2">
      <c r="A5633" s="3">
        <v>5632</v>
      </c>
      <c r="B5633" s="1" t="s">
        <v>4226</v>
      </c>
      <c r="D5633" s="1" t="s">
        <v>5412</v>
      </c>
      <c r="F5633" s="1" t="s">
        <v>5430</v>
      </c>
      <c r="H5633" s="1" t="s">
        <v>5431</v>
      </c>
      <c r="J5633" s="1" t="s">
        <v>5433</v>
      </c>
      <c r="L5633" s="1" t="s">
        <v>1861</v>
      </c>
      <c r="N5633" s="1" t="s">
        <v>421</v>
      </c>
      <c r="P5633" s="1" t="s">
        <v>1584</v>
      </c>
      <c r="Q5633" s="30" t="s">
        <v>2567</v>
      </c>
      <c r="R5633" s="33" t="s">
        <v>3474</v>
      </c>
      <c r="S5633">
        <v>35</v>
      </c>
      <c r="T5633" s="1" t="s">
        <v>5416</v>
      </c>
      <c r="U5633" s="1" t="str">
        <f>HYPERLINK("http://ictvonline.org/taxonomy/p/taxonomy-history?taxnode_id=202105446","ICTVonline=202105446")</f>
        <v>ICTVonline=202105446</v>
      </c>
    </row>
    <row r="5634" spans="1:21" x14ac:dyDescent="0.2">
      <c r="A5634" s="3">
        <v>5633</v>
      </c>
      <c r="B5634" s="1" t="s">
        <v>4226</v>
      </c>
      <c r="D5634" s="1" t="s">
        <v>5412</v>
      </c>
      <c r="F5634" s="1" t="s">
        <v>5430</v>
      </c>
      <c r="H5634" s="1" t="s">
        <v>5431</v>
      </c>
      <c r="J5634" s="1" t="s">
        <v>5433</v>
      </c>
      <c r="L5634" s="1" t="s">
        <v>1861</v>
      </c>
      <c r="N5634" s="1" t="s">
        <v>421</v>
      </c>
      <c r="P5634" s="1" t="s">
        <v>1585</v>
      </c>
      <c r="Q5634" s="30" t="s">
        <v>2567</v>
      </c>
      <c r="R5634" s="33" t="s">
        <v>8665</v>
      </c>
      <c r="S5634">
        <v>36</v>
      </c>
      <c r="T5634" s="1" t="s">
        <v>8661</v>
      </c>
      <c r="U5634" s="1" t="str">
        <f>HYPERLINK("http://ictvonline.org/taxonomy/p/taxonomy-history?taxnode_id=202105447","ICTVonline=202105447")</f>
        <v>ICTVonline=202105447</v>
      </c>
    </row>
    <row r="5635" spans="1:21" x14ac:dyDescent="0.2">
      <c r="A5635" s="3">
        <v>5634</v>
      </c>
      <c r="B5635" s="1" t="s">
        <v>4226</v>
      </c>
      <c r="D5635" s="1" t="s">
        <v>5412</v>
      </c>
      <c r="F5635" s="1" t="s">
        <v>5430</v>
      </c>
      <c r="H5635" s="1" t="s">
        <v>5431</v>
      </c>
      <c r="J5635" s="1" t="s">
        <v>5433</v>
      </c>
      <c r="L5635" s="1" t="s">
        <v>1861</v>
      </c>
      <c r="N5635" s="1" t="s">
        <v>421</v>
      </c>
      <c r="P5635" s="1" t="s">
        <v>3471</v>
      </c>
      <c r="Q5635" s="30" t="s">
        <v>2567</v>
      </c>
      <c r="R5635" s="33" t="s">
        <v>3474</v>
      </c>
      <c r="S5635">
        <v>35</v>
      </c>
      <c r="T5635" s="1" t="s">
        <v>5416</v>
      </c>
      <c r="U5635" s="1" t="str">
        <f>HYPERLINK("http://ictvonline.org/taxonomy/p/taxonomy-history?taxnode_id=202105448","ICTVonline=202105448")</f>
        <v>ICTVonline=202105448</v>
      </c>
    </row>
    <row r="5636" spans="1:21" x14ac:dyDescent="0.2">
      <c r="A5636" s="3">
        <v>5635</v>
      </c>
      <c r="B5636" s="1" t="s">
        <v>4226</v>
      </c>
      <c r="D5636" s="1" t="s">
        <v>5412</v>
      </c>
      <c r="F5636" s="1" t="s">
        <v>5430</v>
      </c>
      <c r="H5636" s="1" t="s">
        <v>5431</v>
      </c>
      <c r="J5636" s="1" t="s">
        <v>5433</v>
      </c>
      <c r="L5636" s="1" t="s">
        <v>1861</v>
      </c>
      <c r="N5636" s="1" t="s">
        <v>421</v>
      </c>
      <c r="P5636" s="1" t="s">
        <v>1586</v>
      </c>
      <c r="Q5636" s="30" t="s">
        <v>2567</v>
      </c>
      <c r="R5636" s="33" t="s">
        <v>3474</v>
      </c>
      <c r="S5636">
        <v>35</v>
      </c>
      <c r="T5636" s="1" t="s">
        <v>5416</v>
      </c>
      <c r="U5636" s="1" t="str">
        <f>HYPERLINK("http://ictvonline.org/taxonomy/p/taxonomy-history?taxnode_id=202105449","ICTVonline=202105449")</f>
        <v>ICTVonline=202105449</v>
      </c>
    </row>
    <row r="5637" spans="1:21" x14ac:dyDescent="0.2">
      <c r="A5637" s="3">
        <v>5636</v>
      </c>
      <c r="B5637" s="1" t="s">
        <v>4226</v>
      </c>
      <c r="D5637" s="1" t="s">
        <v>5412</v>
      </c>
      <c r="F5637" s="1" t="s">
        <v>5430</v>
      </c>
      <c r="H5637" s="1" t="s">
        <v>5431</v>
      </c>
      <c r="J5637" s="1" t="s">
        <v>5433</v>
      </c>
      <c r="L5637" s="1" t="s">
        <v>1861</v>
      </c>
      <c r="N5637" s="1" t="s">
        <v>421</v>
      </c>
      <c r="P5637" s="1" t="s">
        <v>2563</v>
      </c>
      <c r="Q5637" s="30" t="s">
        <v>2567</v>
      </c>
      <c r="R5637" s="33" t="s">
        <v>3474</v>
      </c>
      <c r="S5637">
        <v>35</v>
      </c>
      <c r="T5637" s="1" t="s">
        <v>5416</v>
      </c>
      <c r="U5637" s="1" t="str">
        <f>HYPERLINK("http://ictvonline.org/taxonomy/p/taxonomy-history?taxnode_id=202105450","ICTVonline=202105450")</f>
        <v>ICTVonline=202105450</v>
      </c>
    </row>
    <row r="5638" spans="1:21" x14ac:dyDescent="0.2">
      <c r="A5638" s="3">
        <v>5637</v>
      </c>
      <c r="B5638" s="1" t="s">
        <v>4226</v>
      </c>
      <c r="D5638" s="1" t="s">
        <v>5412</v>
      </c>
      <c r="F5638" s="1" t="s">
        <v>5430</v>
      </c>
      <c r="H5638" s="1" t="s">
        <v>5431</v>
      </c>
      <c r="J5638" s="1" t="s">
        <v>5433</v>
      </c>
      <c r="L5638" s="1" t="s">
        <v>1861</v>
      </c>
      <c r="N5638" s="1" t="s">
        <v>421</v>
      </c>
      <c r="P5638" s="1" t="s">
        <v>2138</v>
      </c>
      <c r="Q5638" s="30" t="s">
        <v>2567</v>
      </c>
      <c r="R5638" s="33" t="s">
        <v>3474</v>
      </c>
      <c r="S5638">
        <v>35</v>
      </c>
      <c r="T5638" s="1" t="s">
        <v>5416</v>
      </c>
      <c r="U5638" s="1" t="str">
        <f>HYPERLINK("http://ictvonline.org/taxonomy/p/taxonomy-history?taxnode_id=202105451","ICTVonline=202105451")</f>
        <v>ICTVonline=202105451</v>
      </c>
    </row>
    <row r="5639" spans="1:21" x14ac:dyDescent="0.2">
      <c r="A5639" s="3">
        <v>5638</v>
      </c>
      <c r="B5639" s="1" t="s">
        <v>4226</v>
      </c>
      <c r="D5639" s="1" t="s">
        <v>5412</v>
      </c>
      <c r="F5639" s="1" t="s">
        <v>5430</v>
      </c>
      <c r="H5639" s="1" t="s">
        <v>5431</v>
      </c>
      <c r="J5639" s="1" t="s">
        <v>5433</v>
      </c>
      <c r="L5639" s="1" t="s">
        <v>1861</v>
      </c>
      <c r="N5639" s="1" t="s">
        <v>421</v>
      </c>
      <c r="P5639" s="1" t="s">
        <v>1587</v>
      </c>
      <c r="Q5639" s="30" t="s">
        <v>2567</v>
      </c>
      <c r="R5639" s="33" t="s">
        <v>3474</v>
      </c>
      <c r="S5639">
        <v>35</v>
      </c>
      <c r="T5639" s="1" t="s">
        <v>5416</v>
      </c>
      <c r="U5639" s="1" t="str">
        <f>HYPERLINK("http://ictvonline.org/taxonomy/p/taxonomy-history?taxnode_id=202105452","ICTVonline=202105452")</f>
        <v>ICTVonline=202105452</v>
      </c>
    </row>
    <row r="5640" spans="1:21" x14ac:dyDescent="0.2">
      <c r="A5640" s="3">
        <v>5639</v>
      </c>
      <c r="B5640" s="1" t="s">
        <v>4226</v>
      </c>
      <c r="D5640" s="1" t="s">
        <v>5412</v>
      </c>
      <c r="F5640" s="1" t="s">
        <v>5430</v>
      </c>
      <c r="H5640" s="1" t="s">
        <v>5431</v>
      </c>
      <c r="J5640" s="1" t="s">
        <v>5433</v>
      </c>
      <c r="L5640" s="1" t="s">
        <v>1861</v>
      </c>
      <c r="N5640" s="1" t="s">
        <v>421</v>
      </c>
      <c r="P5640" s="1" t="s">
        <v>1588</v>
      </c>
      <c r="Q5640" s="30" t="s">
        <v>2567</v>
      </c>
      <c r="R5640" s="33" t="s">
        <v>3474</v>
      </c>
      <c r="S5640">
        <v>35</v>
      </c>
      <c r="T5640" s="1" t="s">
        <v>5416</v>
      </c>
      <c r="U5640" s="1" t="str">
        <f>HYPERLINK("http://ictvonline.org/taxonomy/p/taxonomy-history?taxnode_id=202105453","ICTVonline=202105453")</f>
        <v>ICTVonline=202105453</v>
      </c>
    </row>
    <row r="5641" spans="1:21" x14ac:dyDescent="0.2">
      <c r="A5641" s="3">
        <v>5640</v>
      </c>
      <c r="B5641" s="1" t="s">
        <v>4226</v>
      </c>
      <c r="D5641" s="1" t="s">
        <v>5412</v>
      </c>
      <c r="F5641" s="1" t="s">
        <v>5430</v>
      </c>
      <c r="H5641" s="1" t="s">
        <v>5431</v>
      </c>
      <c r="J5641" s="1" t="s">
        <v>5433</v>
      </c>
      <c r="L5641" s="1" t="s">
        <v>1861</v>
      </c>
      <c r="N5641" s="1" t="s">
        <v>421</v>
      </c>
      <c r="P5641" s="1" t="s">
        <v>1589</v>
      </c>
      <c r="Q5641" s="30" t="s">
        <v>2567</v>
      </c>
      <c r="R5641" s="33" t="s">
        <v>3474</v>
      </c>
      <c r="S5641">
        <v>35</v>
      </c>
      <c r="T5641" s="1" t="s">
        <v>5416</v>
      </c>
      <c r="U5641" s="1" t="str">
        <f>HYPERLINK("http://ictvonline.org/taxonomy/p/taxonomy-history?taxnode_id=202105454","ICTVonline=202105454")</f>
        <v>ICTVonline=202105454</v>
      </c>
    </row>
    <row r="5642" spans="1:21" x14ac:dyDescent="0.2">
      <c r="A5642" s="3">
        <v>5641</v>
      </c>
      <c r="B5642" s="1" t="s">
        <v>4226</v>
      </c>
      <c r="D5642" s="1" t="s">
        <v>5412</v>
      </c>
      <c r="F5642" s="1" t="s">
        <v>5430</v>
      </c>
      <c r="H5642" s="1" t="s">
        <v>5431</v>
      </c>
      <c r="J5642" s="1" t="s">
        <v>5433</v>
      </c>
      <c r="L5642" s="1" t="s">
        <v>1861</v>
      </c>
      <c r="N5642" s="1" t="s">
        <v>421</v>
      </c>
      <c r="P5642" s="1" t="s">
        <v>2564</v>
      </c>
      <c r="Q5642" s="30" t="s">
        <v>2567</v>
      </c>
      <c r="R5642" s="33" t="s">
        <v>3474</v>
      </c>
      <c r="S5642">
        <v>35</v>
      </c>
      <c r="T5642" s="1" t="s">
        <v>5416</v>
      </c>
      <c r="U5642" s="1" t="str">
        <f>HYPERLINK("http://ictvonline.org/taxonomy/p/taxonomy-history?taxnode_id=202105455","ICTVonline=202105455")</f>
        <v>ICTVonline=202105455</v>
      </c>
    </row>
    <row r="5643" spans="1:21" x14ac:dyDescent="0.2">
      <c r="A5643" s="3">
        <v>5642</v>
      </c>
      <c r="B5643" s="1" t="s">
        <v>4226</v>
      </c>
      <c r="D5643" s="1" t="s">
        <v>5412</v>
      </c>
      <c r="F5643" s="1" t="s">
        <v>5430</v>
      </c>
      <c r="H5643" s="1" t="s">
        <v>5431</v>
      </c>
      <c r="J5643" s="1" t="s">
        <v>5433</v>
      </c>
      <c r="L5643" s="1" t="s">
        <v>1861</v>
      </c>
      <c r="N5643" s="1" t="s">
        <v>421</v>
      </c>
      <c r="P5643" s="1" t="s">
        <v>1590</v>
      </c>
      <c r="Q5643" s="30" t="s">
        <v>2567</v>
      </c>
      <c r="R5643" s="33" t="s">
        <v>3474</v>
      </c>
      <c r="S5643">
        <v>35</v>
      </c>
      <c r="T5643" s="1" t="s">
        <v>5416</v>
      </c>
      <c r="U5643" s="1" t="str">
        <f>HYPERLINK("http://ictvonline.org/taxonomy/p/taxonomy-history?taxnode_id=202105456","ICTVonline=202105456")</f>
        <v>ICTVonline=202105456</v>
      </c>
    </row>
    <row r="5644" spans="1:21" x14ac:dyDescent="0.2">
      <c r="A5644" s="3">
        <v>5643</v>
      </c>
      <c r="B5644" s="1" t="s">
        <v>4226</v>
      </c>
      <c r="D5644" s="1" t="s">
        <v>5412</v>
      </c>
      <c r="F5644" s="1" t="s">
        <v>5430</v>
      </c>
      <c r="H5644" s="1" t="s">
        <v>5431</v>
      </c>
      <c r="J5644" s="1" t="s">
        <v>5433</v>
      </c>
      <c r="L5644" s="1" t="s">
        <v>1861</v>
      </c>
      <c r="N5644" s="1" t="s">
        <v>421</v>
      </c>
      <c r="P5644" s="1" t="s">
        <v>1591</v>
      </c>
      <c r="Q5644" s="30" t="s">
        <v>2567</v>
      </c>
      <c r="R5644" s="33" t="s">
        <v>3474</v>
      </c>
      <c r="S5644">
        <v>35</v>
      </c>
      <c r="T5644" s="1" t="s">
        <v>5416</v>
      </c>
      <c r="U5644" s="1" t="str">
        <f>HYPERLINK("http://ictvonline.org/taxonomy/p/taxonomy-history?taxnode_id=202105457","ICTVonline=202105457")</f>
        <v>ICTVonline=202105457</v>
      </c>
    </row>
    <row r="5645" spans="1:21" x14ac:dyDescent="0.2">
      <c r="A5645" s="3">
        <v>5644</v>
      </c>
      <c r="B5645" s="1" t="s">
        <v>4226</v>
      </c>
      <c r="D5645" s="1" t="s">
        <v>5412</v>
      </c>
      <c r="F5645" s="1" t="s">
        <v>5430</v>
      </c>
      <c r="H5645" s="1" t="s">
        <v>5431</v>
      </c>
      <c r="J5645" s="1" t="s">
        <v>5433</v>
      </c>
      <c r="L5645" s="1" t="s">
        <v>1861</v>
      </c>
      <c r="N5645" s="1" t="s">
        <v>1592</v>
      </c>
      <c r="P5645" s="1" t="s">
        <v>1593</v>
      </c>
      <c r="Q5645" s="30" t="s">
        <v>2567</v>
      </c>
      <c r="R5645" s="33" t="s">
        <v>3474</v>
      </c>
      <c r="S5645">
        <v>35</v>
      </c>
      <c r="T5645" s="1" t="s">
        <v>5416</v>
      </c>
      <c r="U5645" s="1" t="str">
        <f>HYPERLINK("http://ictvonline.org/taxonomy/p/taxonomy-history?taxnode_id=202105459","ICTVonline=202105459")</f>
        <v>ICTVonline=202105459</v>
      </c>
    </row>
    <row r="5646" spans="1:21" x14ac:dyDescent="0.2">
      <c r="A5646" s="3">
        <v>5645</v>
      </c>
      <c r="B5646" s="1" t="s">
        <v>4226</v>
      </c>
      <c r="D5646" s="1" t="s">
        <v>5412</v>
      </c>
      <c r="F5646" s="1" t="s">
        <v>5430</v>
      </c>
      <c r="H5646" s="1" t="s">
        <v>5431</v>
      </c>
      <c r="J5646" s="1" t="s">
        <v>5433</v>
      </c>
      <c r="L5646" s="1" t="s">
        <v>1861</v>
      </c>
      <c r="N5646" s="1" t="s">
        <v>1592</v>
      </c>
      <c r="P5646" s="1" t="s">
        <v>1594</v>
      </c>
      <c r="Q5646" s="30" t="s">
        <v>2567</v>
      </c>
      <c r="R5646" s="33" t="s">
        <v>3474</v>
      </c>
      <c r="S5646">
        <v>35</v>
      </c>
      <c r="T5646" s="1" t="s">
        <v>5416</v>
      </c>
      <c r="U5646" s="1" t="str">
        <f>HYPERLINK("http://ictvonline.org/taxonomy/p/taxonomy-history?taxnode_id=202105460","ICTVonline=202105460")</f>
        <v>ICTVonline=202105460</v>
      </c>
    </row>
    <row r="5647" spans="1:21" x14ac:dyDescent="0.2">
      <c r="A5647" s="3">
        <v>5646</v>
      </c>
      <c r="B5647" s="1" t="s">
        <v>4226</v>
      </c>
      <c r="D5647" s="1" t="s">
        <v>5412</v>
      </c>
      <c r="F5647" s="1" t="s">
        <v>5430</v>
      </c>
      <c r="H5647" s="1" t="s">
        <v>5431</v>
      </c>
      <c r="J5647" s="1" t="s">
        <v>5433</v>
      </c>
      <c r="L5647" s="1" t="s">
        <v>1861</v>
      </c>
      <c r="N5647" s="1" t="s">
        <v>1592</v>
      </c>
      <c r="P5647" s="1" t="s">
        <v>1595</v>
      </c>
      <c r="Q5647" s="30" t="s">
        <v>2567</v>
      </c>
      <c r="R5647" s="33" t="s">
        <v>8665</v>
      </c>
      <c r="S5647">
        <v>36</v>
      </c>
      <c r="T5647" s="1" t="s">
        <v>8661</v>
      </c>
      <c r="U5647" s="1" t="str">
        <f>HYPERLINK("http://ictvonline.org/taxonomy/p/taxonomy-history?taxnode_id=202105461","ICTVonline=202105461")</f>
        <v>ICTVonline=202105461</v>
      </c>
    </row>
    <row r="5648" spans="1:21" x14ac:dyDescent="0.2">
      <c r="A5648" s="3">
        <v>5647</v>
      </c>
      <c r="B5648" s="1" t="s">
        <v>4226</v>
      </c>
      <c r="D5648" s="1" t="s">
        <v>5412</v>
      </c>
      <c r="F5648" s="1" t="s">
        <v>5430</v>
      </c>
      <c r="H5648" s="1" t="s">
        <v>5431</v>
      </c>
      <c r="J5648" s="1" t="s">
        <v>1071</v>
      </c>
      <c r="L5648" s="1" t="s">
        <v>287</v>
      </c>
      <c r="N5648" s="1" t="s">
        <v>391</v>
      </c>
      <c r="O5648" s="1" t="s">
        <v>6701</v>
      </c>
      <c r="P5648" s="1" t="s">
        <v>1398</v>
      </c>
      <c r="Q5648" s="30" t="s">
        <v>2567</v>
      </c>
      <c r="R5648" s="33" t="s">
        <v>3474</v>
      </c>
      <c r="S5648">
        <v>36</v>
      </c>
      <c r="T5648" s="1" t="s">
        <v>6702</v>
      </c>
      <c r="U5648" s="1" t="str">
        <f>HYPERLINK("http://ictvonline.org/taxonomy/p/taxonomy-history?taxnode_id=202102176","ICTVonline=202102176")</f>
        <v>ICTVonline=202102176</v>
      </c>
    </row>
    <row r="5649" spans="1:21" x14ac:dyDescent="0.2">
      <c r="A5649" s="3">
        <v>5648</v>
      </c>
      <c r="B5649" s="1" t="s">
        <v>4226</v>
      </c>
      <c r="D5649" s="1" t="s">
        <v>5412</v>
      </c>
      <c r="F5649" s="1" t="s">
        <v>5430</v>
      </c>
      <c r="H5649" s="1" t="s">
        <v>5431</v>
      </c>
      <c r="J5649" s="1" t="s">
        <v>1071</v>
      </c>
      <c r="L5649" s="1" t="s">
        <v>287</v>
      </c>
      <c r="N5649" s="1" t="s">
        <v>391</v>
      </c>
      <c r="O5649" s="1" t="s">
        <v>6701</v>
      </c>
      <c r="P5649" s="1" t="s">
        <v>1399</v>
      </c>
      <c r="Q5649" s="30" t="s">
        <v>2567</v>
      </c>
      <c r="R5649" s="33" t="s">
        <v>3474</v>
      </c>
      <c r="S5649">
        <v>36</v>
      </c>
      <c r="T5649" s="1" t="s">
        <v>6702</v>
      </c>
      <c r="U5649" s="1" t="str">
        <f>HYPERLINK("http://ictvonline.org/taxonomy/p/taxonomy-history?taxnode_id=202102177","ICTVonline=202102177")</f>
        <v>ICTVonline=202102177</v>
      </c>
    </row>
    <row r="5650" spans="1:21" x14ac:dyDescent="0.2">
      <c r="A5650" s="3">
        <v>5649</v>
      </c>
      <c r="B5650" s="1" t="s">
        <v>4226</v>
      </c>
      <c r="D5650" s="1" t="s">
        <v>5412</v>
      </c>
      <c r="F5650" s="1" t="s">
        <v>5430</v>
      </c>
      <c r="H5650" s="1" t="s">
        <v>5431</v>
      </c>
      <c r="J5650" s="1" t="s">
        <v>1071</v>
      </c>
      <c r="L5650" s="1" t="s">
        <v>287</v>
      </c>
      <c r="N5650" s="1" t="s">
        <v>391</v>
      </c>
      <c r="O5650" s="1" t="s">
        <v>6701</v>
      </c>
      <c r="P5650" s="1" t="s">
        <v>1400</v>
      </c>
      <c r="Q5650" s="30" t="s">
        <v>2567</v>
      </c>
      <c r="R5650" s="33" t="s">
        <v>3474</v>
      </c>
      <c r="S5650">
        <v>36</v>
      </c>
      <c r="T5650" s="1" t="s">
        <v>6702</v>
      </c>
      <c r="U5650" s="1" t="str">
        <f>HYPERLINK("http://ictvonline.org/taxonomy/p/taxonomy-history?taxnode_id=202102178","ICTVonline=202102178")</f>
        <v>ICTVonline=202102178</v>
      </c>
    </row>
    <row r="5651" spans="1:21" x14ac:dyDescent="0.2">
      <c r="A5651" s="3">
        <v>5650</v>
      </c>
      <c r="B5651" s="1" t="s">
        <v>4226</v>
      </c>
      <c r="D5651" s="1" t="s">
        <v>5412</v>
      </c>
      <c r="F5651" s="1" t="s">
        <v>5430</v>
      </c>
      <c r="H5651" s="1" t="s">
        <v>5431</v>
      </c>
      <c r="J5651" s="1" t="s">
        <v>1071</v>
      </c>
      <c r="L5651" s="1" t="s">
        <v>287</v>
      </c>
      <c r="N5651" s="1" t="s">
        <v>391</v>
      </c>
      <c r="O5651" s="1" t="s">
        <v>6701</v>
      </c>
      <c r="P5651" s="1" t="s">
        <v>394</v>
      </c>
      <c r="Q5651" s="30" t="s">
        <v>2567</v>
      </c>
      <c r="R5651" s="33" t="s">
        <v>3474</v>
      </c>
      <c r="S5651">
        <v>36</v>
      </c>
      <c r="T5651" s="1" t="s">
        <v>6702</v>
      </c>
      <c r="U5651" s="1" t="str">
        <f>HYPERLINK("http://ictvonline.org/taxonomy/p/taxonomy-history?taxnode_id=202102179","ICTVonline=202102179")</f>
        <v>ICTVonline=202102179</v>
      </c>
    </row>
    <row r="5652" spans="1:21" x14ac:dyDescent="0.2">
      <c r="A5652" s="3">
        <v>5651</v>
      </c>
      <c r="B5652" s="1" t="s">
        <v>4226</v>
      </c>
      <c r="D5652" s="1" t="s">
        <v>5412</v>
      </c>
      <c r="F5652" s="1" t="s">
        <v>5430</v>
      </c>
      <c r="H5652" s="1" t="s">
        <v>5431</v>
      </c>
      <c r="J5652" s="1" t="s">
        <v>1071</v>
      </c>
      <c r="L5652" s="1" t="s">
        <v>287</v>
      </c>
      <c r="N5652" s="1" t="s">
        <v>391</v>
      </c>
      <c r="O5652" s="1" t="s">
        <v>6701</v>
      </c>
      <c r="P5652" s="1" t="s">
        <v>395</v>
      </c>
      <c r="Q5652" s="30" t="s">
        <v>2567</v>
      </c>
      <c r="R5652" s="33" t="s">
        <v>3474</v>
      </c>
      <c r="S5652">
        <v>36</v>
      </c>
      <c r="T5652" s="1" t="s">
        <v>6702</v>
      </c>
      <c r="U5652" s="1" t="str">
        <f>HYPERLINK("http://ictvonline.org/taxonomy/p/taxonomy-history?taxnode_id=202102180","ICTVonline=202102180")</f>
        <v>ICTVonline=202102180</v>
      </c>
    </row>
    <row r="5653" spans="1:21" x14ac:dyDescent="0.2">
      <c r="A5653" s="3">
        <v>5652</v>
      </c>
      <c r="B5653" s="1" t="s">
        <v>4226</v>
      </c>
      <c r="D5653" s="1" t="s">
        <v>5412</v>
      </c>
      <c r="F5653" s="1" t="s">
        <v>5430</v>
      </c>
      <c r="H5653" s="1" t="s">
        <v>5431</v>
      </c>
      <c r="J5653" s="1" t="s">
        <v>1071</v>
      </c>
      <c r="L5653" s="1" t="s">
        <v>287</v>
      </c>
      <c r="N5653" s="1" t="s">
        <v>391</v>
      </c>
      <c r="O5653" s="1" t="s">
        <v>6701</v>
      </c>
      <c r="P5653" s="1" t="s">
        <v>396</v>
      </c>
      <c r="Q5653" s="30" t="s">
        <v>2567</v>
      </c>
      <c r="R5653" s="33" t="s">
        <v>3474</v>
      </c>
      <c r="S5653">
        <v>36</v>
      </c>
      <c r="T5653" s="1" t="s">
        <v>6702</v>
      </c>
      <c r="U5653" s="1" t="str">
        <f>HYPERLINK("http://ictvonline.org/taxonomy/p/taxonomy-history?taxnode_id=202102181","ICTVonline=202102181")</f>
        <v>ICTVonline=202102181</v>
      </c>
    </row>
    <row r="5654" spans="1:21" x14ac:dyDescent="0.2">
      <c r="A5654" s="3">
        <v>5653</v>
      </c>
      <c r="B5654" s="1" t="s">
        <v>4226</v>
      </c>
      <c r="D5654" s="1" t="s">
        <v>5412</v>
      </c>
      <c r="F5654" s="1" t="s">
        <v>5430</v>
      </c>
      <c r="H5654" s="1" t="s">
        <v>5431</v>
      </c>
      <c r="J5654" s="1" t="s">
        <v>1071</v>
      </c>
      <c r="L5654" s="1" t="s">
        <v>287</v>
      </c>
      <c r="N5654" s="1" t="s">
        <v>391</v>
      </c>
      <c r="O5654" s="1" t="s">
        <v>6701</v>
      </c>
      <c r="P5654" s="1" t="s">
        <v>397</v>
      </c>
      <c r="Q5654" s="30" t="s">
        <v>2567</v>
      </c>
      <c r="R5654" s="33" t="s">
        <v>8660</v>
      </c>
      <c r="S5654">
        <v>36</v>
      </c>
      <c r="T5654" s="1" t="s">
        <v>8671</v>
      </c>
      <c r="U5654" s="1" t="str">
        <f>HYPERLINK("http://ictvonline.org/taxonomy/p/taxonomy-history?taxnode_id=202102182","ICTVonline=202102182")</f>
        <v>ICTVonline=202102182</v>
      </c>
    </row>
    <row r="5655" spans="1:21" x14ac:dyDescent="0.2">
      <c r="A5655" s="3">
        <v>5654</v>
      </c>
      <c r="B5655" s="1" t="s">
        <v>4226</v>
      </c>
      <c r="D5655" s="1" t="s">
        <v>5412</v>
      </c>
      <c r="F5655" s="1" t="s">
        <v>5430</v>
      </c>
      <c r="H5655" s="1" t="s">
        <v>5431</v>
      </c>
      <c r="J5655" s="1" t="s">
        <v>1071</v>
      </c>
      <c r="L5655" s="1" t="s">
        <v>287</v>
      </c>
      <c r="N5655" s="1" t="s">
        <v>391</v>
      </c>
      <c r="P5655" s="1" t="s">
        <v>3643</v>
      </c>
      <c r="Q5655" s="30" t="s">
        <v>2567</v>
      </c>
      <c r="R5655" s="33" t="s">
        <v>3474</v>
      </c>
      <c r="S5655">
        <v>35</v>
      </c>
      <c r="T5655" s="1" t="s">
        <v>5416</v>
      </c>
      <c r="U5655" s="1" t="str">
        <f>HYPERLINK("http://ictvonline.org/taxonomy/p/taxonomy-history?taxnode_id=202105631","ICTVonline=202105631")</f>
        <v>ICTVonline=202105631</v>
      </c>
    </row>
    <row r="5656" spans="1:21" x14ac:dyDescent="0.2">
      <c r="A5656" s="3">
        <v>5655</v>
      </c>
      <c r="B5656" s="1" t="s">
        <v>4226</v>
      </c>
      <c r="D5656" s="1" t="s">
        <v>5412</v>
      </c>
      <c r="F5656" s="1" t="s">
        <v>5430</v>
      </c>
      <c r="H5656" s="1" t="s">
        <v>5431</v>
      </c>
      <c r="J5656" s="1" t="s">
        <v>1071</v>
      </c>
      <c r="L5656" s="1" t="s">
        <v>287</v>
      </c>
      <c r="N5656" s="1" t="s">
        <v>391</v>
      </c>
      <c r="P5656" s="1" t="s">
        <v>3644</v>
      </c>
      <c r="Q5656" s="30" t="s">
        <v>2567</v>
      </c>
      <c r="R5656" s="33" t="s">
        <v>3474</v>
      </c>
      <c r="S5656">
        <v>35</v>
      </c>
      <c r="T5656" s="1" t="s">
        <v>5416</v>
      </c>
      <c r="U5656" s="1" t="str">
        <f>HYPERLINK("http://ictvonline.org/taxonomy/p/taxonomy-history?taxnode_id=202105632","ICTVonline=202105632")</f>
        <v>ICTVonline=202105632</v>
      </c>
    </row>
    <row r="5657" spans="1:21" x14ac:dyDescent="0.2">
      <c r="A5657" s="3">
        <v>5656</v>
      </c>
      <c r="B5657" s="1" t="s">
        <v>4226</v>
      </c>
      <c r="D5657" s="1" t="s">
        <v>5412</v>
      </c>
      <c r="F5657" s="1" t="s">
        <v>5430</v>
      </c>
      <c r="H5657" s="1" t="s">
        <v>5431</v>
      </c>
      <c r="J5657" s="1" t="s">
        <v>1071</v>
      </c>
      <c r="L5657" s="1" t="s">
        <v>287</v>
      </c>
      <c r="N5657" s="1" t="s">
        <v>391</v>
      </c>
      <c r="P5657" s="1" t="s">
        <v>2053</v>
      </c>
      <c r="Q5657" s="30" t="s">
        <v>2567</v>
      </c>
      <c r="R5657" s="33" t="s">
        <v>3474</v>
      </c>
      <c r="S5657">
        <v>35</v>
      </c>
      <c r="T5657" s="1" t="s">
        <v>5416</v>
      </c>
      <c r="U5657" s="1" t="str">
        <f>HYPERLINK("http://ictvonline.org/taxonomy/p/taxonomy-history?taxnode_id=202102231","ICTVonline=202102231")</f>
        <v>ICTVonline=202102231</v>
      </c>
    </row>
    <row r="5658" spans="1:21" x14ac:dyDescent="0.2">
      <c r="A5658" s="3">
        <v>5657</v>
      </c>
      <c r="B5658" s="1" t="s">
        <v>4226</v>
      </c>
      <c r="D5658" s="1" t="s">
        <v>5412</v>
      </c>
      <c r="F5658" s="1" t="s">
        <v>5430</v>
      </c>
      <c r="H5658" s="1" t="s">
        <v>5431</v>
      </c>
      <c r="J5658" s="1" t="s">
        <v>1071</v>
      </c>
      <c r="L5658" s="1" t="s">
        <v>287</v>
      </c>
      <c r="N5658" s="1" t="s">
        <v>391</v>
      </c>
      <c r="P5658" s="1" t="s">
        <v>392</v>
      </c>
      <c r="Q5658" s="30" t="s">
        <v>2567</v>
      </c>
      <c r="R5658" s="33" t="s">
        <v>3474</v>
      </c>
      <c r="S5658">
        <v>35</v>
      </c>
      <c r="T5658" s="1" t="s">
        <v>5416</v>
      </c>
      <c r="U5658" s="1" t="str">
        <f>HYPERLINK("http://ictvonline.org/taxonomy/p/taxonomy-history?taxnode_id=202102175","ICTVonline=202102175")</f>
        <v>ICTVonline=202102175</v>
      </c>
    </row>
    <row r="5659" spans="1:21" x14ac:dyDescent="0.2">
      <c r="A5659" s="3">
        <v>5658</v>
      </c>
      <c r="B5659" s="1" t="s">
        <v>4226</v>
      </c>
      <c r="D5659" s="1" t="s">
        <v>5412</v>
      </c>
      <c r="F5659" s="1" t="s">
        <v>5430</v>
      </c>
      <c r="H5659" s="1" t="s">
        <v>5431</v>
      </c>
      <c r="J5659" s="1" t="s">
        <v>1071</v>
      </c>
      <c r="L5659" s="1" t="s">
        <v>287</v>
      </c>
      <c r="N5659" s="1" t="s">
        <v>391</v>
      </c>
      <c r="P5659" s="1" t="s">
        <v>6703</v>
      </c>
      <c r="Q5659" s="30" t="s">
        <v>2567</v>
      </c>
      <c r="R5659" s="33" t="s">
        <v>3472</v>
      </c>
      <c r="S5659">
        <v>36</v>
      </c>
      <c r="T5659" s="1" t="s">
        <v>6704</v>
      </c>
      <c r="U5659" s="1" t="str">
        <f>HYPERLINK("http://ictvonline.org/taxonomy/p/taxonomy-history?taxnode_id=202109851","ICTVonline=202109851")</f>
        <v>ICTVonline=202109851</v>
      </c>
    </row>
    <row r="5660" spans="1:21" x14ac:dyDescent="0.2">
      <c r="A5660" s="3">
        <v>5659</v>
      </c>
      <c r="B5660" s="1" t="s">
        <v>4226</v>
      </c>
      <c r="D5660" s="1" t="s">
        <v>5412</v>
      </c>
      <c r="F5660" s="1" t="s">
        <v>5430</v>
      </c>
      <c r="H5660" s="1" t="s">
        <v>5431</v>
      </c>
      <c r="J5660" s="1" t="s">
        <v>1071</v>
      </c>
      <c r="L5660" s="1" t="s">
        <v>287</v>
      </c>
      <c r="N5660" s="1" t="s">
        <v>391</v>
      </c>
      <c r="P5660" s="1" t="s">
        <v>3645</v>
      </c>
      <c r="Q5660" s="30" t="s">
        <v>2567</v>
      </c>
      <c r="R5660" s="33" t="s">
        <v>3474</v>
      </c>
      <c r="S5660">
        <v>35</v>
      </c>
      <c r="T5660" s="1" t="s">
        <v>5416</v>
      </c>
      <c r="U5660" s="1" t="str">
        <f>HYPERLINK("http://ictvonline.org/taxonomy/p/taxonomy-history?taxnode_id=202105633","ICTVonline=202105633")</f>
        <v>ICTVonline=202105633</v>
      </c>
    </row>
    <row r="5661" spans="1:21" x14ac:dyDescent="0.2">
      <c r="A5661" s="3">
        <v>5660</v>
      </c>
      <c r="B5661" s="1" t="s">
        <v>4226</v>
      </c>
      <c r="D5661" s="1" t="s">
        <v>5412</v>
      </c>
      <c r="F5661" s="1" t="s">
        <v>5430</v>
      </c>
      <c r="H5661" s="1" t="s">
        <v>5431</v>
      </c>
      <c r="J5661" s="1" t="s">
        <v>1071</v>
      </c>
      <c r="L5661" s="1" t="s">
        <v>287</v>
      </c>
      <c r="N5661" s="1" t="s">
        <v>675</v>
      </c>
      <c r="P5661" s="1" t="s">
        <v>1070</v>
      </c>
      <c r="Q5661" s="30" t="s">
        <v>2567</v>
      </c>
      <c r="R5661" s="33" t="s">
        <v>8665</v>
      </c>
      <c r="S5661">
        <v>36</v>
      </c>
      <c r="T5661" s="1" t="s">
        <v>8661</v>
      </c>
      <c r="U5661" s="1" t="str">
        <f>HYPERLINK("http://ictvonline.org/taxonomy/p/taxonomy-history?taxnode_id=202102184","ICTVonline=202102184")</f>
        <v>ICTVonline=202102184</v>
      </c>
    </row>
    <row r="5662" spans="1:21" x14ac:dyDescent="0.2">
      <c r="A5662" s="3">
        <v>5661</v>
      </c>
      <c r="B5662" s="1" t="s">
        <v>4226</v>
      </c>
      <c r="D5662" s="1" t="s">
        <v>5412</v>
      </c>
      <c r="F5662" s="1" t="s">
        <v>5430</v>
      </c>
      <c r="H5662" s="1" t="s">
        <v>5431</v>
      </c>
      <c r="J5662" s="1" t="s">
        <v>1071</v>
      </c>
      <c r="L5662" s="1" t="s">
        <v>287</v>
      </c>
      <c r="N5662" s="1" t="s">
        <v>1986</v>
      </c>
      <c r="P5662" s="1" t="s">
        <v>1987</v>
      </c>
      <c r="Q5662" s="30" t="s">
        <v>2567</v>
      </c>
      <c r="R5662" s="33" t="s">
        <v>8665</v>
      </c>
      <c r="S5662">
        <v>36</v>
      </c>
      <c r="T5662" s="1" t="s">
        <v>8661</v>
      </c>
      <c r="U5662" s="1" t="str">
        <f>HYPERLINK("http://ictvonline.org/taxonomy/p/taxonomy-history?taxnode_id=202102186","ICTVonline=202102186")</f>
        <v>ICTVonline=202102186</v>
      </c>
    </row>
    <row r="5663" spans="1:21" x14ac:dyDescent="0.2">
      <c r="A5663" s="3">
        <v>5662</v>
      </c>
      <c r="B5663" s="1" t="s">
        <v>4226</v>
      </c>
      <c r="D5663" s="1" t="s">
        <v>5412</v>
      </c>
      <c r="F5663" s="1" t="s">
        <v>5430</v>
      </c>
      <c r="H5663" s="1" t="s">
        <v>5431</v>
      </c>
      <c r="J5663" s="1" t="s">
        <v>1071</v>
      </c>
      <c r="L5663" s="1" t="s">
        <v>287</v>
      </c>
      <c r="N5663" s="1" t="s">
        <v>2794</v>
      </c>
      <c r="P5663" s="1" t="s">
        <v>2795</v>
      </c>
      <c r="Q5663" s="30" t="s">
        <v>2567</v>
      </c>
      <c r="R5663" s="33" t="s">
        <v>8665</v>
      </c>
      <c r="S5663">
        <v>36</v>
      </c>
      <c r="T5663" s="1" t="s">
        <v>8661</v>
      </c>
      <c r="U5663" s="1" t="str">
        <f>HYPERLINK("http://ictvonline.org/taxonomy/p/taxonomy-history?taxnode_id=202102191","ICTVonline=202102191")</f>
        <v>ICTVonline=202102191</v>
      </c>
    </row>
    <row r="5664" spans="1:21" x14ac:dyDescent="0.2">
      <c r="A5664" s="3">
        <v>5663</v>
      </c>
      <c r="B5664" s="1" t="s">
        <v>4226</v>
      </c>
      <c r="D5664" s="1" t="s">
        <v>5412</v>
      </c>
      <c r="F5664" s="1" t="s">
        <v>5430</v>
      </c>
      <c r="H5664" s="1" t="s">
        <v>5431</v>
      </c>
      <c r="J5664" s="1" t="s">
        <v>1071</v>
      </c>
      <c r="L5664" s="1" t="s">
        <v>287</v>
      </c>
      <c r="N5664" s="1" t="s">
        <v>1121</v>
      </c>
      <c r="O5664" s="1" t="s">
        <v>329</v>
      </c>
      <c r="P5664" s="1" t="s">
        <v>6705</v>
      </c>
      <c r="Q5664" s="30" t="s">
        <v>2567</v>
      </c>
      <c r="R5664" s="33" t="s">
        <v>3472</v>
      </c>
      <c r="S5664">
        <v>36</v>
      </c>
      <c r="T5664" s="1" t="s">
        <v>6706</v>
      </c>
      <c r="U5664" s="1" t="str">
        <f>HYPERLINK("http://ictvonline.org/taxonomy/p/taxonomy-history?taxnode_id=202109865","ICTVonline=202109865")</f>
        <v>ICTVonline=202109865</v>
      </c>
    </row>
    <row r="5665" spans="1:21" x14ac:dyDescent="0.2">
      <c r="A5665" s="3">
        <v>5664</v>
      </c>
      <c r="B5665" s="1" t="s">
        <v>4226</v>
      </c>
      <c r="D5665" s="1" t="s">
        <v>5412</v>
      </c>
      <c r="F5665" s="1" t="s">
        <v>5430</v>
      </c>
      <c r="H5665" s="1" t="s">
        <v>5431</v>
      </c>
      <c r="J5665" s="1" t="s">
        <v>1071</v>
      </c>
      <c r="L5665" s="1" t="s">
        <v>287</v>
      </c>
      <c r="N5665" s="1" t="s">
        <v>1121</v>
      </c>
      <c r="O5665" s="1" t="s">
        <v>329</v>
      </c>
      <c r="P5665" s="1" t="s">
        <v>2167</v>
      </c>
      <c r="Q5665" s="30" t="s">
        <v>2567</v>
      </c>
      <c r="R5665" s="33" t="s">
        <v>3474</v>
      </c>
      <c r="S5665">
        <v>36</v>
      </c>
      <c r="T5665" s="1" t="s">
        <v>6702</v>
      </c>
      <c r="U5665" s="1" t="str">
        <f>HYPERLINK("http://ictvonline.org/taxonomy/p/taxonomy-history?taxnode_id=202102188","ICTVonline=202102188")</f>
        <v>ICTVonline=202102188</v>
      </c>
    </row>
    <row r="5666" spans="1:21" x14ac:dyDescent="0.2">
      <c r="A5666" s="3">
        <v>5665</v>
      </c>
      <c r="B5666" s="1" t="s">
        <v>4226</v>
      </c>
      <c r="D5666" s="1" t="s">
        <v>5412</v>
      </c>
      <c r="F5666" s="1" t="s">
        <v>5430</v>
      </c>
      <c r="H5666" s="1" t="s">
        <v>5431</v>
      </c>
      <c r="J5666" s="1" t="s">
        <v>1071</v>
      </c>
      <c r="L5666" s="1" t="s">
        <v>287</v>
      </c>
      <c r="N5666" s="1" t="s">
        <v>1121</v>
      </c>
      <c r="O5666" s="1" t="s">
        <v>329</v>
      </c>
      <c r="P5666" s="1" t="s">
        <v>1120</v>
      </c>
      <c r="Q5666" s="30" t="s">
        <v>2567</v>
      </c>
      <c r="R5666" s="33" t="s">
        <v>8660</v>
      </c>
      <c r="S5666">
        <v>36</v>
      </c>
      <c r="T5666" s="1" t="s">
        <v>8661</v>
      </c>
      <c r="U5666" s="1" t="str">
        <f>HYPERLINK("http://ictvonline.org/taxonomy/p/taxonomy-history?taxnode_id=202102189","ICTVonline=202102189")</f>
        <v>ICTVonline=202102189</v>
      </c>
    </row>
    <row r="5667" spans="1:21" x14ac:dyDescent="0.2">
      <c r="A5667" s="3">
        <v>5666</v>
      </c>
      <c r="B5667" s="1" t="s">
        <v>4226</v>
      </c>
      <c r="D5667" s="1" t="s">
        <v>5412</v>
      </c>
      <c r="F5667" s="1" t="s">
        <v>5430</v>
      </c>
      <c r="H5667" s="1" t="s">
        <v>5431</v>
      </c>
      <c r="J5667" s="1" t="s">
        <v>1071</v>
      </c>
      <c r="L5667" s="1" t="s">
        <v>287</v>
      </c>
      <c r="N5667" s="1" t="s">
        <v>1121</v>
      </c>
      <c r="P5667" s="1" t="s">
        <v>2051</v>
      </c>
      <c r="Q5667" s="30" t="s">
        <v>2567</v>
      </c>
      <c r="R5667" s="33" t="s">
        <v>3474</v>
      </c>
      <c r="S5667">
        <v>35</v>
      </c>
      <c r="T5667" s="1" t="s">
        <v>5416</v>
      </c>
      <c r="U5667" s="1" t="str">
        <f>HYPERLINK("http://ictvonline.org/taxonomy/p/taxonomy-history?taxnode_id=202102193","ICTVonline=202102193")</f>
        <v>ICTVonline=202102193</v>
      </c>
    </row>
    <row r="5668" spans="1:21" x14ac:dyDescent="0.2">
      <c r="A5668" s="3">
        <v>5667</v>
      </c>
      <c r="B5668" s="1" t="s">
        <v>4226</v>
      </c>
      <c r="D5668" s="1" t="s">
        <v>5412</v>
      </c>
      <c r="F5668" s="1" t="s">
        <v>5430</v>
      </c>
      <c r="H5668" s="1" t="s">
        <v>5431</v>
      </c>
      <c r="J5668" s="1" t="s">
        <v>1071</v>
      </c>
      <c r="L5668" s="1" t="s">
        <v>287</v>
      </c>
      <c r="N5668" s="1" t="s">
        <v>1121</v>
      </c>
      <c r="P5668" s="1" t="s">
        <v>224</v>
      </c>
      <c r="Q5668" s="30" t="s">
        <v>2567</v>
      </c>
      <c r="R5668" s="33" t="s">
        <v>3474</v>
      </c>
      <c r="S5668">
        <v>35</v>
      </c>
      <c r="T5668" s="1" t="s">
        <v>5416</v>
      </c>
      <c r="U5668" s="1" t="str">
        <f>HYPERLINK("http://ictvonline.org/taxonomy/p/taxonomy-history?taxnode_id=202102194","ICTVonline=202102194")</f>
        <v>ICTVonline=202102194</v>
      </c>
    </row>
    <row r="5669" spans="1:21" x14ac:dyDescent="0.2">
      <c r="A5669" s="3">
        <v>5668</v>
      </c>
      <c r="B5669" s="1" t="s">
        <v>4226</v>
      </c>
      <c r="D5669" s="1" t="s">
        <v>5412</v>
      </c>
      <c r="F5669" s="1" t="s">
        <v>5430</v>
      </c>
      <c r="H5669" s="1" t="s">
        <v>5431</v>
      </c>
      <c r="J5669" s="1" t="s">
        <v>1071</v>
      </c>
      <c r="L5669" s="1" t="s">
        <v>287</v>
      </c>
      <c r="N5669" s="1" t="s">
        <v>1121</v>
      </c>
      <c r="P5669" s="1" t="s">
        <v>225</v>
      </c>
      <c r="Q5669" s="30" t="s">
        <v>2567</v>
      </c>
      <c r="R5669" s="33" t="s">
        <v>3474</v>
      </c>
      <c r="S5669">
        <v>35</v>
      </c>
      <c r="T5669" s="1" t="s">
        <v>5416</v>
      </c>
      <c r="U5669" s="1" t="str">
        <f>HYPERLINK("http://ictvonline.org/taxonomy/p/taxonomy-history?taxnode_id=202102195","ICTVonline=202102195")</f>
        <v>ICTVonline=202102195</v>
      </c>
    </row>
    <row r="5670" spans="1:21" x14ac:dyDescent="0.2">
      <c r="A5670" s="3">
        <v>5669</v>
      </c>
      <c r="B5670" s="1" t="s">
        <v>4226</v>
      </c>
      <c r="D5670" s="1" t="s">
        <v>5412</v>
      </c>
      <c r="F5670" s="1" t="s">
        <v>5430</v>
      </c>
      <c r="H5670" s="1" t="s">
        <v>5431</v>
      </c>
      <c r="J5670" s="1" t="s">
        <v>1071</v>
      </c>
      <c r="L5670" s="1" t="s">
        <v>287</v>
      </c>
      <c r="N5670" s="1" t="s">
        <v>1121</v>
      </c>
      <c r="P5670" s="1" t="s">
        <v>6707</v>
      </c>
      <c r="Q5670" s="30" t="s">
        <v>2567</v>
      </c>
      <c r="R5670" s="33" t="s">
        <v>3472</v>
      </c>
      <c r="S5670">
        <v>36</v>
      </c>
      <c r="T5670" s="1" t="s">
        <v>6704</v>
      </c>
      <c r="U5670" s="1" t="str">
        <f>HYPERLINK("http://ictvonline.org/taxonomy/p/taxonomy-history?taxnode_id=202109843","ICTVonline=202109843")</f>
        <v>ICTVonline=202109843</v>
      </c>
    </row>
    <row r="5671" spans="1:21" x14ac:dyDescent="0.2">
      <c r="A5671" s="3">
        <v>5670</v>
      </c>
      <c r="B5671" s="1" t="s">
        <v>4226</v>
      </c>
      <c r="D5671" s="1" t="s">
        <v>5412</v>
      </c>
      <c r="F5671" s="1" t="s">
        <v>5430</v>
      </c>
      <c r="H5671" s="1" t="s">
        <v>5431</v>
      </c>
      <c r="J5671" s="1" t="s">
        <v>1071</v>
      </c>
      <c r="L5671" s="1" t="s">
        <v>287</v>
      </c>
      <c r="N5671" s="1" t="s">
        <v>1121</v>
      </c>
      <c r="P5671" s="1" t="s">
        <v>226</v>
      </c>
      <c r="Q5671" s="30" t="s">
        <v>2567</v>
      </c>
      <c r="R5671" s="33" t="s">
        <v>3474</v>
      </c>
      <c r="S5671">
        <v>35</v>
      </c>
      <c r="T5671" s="1" t="s">
        <v>5416</v>
      </c>
      <c r="U5671" s="1" t="str">
        <f>HYPERLINK("http://ictvonline.org/taxonomy/p/taxonomy-history?taxnode_id=202102196","ICTVonline=202102196")</f>
        <v>ICTVonline=202102196</v>
      </c>
    </row>
    <row r="5672" spans="1:21" x14ac:dyDescent="0.2">
      <c r="A5672" s="3">
        <v>5671</v>
      </c>
      <c r="B5672" s="1" t="s">
        <v>4226</v>
      </c>
      <c r="D5672" s="1" t="s">
        <v>5412</v>
      </c>
      <c r="F5672" s="1" t="s">
        <v>5430</v>
      </c>
      <c r="H5672" s="1" t="s">
        <v>5431</v>
      </c>
      <c r="J5672" s="1" t="s">
        <v>1071</v>
      </c>
      <c r="L5672" s="1" t="s">
        <v>287</v>
      </c>
      <c r="N5672" s="1" t="s">
        <v>1121</v>
      </c>
      <c r="P5672" s="1" t="s">
        <v>6708</v>
      </c>
      <c r="Q5672" s="30" t="s">
        <v>2567</v>
      </c>
      <c r="R5672" s="33" t="s">
        <v>3472</v>
      </c>
      <c r="S5672">
        <v>36</v>
      </c>
      <c r="T5672" s="1" t="s">
        <v>6704</v>
      </c>
      <c r="U5672" s="1" t="str">
        <f>HYPERLINK("http://ictvonline.org/taxonomy/p/taxonomy-history?taxnode_id=202109847","ICTVonline=202109847")</f>
        <v>ICTVonline=202109847</v>
      </c>
    </row>
    <row r="5673" spans="1:21" x14ac:dyDescent="0.2">
      <c r="A5673" s="3">
        <v>5672</v>
      </c>
      <c r="B5673" s="1" t="s">
        <v>4226</v>
      </c>
      <c r="D5673" s="1" t="s">
        <v>5412</v>
      </c>
      <c r="F5673" s="1" t="s">
        <v>5430</v>
      </c>
      <c r="H5673" s="1" t="s">
        <v>5431</v>
      </c>
      <c r="J5673" s="1" t="s">
        <v>1071</v>
      </c>
      <c r="L5673" s="1" t="s">
        <v>287</v>
      </c>
      <c r="N5673" s="1" t="s">
        <v>1121</v>
      </c>
      <c r="P5673" s="1" t="s">
        <v>227</v>
      </c>
      <c r="Q5673" s="30" t="s">
        <v>2567</v>
      </c>
      <c r="R5673" s="33" t="s">
        <v>3474</v>
      </c>
      <c r="S5673">
        <v>35</v>
      </c>
      <c r="T5673" s="1" t="s">
        <v>5416</v>
      </c>
      <c r="U5673" s="1" t="str">
        <f>HYPERLINK("http://ictvonline.org/taxonomy/p/taxonomy-history?taxnode_id=202102197","ICTVonline=202102197")</f>
        <v>ICTVonline=202102197</v>
      </c>
    </row>
    <row r="5674" spans="1:21" x14ac:dyDescent="0.2">
      <c r="A5674" s="3">
        <v>5673</v>
      </c>
      <c r="B5674" s="1" t="s">
        <v>4226</v>
      </c>
      <c r="D5674" s="1" t="s">
        <v>5412</v>
      </c>
      <c r="F5674" s="1" t="s">
        <v>5430</v>
      </c>
      <c r="H5674" s="1" t="s">
        <v>5431</v>
      </c>
      <c r="J5674" s="1" t="s">
        <v>1071</v>
      </c>
      <c r="L5674" s="1" t="s">
        <v>287</v>
      </c>
      <c r="N5674" s="1" t="s">
        <v>1121</v>
      </c>
      <c r="P5674" s="1" t="s">
        <v>228</v>
      </c>
      <c r="Q5674" s="30" t="s">
        <v>2567</v>
      </c>
      <c r="R5674" s="33" t="s">
        <v>3474</v>
      </c>
      <c r="S5674">
        <v>35</v>
      </c>
      <c r="T5674" s="1" t="s">
        <v>5416</v>
      </c>
      <c r="U5674" s="1" t="str">
        <f>HYPERLINK("http://ictvonline.org/taxonomy/p/taxonomy-history?taxnode_id=202102198","ICTVonline=202102198")</f>
        <v>ICTVonline=202102198</v>
      </c>
    </row>
    <row r="5675" spans="1:21" x14ac:dyDescent="0.2">
      <c r="A5675" s="3">
        <v>5674</v>
      </c>
      <c r="B5675" s="1" t="s">
        <v>4226</v>
      </c>
      <c r="D5675" s="1" t="s">
        <v>5412</v>
      </c>
      <c r="F5675" s="1" t="s">
        <v>5430</v>
      </c>
      <c r="H5675" s="1" t="s">
        <v>5431</v>
      </c>
      <c r="J5675" s="1" t="s">
        <v>1071</v>
      </c>
      <c r="L5675" s="1" t="s">
        <v>287</v>
      </c>
      <c r="N5675" s="1" t="s">
        <v>1121</v>
      </c>
      <c r="P5675" s="1" t="s">
        <v>6709</v>
      </c>
      <c r="Q5675" s="30" t="s">
        <v>2567</v>
      </c>
      <c r="R5675" s="33" t="s">
        <v>3472</v>
      </c>
      <c r="S5675">
        <v>36</v>
      </c>
      <c r="T5675" s="1" t="s">
        <v>6704</v>
      </c>
      <c r="U5675" s="1" t="str">
        <f>HYPERLINK("http://ictvonline.org/taxonomy/p/taxonomy-history?taxnode_id=202109844","ICTVonline=202109844")</f>
        <v>ICTVonline=202109844</v>
      </c>
    </row>
    <row r="5676" spans="1:21" x14ac:dyDescent="0.2">
      <c r="A5676" s="3">
        <v>5675</v>
      </c>
      <c r="B5676" s="1" t="s">
        <v>4226</v>
      </c>
      <c r="D5676" s="1" t="s">
        <v>5412</v>
      </c>
      <c r="F5676" s="1" t="s">
        <v>5430</v>
      </c>
      <c r="H5676" s="1" t="s">
        <v>5431</v>
      </c>
      <c r="J5676" s="1" t="s">
        <v>1071</v>
      </c>
      <c r="L5676" s="1" t="s">
        <v>287</v>
      </c>
      <c r="N5676" s="1" t="s">
        <v>1121</v>
      </c>
      <c r="P5676" s="1" t="s">
        <v>229</v>
      </c>
      <c r="Q5676" s="30" t="s">
        <v>2567</v>
      </c>
      <c r="R5676" s="33" t="s">
        <v>3474</v>
      </c>
      <c r="S5676">
        <v>35</v>
      </c>
      <c r="T5676" s="1" t="s">
        <v>5416</v>
      </c>
      <c r="U5676" s="1" t="str">
        <f>HYPERLINK("http://ictvonline.org/taxonomy/p/taxonomy-history?taxnode_id=202102199","ICTVonline=202102199")</f>
        <v>ICTVonline=202102199</v>
      </c>
    </row>
    <row r="5677" spans="1:21" x14ac:dyDescent="0.2">
      <c r="A5677" s="3">
        <v>5676</v>
      </c>
      <c r="B5677" s="1" t="s">
        <v>4226</v>
      </c>
      <c r="D5677" s="1" t="s">
        <v>5412</v>
      </c>
      <c r="F5677" s="1" t="s">
        <v>5430</v>
      </c>
      <c r="H5677" s="1" t="s">
        <v>5431</v>
      </c>
      <c r="J5677" s="1" t="s">
        <v>1071</v>
      </c>
      <c r="L5677" s="1" t="s">
        <v>287</v>
      </c>
      <c r="N5677" s="1" t="s">
        <v>1121</v>
      </c>
      <c r="P5677" s="1" t="s">
        <v>230</v>
      </c>
      <c r="Q5677" s="30" t="s">
        <v>2567</v>
      </c>
      <c r="R5677" s="33" t="s">
        <v>3474</v>
      </c>
      <c r="S5677">
        <v>35</v>
      </c>
      <c r="T5677" s="1" t="s">
        <v>5416</v>
      </c>
      <c r="U5677" s="1" t="str">
        <f>HYPERLINK("http://ictvonline.org/taxonomy/p/taxonomy-history?taxnode_id=202102200","ICTVonline=202102200")</f>
        <v>ICTVonline=202102200</v>
      </c>
    </row>
    <row r="5678" spans="1:21" x14ac:dyDescent="0.2">
      <c r="A5678" s="3">
        <v>5677</v>
      </c>
      <c r="B5678" s="1" t="s">
        <v>4226</v>
      </c>
      <c r="D5678" s="1" t="s">
        <v>5412</v>
      </c>
      <c r="F5678" s="1" t="s">
        <v>5430</v>
      </c>
      <c r="H5678" s="1" t="s">
        <v>5431</v>
      </c>
      <c r="J5678" s="1" t="s">
        <v>1071</v>
      </c>
      <c r="L5678" s="1" t="s">
        <v>287</v>
      </c>
      <c r="N5678" s="1" t="s">
        <v>1121</v>
      </c>
      <c r="P5678" s="1" t="s">
        <v>231</v>
      </c>
      <c r="Q5678" s="30" t="s">
        <v>2567</v>
      </c>
      <c r="R5678" s="33" t="s">
        <v>3474</v>
      </c>
      <c r="S5678">
        <v>35</v>
      </c>
      <c r="T5678" s="1" t="s">
        <v>5416</v>
      </c>
      <c r="U5678" s="1" t="str">
        <f>HYPERLINK("http://ictvonline.org/taxonomy/p/taxonomy-history?taxnode_id=202102201","ICTVonline=202102201")</f>
        <v>ICTVonline=202102201</v>
      </c>
    </row>
    <row r="5679" spans="1:21" x14ac:dyDescent="0.2">
      <c r="A5679" s="3">
        <v>5678</v>
      </c>
      <c r="B5679" s="1" t="s">
        <v>4226</v>
      </c>
      <c r="D5679" s="1" t="s">
        <v>5412</v>
      </c>
      <c r="F5679" s="1" t="s">
        <v>5430</v>
      </c>
      <c r="H5679" s="1" t="s">
        <v>5431</v>
      </c>
      <c r="J5679" s="1" t="s">
        <v>1071</v>
      </c>
      <c r="L5679" s="1" t="s">
        <v>287</v>
      </c>
      <c r="N5679" s="1" t="s">
        <v>1121</v>
      </c>
      <c r="P5679" s="1" t="s">
        <v>6710</v>
      </c>
      <c r="Q5679" s="30" t="s">
        <v>2567</v>
      </c>
      <c r="R5679" s="33" t="s">
        <v>3472</v>
      </c>
      <c r="S5679">
        <v>36</v>
      </c>
      <c r="T5679" s="1" t="s">
        <v>6704</v>
      </c>
      <c r="U5679" s="1" t="str">
        <f>HYPERLINK("http://ictvonline.org/taxonomy/p/taxonomy-history?taxnode_id=202109850","ICTVonline=202109850")</f>
        <v>ICTVonline=202109850</v>
      </c>
    </row>
    <row r="5680" spans="1:21" x14ac:dyDescent="0.2">
      <c r="A5680" s="3">
        <v>5679</v>
      </c>
      <c r="B5680" s="1" t="s">
        <v>4226</v>
      </c>
      <c r="D5680" s="1" t="s">
        <v>5412</v>
      </c>
      <c r="F5680" s="1" t="s">
        <v>5430</v>
      </c>
      <c r="H5680" s="1" t="s">
        <v>5431</v>
      </c>
      <c r="J5680" s="1" t="s">
        <v>1071</v>
      </c>
      <c r="L5680" s="1" t="s">
        <v>287</v>
      </c>
      <c r="N5680" s="1" t="s">
        <v>1121</v>
      </c>
      <c r="P5680" s="1" t="s">
        <v>232</v>
      </c>
      <c r="Q5680" s="30" t="s">
        <v>2567</v>
      </c>
      <c r="R5680" s="33" t="s">
        <v>3474</v>
      </c>
      <c r="S5680">
        <v>35</v>
      </c>
      <c r="T5680" s="1" t="s">
        <v>5416</v>
      </c>
      <c r="U5680" s="1" t="str">
        <f>HYPERLINK("http://ictvonline.org/taxonomy/p/taxonomy-history?taxnode_id=202102202","ICTVonline=202102202")</f>
        <v>ICTVonline=202102202</v>
      </c>
    </row>
    <row r="5681" spans="1:21" x14ac:dyDescent="0.2">
      <c r="A5681" s="3">
        <v>5680</v>
      </c>
      <c r="B5681" s="1" t="s">
        <v>4226</v>
      </c>
      <c r="D5681" s="1" t="s">
        <v>5412</v>
      </c>
      <c r="F5681" s="1" t="s">
        <v>5430</v>
      </c>
      <c r="H5681" s="1" t="s">
        <v>5431</v>
      </c>
      <c r="J5681" s="1" t="s">
        <v>1071</v>
      </c>
      <c r="L5681" s="1" t="s">
        <v>287</v>
      </c>
      <c r="N5681" s="1" t="s">
        <v>1121</v>
      </c>
      <c r="P5681" s="1" t="s">
        <v>6711</v>
      </c>
      <c r="Q5681" s="30" t="s">
        <v>2567</v>
      </c>
      <c r="R5681" s="33" t="s">
        <v>3472</v>
      </c>
      <c r="S5681">
        <v>36</v>
      </c>
      <c r="T5681" s="1" t="s">
        <v>6704</v>
      </c>
      <c r="U5681" s="1" t="str">
        <f>HYPERLINK("http://ictvonline.org/taxonomy/p/taxonomy-history?taxnode_id=202109845","ICTVonline=202109845")</f>
        <v>ICTVonline=202109845</v>
      </c>
    </row>
    <row r="5682" spans="1:21" x14ac:dyDescent="0.2">
      <c r="A5682" s="3">
        <v>5681</v>
      </c>
      <c r="B5682" s="1" t="s">
        <v>4226</v>
      </c>
      <c r="D5682" s="1" t="s">
        <v>5412</v>
      </c>
      <c r="F5682" s="1" t="s">
        <v>5430</v>
      </c>
      <c r="H5682" s="1" t="s">
        <v>5431</v>
      </c>
      <c r="J5682" s="1" t="s">
        <v>1071</v>
      </c>
      <c r="L5682" s="1" t="s">
        <v>287</v>
      </c>
      <c r="N5682" s="1" t="s">
        <v>1121</v>
      </c>
      <c r="P5682" s="1" t="s">
        <v>6712</v>
      </c>
      <c r="Q5682" s="30" t="s">
        <v>2567</v>
      </c>
      <c r="R5682" s="33" t="s">
        <v>3472</v>
      </c>
      <c r="S5682">
        <v>36</v>
      </c>
      <c r="T5682" s="1" t="s">
        <v>6704</v>
      </c>
      <c r="U5682" s="1" t="str">
        <f>HYPERLINK("http://ictvonline.org/taxonomy/p/taxonomy-history?taxnode_id=202109846","ICTVonline=202109846")</f>
        <v>ICTVonline=202109846</v>
      </c>
    </row>
    <row r="5683" spans="1:21" x14ac:dyDescent="0.2">
      <c r="A5683" s="3">
        <v>5682</v>
      </c>
      <c r="B5683" s="1" t="s">
        <v>4226</v>
      </c>
      <c r="D5683" s="1" t="s">
        <v>5412</v>
      </c>
      <c r="F5683" s="1" t="s">
        <v>5430</v>
      </c>
      <c r="H5683" s="1" t="s">
        <v>5431</v>
      </c>
      <c r="J5683" s="1" t="s">
        <v>1071</v>
      </c>
      <c r="L5683" s="1" t="s">
        <v>287</v>
      </c>
      <c r="N5683" s="1" t="s">
        <v>1121</v>
      </c>
      <c r="P5683" s="1" t="s">
        <v>233</v>
      </c>
      <c r="Q5683" s="30" t="s">
        <v>2567</v>
      </c>
      <c r="R5683" s="33" t="s">
        <v>3474</v>
      </c>
      <c r="S5683">
        <v>35</v>
      </c>
      <c r="T5683" s="1" t="s">
        <v>5416</v>
      </c>
      <c r="U5683" s="1" t="str">
        <f>HYPERLINK("http://ictvonline.org/taxonomy/p/taxonomy-history?taxnode_id=202102203","ICTVonline=202102203")</f>
        <v>ICTVonline=202102203</v>
      </c>
    </row>
    <row r="5684" spans="1:21" x14ac:dyDescent="0.2">
      <c r="A5684" s="3">
        <v>5683</v>
      </c>
      <c r="B5684" s="1" t="s">
        <v>4226</v>
      </c>
      <c r="D5684" s="1" t="s">
        <v>5412</v>
      </c>
      <c r="F5684" s="1" t="s">
        <v>5430</v>
      </c>
      <c r="H5684" s="1" t="s">
        <v>5431</v>
      </c>
      <c r="J5684" s="1" t="s">
        <v>1071</v>
      </c>
      <c r="L5684" s="1" t="s">
        <v>287</v>
      </c>
      <c r="N5684" s="1" t="s">
        <v>1121</v>
      </c>
      <c r="P5684" s="1" t="s">
        <v>1342</v>
      </c>
      <c r="Q5684" s="30" t="s">
        <v>2567</v>
      </c>
      <c r="R5684" s="33" t="s">
        <v>3474</v>
      </c>
      <c r="S5684">
        <v>35</v>
      </c>
      <c r="T5684" s="1" t="s">
        <v>5416</v>
      </c>
      <c r="U5684" s="1" t="str">
        <f>HYPERLINK("http://ictvonline.org/taxonomy/p/taxonomy-history?taxnode_id=202102204","ICTVonline=202102204")</f>
        <v>ICTVonline=202102204</v>
      </c>
    </row>
    <row r="5685" spans="1:21" x14ac:dyDescent="0.2">
      <c r="A5685" s="3">
        <v>5684</v>
      </c>
      <c r="B5685" s="1" t="s">
        <v>4226</v>
      </c>
      <c r="D5685" s="1" t="s">
        <v>5412</v>
      </c>
      <c r="F5685" s="1" t="s">
        <v>5430</v>
      </c>
      <c r="H5685" s="1" t="s">
        <v>5431</v>
      </c>
      <c r="J5685" s="1" t="s">
        <v>1071</v>
      </c>
      <c r="L5685" s="1" t="s">
        <v>287</v>
      </c>
      <c r="N5685" s="1" t="s">
        <v>1121</v>
      </c>
      <c r="P5685" s="1" t="s">
        <v>1343</v>
      </c>
      <c r="Q5685" s="30" t="s">
        <v>2567</v>
      </c>
      <c r="R5685" s="33" t="s">
        <v>3474</v>
      </c>
      <c r="S5685">
        <v>35</v>
      </c>
      <c r="T5685" s="1" t="s">
        <v>5416</v>
      </c>
      <c r="U5685" s="1" t="str">
        <f>HYPERLINK("http://ictvonline.org/taxonomy/p/taxonomy-history?taxnode_id=202102205","ICTVonline=202102205")</f>
        <v>ICTVonline=202102205</v>
      </c>
    </row>
    <row r="5686" spans="1:21" x14ac:dyDescent="0.2">
      <c r="A5686" s="3">
        <v>5685</v>
      </c>
      <c r="B5686" s="1" t="s">
        <v>4226</v>
      </c>
      <c r="D5686" s="1" t="s">
        <v>5412</v>
      </c>
      <c r="F5686" s="1" t="s">
        <v>5430</v>
      </c>
      <c r="H5686" s="1" t="s">
        <v>5431</v>
      </c>
      <c r="J5686" s="1" t="s">
        <v>1071</v>
      </c>
      <c r="L5686" s="1" t="s">
        <v>287</v>
      </c>
      <c r="N5686" s="1" t="s">
        <v>1121</v>
      </c>
      <c r="P5686" s="1" t="s">
        <v>2052</v>
      </c>
      <c r="Q5686" s="30" t="s">
        <v>2567</v>
      </c>
      <c r="R5686" s="33" t="s">
        <v>3474</v>
      </c>
      <c r="S5686">
        <v>35</v>
      </c>
      <c r="T5686" s="1" t="s">
        <v>5416</v>
      </c>
      <c r="U5686" s="1" t="str">
        <f>HYPERLINK("http://ictvonline.org/taxonomy/p/taxonomy-history?taxnode_id=202102206","ICTVonline=202102206")</f>
        <v>ICTVonline=202102206</v>
      </c>
    </row>
    <row r="5687" spans="1:21" x14ac:dyDescent="0.2">
      <c r="A5687" s="3">
        <v>5686</v>
      </c>
      <c r="B5687" s="1" t="s">
        <v>4226</v>
      </c>
      <c r="D5687" s="1" t="s">
        <v>5412</v>
      </c>
      <c r="F5687" s="1" t="s">
        <v>5430</v>
      </c>
      <c r="H5687" s="1" t="s">
        <v>5431</v>
      </c>
      <c r="J5687" s="1" t="s">
        <v>1071</v>
      </c>
      <c r="L5687" s="1" t="s">
        <v>287</v>
      </c>
      <c r="N5687" s="1" t="s">
        <v>1121</v>
      </c>
      <c r="P5687" s="1" t="s">
        <v>1890</v>
      </c>
      <c r="Q5687" s="30" t="s">
        <v>2567</v>
      </c>
      <c r="R5687" s="33" t="s">
        <v>3474</v>
      </c>
      <c r="S5687">
        <v>35</v>
      </c>
      <c r="T5687" s="1" t="s">
        <v>5416</v>
      </c>
      <c r="U5687" s="1" t="str">
        <f>HYPERLINK("http://ictvonline.org/taxonomy/p/taxonomy-history?taxnode_id=202102207","ICTVonline=202102207")</f>
        <v>ICTVonline=202102207</v>
      </c>
    </row>
    <row r="5688" spans="1:21" x14ac:dyDescent="0.2">
      <c r="A5688" s="3">
        <v>5687</v>
      </c>
      <c r="B5688" s="1" t="s">
        <v>4226</v>
      </c>
      <c r="D5688" s="1" t="s">
        <v>5412</v>
      </c>
      <c r="F5688" s="1" t="s">
        <v>5430</v>
      </c>
      <c r="H5688" s="1" t="s">
        <v>5431</v>
      </c>
      <c r="J5688" s="1" t="s">
        <v>1071</v>
      </c>
      <c r="L5688" s="1" t="s">
        <v>287</v>
      </c>
      <c r="N5688" s="1" t="s">
        <v>1121</v>
      </c>
      <c r="P5688" s="1" t="s">
        <v>433</v>
      </c>
      <c r="Q5688" s="30" t="s">
        <v>2567</v>
      </c>
      <c r="R5688" s="33" t="s">
        <v>3474</v>
      </c>
      <c r="S5688">
        <v>35</v>
      </c>
      <c r="T5688" s="1" t="s">
        <v>5416</v>
      </c>
      <c r="U5688" s="1" t="str">
        <f>HYPERLINK("http://ictvonline.org/taxonomy/p/taxonomy-history?taxnode_id=202102208","ICTVonline=202102208")</f>
        <v>ICTVonline=202102208</v>
      </c>
    </row>
    <row r="5689" spans="1:21" x14ac:dyDescent="0.2">
      <c r="A5689" s="3">
        <v>5688</v>
      </c>
      <c r="B5689" s="1" t="s">
        <v>4226</v>
      </c>
      <c r="D5689" s="1" t="s">
        <v>5412</v>
      </c>
      <c r="F5689" s="1" t="s">
        <v>5430</v>
      </c>
      <c r="H5689" s="1" t="s">
        <v>5431</v>
      </c>
      <c r="J5689" s="1" t="s">
        <v>1071</v>
      </c>
      <c r="L5689" s="1" t="s">
        <v>287</v>
      </c>
      <c r="N5689" s="1" t="s">
        <v>1121</v>
      </c>
      <c r="P5689" s="1" t="s">
        <v>1983</v>
      </c>
      <c r="Q5689" s="30" t="s">
        <v>2567</v>
      </c>
      <c r="R5689" s="33" t="s">
        <v>3474</v>
      </c>
      <c r="S5689">
        <v>35</v>
      </c>
      <c r="T5689" s="1" t="s">
        <v>5416</v>
      </c>
      <c r="U5689" s="1" t="str">
        <f>HYPERLINK("http://ictvonline.org/taxonomy/p/taxonomy-history?taxnode_id=202102209","ICTVonline=202102209")</f>
        <v>ICTVonline=202102209</v>
      </c>
    </row>
    <row r="5690" spans="1:21" x14ac:dyDescent="0.2">
      <c r="A5690" s="3">
        <v>5689</v>
      </c>
      <c r="B5690" s="1" t="s">
        <v>4226</v>
      </c>
      <c r="D5690" s="1" t="s">
        <v>5412</v>
      </c>
      <c r="F5690" s="1" t="s">
        <v>5430</v>
      </c>
      <c r="H5690" s="1" t="s">
        <v>5431</v>
      </c>
      <c r="J5690" s="1" t="s">
        <v>1071</v>
      </c>
      <c r="L5690" s="1" t="s">
        <v>287</v>
      </c>
      <c r="N5690" s="1" t="s">
        <v>1121</v>
      </c>
      <c r="P5690" s="1" t="s">
        <v>434</v>
      </c>
      <c r="Q5690" s="30" t="s">
        <v>2567</v>
      </c>
      <c r="R5690" s="33" t="s">
        <v>3474</v>
      </c>
      <c r="S5690">
        <v>35</v>
      </c>
      <c r="T5690" s="1" t="s">
        <v>5416</v>
      </c>
      <c r="U5690" s="1" t="str">
        <f>HYPERLINK("http://ictvonline.org/taxonomy/p/taxonomy-history?taxnode_id=202102210","ICTVonline=202102210")</f>
        <v>ICTVonline=202102210</v>
      </c>
    </row>
    <row r="5691" spans="1:21" x14ac:dyDescent="0.2">
      <c r="A5691" s="3">
        <v>5690</v>
      </c>
      <c r="B5691" s="1" t="s">
        <v>4226</v>
      </c>
      <c r="D5691" s="1" t="s">
        <v>5412</v>
      </c>
      <c r="F5691" s="1" t="s">
        <v>5430</v>
      </c>
      <c r="H5691" s="1" t="s">
        <v>5431</v>
      </c>
      <c r="J5691" s="1" t="s">
        <v>1071</v>
      </c>
      <c r="L5691" s="1" t="s">
        <v>287</v>
      </c>
      <c r="N5691" s="1" t="s">
        <v>1121</v>
      </c>
      <c r="P5691" s="1" t="s">
        <v>435</v>
      </c>
      <c r="Q5691" s="30" t="s">
        <v>2567</v>
      </c>
      <c r="R5691" s="33" t="s">
        <v>3474</v>
      </c>
      <c r="S5691">
        <v>35</v>
      </c>
      <c r="T5691" s="1" t="s">
        <v>5416</v>
      </c>
      <c r="U5691" s="1" t="str">
        <f>HYPERLINK("http://ictvonline.org/taxonomy/p/taxonomy-history?taxnode_id=202102211","ICTVonline=202102211")</f>
        <v>ICTVonline=202102211</v>
      </c>
    </row>
    <row r="5692" spans="1:21" x14ac:dyDescent="0.2">
      <c r="A5692" s="3">
        <v>5691</v>
      </c>
      <c r="B5692" s="1" t="s">
        <v>4226</v>
      </c>
      <c r="D5692" s="1" t="s">
        <v>5412</v>
      </c>
      <c r="F5692" s="1" t="s">
        <v>5430</v>
      </c>
      <c r="H5692" s="1" t="s">
        <v>5431</v>
      </c>
      <c r="J5692" s="1" t="s">
        <v>1071</v>
      </c>
      <c r="L5692" s="1" t="s">
        <v>287</v>
      </c>
      <c r="N5692" s="1" t="s">
        <v>1121</v>
      </c>
      <c r="P5692" s="1" t="s">
        <v>436</v>
      </c>
      <c r="Q5692" s="30" t="s">
        <v>2567</v>
      </c>
      <c r="R5692" s="33" t="s">
        <v>3474</v>
      </c>
      <c r="S5692">
        <v>35</v>
      </c>
      <c r="T5692" s="1" t="s">
        <v>5416</v>
      </c>
      <c r="U5692" s="1" t="str">
        <f>HYPERLINK("http://ictvonline.org/taxonomy/p/taxonomy-history?taxnode_id=202102212","ICTVonline=202102212")</f>
        <v>ICTVonline=202102212</v>
      </c>
    </row>
    <row r="5693" spans="1:21" x14ac:dyDescent="0.2">
      <c r="A5693" s="3">
        <v>5692</v>
      </c>
      <c r="B5693" s="1" t="s">
        <v>4226</v>
      </c>
      <c r="D5693" s="1" t="s">
        <v>5412</v>
      </c>
      <c r="F5693" s="1" t="s">
        <v>5430</v>
      </c>
      <c r="H5693" s="1" t="s">
        <v>5431</v>
      </c>
      <c r="J5693" s="1" t="s">
        <v>1071</v>
      </c>
      <c r="L5693" s="1" t="s">
        <v>287</v>
      </c>
      <c r="N5693" s="1" t="s">
        <v>1121</v>
      </c>
      <c r="P5693" s="1" t="s">
        <v>437</v>
      </c>
      <c r="Q5693" s="30" t="s">
        <v>2567</v>
      </c>
      <c r="R5693" s="33" t="s">
        <v>3474</v>
      </c>
      <c r="S5693">
        <v>35</v>
      </c>
      <c r="T5693" s="1" t="s">
        <v>5416</v>
      </c>
      <c r="U5693" s="1" t="str">
        <f>HYPERLINK("http://ictvonline.org/taxonomy/p/taxonomy-history?taxnode_id=202102213","ICTVonline=202102213")</f>
        <v>ICTVonline=202102213</v>
      </c>
    </row>
    <row r="5694" spans="1:21" x14ac:dyDescent="0.2">
      <c r="A5694" s="3">
        <v>5693</v>
      </c>
      <c r="B5694" s="1" t="s">
        <v>4226</v>
      </c>
      <c r="D5694" s="1" t="s">
        <v>5412</v>
      </c>
      <c r="F5694" s="1" t="s">
        <v>5430</v>
      </c>
      <c r="H5694" s="1" t="s">
        <v>5431</v>
      </c>
      <c r="J5694" s="1" t="s">
        <v>1071</v>
      </c>
      <c r="L5694" s="1" t="s">
        <v>287</v>
      </c>
      <c r="N5694" s="1" t="s">
        <v>1121</v>
      </c>
      <c r="P5694" s="1" t="s">
        <v>438</v>
      </c>
      <c r="Q5694" s="30" t="s">
        <v>2567</v>
      </c>
      <c r="R5694" s="33" t="s">
        <v>3474</v>
      </c>
      <c r="S5694">
        <v>35</v>
      </c>
      <c r="T5694" s="1" t="s">
        <v>5416</v>
      </c>
      <c r="U5694" s="1" t="str">
        <f>HYPERLINK("http://ictvonline.org/taxonomy/p/taxonomy-history?taxnode_id=202102214","ICTVonline=202102214")</f>
        <v>ICTVonline=202102214</v>
      </c>
    </row>
    <row r="5695" spans="1:21" x14ac:dyDescent="0.2">
      <c r="A5695" s="3">
        <v>5694</v>
      </c>
      <c r="B5695" s="1" t="s">
        <v>4226</v>
      </c>
      <c r="D5695" s="1" t="s">
        <v>5412</v>
      </c>
      <c r="F5695" s="1" t="s">
        <v>5430</v>
      </c>
      <c r="H5695" s="1" t="s">
        <v>5431</v>
      </c>
      <c r="J5695" s="1" t="s">
        <v>1071</v>
      </c>
      <c r="L5695" s="1" t="s">
        <v>287</v>
      </c>
      <c r="N5695" s="1" t="s">
        <v>1121</v>
      </c>
      <c r="P5695" s="1" t="s">
        <v>1335</v>
      </c>
      <c r="Q5695" s="30" t="s">
        <v>2567</v>
      </c>
      <c r="R5695" s="33" t="s">
        <v>3474</v>
      </c>
      <c r="S5695">
        <v>35</v>
      </c>
      <c r="T5695" s="1" t="s">
        <v>5416</v>
      </c>
      <c r="U5695" s="1" t="str">
        <f>HYPERLINK("http://ictvonline.org/taxonomy/p/taxonomy-history?taxnode_id=202102215","ICTVonline=202102215")</f>
        <v>ICTVonline=202102215</v>
      </c>
    </row>
    <row r="5696" spans="1:21" x14ac:dyDescent="0.2">
      <c r="A5696" s="3">
        <v>5695</v>
      </c>
      <c r="B5696" s="1" t="s">
        <v>4226</v>
      </c>
      <c r="D5696" s="1" t="s">
        <v>5412</v>
      </c>
      <c r="F5696" s="1" t="s">
        <v>5430</v>
      </c>
      <c r="H5696" s="1" t="s">
        <v>5431</v>
      </c>
      <c r="J5696" s="1" t="s">
        <v>1071</v>
      </c>
      <c r="L5696" s="1" t="s">
        <v>287</v>
      </c>
      <c r="N5696" s="1" t="s">
        <v>1121</v>
      </c>
      <c r="P5696" s="1" t="s">
        <v>1984</v>
      </c>
      <c r="Q5696" s="30" t="s">
        <v>2567</v>
      </c>
      <c r="R5696" s="33" t="s">
        <v>3474</v>
      </c>
      <c r="S5696">
        <v>35</v>
      </c>
      <c r="T5696" s="1" t="s">
        <v>5416</v>
      </c>
      <c r="U5696" s="1" t="str">
        <f>HYPERLINK("http://ictvonline.org/taxonomy/p/taxonomy-history?taxnode_id=202102216","ICTVonline=202102216")</f>
        <v>ICTVonline=202102216</v>
      </c>
    </row>
    <row r="5697" spans="1:21" x14ac:dyDescent="0.2">
      <c r="A5697" s="3">
        <v>5696</v>
      </c>
      <c r="B5697" s="1" t="s">
        <v>4226</v>
      </c>
      <c r="D5697" s="1" t="s">
        <v>5412</v>
      </c>
      <c r="F5697" s="1" t="s">
        <v>5430</v>
      </c>
      <c r="H5697" s="1" t="s">
        <v>5431</v>
      </c>
      <c r="J5697" s="1" t="s">
        <v>1071</v>
      </c>
      <c r="L5697" s="1" t="s">
        <v>287</v>
      </c>
      <c r="N5697" s="1" t="s">
        <v>1121</v>
      </c>
      <c r="P5697" s="1" t="s">
        <v>3646</v>
      </c>
      <c r="Q5697" s="30" t="s">
        <v>2567</v>
      </c>
      <c r="R5697" s="33" t="s">
        <v>3474</v>
      </c>
      <c r="S5697">
        <v>35</v>
      </c>
      <c r="T5697" s="1" t="s">
        <v>5416</v>
      </c>
      <c r="U5697" s="1" t="str">
        <f>HYPERLINK("http://ictvonline.org/taxonomy/p/taxonomy-history?taxnode_id=202105635","ICTVonline=202105635")</f>
        <v>ICTVonline=202105635</v>
      </c>
    </row>
    <row r="5698" spans="1:21" x14ac:dyDescent="0.2">
      <c r="A5698" s="3">
        <v>5697</v>
      </c>
      <c r="B5698" s="1" t="s">
        <v>4226</v>
      </c>
      <c r="D5698" s="1" t="s">
        <v>5412</v>
      </c>
      <c r="F5698" s="1" t="s">
        <v>5430</v>
      </c>
      <c r="H5698" s="1" t="s">
        <v>5431</v>
      </c>
      <c r="J5698" s="1" t="s">
        <v>1071</v>
      </c>
      <c r="L5698" s="1" t="s">
        <v>287</v>
      </c>
      <c r="N5698" s="1" t="s">
        <v>1121</v>
      </c>
      <c r="P5698" s="1" t="s">
        <v>1336</v>
      </c>
      <c r="Q5698" s="30" t="s">
        <v>2567</v>
      </c>
      <c r="R5698" s="33" t="s">
        <v>3474</v>
      </c>
      <c r="S5698">
        <v>35</v>
      </c>
      <c r="T5698" s="1" t="s">
        <v>5416</v>
      </c>
      <c r="U5698" s="1" t="str">
        <f>HYPERLINK("http://ictvonline.org/taxonomy/p/taxonomy-history?taxnode_id=202102217","ICTVonline=202102217")</f>
        <v>ICTVonline=202102217</v>
      </c>
    </row>
    <row r="5699" spans="1:21" x14ac:dyDescent="0.2">
      <c r="A5699" s="3">
        <v>5698</v>
      </c>
      <c r="B5699" s="1" t="s">
        <v>4226</v>
      </c>
      <c r="D5699" s="1" t="s">
        <v>5412</v>
      </c>
      <c r="F5699" s="1" t="s">
        <v>5430</v>
      </c>
      <c r="H5699" s="1" t="s">
        <v>5431</v>
      </c>
      <c r="J5699" s="1" t="s">
        <v>1071</v>
      </c>
      <c r="L5699" s="1" t="s">
        <v>287</v>
      </c>
      <c r="N5699" s="1" t="s">
        <v>1121</v>
      </c>
      <c r="P5699" s="1" t="s">
        <v>1337</v>
      </c>
      <c r="Q5699" s="30" t="s">
        <v>2567</v>
      </c>
      <c r="R5699" s="33" t="s">
        <v>6026</v>
      </c>
      <c r="S5699">
        <v>36</v>
      </c>
      <c r="T5699" s="1" t="s">
        <v>6713</v>
      </c>
      <c r="U5699" s="1" t="str">
        <f>HYPERLINK("http://ictvonline.org/taxonomy/p/taxonomy-history?taxnode_id=202102218","ICTVonline=202102218")</f>
        <v>ICTVonline=202102218</v>
      </c>
    </row>
    <row r="5700" spans="1:21" x14ac:dyDescent="0.2">
      <c r="A5700" s="3">
        <v>5699</v>
      </c>
      <c r="B5700" s="1" t="s">
        <v>4226</v>
      </c>
      <c r="D5700" s="1" t="s">
        <v>5412</v>
      </c>
      <c r="F5700" s="1" t="s">
        <v>5430</v>
      </c>
      <c r="H5700" s="1" t="s">
        <v>5431</v>
      </c>
      <c r="J5700" s="1" t="s">
        <v>1071</v>
      </c>
      <c r="L5700" s="1" t="s">
        <v>287</v>
      </c>
      <c r="N5700" s="1" t="s">
        <v>1121</v>
      </c>
      <c r="P5700" s="1" t="s">
        <v>1338</v>
      </c>
      <c r="Q5700" s="30" t="s">
        <v>2567</v>
      </c>
      <c r="R5700" s="33" t="s">
        <v>3474</v>
      </c>
      <c r="S5700">
        <v>35</v>
      </c>
      <c r="T5700" s="1" t="s">
        <v>5416</v>
      </c>
      <c r="U5700" s="1" t="str">
        <f>HYPERLINK("http://ictvonline.org/taxonomy/p/taxonomy-history?taxnode_id=202102219","ICTVonline=202102219")</f>
        <v>ICTVonline=202102219</v>
      </c>
    </row>
    <row r="5701" spans="1:21" x14ac:dyDescent="0.2">
      <c r="A5701" s="3">
        <v>5700</v>
      </c>
      <c r="B5701" s="1" t="s">
        <v>4226</v>
      </c>
      <c r="D5701" s="1" t="s">
        <v>5412</v>
      </c>
      <c r="F5701" s="1" t="s">
        <v>5430</v>
      </c>
      <c r="H5701" s="1" t="s">
        <v>5431</v>
      </c>
      <c r="J5701" s="1" t="s">
        <v>1071</v>
      </c>
      <c r="L5701" s="1" t="s">
        <v>287</v>
      </c>
      <c r="N5701" s="1" t="s">
        <v>1121</v>
      </c>
      <c r="P5701" s="1" t="s">
        <v>1339</v>
      </c>
      <c r="Q5701" s="30" t="s">
        <v>2567</v>
      </c>
      <c r="R5701" s="33" t="s">
        <v>8665</v>
      </c>
      <c r="S5701">
        <v>36</v>
      </c>
      <c r="T5701" s="1" t="s">
        <v>8661</v>
      </c>
      <c r="U5701" s="1" t="str">
        <f>HYPERLINK("http://ictvonline.org/taxonomy/p/taxonomy-history?taxnode_id=202102220","ICTVonline=202102220")</f>
        <v>ICTVonline=202102220</v>
      </c>
    </row>
    <row r="5702" spans="1:21" x14ac:dyDescent="0.2">
      <c r="A5702" s="3">
        <v>5701</v>
      </c>
      <c r="B5702" s="1" t="s">
        <v>4226</v>
      </c>
      <c r="D5702" s="1" t="s">
        <v>5412</v>
      </c>
      <c r="F5702" s="1" t="s">
        <v>5430</v>
      </c>
      <c r="H5702" s="1" t="s">
        <v>5431</v>
      </c>
      <c r="J5702" s="1" t="s">
        <v>1071</v>
      </c>
      <c r="L5702" s="1" t="s">
        <v>287</v>
      </c>
      <c r="N5702" s="1" t="s">
        <v>1121</v>
      </c>
      <c r="P5702" s="1" t="s">
        <v>1340</v>
      </c>
      <c r="Q5702" s="30" t="s">
        <v>2567</v>
      </c>
      <c r="R5702" s="33" t="s">
        <v>3474</v>
      </c>
      <c r="S5702">
        <v>35</v>
      </c>
      <c r="T5702" s="1" t="s">
        <v>5416</v>
      </c>
      <c r="U5702" s="1" t="str">
        <f>HYPERLINK("http://ictvonline.org/taxonomy/p/taxonomy-history?taxnode_id=202102221","ICTVonline=202102221")</f>
        <v>ICTVonline=202102221</v>
      </c>
    </row>
    <row r="5703" spans="1:21" x14ac:dyDescent="0.2">
      <c r="A5703" s="3">
        <v>5702</v>
      </c>
      <c r="B5703" s="1" t="s">
        <v>4226</v>
      </c>
      <c r="D5703" s="1" t="s">
        <v>5412</v>
      </c>
      <c r="F5703" s="1" t="s">
        <v>5430</v>
      </c>
      <c r="H5703" s="1" t="s">
        <v>5431</v>
      </c>
      <c r="J5703" s="1" t="s">
        <v>1071</v>
      </c>
      <c r="L5703" s="1" t="s">
        <v>287</v>
      </c>
      <c r="N5703" s="1" t="s">
        <v>1121</v>
      </c>
      <c r="P5703" s="1" t="s">
        <v>6714</v>
      </c>
      <c r="Q5703" s="30" t="s">
        <v>2567</v>
      </c>
      <c r="R5703" s="33" t="s">
        <v>3472</v>
      </c>
      <c r="S5703">
        <v>36</v>
      </c>
      <c r="T5703" s="1" t="s">
        <v>6704</v>
      </c>
      <c r="U5703" s="1" t="str">
        <f>HYPERLINK("http://ictvonline.org/taxonomy/p/taxonomy-history?taxnode_id=202109848","ICTVonline=202109848")</f>
        <v>ICTVonline=202109848</v>
      </c>
    </row>
    <row r="5704" spans="1:21" x14ac:dyDescent="0.2">
      <c r="A5704" s="3">
        <v>5703</v>
      </c>
      <c r="B5704" s="1" t="s">
        <v>4226</v>
      </c>
      <c r="D5704" s="1" t="s">
        <v>5412</v>
      </c>
      <c r="F5704" s="1" t="s">
        <v>5430</v>
      </c>
      <c r="H5704" s="1" t="s">
        <v>5431</v>
      </c>
      <c r="J5704" s="1" t="s">
        <v>1071</v>
      </c>
      <c r="L5704" s="1" t="s">
        <v>287</v>
      </c>
      <c r="N5704" s="1" t="s">
        <v>1121</v>
      </c>
      <c r="P5704" s="1" t="s">
        <v>1347</v>
      </c>
      <c r="Q5704" s="30" t="s">
        <v>2567</v>
      </c>
      <c r="R5704" s="33" t="s">
        <v>3474</v>
      </c>
      <c r="S5704">
        <v>35</v>
      </c>
      <c r="T5704" s="1" t="s">
        <v>5416</v>
      </c>
      <c r="U5704" s="1" t="str">
        <f>HYPERLINK("http://ictvonline.org/taxonomy/p/taxonomy-history?taxnode_id=202102222","ICTVonline=202102222")</f>
        <v>ICTVonline=202102222</v>
      </c>
    </row>
    <row r="5705" spans="1:21" x14ac:dyDescent="0.2">
      <c r="A5705" s="3">
        <v>5704</v>
      </c>
      <c r="B5705" s="1" t="s">
        <v>4226</v>
      </c>
      <c r="D5705" s="1" t="s">
        <v>5412</v>
      </c>
      <c r="F5705" s="1" t="s">
        <v>5430</v>
      </c>
      <c r="H5705" s="1" t="s">
        <v>5431</v>
      </c>
      <c r="J5705" s="1" t="s">
        <v>1071</v>
      </c>
      <c r="L5705" s="1" t="s">
        <v>287</v>
      </c>
      <c r="N5705" s="1" t="s">
        <v>1121</v>
      </c>
      <c r="P5705" s="1" t="s">
        <v>1348</v>
      </c>
      <c r="Q5705" s="30" t="s">
        <v>2567</v>
      </c>
      <c r="R5705" s="33" t="s">
        <v>3474</v>
      </c>
      <c r="S5705">
        <v>35</v>
      </c>
      <c r="T5705" s="1" t="s">
        <v>5416</v>
      </c>
      <c r="U5705" s="1" t="str">
        <f>HYPERLINK("http://ictvonline.org/taxonomy/p/taxonomy-history?taxnode_id=202102223","ICTVonline=202102223")</f>
        <v>ICTVonline=202102223</v>
      </c>
    </row>
    <row r="5706" spans="1:21" x14ac:dyDescent="0.2">
      <c r="A5706" s="3">
        <v>5705</v>
      </c>
      <c r="B5706" s="1" t="s">
        <v>4226</v>
      </c>
      <c r="D5706" s="1" t="s">
        <v>5412</v>
      </c>
      <c r="F5706" s="1" t="s">
        <v>5430</v>
      </c>
      <c r="H5706" s="1" t="s">
        <v>5431</v>
      </c>
      <c r="J5706" s="1" t="s">
        <v>1071</v>
      </c>
      <c r="L5706" s="1" t="s">
        <v>287</v>
      </c>
      <c r="N5706" s="1" t="s">
        <v>1121</v>
      </c>
      <c r="P5706" s="1" t="s">
        <v>1344</v>
      </c>
      <c r="Q5706" s="30" t="s">
        <v>2567</v>
      </c>
      <c r="R5706" s="33" t="s">
        <v>3474</v>
      </c>
      <c r="S5706">
        <v>35</v>
      </c>
      <c r="T5706" s="1" t="s">
        <v>5416</v>
      </c>
      <c r="U5706" s="1" t="str">
        <f>HYPERLINK("http://ictvonline.org/taxonomy/p/taxonomy-history?taxnode_id=202102224","ICTVonline=202102224")</f>
        <v>ICTVonline=202102224</v>
      </c>
    </row>
    <row r="5707" spans="1:21" x14ac:dyDescent="0.2">
      <c r="A5707" s="3">
        <v>5706</v>
      </c>
      <c r="B5707" s="1" t="s">
        <v>4226</v>
      </c>
      <c r="D5707" s="1" t="s">
        <v>5412</v>
      </c>
      <c r="F5707" s="1" t="s">
        <v>5430</v>
      </c>
      <c r="H5707" s="1" t="s">
        <v>5431</v>
      </c>
      <c r="J5707" s="1" t="s">
        <v>1071</v>
      </c>
      <c r="L5707" s="1" t="s">
        <v>287</v>
      </c>
      <c r="N5707" s="1" t="s">
        <v>1121</v>
      </c>
      <c r="P5707" s="1" t="s">
        <v>6715</v>
      </c>
      <c r="Q5707" s="30" t="s">
        <v>2567</v>
      </c>
      <c r="R5707" s="33" t="s">
        <v>3472</v>
      </c>
      <c r="S5707">
        <v>36</v>
      </c>
      <c r="T5707" s="1" t="s">
        <v>6704</v>
      </c>
      <c r="U5707" s="1" t="str">
        <f>HYPERLINK("http://ictvonline.org/taxonomy/p/taxonomy-history?taxnode_id=202109849","ICTVonline=202109849")</f>
        <v>ICTVonline=202109849</v>
      </c>
    </row>
    <row r="5708" spans="1:21" x14ac:dyDescent="0.2">
      <c r="A5708" s="3">
        <v>5707</v>
      </c>
      <c r="B5708" s="1" t="s">
        <v>4226</v>
      </c>
      <c r="D5708" s="1" t="s">
        <v>5412</v>
      </c>
      <c r="F5708" s="1" t="s">
        <v>5430</v>
      </c>
      <c r="H5708" s="1" t="s">
        <v>5431</v>
      </c>
      <c r="J5708" s="1" t="s">
        <v>1071</v>
      </c>
      <c r="L5708" s="1" t="s">
        <v>287</v>
      </c>
      <c r="N5708" s="1" t="s">
        <v>1121</v>
      </c>
      <c r="P5708" s="1" t="s">
        <v>3647</v>
      </c>
      <c r="Q5708" s="30" t="s">
        <v>2567</v>
      </c>
      <c r="R5708" s="33" t="s">
        <v>3474</v>
      </c>
      <c r="S5708">
        <v>35</v>
      </c>
      <c r="T5708" s="1" t="s">
        <v>5416</v>
      </c>
      <c r="U5708" s="1" t="str">
        <f>HYPERLINK("http://ictvonline.org/taxonomy/p/taxonomy-history?taxnode_id=202105636","ICTVonline=202105636")</f>
        <v>ICTVonline=202105636</v>
      </c>
    </row>
    <row r="5709" spans="1:21" x14ac:dyDescent="0.2">
      <c r="A5709" s="3">
        <v>5708</v>
      </c>
      <c r="B5709" s="1" t="s">
        <v>4226</v>
      </c>
      <c r="D5709" s="1" t="s">
        <v>5412</v>
      </c>
      <c r="F5709" s="1" t="s">
        <v>5430</v>
      </c>
      <c r="H5709" s="1" t="s">
        <v>5431</v>
      </c>
      <c r="J5709" s="1" t="s">
        <v>1071</v>
      </c>
      <c r="L5709" s="1" t="s">
        <v>287</v>
      </c>
      <c r="N5709" s="1" t="s">
        <v>1121</v>
      </c>
      <c r="P5709" s="1" t="s">
        <v>1345</v>
      </c>
      <c r="Q5709" s="30" t="s">
        <v>2567</v>
      </c>
      <c r="R5709" s="33" t="s">
        <v>3474</v>
      </c>
      <c r="S5709">
        <v>35</v>
      </c>
      <c r="T5709" s="1" t="s">
        <v>5416</v>
      </c>
      <c r="U5709" s="1" t="str">
        <f>HYPERLINK("http://ictvonline.org/taxonomy/p/taxonomy-history?taxnode_id=202102225","ICTVonline=202102225")</f>
        <v>ICTVonline=202102225</v>
      </c>
    </row>
    <row r="5710" spans="1:21" x14ac:dyDescent="0.2">
      <c r="A5710" s="3">
        <v>5709</v>
      </c>
      <c r="B5710" s="1" t="s">
        <v>4226</v>
      </c>
      <c r="D5710" s="1" t="s">
        <v>5412</v>
      </c>
      <c r="F5710" s="1" t="s">
        <v>5430</v>
      </c>
      <c r="H5710" s="1" t="s">
        <v>5431</v>
      </c>
      <c r="J5710" s="1" t="s">
        <v>1071</v>
      </c>
      <c r="L5710" s="1" t="s">
        <v>287</v>
      </c>
      <c r="N5710" s="1" t="s">
        <v>1121</v>
      </c>
      <c r="P5710" s="1" t="s">
        <v>2796</v>
      </c>
      <c r="Q5710" s="30" t="s">
        <v>2567</v>
      </c>
      <c r="R5710" s="33" t="s">
        <v>3474</v>
      </c>
      <c r="S5710">
        <v>35</v>
      </c>
      <c r="T5710" s="1" t="s">
        <v>5416</v>
      </c>
      <c r="U5710" s="1" t="str">
        <f>HYPERLINK("http://ictvonline.org/taxonomy/p/taxonomy-history?taxnode_id=202102226","ICTVonline=202102226")</f>
        <v>ICTVonline=202102226</v>
      </c>
    </row>
    <row r="5711" spans="1:21" x14ac:dyDescent="0.2">
      <c r="A5711" s="3">
        <v>5710</v>
      </c>
      <c r="B5711" s="1" t="s">
        <v>4226</v>
      </c>
      <c r="D5711" s="1" t="s">
        <v>5412</v>
      </c>
      <c r="F5711" s="1" t="s">
        <v>5430</v>
      </c>
      <c r="H5711" s="1" t="s">
        <v>5431</v>
      </c>
      <c r="J5711" s="1" t="s">
        <v>1071</v>
      </c>
      <c r="L5711" s="1" t="s">
        <v>287</v>
      </c>
      <c r="N5711" s="1" t="s">
        <v>1121</v>
      </c>
      <c r="P5711" s="1" t="s">
        <v>1346</v>
      </c>
      <c r="Q5711" s="30" t="s">
        <v>2567</v>
      </c>
      <c r="R5711" s="33" t="s">
        <v>3474</v>
      </c>
      <c r="S5711">
        <v>35</v>
      </c>
      <c r="T5711" s="1" t="s">
        <v>5416</v>
      </c>
      <c r="U5711" s="1" t="str">
        <f>HYPERLINK("http://ictvonline.org/taxonomy/p/taxonomy-history?taxnode_id=202102227","ICTVonline=202102227")</f>
        <v>ICTVonline=202102227</v>
      </c>
    </row>
    <row r="5712" spans="1:21" x14ac:dyDescent="0.2">
      <c r="A5712" s="3">
        <v>5711</v>
      </c>
      <c r="B5712" s="1" t="s">
        <v>4226</v>
      </c>
      <c r="D5712" s="1" t="s">
        <v>5412</v>
      </c>
      <c r="F5712" s="1" t="s">
        <v>5430</v>
      </c>
      <c r="H5712" s="1" t="s">
        <v>5431</v>
      </c>
      <c r="J5712" s="1" t="s">
        <v>1071</v>
      </c>
      <c r="L5712" s="1" t="s">
        <v>287</v>
      </c>
      <c r="N5712" s="1" t="s">
        <v>1574</v>
      </c>
      <c r="P5712" s="1" t="s">
        <v>1404</v>
      </c>
      <c r="Q5712" s="30" t="s">
        <v>2567</v>
      </c>
      <c r="R5712" s="33" t="s">
        <v>8665</v>
      </c>
      <c r="S5712">
        <v>36</v>
      </c>
      <c r="T5712" s="1" t="s">
        <v>8661</v>
      </c>
      <c r="U5712" s="1" t="str">
        <f>HYPERLINK("http://ictvonline.org/taxonomy/p/taxonomy-history?taxnode_id=202102229","ICTVonline=202102229")</f>
        <v>ICTVonline=202102229</v>
      </c>
    </row>
    <row r="5713" spans="1:21" x14ac:dyDescent="0.2">
      <c r="A5713" s="3">
        <v>5712</v>
      </c>
      <c r="B5713" s="1" t="s">
        <v>4226</v>
      </c>
      <c r="D5713" s="1" t="s">
        <v>5412</v>
      </c>
      <c r="F5713" s="1" t="s">
        <v>5430</v>
      </c>
      <c r="H5713" s="1" t="s">
        <v>5431</v>
      </c>
      <c r="J5713" s="1" t="s">
        <v>1071</v>
      </c>
      <c r="L5713" s="1" t="s">
        <v>1072</v>
      </c>
      <c r="M5713" s="1" t="s">
        <v>2797</v>
      </c>
      <c r="N5713" s="1" t="s">
        <v>12828</v>
      </c>
      <c r="P5713" s="1" t="s">
        <v>12829</v>
      </c>
      <c r="Q5713" s="30" t="s">
        <v>2567</v>
      </c>
      <c r="R5713" s="33" t="s">
        <v>3473</v>
      </c>
      <c r="S5713">
        <v>37</v>
      </c>
      <c r="T5713" s="1" t="s">
        <v>14000</v>
      </c>
      <c r="U5713" s="1" t="str">
        <f>HYPERLINK("http://ictvonline.org/taxonomy/p/taxonomy-history?taxnode_id=202102296","ICTVonline=202102296")</f>
        <v>ICTVonline=202102296</v>
      </c>
    </row>
    <row r="5714" spans="1:21" x14ac:dyDescent="0.2">
      <c r="A5714" s="3">
        <v>5713</v>
      </c>
      <c r="B5714" s="1" t="s">
        <v>4226</v>
      </c>
      <c r="D5714" s="1" t="s">
        <v>5412</v>
      </c>
      <c r="F5714" s="1" t="s">
        <v>5430</v>
      </c>
      <c r="H5714" s="1" t="s">
        <v>5431</v>
      </c>
      <c r="J5714" s="1" t="s">
        <v>1071</v>
      </c>
      <c r="L5714" s="1" t="s">
        <v>1072</v>
      </c>
      <c r="M5714" s="1" t="s">
        <v>2797</v>
      </c>
      <c r="N5714" s="1" t="s">
        <v>401</v>
      </c>
      <c r="P5714" s="1" t="s">
        <v>402</v>
      </c>
      <c r="Q5714" s="30" t="s">
        <v>2567</v>
      </c>
      <c r="R5714" s="33" t="s">
        <v>3474</v>
      </c>
      <c r="S5714">
        <v>35</v>
      </c>
      <c r="T5714" s="1" t="s">
        <v>5416</v>
      </c>
      <c r="U5714" s="1" t="str">
        <f>HYPERLINK("http://ictvonline.org/taxonomy/p/taxonomy-history?taxnode_id=202102235","ICTVonline=202102235")</f>
        <v>ICTVonline=202102235</v>
      </c>
    </row>
    <row r="5715" spans="1:21" x14ac:dyDescent="0.2">
      <c r="A5715" s="3">
        <v>5714</v>
      </c>
      <c r="B5715" s="1" t="s">
        <v>4226</v>
      </c>
      <c r="D5715" s="1" t="s">
        <v>5412</v>
      </c>
      <c r="F5715" s="1" t="s">
        <v>5430</v>
      </c>
      <c r="H5715" s="1" t="s">
        <v>5431</v>
      </c>
      <c r="J5715" s="1" t="s">
        <v>1071</v>
      </c>
      <c r="L5715" s="1" t="s">
        <v>1072</v>
      </c>
      <c r="M5715" s="1" t="s">
        <v>2797</v>
      </c>
      <c r="N5715" s="1" t="s">
        <v>401</v>
      </c>
      <c r="P5715" s="1" t="s">
        <v>403</v>
      </c>
      <c r="Q5715" s="30" t="s">
        <v>2567</v>
      </c>
      <c r="R5715" s="33" t="s">
        <v>3474</v>
      </c>
      <c r="S5715">
        <v>35</v>
      </c>
      <c r="T5715" s="1" t="s">
        <v>5416</v>
      </c>
      <c r="U5715" s="1" t="str">
        <f>HYPERLINK("http://ictvonline.org/taxonomy/p/taxonomy-history?taxnode_id=202102236","ICTVonline=202102236")</f>
        <v>ICTVonline=202102236</v>
      </c>
    </row>
    <row r="5716" spans="1:21" x14ac:dyDescent="0.2">
      <c r="A5716" s="3">
        <v>5715</v>
      </c>
      <c r="B5716" s="1" t="s">
        <v>4226</v>
      </c>
      <c r="D5716" s="1" t="s">
        <v>5412</v>
      </c>
      <c r="F5716" s="1" t="s">
        <v>5430</v>
      </c>
      <c r="H5716" s="1" t="s">
        <v>5431</v>
      </c>
      <c r="J5716" s="1" t="s">
        <v>1071</v>
      </c>
      <c r="L5716" s="1" t="s">
        <v>1072</v>
      </c>
      <c r="M5716" s="1" t="s">
        <v>2797</v>
      </c>
      <c r="N5716" s="1" t="s">
        <v>401</v>
      </c>
      <c r="P5716" s="1" t="s">
        <v>3648</v>
      </c>
      <c r="Q5716" s="30" t="s">
        <v>2567</v>
      </c>
      <c r="R5716" s="33" t="s">
        <v>3474</v>
      </c>
      <c r="S5716">
        <v>35</v>
      </c>
      <c r="T5716" s="1" t="s">
        <v>5416</v>
      </c>
      <c r="U5716" s="1" t="str">
        <f>HYPERLINK("http://ictvonline.org/taxonomy/p/taxonomy-history?taxnode_id=202105637","ICTVonline=202105637")</f>
        <v>ICTVonline=202105637</v>
      </c>
    </row>
    <row r="5717" spans="1:21" x14ac:dyDescent="0.2">
      <c r="A5717" s="3">
        <v>5716</v>
      </c>
      <c r="B5717" s="1" t="s">
        <v>4226</v>
      </c>
      <c r="D5717" s="1" t="s">
        <v>5412</v>
      </c>
      <c r="F5717" s="1" t="s">
        <v>5430</v>
      </c>
      <c r="H5717" s="1" t="s">
        <v>5431</v>
      </c>
      <c r="J5717" s="1" t="s">
        <v>1071</v>
      </c>
      <c r="L5717" s="1" t="s">
        <v>1072</v>
      </c>
      <c r="M5717" s="1" t="s">
        <v>2797</v>
      </c>
      <c r="N5717" s="1" t="s">
        <v>401</v>
      </c>
      <c r="P5717" s="1" t="s">
        <v>404</v>
      </c>
      <c r="Q5717" s="30" t="s">
        <v>2567</v>
      </c>
      <c r="R5717" s="33" t="s">
        <v>3474</v>
      </c>
      <c r="S5717">
        <v>35</v>
      </c>
      <c r="T5717" s="1" t="s">
        <v>5416</v>
      </c>
      <c r="U5717" s="1" t="str">
        <f>HYPERLINK("http://ictvonline.org/taxonomy/p/taxonomy-history?taxnode_id=202102237","ICTVonline=202102237")</f>
        <v>ICTVonline=202102237</v>
      </c>
    </row>
    <row r="5718" spans="1:21" x14ac:dyDescent="0.2">
      <c r="A5718" s="3">
        <v>5717</v>
      </c>
      <c r="B5718" s="1" t="s">
        <v>4226</v>
      </c>
      <c r="D5718" s="1" t="s">
        <v>5412</v>
      </c>
      <c r="F5718" s="1" t="s">
        <v>5430</v>
      </c>
      <c r="H5718" s="1" t="s">
        <v>5431</v>
      </c>
      <c r="J5718" s="1" t="s">
        <v>1071</v>
      </c>
      <c r="L5718" s="1" t="s">
        <v>1072</v>
      </c>
      <c r="M5718" s="1" t="s">
        <v>2797</v>
      </c>
      <c r="N5718" s="1" t="s">
        <v>401</v>
      </c>
      <c r="P5718" s="1" t="s">
        <v>2054</v>
      </c>
      <c r="Q5718" s="30" t="s">
        <v>2567</v>
      </c>
      <c r="R5718" s="33" t="s">
        <v>3474</v>
      </c>
      <c r="S5718">
        <v>35</v>
      </c>
      <c r="T5718" s="1" t="s">
        <v>5416</v>
      </c>
      <c r="U5718" s="1" t="str">
        <f>HYPERLINK("http://ictvonline.org/taxonomy/p/taxonomy-history?taxnode_id=202102238","ICTVonline=202102238")</f>
        <v>ICTVonline=202102238</v>
      </c>
    </row>
    <row r="5719" spans="1:21" x14ac:dyDescent="0.2">
      <c r="A5719" s="3">
        <v>5718</v>
      </c>
      <c r="B5719" s="1" t="s">
        <v>4226</v>
      </c>
      <c r="D5719" s="1" t="s">
        <v>5412</v>
      </c>
      <c r="F5719" s="1" t="s">
        <v>5430</v>
      </c>
      <c r="H5719" s="1" t="s">
        <v>5431</v>
      </c>
      <c r="J5719" s="1" t="s">
        <v>1071</v>
      </c>
      <c r="L5719" s="1" t="s">
        <v>1072</v>
      </c>
      <c r="M5719" s="1" t="s">
        <v>2797</v>
      </c>
      <c r="N5719" s="1" t="s">
        <v>401</v>
      </c>
      <c r="P5719" s="1" t="s">
        <v>405</v>
      </c>
      <c r="Q5719" s="30" t="s">
        <v>2567</v>
      </c>
      <c r="R5719" s="33" t="s">
        <v>3474</v>
      </c>
      <c r="S5719">
        <v>35</v>
      </c>
      <c r="T5719" s="1" t="s">
        <v>5416</v>
      </c>
      <c r="U5719" s="1" t="str">
        <f>HYPERLINK("http://ictvonline.org/taxonomy/p/taxonomy-history?taxnode_id=202102239","ICTVonline=202102239")</f>
        <v>ICTVonline=202102239</v>
      </c>
    </row>
    <row r="5720" spans="1:21" x14ac:dyDescent="0.2">
      <c r="A5720" s="3">
        <v>5719</v>
      </c>
      <c r="B5720" s="1" t="s">
        <v>4226</v>
      </c>
      <c r="D5720" s="1" t="s">
        <v>5412</v>
      </c>
      <c r="F5720" s="1" t="s">
        <v>5430</v>
      </c>
      <c r="H5720" s="1" t="s">
        <v>5431</v>
      </c>
      <c r="J5720" s="1" t="s">
        <v>1071</v>
      </c>
      <c r="L5720" s="1" t="s">
        <v>1072</v>
      </c>
      <c r="M5720" s="1" t="s">
        <v>2797</v>
      </c>
      <c r="N5720" s="1" t="s">
        <v>401</v>
      </c>
      <c r="P5720" s="1" t="s">
        <v>406</v>
      </c>
      <c r="Q5720" s="30" t="s">
        <v>2567</v>
      </c>
      <c r="R5720" s="33" t="s">
        <v>3474</v>
      </c>
      <c r="S5720">
        <v>35</v>
      </c>
      <c r="T5720" s="1" t="s">
        <v>5416</v>
      </c>
      <c r="U5720" s="1" t="str">
        <f>HYPERLINK("http://ictvonline.org/taxonomy/p/taxonomy-history?taxnode_id=202102240","ICTVonline=202102240")</f>
        <v>ICTVonline=202102240</v>
      </c>
    </row>
    <row r="5721" spans="1:21" x14ac:dyDescent="0.2">
      <c r="A5721" s="3">
        <v>5720</v>
      </c>
      <c r="B5721" s="1" t="s">
        <v>4226</v>
      </c>
      <c r="D5721" s="1" t="s">
        <v>5412</v>
      </c>
      <c r="F5721" s="1" t="s">
        <v>5430</v>
      </c>
      <c r="H5721" s="1" t="s">
        <v>5431</v>
      </c>
      <c r="J5721" s="1" t="s">
        <v>1071</v>
      </c>
      <c r="L5721" s="1" t="s">
        <v>1072</v>
      </c>
      <c r="M5721" s="1" t="s">
        <v>2797</v>
      </c>
      <c r="N5721" s="1" t="s">
        <v>401</v>
      </c>
      <c r="P5721" s="1" t="s">
        <v>12830</v>
      </c>
      <c r="Q5721" s="30" t="s">
        <v>2567</v>
      </c>
      <c r="R5721" s="33" t="s">
        <v>3472</v>
      </c>
      <c r="S5721">
        <v>37</v>
      </c>
      <c r="T5721" s="1" t="s">
        <v>14000</v>
      </c>
      <c r="U5721" s="1" t="str">
        <f>HYPERLINK("http://ictvonline.org/taxonomy/p/taxonomy-history?taxnode_id=202113842","ICTVonline=202113842")</f>
        <v>ICTVonline=202113842</v>
      </c>
    </row>
    <row r="5722" spans="1:21" x14ac:dyDescent="0.2">
      <c r="A5722" s="3">
        <v>5721</v>
      </c>
      <c r="B5722" s="1" t="s">
        <v>4226</v>
      </c>
      <c r="D5722" s="1" t="s">
        <v>5412</v>
      </c>
      <c r="F5722" s="1" t="s">
        <v>5430</v>
      </c>
      <c r="H5722" s="1" t="s">
        <v>5431</v>
      </c>
      <c r="J5722" s="1" t="s">
        <v>1071</v>
      </c>
      <c r="L5722" s="1" t="s">
        <v>1072</v>
      </c>
      <c r="M5722" s="1" t="s">
        <v>2797</v>
      </c>
      <c r="N5722" s="1" t="s">
        <v>401</v>
      </c>
      <c r="P5722" s="1" t="s">
        <v>12831</v>
      </c>
      <c r="Q5722" s="30" t="s">
        <v>2567</v>
      </c>
      <c r="R5722" s="33" t="s">
        <v>3472</v>
      </c>
      <c r="S5722">
        <v>37</v>
      </c>
      <c r="T5722" s="1" t="s">
        <v>14000</v>
      </c>
      <c r="U5722" s="1" t="str">
        <f>HYPERLINK("http://ictvonline.org/taxonomy/p/taxonomy-history?taxnode_id=202113843","ICTVonline=202113843")</f>
        <v>ICTVonline=202113843</v>
      </c>
    </row>
    <row r="5723" spans="1:21" x14ac:dyDescent="0.2">
      <c r="A5723" s="3">
        <v>5722</v>
      </c>
      <c r="B5723" s="1" t="s">
        <v>4226</v>
      </c>
      <c r="D5723" s="1" t="s">
        <v>5412</v>
      </c>
      <c r="F5723" s="1" t="s">
        <v>5430</v>
      </c>
      <c r="H5723" s="1" t="s">
        <v>5431</v>
      </c>
      <c r="J5723" s="1" t="s">
        <v>1071</v>
      </c>
      <c r="L5723" s="1" t="s">
        <v>1072</v>
      </c>
      <c r="M5723" s="1" t="s">
        <v>2797</v>
      </c>
      <c r="N5723" s="1" t="s">
        <v>401</v>
      </c>
      <c r="P5723" s="1" t="s">
        <v>12832</v>
      </c>
      <c r="Q5723" s="30" t="s">
        <v>2567</v>
      </c>
      <c r="R5723" s="33" t="s">
        <v>3472</v>
      </c>
      <c r="S5723">
        <v>37</v>
      </c>
      <c r="T5723" s="1" t="s">
        <v>14000</v>
      </c>
      <c r="U5723" s="1" t="str">
        <f>HYPERLINK("http://ictvonline.org/taxonomy/p/taxonomy-history?taxnode_id=202113844","ICTVonline=202113844")</f>
        <v>ICTVonline=202113844</v>
      </c>
    </row>
    <row r="5724" spans="1:21" x14ac:dyDescent="0.2">
      <c r="A5724" s="3">
        <v>5723</v>
      </c>
      <c r="B5724" s="1" t="s">
        <v>4226</v>
      </c>
      <c r="D5724" s="1" t="s">
        <v>5412</v>
      </c>
      <c r="F5724" s="1" t="s">
        <v>5430</v>
      </c>
      <c r="H5724" s="1" t="s">
        <v>5431</v>
      </c>
      <c r="J5724" s="1" t="s">
        <v>1071</v>
      </c>
      <c r="L5724" s="1" t="s">
        <v>1072</v>
      </c>
      <c r="M5724" s="1" t="s">
        <v>2797</v>
      </c>
      <c r="N5724" s="1" t="s">
        <v>401</v>
      </c>
      <c r="P5724" s="1" t="s">
        <v>12833</v>
      </c>
      <c r="Q5724" s="30" t="s">
        <v>2567</v>
      </c>
      <c r="R5724" s="33" t="s">
        <v>3472</v>
      </c>
      <c r="S5724">
        <v>37</v>
      </c>
      <c r="T5724" s="1" t="s">
        <v>14000</v>
      </c>
      <c r="U5724" s="1" t="str">
        <f>HYPERLINK("http://ictvonline.org/taxonomy/p/taxonomy-history?taxnode_id=202113845","ICTVonline=202113845")</f>
        <v>ICTVonline=202113845</v>
      </c>
    </row>
    <row r="5725" spans="1:21" x14ac:dyDescent="0.2">
      <c r="A5725" s="3">
        <v>5724</v>
      </c>
      <c r="B5725" s="1" t="s">
        <v>4226</v>
      </c>
      <c r="D5725" s="1" t="s">
        <v>5412</v>
      </c>
      <c r="F5725" s="1" t="s">
        <v>5430</v>
      </c>
      <c r="H5725" s="1" t="s">
        <v>5431</v>
      </c>
      <c r="J5725" s="1" t="s">
        <v>1071</v>
      </c>
      <c r="L5725" s="1" t="s">
        <v>1072</v>
      </c>
      <c r="M5725" s="1" t="s">
        <v>2797</v>
      </c>
      <c r="N5725" s="1" t="s">
        <v>401</v>
      </c>
      <c r="P5725" s="1" t="s">
        <v>12834</v>
      </c>
      <c r="Q5725" s="30" t="s">
        <v>2567</v>
      </c>
      <c r="R5725" s="33" t="s">
        <v>3472</v>
      </c>
      <c r="S5725">
        <v>37</v>
      </c>
      <c r="T5725" s="1" t="s">
        <v>14000</v>
      </c>
      <c r="U5725" s="1" t="str">
        <f>HYPERLINK("http://ictvonline.org/taxonomy/p/taxonomy-history?taxnode_id=202113846","ICTVonline=202113846")</f>
        <v>ICTVonline=202113846</v>
      </c>
    </row>
    <row r="5726" spans="1:21" x14ac:dyDescent="0.2">
      <c r="A5726" s="3">
        <v>5725</v>
      </c>
      <c r="B5726" s="1" t="s">
        <v>4226</v>
      </c>
      <c r="D5726" s="1" t="s">
        <v>5412</v>
      </c>
      <c r="F5726" s="1" t="s">
        <v>5430</v>
      </c>
      <c r="H5726" s="1" t="s">
        <v>5431</v>
      </c>
      <c r="J5726" s="1" t="s">
        <v>1071</v>
      </c>
      <c r="L5726" s="1" t="s">
        <v>1072</v>
      </c>
      <c r="M5726" s="1" t="s">
        <v>2797</v>
      </c>
      <c r="N5726" s="1" t="s">
        <v>401</v>
      </c>
      <c r="P5726" s="1" t="s">
        <v>12835</v>
      </c>
      <c r="Q5726" s="30" t="s">
        <v>2567</v>
      </c>
      <c r="R5726" s="33" t="s">
        <v>3472</v>
      </c>
      <c r="S5726">
        <v>37</v>
      </c>
      <c r="T5726" s="1" t="s">
        <v>14000</v>
      </c>
      <c r="U5726" s="1" t="str">
        <f>HYPERLINK("http://ictvonline.org/taxonomy/p/taxonomy-history?taxnode_id=202113847","ICTVonline=202113847")</f>
        <v>ICTVonline=202113847</v>
      </c>
    </row>
    <row r="5727" spans="1:21" x14ac:dyDescent="0.2">
      <c r="A5727" s="3">
        <v>5726</v>
      </c>
      <c r="B5727" s="1" t="s">
        <v>4226</v>
      </c>
      <c r="D5727" s="1" t="s">
        <v>5412</v>
      </c>
      <c r="F5727" s="1" t="s">
        <v>5430</v>
      </c>
      <c r="H5727" s="1" t="s">
        <v>5431</v>
      </c>
      <c r="J5727" s="1" t="s">
        <v>1071</v>
      </c>
      <c r="L5727" s="1" t="s">
        <v>1072</v>
      </c>
      <c r="M5727" s="1" t="s">
        <v>2797</v>
      </c>
      <c r="N5727" s="1" t="s">
        <v>401</v>
      </c>
      <c r="P5727" s="1" t="s">
        <v>12836</v>
      </c>
      <c r="Q5727" s="30" t="s">
        <v>2567</v>
      </c>
      <c r="R5727" s="33" t="s">
        <v>3472</v>
      </c>
      <c r="S5727">
        <v>37</v>
      </c>
      <c r="T5727" s="1" t="s">
        <v>14000</v>
      </c>
      <c r="U5727" s="1" t="str">
        <f>HYPERLINK("http://ictvonline.org/taxonomy/p/taxonomy-history?taxnode_id=202113848","ICTVonline=202113848")</f>
        <v>ICTVonline=202113848</v>
      </c>
    </row>
    <row r="5728" spans="1:21" x14ac:dyDescent="0.2">
      <c r="A5728" s="3">
        <v>5727</v>
      </c>
      <c r="B5728" s="1" t="s">
        <v>4226</v>
      </c>
      <c r="D5728" s="1" t="s">
        <v>5412</v>
      </c>
      <c r="F5728" s="1" t="s">
        <v>5430</v>
      </c>
      <c r="H5728" s="1" t="s">
        <v>5431</v>
      </c>
      <c r="J5728" s="1" t="s">
        <v>1071</v>
      </c>
      <c r="L5728" s="1" t="s">
        <v>1072</v>
      </c>
      <c r="M5728" s="1" t="s">
        <v>2797</v>
      </c>
      <c r="N5728" s="1" t="s">
        <v>401</v>
      </c>
      <c r="P5728" s="1" t="s">
        <v>12837</v>
      </c>
      <c r="Q5728" s="30" t="s">
        <v>2567</v>
      </c>
      <c r="R5728" s="33" t="s">
        <v>3472</v>
      </c>
      <c r="S5728">
        <v>37</v>
      </c>
      <c r="T5728" s="1" t="s">
        <v>14000</v>
      </c>
      <c r="U5728" s="1" t="str">
        <f>HYPERLINK("http://ictvonline.org/taxonomy/p/taxonomy-history?taxnode_id=202113849","ICTVonline=202113849")</f>
        <v>ICTVonline=202113849</v>
      </c>
    </row>
    <row r="5729" spans="1:21" x14ac:dyDescent="0.2">
      <c r="A5729" s="3">
        <v>5728</v>
      </c>
      <c r="B5729" s="1" t="s">
        <v>4226</v>
      </c>
      <c r="D5729" s="1" t="s">
        <v>5412</v>
      </c>
      <c r="F5729" s="1" t="s">
        <v>5430</v>
      </c>
      <c r="H5729" s="1" t="s">
        <v>5431</v>
      </c>
      <c r="J5729" s="1" t="s">
        <v>1071</v>
      </c>
      <c r="L5729" s="1" t="s">
        <v>1072</v>
      </c>
      <c r="M5729" s="1" t="s">
        <v>2797</v>
      </c>
      <c r="N5729" s="1" t="s">
        <v>401</v>
      </c>
      <c r="P5729" s="1" t="s">
        <v>284</v>
      </c>
      <c r="Q5729" s="30" t="s">
        <v>2567</v>
      </c>
      <c r="R5729" s="33" t="s">
        <v>8665</v>
      </c>
      <c r="S5729">
        <v>36</v>
      </c>
      <c r="T5729" s="1" t="s">
        <v>8661</v>
      </c>
      <c r="U5729" s="1" t="str">
        <f>HYPERLINK("http://ictvonline.org/taxonomy/p/taxonomy-history?taxnode_id=202102241","ICTVonline=202102241")</f>
        <v>ICTVonline=202102241</v>
      </c>
    </row>
    <row r="5730" spans="1:21" x14ac:dyDescent="0.2">
      <c r="A5730" s="3">
        <v>5729</v>
      </c>
      <c r="B5730" s="1" t="s">
        <v>4226</v>
      </c>
      <c r="D5730" s="1" t="s">
        <v>5412</v>
      </c>
      <c r="F5730" s="1" t="s">
        <v>5430</v>
      </c>
      <c r="H5730" s="1" t="s">
        <v>5431</v>
      </c>
      <c r="J5730" s="1" t="s">
        <v>1071</v>
      </c>
      <c r="L5730" s="1" t="s">
        <v>1072</v>
      </c>
      <c r="M5730" s="1" t="s">
        <v>2797</v>
      </c>
      <c r="N5730" s="1" t="s">
        <v>401</v>
      </c>
      <c r="P5730" s="1" t="s">
        <v>1902</v>
      </c>
      <c r="Q5730" s="30" t="s">
        <v>2567</v>
      </c>
      <c r="R5730" s="33" t="s">
        <v>3474</v>
      </c>
      <c r="S5730">
        <v>35</v>
      </c>
      <c r="T5730" s="1" t="s">
        <v>5416</v>
      </c>
      <c r="U5730" s="1" t="str">
        <f>HYPERLINK("http://ictvonline.org/taxonomy/p/taxonomy-history?taxnode_id=202102242","ICTVonline=202102242")</f>
        <v>ICTVonline=202102242</v>
      </c>
    </row>
    <row r="5731" spans="1:21" x14ac:dyDescent="0.2">
      <c r="A5731" s="3">
        <v>5730</v>
      </c>
      <c r="B5731" s="1" t="s">
        <v>4226</v>
      </c>
      <c r="D5731" s="1" t="s">
        <v>5412</v>
      </c>
      <c r="F5731" s="1" t="s">
        <v>5430</v>
      </c>
      <c r="H5731" s="1" t="s">
        <v>5431</v>
      </c>
      <c r="J5731" s="1" t="s">
        <v>1071</v>
      </c>
      <c r="L5731" s="1" t="s">
        <v>1072</v>
      </c>
      <c r="M5731" s="1" t="s">
        <v>2797</v>
      </c>
      <c r="N5731" s="1" t="s">
        <v>401</v>
      </c>
      <c r="P5731" s="1" t="s">
        <v>1903</v>
      </c>
      <c r="Q5731" s="30" t="s">
        <v>2567</v>
      </c>
      <c r="R5731" s="33" t="s">
        <v>3474</v>
      </c>
      <c r="S5731">
        <v>35</v>
      </c>
      <c r="T5731" s="1" t="s">
        <v>5416</v>
      </c>
      <c r="U5731" s="1" t="str">
        <f>HYPERLINK("http://ictvonline.org/taxonomy/p/taxonomy-history?taxnode_id=202102243","ICTVonline=202102243")</f>
        <v>ICTVonline=202102243</v>
      </c>
    </row>
    <row r="5732" spans="1:21" x14ac:dyDescent="0.2">
      <c r="A5732" s="3">
        <v>5731</v>
      </c>
      <c r="B5732" s="1" t="s">
        <v>4226</v>
      </c>
      <c r="D5732" s="1" t="s">
        <v>5412</v>
      </c>
      <c r="F5732" s="1" t="s">
        <v>5430</v>
      </c>
      <c r="H5732" s="1" t="s">
        <v>5431</v>
      </c>
      <c r="J5732" s="1" t="s">
        <v>1071</v>
      </c>
      <c r="L5732" s="1" t="s">
        <v>1072</v>
      </c>
      <c r="M5732" s="1" t="s">
        <v>2797</v>
      </c>
      <c r="N5732" s="1" t="s">
        <v>401</v>
      </c>
      <c r="P5732" s="1" t="s">
        <v>1981</v>
      </c>
      <c r="Q5732" s="30" t="s">
        <v>2567</v>
      </c>
      <c r="R5732" s="33" t="s">
        <v>3474</v>
      </c>
      <c r="S5732">
        <v>35</v>
      </c>
      <c r="T5732" s="1" t="s">
        <v>5416</v>
      </c>
      <c r="U5732" s="1" t="str">
        <f>HYPERLINK("http://ictvonline.org/taxonomy/p/taxonomy-history?taxnode_id=202102244","ICTVonline=202102244")</f>
        <v>ICTVonline=202102244</v>
      </c>
    </row>
    <row r="5733" spans="1:21" x14ac:dyDescent="0.2">
      <c r="A5733" s="3">
        <v>5732</v>
      </c>
      <c r="B5733" s="1" t="s">
        <v>4226</v>
      </c>
      <c r="D5733" s="1" t="s">
        <v>5412</v>
      </c>
      <c r="F5733" s="1" t="s">
        <v>5430</v>
      </c>
      <c r="H5733" s="1" t="s">
        <v>5431</v>
      </c>
      <c r="J5733" s="1" t="s">
        <v>1071</v>
      </c>
      <c r="L5733" s="1" t="s">
        <v>1072</v>
      </c>
      <c r="M5733" s="1" t="s">
        <v>2797</v>
      </c>
      <c r="N5733" s="1" t="s">
        <v>401</v>
      </c>
      <c r="P5733" s="1" t="s">
        <v>1813</v>
      </c>
      <c r="Q5733" s="30" t="s">
        <v>2567</v>
      </c>
      <c r="R5733" s="33" t="s">
        <v>3474</v>
      </c>
      <c r="S5733">
        <v>35</v>
      </c>
      <c r="T5733" s="1" t="s">
        <v>5416</v>
      </c>
      <c r="U5733" s="1" t="str">
        <f>HYPERLINK("http://ictvonline.org/taxonomy/p/taxonomy-history?taxnode_id=202102245","ICTVonline=202102245")</f>
        <v>ICTVonline=202102245</v>
      </c>
    </row>
    <row r="5734" spans="1:21" x14ac:dyDescent="0.2">
      <c r="A5734" s="3">
        <v>5733</v>
      </c>
      <c r="B5734" s="1" t="s">
        <v>4226</v>
      </c>
      <c r="D5734" s="1" t="s">
        <v>5412</v>
      </c>
      <c r="F5734" s="1" t="s">
        <v>5430</v>
      </c>
      <c r="H5734" s="1" t="s">
        <v>5431</v>
      </c>
      <c r="J5734" s="1" t="s">
        <v>1071</v>
      </c>
      <c r="L5734" s="1" t="s">
        <v>1072</v>
      </c>
      <c r="M5734" s="1" t="s">
        <v>2797</v>
      </c>
      <c r="N5734" s="1" t="s">
        <v>401</v>
      </c>
      <c r="P5734" s="1" t="s">
        <v>2055</v>
      </c>
      <c r="Q5734" s="30" t="s">
        <v>2567</v>
      </c>
      <c r="R5734" s="33" t="s">
        <v>3474</v>
      </c>
      <c r="S5734">
        <v>35</v>
      </c>
      <c r="T5734" s="1" t="s">
        <v>5416</v>
      </c>
      <c r="U5734" s="1" t="str">
        <f>HYPERLINK("http://ictvonline.org/taxonomy/p/taxonomy-history?taxnode_id=202102246","ICTVonline=202102246")</f>
        <v>ICTVonline=202102246</v>
      </c>
    </row>
    <row r="5735" spans="1:21" x14ac:dyDescent="0.2">
      <c r="A5735" s="3">
        <v>5734</v>
      </c>
      <c r="B5735" s="1" t="s">
        <v>4226</v>
      </c>
      <c r="D5735" s="1" t="s">
        <v>5412</v>
      </c>
      <c r="F5735" s="1" t="s">
        <v>5430</v>
      </c>
      <c r="H5735" s="1" t="s">
        <v>5431</v>
      </c>
      <c r="J5735" s="1" t="s">
        <v>1071</v>
      </c>
      <c r="L5735" s="1" t="s">
        <v>1072</v>
      </c>
      <c r="M5735" s="1" t="s">
        <v>2797</v>
      </c>
      <c r="N5735" s="1" t="s">
        <v>401</v>
      </c>
      <c r="P5735" s="1" t="s">
        <v>1814</v>
      </c>
      <c r="Q5735" s="30" t="s">
        <v>2567</v>
      </c>
      <c r="R5735" s="33" t="s">
        <v>3474</v>
      </c>
      <c r="S5735">
        <v>35</v>
      </c>
      <c r="T5735" s="1" t="s">
        <v>5416</v>
      </c>
      <c r="U5735" s="1" t="str">
        <f>HYPERLINK("http://ictvonline.org/taxonomy/p/taxonomy-history?taxnode_id=202102247","ICTVonline=202102247")</f>
        <v>ICTVonline=202102247</v>
      </c>
    </row>
    <row r="5736" spans="1:21" x14ac:dyDescent="0.2">
      <c r="A5736" s="3">
        <v>5735</v>
      </c>
      <c r="B5736" s="1" t="s">
        <v>4226</v>
      </c>
      <c r="D5736" s="1" t="s">
        <v>5412</v>
      </c>
      <c r="F5736" s="1" t="s">
        <v>5430</v>
      </c>
      <c r="H5736" s="1" t="s">
        <v>5431</v>
      </c>
      <c r="J5736" s="1" t="s">
        <v>1071</v>
      </c>
      <c r="L5736" s="1" t="s">
        <v>1072</v>
      </c>
      <c r="M5736" s="1" t="s">
        <v>2797</v>
      </c>
      <c r="N5736" s="1" t="s">
        <v>401</v>
      </c>
      <c r="P5736" s="1" t="s">
        <v>2798</v>
      </c>
      <c r="Q5736" s="30" t="s">
        <v>2567</v>
      </c>
      <c r="R5736" s="33" t="s">
        <v>3474</v>
      </c>
      <c r="S5736">
        <v>35</v>
      </c>
      <c r="T5736" s="1" t="s">
        <v>5416</v>
      </c>
      <c r="U5736" s="1" t="str">
        <f>HYPERLINK("http://ictvonline.org/taxonomy/p/taxonomy-history?taxnode_id=202102248","ICTVonline=202102248")</f>
        <v>ICTVonline=202102248</v>
      </c>
    </row>
    <row r="5737" spans="1:21" x14ac:dyDescent="0.2">
      <c r="A5737" s="3">
        <v>5736</v>
      </c>
      <c r="B5737" s="1" t="s">
        <v>4226</v>
      </c>
      <c r="D5737" s="1" t="s">
        <v>5412</v>
      </c>
      <c r="F5737" s="1" t="s">
        <v>5430</v>
      </c>
      <c r="H5737" s="1" t="s">
        <v>5431</v>
      </c>
      <c r="J5737" s="1" t="s">
        <v>1071</v>
      </c>
      <c r="L5737" s="1" t="s">
        <v>1072</v>
      </c>
      <c r="M5737" s="1" t="s">
        <v>2797</v>
      </c>
      <c r="N5737" s="1" t="s">
        <v>401</v>
      </c>
      <c r="P5737" s="1" t="s">
        <v>1502</v>
      </c>
      <c r="Q5737" s="30" t="s">
        <v>2567</v>
      </c>
      <c r="R5737" s="33" t="s">
        <v>3474</v>
      </c>
      <c r="S5737">
        <v>35</v>
      </c>
      <c r="T5737" s="1" t="s">
        <v>5416</v>
      </c>
      <c r="U5737" s="1" t="str">
        <f>HYPERLINK("http://ictvonline.org/taxonomy/p/taxonomy-history?taxnode_id=202102249","ICTVonline=202102249")</f>
        <v>ICTVonline=202102249</v>
      </c>
    </row>
    <row r="5738" spans="1:21" x14ac:dyDescent="0.2">
      <c r="A5738" s="3">
        <v>5737</v>
      </c>
      <c r="B5738" s="1" t="s">
        <v>4226</v>
      </c>
      <c r="D5738" s="1" t="s">
        <v>5412</v>
      </c>
      <c r="F5738" s="1" t="s">
        <v>5430</v>
      </c>
      <c r="H5738" s="1" t="s">
        <v>5431</v>
      </c>
      <c r="J5738" s="1" t="s">
        <v>1071</v>
      </c>
      <c r="L5738" s="1" t="s">
        <v>1072</v>
      </c>
      <c r="M5738" s="1" t="s">
        <v>2797</v>
      </c>
      <c r="N5738" s="1" t="s">
        <v>401</v>
      </c>
      <c r="P5738" s="1" t="s">
        <v>1503</v>
      </c>
      <c r="Q5738" s="30" t="s">
        <v>2567</v>
      </c>
      <c r="R5738" s="33" t="s">
        <v>3474</v>
      </c>
      <c r="S5738">
        <v>35</v>
      </c>
      <c r="T5738" s="1" t="s">
        <v>5416</v>
      </c>
      <c r="U5738" s="1" t="str">
        <f>HYPERLINK("http://ictvonline.org/taxonomy/p/taxonomy-history?taxnode_id=202102250","ICTVonline=202102250")</f>
        <v>ICTVonline=202102250</v>
      </c>
    </row>
    <row r="5739" spans="1:21" x14ac:dyDescent="0.2">
      <c r="A5739" s="3">
        <v>5738</v>
      </c>
      <c r="B5739" s="1" t="s">
        <v>4226</v>
      </c>
      <c r="D5739" s="1" t="s">
        <v>5412</v>
      </c>
      <c r="F5739" s="1" t="s">
        <v>5430</v>
      </c>
      <c r="H5739" s="1" t="s">
        <v>5431</v>
      </c>
      <c r="J5739" s="1" t="s">
        <v>1071</v>
      </c>
      <c r="L5739" s="1" t="s">
        <v>1072</v>
      </c>
      <c r="M5739" s="1" t="s">
        <v>2797</v>
      </c>
      <c r="N5739" s="1" t="s">
        <v>401</v>
      </c>
      <c r="P5739" s="1" t="s">
        <v>2056</v>
      </c>
      <c r="Q5739" s="30" t="s">
        <v>2567</v>
      </c>
      <c r="R5739" s="33" t="s">
        <v>3474</v>
      </c>
      <c r="S5739">
        <v>35</v>
      </c>
      <c r="T5739" s="1" t="s">
        <v>5416</v>
      </c>
      <c r="U5739" s="1" t="str">
        <f>HYPERLINK("http://ictvonline.org/taxonomy/p/taxonomy-history?taxnode_id=202102251","ICTVonline=202102251")</f>
        <v>ICTVonline=202102251</v>
      </c>
    </row>
    <row r="5740" spans="1:21" x14ac:dyDescent="0.2">
      <c r="A5740" s="3">
        <v>5739</v>
      </c>
      <c r="B5740" s="1" t="s">
        <v>4226</v>
      </c>
      <c r="D5740" s="1" t="s">
        <v>5412</v>
      </c>
      <c r="F5740" s="1" t="s">
        <v>5430</v>
      </c>
      <c r="H5740" s="1" t="s">
        <v>5431</v>
      </c>
      <c r="J5740" s="1" t="s">
        <v>1071</v>
      </c>
      <c r="L5740" s="1" t="s">
        <v>1072</v>
      </c>
      <c r="M5740" s="1" t="s">
        <v>2797</v>
      </c>
      <c r="N5740" s="1" t="s">
        <v>401</v>
      </c>
      <c r="P5740" s="1" t="s">
        <v>1758</v>
      </c>
      <c r="Q5740" s="30" t="s">
        <v>2567</v>
      </c>
      <c r="R5740" s="33" t="s">
        <v>3474</v>
      </c>
      <c r="S5740">
        <v>35</v>
      </c>
      <c r="T5740" s="1" t="s">
        <v>5416</v>
      </c>
      <c r="U5740" s="1" t="str">
        <f>HYPERLINK("http://ictvonline.org/taxonomy/p/taxonomy-history?taxnode_id=202102252","ICTVonline=202102252")</f>
        <v>ICTVonline=202102252</v>
      </c>
    </row>
    <row r="5741" spans="1:21" x14ac:dyDescent="0.2">
      <c r="A5741" s="3">
        <v>5740</v>
      </c>
      <c r="B5741" s="1" t="s">
        <v>4226</v>
      </c>
      <c r="D5741" s="1" t="s">
        <v>5412</v>
      </c>
      <c r="F5741" s="1" t="s">
        <v>5430</v>
      </c>
      <c r="H5741" s="1" t="s">
        <v>5431</v>
      </c>
      <c r="J5741" s="1" t="s">
        <v>1071</v>
      </c>
      <c r="L5741" s="1" t="s">
        <v>1072</v>
      </c>
      <c r="M5741" s="1" t="s">
        <v>2797</v>
      </c>
      <c r="N5741" s="1" t="s">
        <v>401</v>
      </c>
      <c r="P5741" s="1" t="s">
        <v>2057</v>
      </c>
      <c r="Q5741" s="30" t="s">
        <v>2567</v>
      </c>
      <c r="R5741" s="33" t="s">
        <v>3474</v>
      </c>
      <c r="S5741">
        <v>35</v>
      </c>
      <c r="T5741" s="1" t="s">
        <v>5416</v>
      </c>
      <c r="U5741" s="1" t="str">
        <f>HYPERLINK("http://ictvonline.org/taxonomy/p/taxonomy-history?taxnode_id=202102253","ICTVonline=202102253")</f>
        <v>ICTVonline=202102253</v>
      </c>
    </row>
    <row r="5742" spans="1:21" x14ac:dyDescent="0.2">
      <c r="A5742" s="3">
        <v>5741</v>
      </c>
      <c r="B5742" s="1" t="s">
        <v>4226</v>
      </c>
      <c r="D5742" s="1" t="s">
        <v>5412</v>
      </c>
      <c r="F5742" s="1" t="s">
        <v>5430</v>
      </c>
      <c r="H5742" s="1" t="s">
        <v>5431</v>
      </c>
      <c r="J5742" s="1" t="s">
        <v>1071</v>
      </c>
      <c r="L5742" s="1" t="s">
        <v>1072</v>
      </c>
      <c r="M5742" s="1" t="s">
        <v>2797</v>
      </c>
      <c r="N5742" s="1" t="s">
        <v>401</v>
      </c>
      <c r="P5742" s="1" t="s">
        <v>1504</v>
      </c>
      <c r="Q5742" s="30" t="s">
        <v>2567</v>
      </c>
      <c r="R5742" s="33" t="s">
        <v>3474</v>
      </c>
      <c r="S5742">
        <v>35</v>
      </c>
      <c r="T5742" s="1" t="s">
        <v>5416</v>
      </c>
      <c r="U5742" s="1" t="str">
        <f>HYPERLINK("http://ictvonline.org/taxonomy/p/taxonomy-history?taxnode_id=202102254","ICTVonline=202102254")</f>
        <v>ICTVonline=202102254</v>
      </c>
    </row>
    <row r="5743" spans="1:21" x14ac:dyDescent="0.2">
      <c r="A5743" s="3">
        <v>5742</v>
      </c>
      <c r="B5743" s="1" t="s">
        <v>4226</v>
      </c>
      <c r="D5743" s="1" t="s">
        <v>5412</v>
      </c>
      <c r="F5743" s="1" t="s">
        <v>5430</v>
      </c>
      <c r="H5743" s="1" t="s">
        <v>5431</v>
      </c>
      <c r="J5743" s="1" t="s">
        <v>1071</v>
      </c>
      <c r="L5743" s="1" t="s">
        <v>1072</v>
      </c>
      <c r="M5743" s="1" t="s">
        <v>2797</v>
      </c>
      <c r="N5743" s="1" t="s">
        <v>401</v>
      </c>
      <c r="P5743" s="1" t="s">
        <v>1505</v>
      </c>
      <c r="Q5743" s="30" t="s">
        <v>2567</v>
      </c>
      <c r="R5743" s="33" t="s">
        <v>3474</v>
      </c>
      <c r="S5743">
        <v>35</v>
      </c>
      <c r="T5743" s="1" t="s">
        <v>5416</v>
      </c>
      <c r="U5743" s="1" t="str">
        <f>HYPERLINK("http://ictvonline.org/taxonomy/p/taxonomy-history?taxnode_id=202102255","ICTVonline=202102255")</f>
        <v>ICTVonline=202102255</v>
      </c>
    </row>
    <row r="5744" spans="1:21" x14ac:dyDescent="0.2">
      <c r="A5744" s="3">
        <v>5743</v>
      </c>
      <c r="B5744" s="1" t="s">
        <v>4226</v>
      </c>
      <c r="D5744" s="1" t="s">
        <v>5412</v>
      </c>
      <c r="F5744" s="1" t="s">
        <v>5430</v>
      </c>
      <c r="H5744" s="1" t="s">
        <v>5431</v>
      </c>
      <c r="J5744" s="1" t="s">
        <v>1071</v>
      </c>
      <c r="L5744" s="1" t="s">
        <v>1072</v>
      </c>
      <c r="M5744" s="1" t="s">
        <v>2797</v>
      </c>
      <c r="N5744" s="1" t="s">
        <v>401</v>
      </c>
      <c r="P5744" s="1" t="s">
        <v>2058</v>
      </c>
      <c r="Q5744" s="30" t="s">
        <v>2567</v>
      </c>
      <c r="R5744" s="33" t="s">
        <v>3474</v>
      </c>
      <c r="S5744">
        <v>35</v>
      </c>
      <c r="T5744" s="1" t="s">
        <v>5416</v>
      </c>
      <c r="U5744" s="1" t="str">
        <f>HYPERLINK("http://ictvonline.org/taxonomy/p/taxonomy-history?taxnode_id=202102256","ICTVonline=202102256")</f>
        <v>ICTVonline=202102256</v>
      </c>
    </row>
    <row r="5745" spans="1:21" x14ac:dyDescent="0.2">
      <c r="A5745" s="3">
        <v>5744</v>
      </c>
      <c r="B5745" s="1" t="s">
        <v>4226</v>
      </c>
      <c r="D5745" s="1" t="s">
        <v>5412</v>
      </c>
      <c r="F5745" s="1" t="s">
        <v>5430</v>
      </c>
      <c r="H5745" s="1" t="s">
        <v>5431</v>
      </c>
      <c r="J5745" s="1" t="s">
        <v>1071</v>
      </c>
      <c r="L5745" s="1" t="s">
        <v>1072</v>
      </c>
      <c r="M5745" s="1" t="s">
        <v>2797</v>
      </c>
      <c r="N5745" s="1" t="s">
        <v>401</v>
      </c>
      <c r="P5745" s="1" t="s">
        <v>3649</v>
      </c>
      <c r="Q5745" s="30" t="s">
        <v>2567</v>
      </c>
      <c r="R5745" s="33" t="s">
        <v>3474</v>
      </c>
      <c r="S5745">
        <v>35</v>
      </c>
      <c r="T5745" s="1" t="s">
        <v>5416</v>
      </c>
      <c r="U5745" s="1" t="str">
        <f>HYPERLINK("http://ictvonline.org/taxonomy/p/taxonomy-history?taxnode_id=202102257","ICTVonline=202102257")</f>
        <v>ICTVonline=202102257</v>
      </c>
    </row>
    <row r="5746" spans="1:21" x14ac:dyDescent="0.2">
      <c r="A5746" s="3">
        <v>5745</v>
      </c>
      <c r="B5746" s="1" t="s">
        <v>4226</v>
      </c>
      <c r="D5746" s="1" t="s">
        <v>5412</v>
      </c>
      <c r="F5746" s="1" t="s">
        <v>5430</v>
      </c>
      <c r="H5746" s="1" t="s">
        <v>5431</v>
      </c>
      <c r="J5746" s="1" t="s">
        <v>1071</v>
      </c>
      <c r="L5746" s="1" t="s">
        <v>1072</v>
      </c>
      <c r="M5746" s="1" t="s">
        <v>2797</v>
      </c>
      <c r="N5746" s="1" t="s">
        <v>401</v>
      </c>
      <c r="P5746" s="1" t="s">
        <v>1982</v>
      </c>
      <c r="Q5746" s="30" t="s">
        <v>2567</v>
      </c>
      <c r="R5746" s="33" t="s">
        <v>3474</v>
      </c>
      <c r="S5746">
        <v>35</v>
      </c>
      <c r="T5746" s="1" t="s">
        <v>5416</v>
      </c>
      <c r="U5746" s="1" t="str">
        <f>HYPERLINK("http://ictvonline.org/taxonomy/p/taxonomy-history?taxnode_id=202102258","ICTVonline=202102258")</f>
        <v>ICTVonline=202102258</v>
      </c>
    </row>
    <row r="5747" spans="1:21" x14ac:dyDescent="0.2">
      <c r="A5747" s="3">
        <v>5746</v>
      </c>
      <c r="B5747" s="1" t="s">
        <v>4226</v>
      </c>
      <c r="D5747" s="1" t="s">
        <v>5412</v>
      </c>
      <c r="F5747" s="1" t="s">
        <v>5430</v>
      </c>
      <c r="H5747" s="1" t="s">
        <v>5431</v>
      </c>
      <c r="J5747" s="1" t="s">
        <v>1071</v>
      </c>
      <c r="L5747" s="1" t="s">
        <v>1072</v>
      </c>
      <c r="M5747" s="1" t="s">
        <v>2797</v>
      </c>
      <c r="N5747" s="1" t="s">
        <v>401</v>
      </c>
      <c r="P5747" s="1" t="s">
        <v>3650</v>
      </c>
      <c r="Q5747" s="30" t="s">
        <v>2567</v>
      </c>
      <c r="R5747" s="33" t="s">
        <v>3474</v>
      </c>
      <c r="S5747">
        <v>35</v>
      </c>
      <c r="T5747" s="1" t="s">
        <v>5416</v>
      </c>
      <c r="U5747" s="1" t="str">
        <f>HYPERLINK("http://ictvonline.org/taxonomy/p/taxonomy-history?taxnode_id=202105638","ICTVonline=202105638")</f>
        <v>ICTVonline=202105638</v>
      </c>
    </row>
    <row r="5748" spans="1:21" x14ac:dyDescent="0.2">
      <c r="A5748" s="3">
        <v>5747</v>
      </c>
      <c r="B5748" s="1" t="s">
        <v>4226</v>
      </c>
      <c r="D5748" s="1" t="s">
        <v>5412</v>
      </c>
      <c r="F5748" s="1" t="s">
        <v>5430</v>
      </c>
      <c r="H5748" s="1" t="s">
        <v>5431</v>
      </c>
      <c r="J5748" s="1" t="s">
        <v>1071</v>
      </c>
      <c r="L5748" s="1" t="s">
        <v>1072</v>
      </c>
      <c r="M5748" s="1" t="s">
        <v>2797</v>
      </c>
      <c r="N5748" s="1" t="s">
        <v>401</v>
      </c>
      <c r="P5748" s="1" t="s">
        <v>1904</v>
      </c>
      <c r="Q5748" s="30" t="s">
        <v>2567</v>
      </c>
      <c r="R5748" s="33" t="s">
        <v>3474</v>
      </c>
      <c r="S5748">
        <v>35</v>
      </c>
      <c r="T5748" s="1" t="s">
        <v>5416</v>
      </c>
      <c r="U5748" s="1" t="str">
        <f>HYPERLINK("http://ictvonline.org/taxonomy/p/taxonomy-history?taxnode_id=202102259","ICTVonline=202102259")</f>
        <v>ICTVonline=202102259</v>
      </c>
    </row>
    <row r="5749" spans="1:21" x14ac:dyDescent="0.2">
      <c r="A5749" s="3">
        <v>5748</v>
      </c>
      <c r="B5749" s="1" t="s">
        <v>4226</v>
      </c>
      <c r="D5749" s="1" t="s">
        <v>5412</v>
      </c>
      <c r="F5749" s="1" t="s">
        <v>5430</v>
      </c>
      <c r="H5749" s="1" t="s">
        <v>5431</v>
      </c>
      <c r="J5749" s="1" t="s">
        <v>1071</v>
      </c>
      <c r="L5749" s="1" t="s">
        <v>1072</v>
      </c>
      <c r="M5749" s="1" t="s">
        <v>2797</v>
      </c>
      <c r="N5749" s="1" t="s">
        <v>401</v>
      </c>
      <c r="P5749" s="1" t="s">
        <v>1905</v>
      </c>
      <c r="Q5749" s="30" t="s">
        <v>2567</v>
      </c>
      <c r="R5749" s="33" t="s">
        <v>3474</v>
      </c>
      <c r="S5749">
        <v>35</v>
      </c>
      <c r="T5749" s="1" t="s">
        <v>5416</v>
      </c>
      <c r="U5749" s="1" t="str">
        <f>HYPERLINK("http://ictvonline.org/taxonomy/p/taxonomy-history?taxnode_id=202102260","ICTVonline=202102260")</f>
        <v>ICTVonline=202102260</v>
      </c>
    </row>
    <row r="5750" spans="1:21" x14ac:dyDescent="0.2">
      <c r="A5750" s="3">
        <v>5749</v>
      </c>
      <c r="B5750" s="1" t="s">
        <v>4226</v>
      </c>
      <c r="D5750" s="1" t="s">
        <v>5412</v>
      </c>
      <c r="F5750" s="1" t="s">
        <v>5430</v>
      </c>
      <c r="H5750" s="1" t="s">
        <v>5431</v>
      </c>
      <c r="J5750" s="1" t="s">
        <v>1071</v>
      </c>
      <c r="L5750" s="1" t="s">
        <v>1072</v>
      </c>
      <c r="M5750" s="1" t="s">
        <v>2797</v>
      </c>
      <c r="N5750" s="1" t="s">
        <v>401</v>
      </c>
      <c r="P5750" s="1" t="s">
        <v>2059</v>
      </c>
      <c r="Q5750" s="30" t="s">
        <v>2567</v>
      </c>
      <c r="R5750" s="33" t="s">
        <v>3474</v>
      </c>
      <c r="S5750">
        <v>35</v>
      </c>
      <c r="T5750" s="1" t="s">
        <v>5416</v>
      </c>
      <c r="U5750" s="1" t="str">
        <f>HYPERLINK("http://ictvonline.org/taxonomy/p/taxonomy-history?taxnode_id=202102261","ICTVonline=202102261")</f>
        <v>ICTVonline=202102261</v>
      </c>
    </row>
    <row r="5751" spans="1:21" x14ac:dyDescent="0.2">
      <c r="A5751" s="3">
        <v>5750</v>
      </c>
      <c r="B5751" s="1" t="s">
        <v>4226</v>
      </c>
      <c r="D5751" s="1" t="s">
        <v>5412</v>
      </c>
      <c r="F5751" s="1" t="s">
        <v>5430</v>
      </c>
      <c r="H5751" s="1" t="s">
        <v>5431</v>
      </c>
      <c r="J5751" s="1" t="s">
        <v>1071</v>
      </c>
      <c r="L5751" s="1" t="s">
        <v>1072</v>
      </c>
      <c r="M5751" s="1" t="s">
        <v>2797</v>
      </c>
      <c r="N5751" s="1" t="s">
        <v>401</v>
      </c>
      <c r="P5751" s="1" t="s">
        <v>1815</v>
      </c>
      <c r="Q5751" s="30" t="s">
        <v>2567</v>
      </c>
      <c r="R5751" s="33" t="s">
        <v>3474</v>
      </c>
      <c r="S5751">
        <v>35</v>
      </c>
      <c r="T5751" s="1" t="s">
        <v>5416</v>
      </c>
      <c r="U5751" s="1" t="str">
        <f>HYPERLINK("http://ictvonline.org/taxonomy/p/taxonomy-history?taxnode_id=202102262","ICTVonline=202102262")</f>
        <v>ICTVonline=202102262</v>
      </c>
    </row>
    <row r="5752" spans="1:21" x14ac:dyDescent="0.2">
      <c r="A5752" s="3">
        <v>5751</v>
      </c>
      <c r="B5752" s="1" t="s">
        <v>4226</v>
      </c>
      <c r="D5752" s="1" t="s">
        <v>5412</v>
      </c>
      <c r="F5752" s="1" t="s">
        <v>5430</v>
      </c>
      <c r="H5752" s="1" t="s">
        <v>5431</v>
      </c>
      <c r="J5752" s="1" t="s">
        <v>1071</v>
      </c>
      <c r="L5752" s="1" t="s">
        <v>1072</v>
      </c>
      <c r="M5752" s="1" t="s">
        <v>2797</v>
      </c>
      <c r="N5752" s="1" t="s">
        <v>401</v>
      </c>
      <c r="P5752" s="1" t="s">
        <v>1816</v>
      </c>
      <c r="Q5752" s="30" t="s">
        <v>2567</v>
      </c>
      <c r="R5752" s="33" t="s">
        <v>3474</v>
      </c>
      <c r="S5752">
        <v>35</v>
      </c>
      <c r="T5752" s="1" t="s">
        <v>5416</v>
      </c>
      <c r="U5752" s="1" t="str">
        <f>HYPERLINK("http://ictvonline.org/taxonomy/p/taxonomy-history?taxnode_id=202102263","ICTVonline=202102263")</f>
        <v>ICTVonline=202102263</v>
      </c>
    </row>
    <row r="5753" spans="1:21" x14ac:dyDescent="0.2">
      <c r="A5753" s="3">
        <v>5752</v>
      </c>
      <c r="B5753" s="1" t="s">
        <v>4226</v>
      </c>
      <c r="D5753" s="1" t="s">
        <v>5412</v>
      </c>
      <c r="F5753" s="1" t="s">
        <v>5430</v>
      </c>
      <c r="H5753" s="1" t="s">
        <v>5431</v>
      </c>
      <c r="J5753" s="1" t="s">
        <v>1071</v>
      </c>
      <c r="L5753" s="1" t="s">
        <v>1072</v>
      </c>
      <c r="M5753" s="1" t="s">
        <v>2797</v>
      </c>
      <c r="N5753" s="1" t="s">
        <v>401</v>
      </c>
      <c r="P5753" s="1" t="s">
        <v>1817</v>
      </c>
      <c r="Q5753" s="30" t="s">
        <v>2567</v>
      </c>
      <c r="R5753" s="33" t="s">
        <v>3474</v>
      </c>
      <c r="S5753">
        <v>35</v>
      </c>
      <c r="T5753" s="1" t="s">
        <v>5416</v>
      </c>
      <c r="U5753" s="1" t="str">
        <f>HYPERLINK("http://ictvonline.org/taxonomy/p/taxonomy-history?taxnode_id=202102264","ICTVonline=202102264")</f>
        <v>ICTVonline=202102264</v>
      </c>
    </row>
    <row r="5754" spans="1:21" x14ac:dyDescent="0.2">
      <c r="A5754" s="3">
        <v>5753</v>
      </c>
      <c r="B5754" s="1" t="s">
        <v>4226</v>
      </c>
      <c r="D5754" s="1" t="s">
        <v>5412</v>
      </c>
      <c r="F5754" s="1" t="s">
        <v>5430</v>
      </c>
      <c r="H5754" s="1" t="s">
        <v>5431</v>
      </c>
      <c r="J5754" s="1" t="s">
        <v>1071</v>
      </c>
      <c r="L5754" s="1" t="s">
        <v>1072</v>
      </c>
      <c r="M5754" s="1" t="s">
        <v>2797</v>
      </c>
      <c r="N5754" s="1" t="s">
        <v>401</v>
      </c>
      <c r="P5754" s="1" t="s">
        <v>1818</v>
      </c>
      <c r="Q5754" s="30" t="s">
        <v>2567</v>
      </c>
      <c r="R5754" s="33" t="s">
        <v>3474</v>
      </c>
      <c r="S5754">
        <v>35</v>
      </c>
      <c r="T5754" s="1" t="s">
        <v>5416</v>
      </c>
      <c r="U5754" s="1" t="str">
        <f>HYPERLINK("http://ictvonline.org/taxonomy/p/taxonomy-history?taxnode_id=202102265","ICTVonline=202102265")</f>
        <v>ICTVonline=202102265</v>
      </c>
    </row>
    <row r="5755" spans="1:21" x14ac:dyDescent="0.2">
      <c r="A5755" s="3">
        <v>5754</v>
      </c>
      <c r="B5755" s="1" t="s">
        <v>4226</v>
      </c>
      <c r="D5755" s="1" t="s">
        <v>5412</v>
      </c>
      <c r="F5755" s="1" t="s">
        <v>5430</v>
      </c>
      <c r="H5755" s="1" t="s">
        <v>5431</v>
      </c>
      <c r="J5755" s="1" t="s">
        <v>1071</v>
      </c>
      <c r="L5755" s="1" t="s">
        <v>1072</v>
      </c>
      <c r="M5755" s="1" t="s">
        <v>2797</v>
      </c>
      <c r="N5755" s="1" t="s">
        <v>401</v>
      </c>
      <c r="P5755" s="1" t="s">
        <v>2060</v>
      </c>
      <c r="Q5755" s="30" t="s">
        <v>2567</v>
      </c>
      <c r="R5755" s="33" t="s">
        <v>3474</v>
      </c>
      <c r="S5755">
        <v>35</v>
      </c>
      <c r="T5755" s="1" t="s">
        <v>5416</v>
      </c>
      <c r="U5755" s="1" t="str">
        <f>HYPERLINK("http://ictvonline.org/taxonomy/p/taxonomy-history?taxnode_id=202102266","ICTVonline=202102266")</f>
        <v>ICTVonline=202102266</v>
      </c>
    </row>
    <row r="5756" spans="1:21" x14ac:dyDescent="0.2">
      <c r="A5756" s="3">
        <v>5755</v>
      </c>
      <c r="B5756" s="1" t="s">
        <v>4226</v>
      </c>
      <c r="D5756" s="1" t="s">
        <v>5412</v>
      </c>
      <c r="F5756" s="1" t="s">
        <v>5430</v>
      </c>
      <c r="H5756" s="1" t="s">
        <v>5431</v>
      </c>
      <c r="J5756" s="1" t="s">
        <v>1071</v>
      </c>
      <c r="L5756" s="1" t="s">
        <v>1072</v>
      </c>
      <c r="M5756" s="1" t="s">
        <v>2797</v>
      </c>
      <c r="N5756" s="1" t="s">
        <v>401</v>
      </c>
      <c r="P5756" s="1" t="s">
        <v>2061</v>
      </c>
      <c r="Q5756" s="30" t="s">
        <v>2567</v>
      </c>
      <c r="R5756" s="33" t="s">
        <v>3474</v>
      </c>
      <c r="S5756">
        <v>35</v>
      </c>
      <c r="T5756" s="1" t="s">
        <v>5416</v>
      </c>
      <c r="U5756" s="1" t="str">
        <f>HYPERLINK("http://ictvonline.org/taxonomy/p/taxonomy-history?taxnode_id=202102267","ICTVonline=202102267")</f>
        <v>ICTVonline=202102267</v>
      </c>
    </row>
    <row r="5757" spans="1:21" x14ac:dyDescent="0.2">
      <c r="A5757" s="3">
        <v>5756</v>
      </c>
      <c r="B5757" s="1" t="s">
        <v>4226</v>
      </c>
      <c r="D5757" s="1" t="s">
        <v>5412</v>
      </c>
      <c r="F5757" s="1" t="s">
        <v>5430</v>
      </c>
      <c r="H5757" s="1" t="s">
        <v>5431</v>
      </c>
      <c r="J5757" s="1" t="s">
        <v>1071</v>
      </c>
      <c r="L5757" s="1" t="s">
        <v>1072</v>
      </c>
      <c r="M5757" s="1" t="s">
        <v>2797</v>
      </c>
      <c r="N5757" s="1" t="s">
        <v>401</v>
      </c>
      <c r="P5757" s="1" t="s">
        <v>2062</v>
      </c>
      <c r="Q5757" s="30" t="s">
        <v>2567</v>
      </c>
      <c r="R5757" s="33" t="s">
        <v>3474</v>
      </c>
      <c r="S5757">
        <v>35</v>
      </c>
      <c r="T5757" s="1" t="s">
        <v>5416</v>
      </c>
      <c r="U5757" s="1" t="str">
        <f>HYPERLINK("http://ictvonline.org/taxonomy/p/taxonomy-history?taxnode_id=202102268","ICTVonline=202102268")</f>
        <v>ICTVonline=202102268</v>
      </c>
    </row>
    <row r="5758" spans="1:21" x14ac:dyDescent="0.2">
      <c r="A5758" s="3">
        <v>5757</v>
      </c>
      <c r="B5758" s="1" t="s">
        <v>4226</v>
      </c>
      <c r="D5758" s="1" t="s">
        <v>5412</v>
      </c>
      <c r="F5758" s="1" t="s">
        <v>5430</v>
      </c>
      <c r="H5758" s="1" t="s">
        <v>5431</v>
      </c>
      <c r="J5758" s="1" t="s">
        <v>1071</v>
      </c>
      <c r="L5758" s="1" t="s">
        <v>1072</v>
      </c>
      <c r="M5758" s="1" t="s">
        <v>2797</v>
      </c>
      <c r="N5758" s="1" t="s">
        <v>401</v>
      </c>
      <c r="P5758" s="1" t="s">
        <v>1819</v>
      </c>
      <c r="Q5758" s="30" t="s">
        <v>2567</v>
      </c>
      <c r="R5758" s="33" t="s">
        <v>3474</v>
      </c>
      <c r="S5758">
        <v>35</v>
      </c>
      <c r="T5758" s="1" t="s">
        <v>5416</v>
      </c>
      <c r="U5758" s="1" t="str">
        <f>HYPERLINK("http://ictvonline.org/taxonomy/p/taxonomy-history?taxnode_id=202102269","ICTVonline=202102269")</f>
        <v>ICTVonline=202102269</v>
      </c>
    </row>
    <row r="5759" spans="1:21" x14ac:dyDescent="0.2">
      <c r="A5759" s="3">
        <v>5758</v>
      </c>
      <c r="B5759" s="1" t="s">
        <v>4226</v>
      </c>
      <c r="D5759" s="1" t="s">
        <v>5412</v>
      </c>
      <c r="F5759" s="1" t="s">
        <v>5430</v>
      </c>
      <c r="H5759" s="1" t="s">
        <v>5431</v>
      </c>
      <c r="J5759" s="1" t="s">
        <v>1071</v>
      </c>
      <c r="L5759" s="1" t="s">
        <v>1072</v>
      </c>
      <c r="M5759" s="1" t="s">
        <v>2797</v>
      </c>
      <c r="N5759" s="1" t="s">
        <v>401</v>
      </c>
      <c r="P5759" s="1" t="s">
        <v>1820</v>
      </c>
      <c r="Q5759" s="30" t="s">
        <v>2567</v>
      </c>
      <c r="R5759" s="33" t="s">
        <v>3474</v>
      </c>
      <c r="S5759">
        <v>35</v>
      </c>
      <c r="T5759" s="1" t="s">
        <v>5416</v>
      </c>
      <c r="U5759" s="1" t="str">
        <f>HYPERLINK("http://ictvonline.org/taxonomy/p/taxonomy-history?taxnode_id=202102270","ICTVonline=202102270")</f>
        <v>ICTVonline=202102270</v>
      </c>
    </row>
    <row r="5760" spans="1:21" x14ac:dyDescent="0.2">
      <c r="A5760" s="3">
        <v>5759</v>
      </c>
      <c r="B5760" s="1" t="s">
        <v>4226</v>
      </c>
      <c r="D5760" s="1" t="s">
        <v>5412</v>
      </c>
      <c r="F5760" s="1" t="s">
        <v>5430</v>
      </c>
      <c r="H5760" s="1" t="s">
        <v>5431</v>
      </c>
      <c r="J5760" s="1" t="s">
        <v>1071</v>
      </c>
      <c r="L5760" s="1" t="s">
        <v>1072</v>
      </c>
      <c r="M5760" s="1" t="s">
        <v>2797</v>
      </c>
      <c r="N5760" s="1" t="s">
        <v>401</v>
      </c>
      <c r="P5760" s="1" t="s">
        <v>2799</v>
      </c>
      <c r="Q5760" s="30" t="s">
        <v>2567</v>
      </c>
      <c r="R5760" s="33" t="s">
        <v>3474</v>
      </c>
      <c r="S5760">
        <v>35</v>
      </c>
      <c r="T5760" s="1" t="s">
        <v>5416</v>
      </c>
      <c r="U5760" s="1" t="str">
        <f>HYPERLINK("http://ictvonline.org/taxonomy/p/taxonomy-history?taxnode_id=202102271","ICTVonline=202102271")</f>
        <v>ICTVonline=202102271</v>
      </c>
    </row>
    <row r="5761" spans="1:21" x14ac:dyDescent="0.2">
      <c r="A5761" s="3">
        <v>5760</v>
      </c>
      <c r="B5761" s="1" t="s">
        <v>4226</v>
      </c>
      <c r="D5761" s="1" t="s">
        <v>5412</v>
      </c>
      <c r="F5761" s="1" t="s">
        <v>5430</v>
      </c>
      <c r="H5761" s="1" t="s">
        <v>5431</v>
      </c>
      <c r="J5761" s="1" t="s">
        <v>1071</v>
      </c>
      <c r="L5761" s="1" t="s">
        <v>1072</v>
      </c>
      <c r="M5761" s="1" t="s">
        <v>2797</v>
      </c>
      <c r="N5761" s="1" t="s">
        <v>401</v>
      </c>
      <c r="P5761" s="1" t="s">
        <v>1821</v>
      </c>
      <c r="Q5761" s="30" t="s">
        <v>2567</v>
      </c>
      <c r="R5761" s="33" t="s">
        <v>3474</v>
      </c>
      <c r="S5761">
        <v>35</v>
      </c>
      <c r="T5761" s="1" t="s">
        <v>5416</v>
      </c>
      <c r="U5761" s="1" t="str">
        <f>HYPERLINK("http://ictvonline.org/taxonomy/p/taxonomy-history?taxnode_id=202102272","ICTVonline=202102272")</f>
        <v>ICTVonline=202102272</v>
      </c>
    </row>
    <row r="5762" spans="1:21" x14ac:dyDescent="0.2">
      <c r="A5762" s="3">
        <v>5761</v>
      </c>
      <c r="B5762" s="1" t="s">
        <v>4226</v>
      </c>
      <c r="D5762" s="1" t="s">
        <v>5412</v>
      </c>
      <c r="F5762" s="1" t="s">
        <v>5430</v>
      </c>
      <c r="H5762" s="1" t="s">
        <v>5431</v>
      </c>
      <c r="J5762" s="1" t="s">
        <v>1071</v>
      </c>
      <c r="L5762" s="1" t="s">
        <v>1072</v>
      </c>
      <c r="M5762" s="1" t="s">
        <v>2797</v>
      </c>
      <c r="N5762" s="1" t="s">
        <v>401</v>
      </c>
      <c r="P5762" s="1" t="s">
        <v>1822</v>
      </c>
      <c r="Q5762" s="30" t="s">
        <v>2567</v>
      </c>
      <c r="R5762" s="33" t="s">
        <v>3474</v>
      </c>
      <c r="S5762">
        <v>35</v>
      </c>
      <c r="T5762" s="1" t="s">
        <v>5416</v>
      </c>
      <c r="U5762" s="1" t="str">
        <f>HYPERLINK("http://ictvonline.org/taxonomy/p/taxonomy-history?taxnode_id=202102273","ICTVonline=202102273")</f>
        <v>ICTVonline=202102273</v>
      </c>
    </row>
    <row r="5763" spans="1:21" x14ac:dyDescent="0.2">
      <c r="A5763" s="3">
        <v>5762</v>
      </c>
      <c r="B5763" s="1" t="s">
        <v>4226</v>
      </c>
      <c r="D5763" s="1" t="s">
        <v>5412</v>
      </c>
      <c r="F5763" s="1" t="s">
        <v>5430</v>
      </c>
      <c r="H5763" s="1" t="s">
        <v>5431</v>
      </c>
      <c r="J5763" s="1" t="s">
        <v>1071</v>
      </c>
      <c r="L5763" s="1" t="s">
        <v>1072</v>
      </c>
      <c r="M5763" s="1" t="s">
        <v>2797</v>
      </c>
      <c r="N5763" s="1" t="s">
        <v>401</v>
      </c>
      <c r="P5763" s="1" t="s">
        <v>1823</v>
      </c>
      <c r="Q5763" s="30" t="s">
        <v>2567</v>
      </c>
      <c r="R5763" s="33" t="s">
        <v>3474</v>
      </c>
      <c r="S5763">
        <v>35</v>
      </c>
      <c r="T5763" s="1" t="s">
        <v>5416</v>
      </c>
      <c r="U5763" s="1" t="str">
        <f>HYPERLINK("http://ictvonline.org/taxonomy/p/taxonomy-history?taxnode_id=202102274","ICTVonline=202102274")</f>
        <v>ICTVonline=202102274</v>
      </c>
    </row>
    <row r="5764" spans="1:21" x14ac:dyDescent="0.2">
      <c r="A5764" s="3">
        <v>5763</v>
      </c>
      <c r="B5764" s="1" t="s">
        <v>4226</v>
      </c>
      <c r="D5764" s="1" t="s">
        <v>5412</v>
      </c>
      <c r="F5764" s="1" t="s">
        <v>5430</v>
      </c>
      <c r="H5764" s="1" t="s">
        <v>5431</v>
      </c>
      <c r="J5764" s="1" t="s">
        <v>1071</v>
      </c>
      <c r="L5764" s="1" t="s">
        <v>1072</v>
      </c>
      <c r="M5764" s="1" t="s">
        <v>2797</v>
      </c>
      <c r="N5764" s="1" t="s">
        <v>401</v>
      </c>
      <c r="P5764" s="1" t="s">
        <v>1824</v>
      </c>
      <c r="Q5764" s="30" t="s">
        <v>2567</v>
      </c>
      <c r="R5764" s="33" t="s">
        <v>3474</v>
      </c>
      <c r="S5764">
        <v>35</v>
      </c>
      <c r="T5764" s="1" t="s">
        <v>5416</v>
      </c>
      <c r="U5764" s="1" t="str">
        <f>HYPERLINK("http://ictvonline.org/taxonomy/p/taxonomy-history?taxnode_id=202102275","ICTVonline=202102275")</f>
        <v>ICTVonline=202102275</v>
      </c>
    </row>
    <row r="5765" spans="1:21" x14ac:dyDescent="0.2">
      <c r="A5765" s="3">
        <v>5764</v>
      </c>
      <c r="B5765" s="1" t="s">
        <v>4226</v>
      </c>
      <c r="D5765" s="1" t="s">
        <v>5412</v>
      </c>
      <c r="F5765" s="1" t="s">
        <v>5430</v>
      </c>
      <c r="H5765" s="1" t="s">
        <v>5431</v>
      </c>
      <c r="J5765" s="1" t="s">
        <v>1071</v>
      </c>
      <c r="L5765" s="1" t="s">
        <v>1072</v>
      </c>
      <c r="M5765" s="1" t="s">
        <v>2797</v>
      </c>
      <c r="N5765" s="1" t="s">
        <v>401</v>
      </c>
      <c r="P5765" s="1" t="s">
        <v>3651</v>
      </c>
      <c r="Q5765" s="30" t="s">
        <v>2567</v>
      </c>
      <c r="R5765" s="33" t="s">
        <v>3474</v>
      </c>
      <c r="S5765">
        <v>35</v>
      </c>
      <c r="T5765" s="1" t="s">
        <v>5416</v>
      </c>
      <c r="U5765" s="1" t="str">
        <f>HYPERLINK("http://ictvonline.org/taxonomy/p/taxonomy-history?taxnode_id=202105639","ICTVonline=202105639")</f>
        <v>ICTVonline=202105639</v>
      </c>
    </row>
    <row r="5766" spans="1:21" x14ac:dyDescent="0.2">
      <c r="A5766" s="3">
        <v>5765</v>
      </c>
      <c r="B5766" s="1" t="s">
        <v>4226</v>
      </c>
      <c r="D5766" s="1" t="s">
        <v>5412</v>
      </c>
      <c r="F5766" s="1" t="s">
        <v>5430</v>
      </c>
      <c r="H5766" s="1" t="s">
        <v>5431</v>
      </c>
      <c r="J5766" s="1" t="s">
        <v>1071</v>
      </c>
      <c r="L5766" s="1" t="s">
        <v>1072</v>
      </c>
      <c r="M5766" s="1" t="s">
        <v>2797</v>
      </c>
      <c r="N5766" s="1" t="s">
        <v>401</v>
      </c>
      <c r="P5766" s="1" t="s">
        <v>3652</v>
      </c>
      <c r="Q5766" s="30" t="s">
        <v>2567</v>
      </c>
      <c r="R5766" s="33" t="s">
        <v>3474</v>
      </c>
      <c r="S5766">
        <v>35</v>
      </c>
      <c r="T5766" s="1" t="s">
        <v>5416</v>
      </c>
      <c r="U5766" s="1" t="str">
        <f>HYPERLINK("http://ictvonline.org/taxonomy/p/taxonomy-history?taxnode_id=202105640","ICTVonline=202105640")</f>
        <v>ICTVonline=202105640</v>
      </c>
    </row>
    <row r="5767" spans="1:21" x14ac:dyDescent="0.2">
      <c r="A5767" s="3">
        <v>5766</v>
      </c>
      <c r="B5767" s="1" t="s">
        <v>4226</v>
      </c>
      <c r="D5767" s="1" t="s">
        <v>5412</v>
      </c>
      <c r="F5767" s="1" t="s">
        <v>5430</v>
      </c>
      <c r="H5767" s="1" t="s">
        <v>5431</v>
      </c>
      <c r="J5767" s="1" t="s">
        <v>1071</v>
      </c>
      <c r="L5767" s="1" t="s">
        <v>1072</v>
      </c>
      <c r="M5767" s="1" t="s">
        <v>2797</v>
      </c>
      <c r="N5767" s="1" t="s">
        <v>401</v>
      </c>
      <c r="P5767" s="1" t="s">
        <v>3653</v>
      </c>
      <c r="Q5767" s="30" t="s">
        <v>2567</v>
      </c>
      <c r="R5767" s="33" t="s">
        <v>3474</v>
      </c>
      <c r="S5767">
        <v>35</v>
      </c>
      <c r="T5767" s="1" t="s">
        <v>5416</v>
      </c>
      <c r="U5767" s="1" t="str">
        <f>HYPERLINK("http://ictvonline.org/taxonomy/p/taxonomy-history?taxnode_id=202105641","ICTVonline=202105641")</f>
        <v>ICTVonline=202105641</v>
      </c>
    </row>
    <row r="5768" spans="1:21" x14ac:dyDescent="0.2">
      <c r="A5768" s="3">
        <v>5767</v>
      </c>
      <c r="B5768" s="1" t="s">
        <v>4226</v>
      </c>
      <c r="D5768" s="1" t="s">
        <v>5412</v>
      </c>
      <c r="F5768" s="1" t="s">
        <v>5430</v>
      </c>
      <c r="H5768" s="1" t="s">
        <v>5431</v>
      </c>
      <c r="J5768" s="1" t="s">
        <v>1071</v>
      </c>
      <c r="L5768" s="1" t="s">
        <v>1072</v>
      </c>
      <c r="M5768" s="1" t="s">
        <v>2797</v>
      </c>
      <c r="N5768" s="1" t="s">
        <v>401</v>
      </c>
      <c r="P5768" s="1" t="s">
        <v>1825</v>
      </c>
      <c r="Q5768" s="30" t="s">
        <v>2567</v>
      </c>
      <c r="R5768" s="33" t="s">
        <v>3474</v>
      </c>
      <c r="S5768">
        <v>35</v>
      </c>
      <c r="T5768" s="1" t="s">
        <v>5416</v>
      </c>
      <c r="U5768" s="1" t="str">
        <f>HYPERLINK("http://ictvonline.org/taxonomy/p/taxonomy-history?taxnode_id=202102276","ICTVonline=202102276")</f>
        <v>ICTVonline=202102276</v>
      </c>
    </row>
    <row r="5769" spans="1:21" x14ac:dyDescent="0.2">
      <c r="A5769" s="3">
        <v>5768</v>
      </c>
      <c r="B5769" s="1" t="s">
        <v>4226</v>
      </c>
      <c r="D5769" s="1" t="s">
        <v>5412</v>
      </c>
      <c r="F5769" s="1" t="s">
        <v>5430</v>
      </c>
      <c r="H5769" s="1" t="s">
        <v>5431</v>
      </c>
      <c r="J5769" s="1" t="s">
        <v>1071</v>
      </c>
      <c r="L5769" s="1" t="s">
        <v>1072</v>
      </c>
      <c r="M5769" s="1" t="s">
        <v>2797</v>
      </c>
      <c r="N5769" s="1" t="s">
        <v>401</v>
      </c>
      <c r="P5769" s="1" t="s">
        <v>3654</v>
      </c>
      <c r="Q5769" s="30" t="s">
        <v>2567</v>
      </c>
      <c r="R5769" s="33" t="s">
        <v>3474</v>
      </c>
      <c r="S5769">
        <v>35</v>
      </c>
      <c r="T5769" s="1" t="s">
        <v>5416</v>
      </c>
      <c r="U5769" s="1" t="str">
        <f>HYPERLINK("http://ictvonline.org/taxonomy/p/taxonomy-history?taxnode_id=202102277","ICTVonline=202102277")</f>
        <v>ICTVonline=202102277</v>
      </c>
    </row>
    <row r="5770" spans="1:21" x14ac:dyDescent="0.2">
      <c r="A5770" s="3">
        <v>5769</v>
      </c>
      <c r="B5770" s="1" t="s">
        <v>4226</v>
      </c>
      <c r="D5770" s="1" t="s">
        <v>5412</v>
      </c>
      <c r="F5770" s="1" t="s">
        <v>5430</v>
      </c>
      <c r="H5770" s="1" t="s">
        <v>5431</v>
      </c>
      <c r="J5770" s="1" t="s">
        <v>1071</v>
      </c>
      <c r="L5770" s="1" t="s">
        <v>1072</v>
      </c>
      <c r="M5770" s="1" t="s">
        <v>2797</v>
      </c>
      <c r="N5770" s="1" t="s">
        <v>401</v>
      </c>
      <c r="P5770" s="1" t="s">
        <v>212</v>
      </c>
      <c r="Q5770" s="30" t="s">
        <v>2567</v>
      </c>
      <c r="R5770" s="33" t="s">
        <v>3474</v>
      </c>
      <c r="S5770">
        <v>35</v>
      </c>
      <c r="T5770" s="1" t="s">
        <v>5416</v>
      </c>
      <c r="U5770" s="1" t="str">
        <f>HYPERLINK("http://ictvonline.org/taxonomy/p/taxonomy-history?taxnode_id=202102278","ICTVonline=202102278")</f>
        <v>ICTVonline=202102278</v>
      </c>
    </row>
    <row r="5771" spans="1:21" x14ac:dyDescent="0.2">
      <c r="A5771" s="3">
        <v>5770</v>
      </c>
      <c r="B5771" s="1" t="s">
        <v>4226</v>
      </c>
      <c r="D5771" s="1" t="s">
        <v>5412</v>
      </c>
      <c r="F5771" s="1" t="s">
        <v>5430</v>
      </c>
      <c r="H5771" s="1" t="s">
        <v>5431</v>
      </c>
      <c r="J5771" s="1" t="s">
        <v>1071</v>
      </c>
      <c r="L5771" s="1" t="s">
        <v>1072</v>
      </c>
      <c r="M5771" s="1" t="s">
        <v>2797</v>
      </c>
      <c r="N5771" s="1" t="s">
        <v>401</v>
      </c>
      <c r="P5771" s="1" t="s">
        <v>2063</v>
      </c>
      <c r="Q5771" s="30" t="s">
        <v>2567</v>
      </c>
      <c r="R5771" s="33" t="s">
        <v>3474</v>
      </c>
      <c r="S5771">
        <v>35</v>
      </c>
      <c r="T5771" s="1" t="s">
        <v>5416</v>
      </c>
      <c r="U5771" s="1" t="str">
        <f>HYPERLINK("http://ictvonline.org/taxonomy/p/taxonomy-history?taxnode_id=202102279","ICTVonline=202102279")</f>
        <v>ICTVonline=202102279</v>
      </c>
    </row>
    <row r="5772" spans="1:21" x14ac:dyDescent="0.2">
      <c r="A5772" s="3">
        <v>5771</v>
      </c>
      <c r="B5772" s="1" t="s">
        <v>4226</v>
      </c>
      <c r="D5772" s="1" t="s">
        <v>5412</v>
      </c>
      <c r="F5772" s="1" t="s">
        <v>5430</v>
      </c>
      <c r="H5772" s="1" t="s">
        <v>5431</v>
      </c>
      <c r="J5772" s="1" t="s">
        <v>1071</v>
      </c>
      <c r="L5772" s="1" t="s">
        <v>1072</v>
      </c>
      <c r="M5772" s="1" t="s">
        <v>2797</v>
      </c>
      <c r="N5772" s="1" t="s">
        <v>401</v>
      </c>
      <c r="P5772" s="1" t="s">
        <v>213</v>
      </c>
      <c r="Q5772" s="30" t="s">
        <v>2567</v>
      </c>
      <c r="R5772" s="33" t="s">
        <v>3474</v>
      </c>
      <c r="S5772">
        <v>35</v>
      </c>
      <c r="T5772" s="1" t="s">
        <v>5416</v>
      </c>
      <c r="U5772" s="1" t="str">
        <f>HYPERLINK("http://ictvonline.org/taxonomy/p/taxonomy-history?taxnode_id=202102280","ICTVonline=202102280")</f>
        <v>ICTVonline=202102280</v>
      </c>
    </row>
    <row r="5773" spans="1:21" x14ac:dyDescent="0.2">
      <c r="A5773" s="3">
        <v>5772</v>
      </c>
      <c r="B5773" s="1" t="s">
        <v>4226</v>
      </c>
      <c r="D5773" s="1" t="s">
        <v>5412</v>
      </c>
      <c r="F5773" s="1" t="s">
        <v>5430</v>
      </c>
      <c r="H5773" s="1" t="s">
        <v>5431</v>
      </c>
      <c r="J5773" s="1" t="s">
        <v>1071</v>
      </c>
      <c r="L5773" s="1" t="s">
        <v>1072</v>
      </c>
      <c r="M5773" s="1" t="s">
        <v>2797</v>
      </c>
      <c r="N5773" s="1" t="s">
        <v>401</v>
      </c>
      <c r="P5773" s="1" t="s">
        <v>214</v>
      </c>
      <c r="Q5773" s="30" t="s">
        <v>2567</v>
      </c>
      <c r="R5773" s="33" t="s">
        <v>3474</v>
      </c>
      <c r="S5773">
        <v>35</v>
      </c>
      <c r="T5773" s="1" t="s">
        <v>5416</v>
      </c>
      <c r="U5773" s="1" t="str">
        <f>HYPERLINK("http://ictvonline.org/taxonomy/p/taxonomy-history?taxnode_id=202102281","ICTVonline=202102281")</f>
        <v>ICTVonline=202102281</v>
      </c>
    </row>
    <row r="5774" spans="1:21" x14ac:dyDescent="0.2">
      <c r="A5774" s="3">
        <v>5773</v>
      </c>
      <c r="B5774" s="1" t="s">
        <v>4226</v>
      </c>
      <c r="D5774" s="1" t="s">
        <v>5412</v>
      </c>
      <c r="F5774" s="1" t="s">
        <v>5430</v>
      </c>
      <c r="H5774" s="1" t="s">
        <v>5431</v>
      </c>
      <c r="J5774" s="1" t="s">
        <v>1071</v>
      </c>
      <c r="L5774" s="1" t="s">
        <v>1072</v>
      </c>
      <c r="M5774" s="1" t="s">
        <v>2797</v>
      </c>
      <c r="N5774" s="1" t="s">
        <v>401</v>
      </c>
      <c r="P5774" s="1" t="s">
        <v>3655</v>
      </c>
      <c r="Q5774" s="30" t="s">
        <v>2567</v>
      </c>
      <c r="R5774" s="33" t="s">
        <v>3474</v>
      </c>
      <c r="S5774">
        <v>35</v>
      </c>
      <c r="T5774" s="1" t="s">
        <v>5416</v>
      </c>
      <c r="U5774" s="1" t="str">
        <f>HYPERLINK("http://ictvonline.org/taxonomy/p/taxonomy-history?taxnode_id=202105642","ICTVonline=202105642")</f>
        <v>ICTVonline=202105642</v>
      </c>
    </row>
    <row r="5775" spans="1:21" x14ac:dyDescent="0.2">
      <c r="A5775" s="3">
        <v>5774</v>
      </c>
      <c r="B5775" s="1" t="s">
        <v>4226</v>
      </c>
      <c r="D5775" s="1" t="s">
        <v>5412</v>
      </c>
      <c r="F5775" s="1" t="s">
        <v>5430</v>
      </c>
      <c r="H5775" s="1" t="s">
        <v>5431</v>
      </c>
      <c r="J5775" s="1" t="s">
        <v>1071</v>
      </c>
      <c r="L5775" s="1" t="s">
        <v>1072</v>
      </c>
      <c r="M5775" s="1" t="s">
        <v>2797</v>
      </c>
      <c r="N5775" s="1" t="s">
        <v>217</v>
      </c>
      <c r="P5775" s="1" t="s">
        <v>218</v>
      </c>
      <c r="Q5775" s="30" t="s">
        <v>2567</v>
      </c>
      <c r="R5775" s="33" t="s">
        <v>8665</v>
      </c>
      <c r="S5775">
        <v>36</v>
      </c>
      <c r="T5775" s="1" t="s">
        <v>8661</v>
      </c>
      <c r="U5775" s="1" t="str">
        <f>HYPERLINK("http://ictvonline.org/taxonomy/p/taxonomy-history?taxnode_id=202102283","ICTVonline=202102283")</f>
        <v>ICTVonline=202102283</v>
      </c>
    </row>
    <row r="5776" spans="1:21" x14ac:dyDescent="0.2">
      <c r="A5776" s="3">
        <v>5775</v>
      </c>
      <c r="B5776" s="1" t="s">
        <v>4226</v>
      </c>
      <c r="D5776" s="1" t="s">
        <v>5412</v>
      </c>
      <c r="F5776" s="1" t="s">
        <v>5430</v>
      </c>
      <c r="H5776" s="1" t="s">
        <v>5431</v>
      </c>
      <c r="J5776" s="1" t="s">
        <v>1071</v>
      </c>
      <c r="L5776" s="1" t="s">
        <v>1072</v>
      </c>
      <c r="M5776" s="1" t="s">
        <v>2797</v>
      </c>
      <c r="N5776" s="1" t="s">
        <v>217</v>
      </c>
      <c r="P5776" s="1" t="s">
        <v>219</v>
      </c>
      <c r="Q5776" s="30" t="s">
        <v>2567</v>
      </c>
      <c r="R5776" s="33" t="s">
        <v>3474</v>
      </c>
      <c r="S5776">
        <v>35</v>
      </c>
      <c r="T5776" s="1" t="s">
        <v>5416</v>
      </c>
      <c r="U5776" s="1" t="str">
        <f>HYPERLINK("http://ictvonline.org/taxonomy/p/taxonomy-history?taxnode_id=202102284","ICTVonline=202102284")</f>
        <v>ICTVonline=202102284</v>
      </c>
    </row>
    <row r="5777" spans="1:21" x14ac:dyDescent="0.2">
      <c r="A5777" s="3">
        <v>5776</v>
      </c>
      <c r="B5777" s="1" t="s">
        <v>4226</v>
      </c>
      <c r="D5777" s="1" t="s">
        <v>5412</v>
      </c>
      <c r="F5777" s="1" t="s">
        <v>5430</v>
      </c>
      <c r="H5777" s="1" t="s">
        <v>5431</v>
      </c>
      <c r="J5777" s="1" t="s">
        <v>1071</v>
      </c>
      <c r="L5777" s="1" t="s">
        <v>1072</v>
      </c>
      <c r="M5777" s="1" t="s">
        <v>2797</v>
      </c>
      <c r="N5777" s="1" t="s">
        <v>217</v>
      </c>
      <c r="P5777" s="1" t="s">
        <v>2064</v>
      </c>
      <c r="Q5777" s="30" t="s">
        <v>2567</v>
      </c>
      <c r="R5777" s="33" t="s">
        <v>3474</v>
      </c>
      <c r="S5777">
        <v>35</v>
      </c>
      <c r="T5777" s="1" t="s">
        <v>5416</v>
      </c>
      <c r="U5777" s="1" t="str">
        <f>HYPERLINK("http://ictvonline.org/taxonomy/p/taxonomy-history?taxnode_id=202102285","ICTVonline=202102285")</f>
        <v>ICTVonline=202102285</v>
      </c>
    </row>
    <row r="5778" spans="1:21" x14ac:dyDescent="0.2">
      <c r="A5778" s="3">
        <v>5777</v>
      </c>
      <c r="B5778" s="1" t="s">
        <v>4226</v>
      </c>
      <c r="D5778" s="1" t="s">
        <v>5412</v>
      </c>
      <c r="F5778" s="1" t="s">
        <v>5430</v>
      </c>
      <c r="H5778" s="1" t="s">
        <v>5431</v>
      </c>
      <c r="J5778" s="1" t="s">
        <v>1071</v>
      </c>
      <c r="L5778" s="1" t="s">
        <v>1072</v>
      </c>
      <c r="M5778" s="1" t="s">
        <v>2797</v>
      </c>
      <c r="N5778" s="1" t="s">
        <v>217</v>
      </c>
      <c r="P5778" s="1" t="s">
        <v>3656</v>
      </c>
      <c r="Q5778" s="30" t="s">
        <v>2567</v>
      </c>
      <c r="R5778" s="33" t="s">
        <v>3474</v>
      </c>
      <c r="S5778">
        <v>35</v>
      </c>
      <c r="T5778" s="1" t="s">
        <v>5416</v>
      </c>
      <c r="U5778" s="1" t="str">
        <f>HYPERLINK("http://ictvonline.org/taxonomy/p/taxonomy-history?taxnode_id=202105643","ICTVonline=202105643")</f>
        <v>ICTVonline=202105643</v>
      </c>
    </row>
    <row r="5779" spans="1:21" x14ac:dyDescent="0.2">
      <c r="A5779" s="3">
        <v>5778</v>
      </c>
      <c r="B5779" s="1" t="s">
        <v>4226</v>
      </c>
      <c r="D5779" s="1" t="s">
        <v>5412</v>
      </c>
      <c r="F5779" s="1" t="s">
        <v>5430</v>
      </c>
      <c r="H5779" s="1" t="s">
        <v>5431</v>
      </c>
      <c r="J5779" s="1" t="s">
        <v>1071</v>
      </c>
      <c r="L5779" s="1" t="s">
        <v>1072</v>
      </c>
      <c r="M5779" s="1" t="s">
        <v>2797</v>
      </c>
      <c r="N5779" s="1" t="s">
        <v>217</v>
      </c>
      <c r="P5779" s="1" t="s">
        <v>12838</v>
      </c>
      <c r="Q5779" s="30" t="s">
        <v>2567</v>
      </c>
      <c r="R5779" s="33" t="s">
        <v>3472</v>
      </c>
      <c r="S5779">
        <v>37</v>
      </c>
      <c r="T5779" s="1" t="s">
        <v>14000</v>
      </c>
      <c r="U5779" s="1" t="str">
        <f>HYPERLINK("http://ictvonline.org/taxonomy/p/taxonomy-history?taxnode_id=202113850","ICTVonline=202113850")</f>
        <v>ICTVonline=202113850</v>
      </c>
    </row>
    <row r="5780" spans="1:21" x14ac:dyDescent="0.2">
      <c r="A5780" s="3">
        <v>5779</v>
      </c>
      <c r="B5780" s="1" t="s">
        <v>4226</v>
      </c>
      <c r="D5780" s="1" t="s">
        <v>5412</v>
      </c>
      <c r="F5780" s="1" t="s">
        <v>5430</v>
      </c>
      <c r="H5780" s="1" t="s">
        <v>5431</v>
      </c>
      <c r="J5780" s="1" t="s">
        <v>1071</v>
      </c>
      <c r="L5780" s="1" t="s">
        <v>1072</v>
      </c>
      <c r="M5780" s="1" t="s">
        <v>2797</v>
      </c>
      <c r="N5780" s="1" t="s">
        <v>217</v>
      </c>
      <c r="P5780" s="1" t="s">
        <v>12839</v>
      </c>
      <c r="Q5780" s="30" t="s">
        <v>2567</v>
      </c>
      <c r="R5780" s="33" t="s">
        <v>3472</v>
      </c>
      <c r="S5780">
        <v>37</v>
      </c>
      <c r="T5780" s="1" t="s">
        <v>14000</v>
      </c>
      <c r="U5780" s="1" t="str">
        <f>HYPERLINK("http://ictvonline.org/taxonomy/p/taxonomy-history?taxnode_id=202113851","ICTVonline=202113851")</f>
        <v>ICTVonline=202113851</v>
      </c>
    </row>
    <row r="5781" spans="1:21" x14ac:dyDescent="0.2">
      <c r="A5781" s="3">
        <v>5780</v>
      </c>
      <c r="B5781" s="1" t="s">
        <v>4226</v>
      </c>
      <c r="D5781" s="1" t="s">
        <v>5412</v>
      </c>
      <c r="F5781" s="1" t="s">
        <v>5430</v>
      </c>
      <c r="H5781" s="1" t="s">
        <v>5431</v>
      </c>
      <c r="J5781" s="1" t="s">
        <v>1071</v>
      </c>
      <c r="L5781" s="1" t="s">
        <v>1072</v>
      </c>
      <c r="M5781" s="1" t="s">
        <v>2797</v>
      </c>
      <c r="N5781" s="1" t="s">
        <v>217</v>
      </c>
      <c r="P5781" s="1" t="s">
        <v>328</v>
      </c>
      <c r="Q5781" s="30" t="s">
        <v>2567</v>
      </c>
      <c r="R5781" s="33" t="s">
        <v>3474</v>
      </c>
      <c r="S5781">
        <v>35</v>
      </c>
      <c r="T5781" s="1" t="s">
        <v>5416</v>
      </c>
      <c r="U5781" s="1" t="str">
        <f>HYPERLINK("http://ictvonline.org/taxonomy/p/taxonomy-history?taxnode_id=202102286","ICTVonline=202102286")</f>
        <v>ICTVonline=202102286</v>
      </c>
    </row>
    <row r="5782" spans="1:21" x14ac:dyDescent="0.2">
      <c r="A5782" s="3">
        <v>5781</v>
      </c>
      <c r="B5782" s="1" t="s">
        <v>4226</v>
      </c>
      <c r="D5782" s="1" t="s">
        <v>5412</v>
      </c>
      <c r="F5782" s="1" t="s">
        <v>5430</v>
      </c>
      <c r="H5782" s="1" t="s">
        <v>5431</v>
      </c>
      <c r="J5782" s="1" t="s">
        <v>1071</v>
      </c>
      <c r="L5782" s="1" t="s">
        <v>1072</v>
      </c>
      <c r="M5782" s="1" t="s">
        <v>2797</v>
      </c>
      <c r="N5782" s="1" t="s">
        <v>217</v>
      </c>
      <c r="P5782" s="1" t="s">
        <v>4425</v>
      </c>
      <c r="Q5782" s="30" t="s">
        <v>2567</v>
      </c>
      <c r="R5782" s="33" t="s">
        <v>3474</v>
      </c>
      <c r="S5782">
        <v>35</v>
      </c>
      <c r="T5782" s="1" t="s">
        <v>5416</v>
      </c>
      <c r="U5782" s="1" t="str">
        <f>HYPERLINK("http://ictvonline.org/taxonomy/p/taxonomy-history?taxnode_id=202106339","ICTVonline=202106339")</f>
        <v>ICTVonline=202106339</v>
      </c>
    </row>
    <row r="5783" spans="1:21" x14ac:dyDescent="0.2">
      <c r="A5783" s="3">
        <v>5782</v>
      </c>
      <c r="B5783" s="1" t="s">
        <v>4226</v>
      </c>
      <c r="D5783" s="1" t="s">
        <v>5412</v>
      </c>
      <c r="F5783" s="1" t="s">
        <v>5430</v>
      </c>
      <c r="H5783" s="1" t="s">
        <v>5431</v>
      </c>
      <c r="J5783" s="1" t="s">
        <v>1071</v>
      </c>
      <c r="L5783" s="1" t="s">
        <v>1072</v>
      </c>
      <c r="M5783" s="1" t="s">
        <v>2797</v>
      </c>
      <c r="N5783" s="1" t="s">
        <v>217</v>
      </c>
      <c r="P5783" s="1" t="s">
        <v>1979</v>
      </c>
      <c r="Q5783" s="30" t="s">
        <v>2567</v>
      </c>
      <c r="R5783" s="33" t="s">
        <v>3474</v>
      </c>
      <c r="S5783">
        <v>35</v>
      </c>
      <c r="T5783" s="1" t="s">
        <v>5416</v>
      </c>
      <c r="U5783" s="1" t="str">
        <f>HYPERLINK("http://ictvonline.org/taxonomy/p/taxonomy-history?taxnode_id=202102287","ICTVonline=202102287")</f>
        <v>ICTVonline=202102287</v>
      </c>
    </row>
    <row r="5784" spans="1:21" x14ac:dyDescent="0.2">
      <c r="A5784" s="3">
        <v>5783</v>
      </c>
      <c r="B5784" s="1" t="s">
        <v>4226</v>
      </c>
      <c r="D5784" s="1" t="s">
        <v>5412</v>
      </c>
      <c r="F5784" s="1" t="s">
        <v>5430</v>
      </c>
      <c r="H5784" s="1" t="s">
        <v>5431</v>
      </c>
      <c r="J5784" s="1" t="s">
        <v>1071</v>
      </c>
      <c r="L5784" s="1" t="s">
        <v>1072</v>
      </c>
      <c r="M5784" s="1" t="s">
        <v>2797</v>
      </c>
      <c r="N5784" s="1" t="s">
        <v>217</v>
      </c>
      <c r="P5784" s="1" t="s">
        <v>2168</v>
      </c>
      <c r="Q5784" s="30" t="s">
        <v>2567</v>
      </c>
      <c r="R5784" s="33" t="s">
        <v>3474</v>
      </c>
      <c r="S5784">
        <v>35</v>
      </c>
      <c r="T5784" s="1" t="s">
        <v>5416</v>
      </c>
      <c r="U5784" s="1" t="str">
        <f>HYPERLINK("http://ictvonline.org/taxonomy/p/taxonomy-history?taxnode_id=202102288","ICTVonline=202102288")</f>
        <v>ICTVonline=202102288</v>
      </c>
    </row>
    <row r="5785" spans="1:21" x14ac:dyDescent="0.2">
      <c r="A5785" s="3">
        <v>5784</v>
      </c>
      <c r="B5785" s="1" t="s">
        <v>4226</v>
      </c>
      <c r="D5785" s="1" t="s">
        <v>5412</v>
      </c>
      <c r="F5785" s="1" t="s">
        <v>5430</v>
      </c>
      <c r="H5785" s="1" t="s">
        <v>5431</v>
      </c>
      <c r="J5785" s="1" t="s">
        <v>1071</v>
      </c>
      <c r="L5785" s="1" t="s">
        <v>1072</v>
      </c>
      <c r="M5785" s="1" t="s">
        <v>2797</v>
      </c>
      <c r="N5785" s="1" t="s">
        <v>2800</v>
      </c>
      <c r="P5785" s="1" t="s">
        <v>1405</v>
      </c>
      <c r="Q5785" s="30" t="s">
        <v>2567</v>
      </c>
      <c r="R5785" s="33" t="s">
        <v>3474</v>
      </c>
      <c r="S5785">
        <v>35</v>
      </c>
      <c r="T5785" s="1" t="s">
        <v>5416</v>
      </c>
      <c r="U5785" s="1" t="str">
        <f>HYPERLINK("http://ictvonline.org/taxonomy/p/taxonomy-history?taxnode_id=202102290","ICTVonline=202102290")</f>
        <v>ICTVonline=202102290</v>
      </c>
    </row>
    <row r="5786" spans="1:21" x14ac:dyDescent="0.2">
      <c r="A5786" s="3">
        <v>5785</v>
      </c>
      <c r="B5786" s="1" t="s">
        <v>4226</v>
      </c>
      <c r="D5786" s="1" t="s">
        <v>5412</v>
      </c>
      <c r="F5786" s="1" t="s">
        <v>5430</v>
      </c>
      <c r="H5786" s="1" t="s">
        <v>5431</v>
      </c>
      <c r="J5786" s="1" t="s">
        <v>1071</v>
      </c>
      <c r="L5786" s="1" t="s">
        <v>1072</v>
      </c>
      <c r="M5786" s="1" t="s">
        <v>2797</v>
      </c>
      <c r="N5786" s="1" t="s">
        <v>2800</v>
      </c>
      <c r="P5786" s="1" t="s">
        <v>1846</v>
      </c>
      <c r="Q5786" s="30" t="s">
        <v>2567</v>
      </c>
      <c r="R5786" s="33" t="s">
        <v>3474</v>
      </c>
      <c r="S5786">
        <v>35</v>
      </c>
      <c r="T5786" s="1" t="s">
        <v>5416</v>
      </c>
      <c r="U5786" s="1" t="str">
        <f>HYPERLINK("http://ictvonline.org/taxonomy/p/taxonomy-history?taxnode_id=202102291","ICTVonline=202102291")</f>
        <v>ICTVonline=202102291</v>
      </c>
    </row>
    <row r="5787" spans="1:21" x14ac:dyDescent="0.2">
      <c r="A5787" s="3">
        <v>5786</v>
      </c>
      <c r="B5787" s="1" t="s">
        <v>4226</v>
      </c>
      <c r="D5787" s="1" t="s">
        <v>5412</v>
      </c>
      <c r="F5787" s="1" t="s">
        <v>5430</v>
      </c>
      <c r="H5787" s="1" t="s">
        <v>5431</v>
      </c>
      <c r="J5787" s="1" t="s">
        <v>1071</v>
      </c>
      <c r="L5787" s="1" t="s">
        <v>1072</v>
      </c>
      <c r="M5787" s="1" t="s">
        <v>2797</v>
      </c>
      <c r="N5787" s="1" t="s">
        <v>2800</v>
      </c>
      <c r="P5787" s="1" t="s">
        <v>1847</v>
      </c>
      <c r="Q5787" s="30" t="s">
        <v>2567</v>
      </c>
      <c r="R5787" s="33" t="s">
        <v>8665</v>
      </c>
      <c r="S5787">
        <v>36</v>
      </c>
      <c r="T5787" s="1" t="s">
        <v>8661</v>
      </c>
      <c r="U5787" s="1" t="str">
        <f>HYPERLINK("http://ictvonline.org/taxonomy/p/taxonomy-history?taxnode_id=202102292","ICTVonline=202102292")</f>
        <v>ICTVonline=202102292</v>
      </c>
    </row>
    <row r="5788" spans="1:21" x14ac:dyDescent="0.2">
      <c r="A5788" s="3">
        <v>5787</v>
      </c>
      <c r="B5788" s="1" t="s">
        <v>4226</v>
      </c>
      <c r="D5788" s="1" t="s">
        <v>5412</v>
      </c>
      <c r="F5788" s="1" t="s">
        <v>5430</v>
      </c>
      <c r="H5788" s="1" t="s">
        <v>5431</v>
      </c>
      <c r="J5788" s="1" t="s">
        <v>1071</v>
      </c>
      <c r="L5788" s="1" t="s">
        <v>1072</v>
      </c>
      <c r="M5788" s="1" t="s">
        <v>2797</v>
      </c>
      <c r="N5788" s="1" t="s">
        <v>2800</v>
      </c>
      <c r="P5788" s="1" t="s">
        <v>2801</v>
      </c>
      <c r="Q5788" s="30" t="s">
        <v>2567</v>
      </c>
      <c r="R5788" s="33" t="s">
        <v>3474</v>
      </c>
      <c r="S5788">
        <v>35</v>
      </c>
      <c r="T5788" s="1" t="s">
        <v>5416</v>
      </c>
      <c r="U5788" s="1" t="str">
        <f>HYPERLINK("http://ictvonline.org/taxonomy/p/taxonomy-history?taxnode_id=202102293","ICTVonline=202102293")</f>
        <v>ICTVonline=202102293</v>
      </c>
    </row>
    <row r="5789" spans="1:21" x14ac:dyDescent="0.2">
      <c r="A5789" s="3">
        <v>5788</v>
      </c>
      <c r="B5789" s="1" t="s">
        <v>4226</v>
      </c>
      <c r="D5789" s="1" t="s">
        <v>5412</v>
      </c>
      <c r="F5789" s="1" t="s">
        <v>5430</v>
      </c>
      <c r="H5789" s="1" t="s">
        <v>5431</v>
      </c>
      <c r="J5789" s="1" t="s">
        <v>1071</v>
      </c>
      <c r="L5789" s="1" t="s">
        <v>1072</v>
      </c>
      <c r="M5789" s="1" t="s">
        <v>2797</v>
      </c>
      <c r="N5789" s="1" t="s">
        <v>2800</v>
      </c>
      <c r="P5789" s="1" t="s">
        <v>2802</v>
      </c>
      <c r="Q5789" s="30" t="s">
        <v>2567</v>
      </c>
      <c r="R5789" s="33" t="s">
        <v>3474</v>
      </c>
      <c r="S5789">
        <v>35</v>
      </c>
      <c r="T5789" s="1" t="s">
        <v>5416</v>
      </c>
      <c r="U5789" s="1" t="str">
        <f>HYPERLINK("http://ictvonline.org/taxonomy/p/taxonomy-history?taxnode_id=202102294","ICTVonline=202102294")</f>
        <v>ICTVonline=202102294</v>
      </c>
    </row>
    <row r="5790" spans="1:21" x14ac:dyDescent="0.2">
      <c r="A5790" s="3">
        <v>5789</v>
      </c>
      <c r="B5790" s="1" t="s">
        <v>4226</v>
      </c>
      <c r="D5790" s="1" t="s">
        <v>5412</v>
      </c>
      <c r="F5790" s="1" t="s">
        <v>5430</v>
      </c>
      <c r="H5790" s="1" t="s">
        <v>5431</v>
      </c>
      <c r="J5790" s="1" t="s">
        <v>1071</v>
      </c>
      <c r="L5790" s="1" t="s">
        <v>1072</v>
      </c>
      <c r="M5790" s="1" t="s">
        <v>2797</v>
      </c>
      <c r="N5790" s="1" t="s">
        <v>12840</v>
      </c>
      <c r="P5790" s="1" t="s">
        <v>12841</v>
      </c>
      <c r="Q5790" s="30" t="s">
        <v>2567</v>
      </c>
      <c r="R5790" s="33" t="s">
        <v>3473</v>
      </c>
      <c r="S5790">
        <v>37</v>
      </c>
      <c r="T5790" s="1" t="s">
        <v>14000</v>
      </c>
      <c r="U5790" s="1" t="str">
        <f>HYPERLINK("http://ictvonline.org/taxonomy/p/taxonomy-history?taxnode_id=202102298","ICTVonline=202102298")</f>
        <v>ICTVonline=202102298</v>
      </c>
    </row>
    <row r="5791" spans="1:21" x14ac:dyDescent="0.2">
      <c r="A5791" s="3">
        <v>5790</v>
      </c>
      <c r="B5791" s="1" t="s">
        <v>4226</v>
      </c>
      <c r="D5791" s="1" t="s">
        <v>5412</v>
      </c>
      <c r="F5791" s="1" t="s">
        <v>5430</v>
      </c>
      <c r="H5791" s="1" t="s">
        <v>5431</v>
      </c>
      <c r="J5791" s="1" t="s">
        <v>1071</v>
      </c>
      <c r="L5791" s="1" t="s">
        <v>1072</v>
      </c>
      <c r="M5791" s="1" t="s">
        <v>2797</v>
      </c>
      <c r="P5791" s="1" t="s">
        <v>2067</v>
      </c>
      <c r="Q5791" s="30" t="s">
        <v>2567</v>
      </c>
      <c r="R5791" s="33" t="s">
        <v>3474</v>
      </c>
      <c r="S5791">
        <v>35</v>
      </c>
      <c r="T5791" s="1" t="s">
        <v>5416</v>
      </c>
      <c r="U5791" s="1" t="str">
        <f>HYPERLINK("http://ictvonline.org/taxonomy/p/taxonomy-history?taxnode_id=202102297","ICTVonline=202102297")</f>
        <v>ICTVonline=202102297</v>
      </c>
    </row>
    <row r="5792" spans="1:21" x14ac:dyDescent="0.2">
      <c r="A5792" s="3">
        <v>5791</v>
      </c>
      <c r="B5792" s="1" t="s">
        <v>4226</v>
      </c>
      <c r="D5792" s="1" t="s">
        <v>5412</v>
      </c>
      <c r="F5792" s="1" t="s">
        <v>5430</v>
      </c>
      <c r="H5792" s="1" t="s">
        <v>5431</v>
      </c>
      <c r="J5792" s="1" t="s">
        <v>1071</v>
      </c>
      <c r="L5792" s="1" t="s">
        <v>1072</v>
      </c>
      <c r="M5792" s="1" t="s">
        <v>2803</v>
      </c>
      <c r="N5792" s="1" t="s">
        <v>279</v>
      </c>
      <c r="P5792" s="1" t="s">
        <v>399</v>
      </c>
      <c r="Q5792" s="30" t="s">
        <v>2567</v>
      </c>
      <c r="R5792" s="33" t="s">
        <v>8665</v>
      </c>
      <c r="S5792">
        <v>36</v>
      </c>
      <c r="T5792" s="1" t="s">
        <v>8661</v>
      </c>
      <c r="U5792" s="1" t="str">
        <f>HYPERLINK("http://ictvonline.org/taxonomy/p/taxonomy-history?taxnode_id=202102301","ICTVonline=202102301")</f>
        <v>ICTVonline=202102301</v>
      </c>
    </row>
    <row r="5793" spans="1:21" x14ac:dyDescent="0.2">
      <c r="A5793" s="3">
        <v>5792</v>
      </c>
      <c r="B5793" s="1" t="s">
        <v>4226</v>
      </c>
      <c r="D5793" s="1" t="s">
        <v>5412</v>
      </c>
      <c r="F5793" s="1" t="s">
        <v>5430</v>
      </c>
      <c r="H5793" s="1" t="s">
        <v>5431</v>
      </c>
      <c r="J5793" s="1" t="s">
        <v>1071</v>
      </c>
      <c r="L5793" s="1" t="s">
        <v>1072</v>
      </c>
      <c r="M5793" s="1" t="s">
        <v>2803</v>
      </c>
      <c r="N5793" s="1" t="s">
        <v>279</v>
      </c>
      <c r="P5793" s="1" t="s">
        <v>12842</v>
      </c>
      <c r="Q5793" s="30" t="s">
        <v>2567</v>
      </c>
      <c r="R5793" s="33" t="s">
        <v>3472</v>
      </c>
      <c r="S5793">
        <v>37</v>
      </c>
      <c r="T5793" s="1" t="s">
        <v>14000</v>
      </c>
      <c r="U5793" s="1" t="str">
        <f>HYPERLINK("http://ictvonline.org/taxonomy/p/taxonomy-history?taxnode_id=202113852","ICTVonline=202113852")</f>
        <v>ICTVonline=202113852</v>
      </c>
    </row>
    <row r="5794" spans="1:21" x14ac:dyDescent="0.2">
      <c r="A5794" s="3">
        <v>5793</v>
      </c>
      <c r="B5794" s="1" t="s">
        <v>4226</v>
      </c>
      <c r="D5794" s="1" t="s">
        <v>5412</v>
      </c>
      <c r="F5794" s="1" t="s">
        <v>5430</v>
      </c>
      <c r="H5794" s="1" t="s">
        <v>5431</v>
      </c>
      <c r="J5794" s="1" t="s">
        <v>1071</v>
      </c>
      <c r="L5794" s="1" t="s">
        <v>1072</v>
      </c>
      <c r="M5794" s="1" t="s">
        <v>2803</v>
      </c>
      <c r="N5794" s="1" t="s">
        <v>279</v>
      </c>
      <c r="P5794" s="1" t="s">
        <v>400</v>
      </c>
      <c r="Q5794" s="30" t="s">
        <v>2567</v>
      </c>
      <c r="R5794" s="33" t="s">
        <v>3474</v>
      </c>
      <c r="S5794">
        <v>35</v>
      </c>
      <c r="T5794" s="1" t="s">
        <v>5416</v>
      </c>
      <c r="U5794" s="1" t="str">
        <f>HYPERLINK("http://ictvonline.org/taxonomy/p/taxonomy-history?taxnode_id=202102302","ICTVonline=202102302")</f>
        <v>ICTVonline=202102302</v>
      </c>
    </row>
    <row r="5795" spans="1:21" x14ac:dyDescent="0.2">
      <c r="A5795" s="3">
        <v>5794</v>
      </c>
      <c r="B5795" s="1" t="s">
        <v>4226</v>
      </c>
      <c r="D5795" s="1" t="s">
        <v>5412</v>
      </c>
      <c r="F5795" s="1" t="s">
        <v>5430</v>
      </c>
      <c r="H5795" s="1" t="s">
        <v>5431</v>
      </c>
      <c r="J5795" s="1" t="s">
        <v>1071</v>
      </c>
      <c r="L5795" s="1" t="s">
        <v>1072</v>
      </c>
      <c r="M5795" s="1" t="s">
        <v>2803</v>
      </c>
      <c r="N5795" s="1" t="s">
        <v>279</v>
      </c>
      <c r="P5795" s="1" t="s">
        <v>4426</v>
      </c>
      <c r="Q5795" s="30" t="s">
        <v>2567</v>
      </c>
      <c r="R5795" s="33" t="s">
        <v>3474</v>
      </c>
      <c r="S5795">
        <v>35</v>
      </c>
      <c r="T5795" s="1" t="s">
        <v>5416</v>
      </c>
      <c r="U5795" s="1" t="str">
        <f>HYPERLINK("http://ictvonline.org/taxonomy/p/taxonomy-history?taxnode_id=202106329","ICTVonline=202106329")</f>
        <v>ICTVonline=202106329</v>
      </c>
    </row>
    <row r="5796" spans="1:21" x14ac:dyDescent="0.2">
      <c r="A5796" s="3">
        <v>5795</v>
      </c>
      <c r="B5796" s="1" t="s">
        <v>4226</v>
      </c>
      <c r="D5796" s="1" t="s">
        <v>5412</v>
      </c>
      <c r="F5796" s="1" t="s">
        <v>5430</v>
      </c>
      <c r="H5796" s="1" t="s">
        <v>5431</v>
      </c>
      <c r="J5796" s="1" t="s">
        <v>1071</v>
      </c>
      <c r="L5796" s="1" t="s">
        <v>1072</v>
      </c>
      <c r="M5796" s="1" t="s">
        <v>2803</v>
      </c>
      <c r="N5796" s="1" t="s">
        <v>279</v>
      </c>
      <c r="P5796" s="1" t="s">
        <v>4427</v>
      </c>
      <c r="Q5796" s="30" t="s">
        <v>2567</v>
      </c>
      <c r="R5796" s="33" t="s">
        <v>3474</v>
      </c>
      <c r="S5796">
        <v>35</v>
      </c>
      <c r="T5796" s="1" t="s">
        <v>5416</v>
      </c>
      <c r="U5796" s="1" t="str">
        <f>HYPERLINK("http://ictvonline.org/taxonomy/p/taxonomy-history?taxnode_id=202106322","ICTVonline=202106322")</f>
        <v>ICTVonline=202106322</v>
      </c>
    </row>
    <row r="5797" spans="1:21" x14ac:dyDescent="0.2">
      <c r="A5797" s="3">
        <v>5796</v>
      </c>
      <c r="B5797" s="1" t="s">
        <v>4226</v>
      </c>
      <c r="D5797" s="1" t="s">
        <v>5412</v>
      </c>
      <c r="F5797" s="1" t="s">
        <v>5430</v>
      </c>
      <c r="H5797" s="1" t="s">
        <v>5431</v>
      </c>
      <c r="J5797" s="1" t="s">
        <v>1071</v>
      </c>
      <c r="L5797" s="1" t="s">
        <v>1072</v>
      </c>
      <c r="M5797" s="1" t="s">
        <v>2803</v>
      </c>
      <c r="N5797" s="1" t="s">
        <v>2804</v>
      </c>
      <c r="P5797" s="1" t="s">
        <v>2805</v>
      </c>
      <c r="Q5797" s="30" t="s">
        <v>2567</v>
      </c>
      <c r="R5797" s="33" t="s">
        <v>8665</v>
      </c>
      <c r="S5797">
        <v>36</v>
      </c>
      <c r="T5797" s="1" t="s">
        <v>8661</v>
      </c>
      <c r="U5797" s="1" t="str">
        <f>HYPERLINK("http://ictvonline.org/taxonomy/p/taxonomy-history?taxnode_id=202102304","ICTVonline=202102304")</f>
        <v>ICTVonline=202102304</v>
      </c>
    </row>
    <row r="5798" spans="1:21" x14ac:dyDescent="0.2">
      <c r="A5798" s="3">
        <v>5797</v>
      </c>
      <c r="B5798" s="1" t="s">
        <v>4226</v>
      </c>
      <c r="D5798" s="1" t="s">
        <v>5412</v>
      </c>
      <c r="F5798" s="1" t="s">
        <v>5430</v>
      </c>
      <c r="H5798" s="1" t="s">
        <v>5431</v>
      </c>
      <c r="J5798" s="1" t="s">
        <v>1071</v>
      </c>
      <c r="L5798" s="1" t="s">
        <v>1072</v>
      </c>
      <c r="M5798" s="1" t="s">
        <v>2803</v>
      </c>
      <c r="N5798" s="1" t="s">
        <v>2804</v>
      </c>
      <c r="P5798" s="1" t="s">
        <v>2806</v>
      </c>
      <c r="Q5798" s="30" t="s">
        <v>2567</v>
      </c>
      <c r="R5798" s="33" t="s">
        <v>3474</v>
      </c>
      <c r="S5798">
        <v>35</v>
      </c>
      <c r="T5798" s="1" t="s">
        <v>5416</v>
      </c>
      <c r="U5798" s="1" t="str">
        <f>HYPERLINK("http://ictvonline.org/taxonomy/p/taxonomy-history?taxnode_id=202102305","ICTVonline=202102305")</f>
        <v>ICTVonline=202102305</v>
      </c>
    </row>
    <row r="5799" spans="1:21" x14ac:dyDescent="0.2">
      <c r="A5799" s="3">
        <v>5798</v>
      </c>
      <c r="B5799" s="1" t="s">
        <v>4226</v>
      </c>
      <c r="D5799" s="1" t="s">
        <v>5412</v>
      </c>
      <c r="F5799" s="1" t="s">
        <v>5430</v>
      </c>
      <c r="H5799" s="1" t="s">
        <v>5431</v>
      </c>
      <c r="J5799" s="1" t="s">
        <v>1071</v>
      </c>
      <c r="L5799" s="1" t="s">
        <v>1072</v>
      </c>
      <c r="M5799" s="1" t="s">
        <v>2803</v>
      </c>
      <c r="N5799" s="1" t="s">
        <v>215</v>
      </c>
      <c r="P5799" s="1" t="s">
        <v>216</v>
      </c>
      <c r="Q5799" s="30" t="s">
        <v>2567</v>
      </c>
      <c r="R5799" s="33" t="s">
        <v>8665</v>
      </c>
      <c r="S5799">
        <v>36</v>
      </c>
      <c r="T5799" s="1" t="s">
        <v>8661</v>
      </c>
      <c r="U5799" s="1" t="str">
        <f>HYPERLINK("http://ictvonline.org/taxonomy/p/taxonomy-history?taxnode_id=202102307","ICTVonline=202102307")</f>
        <v>ICTVonline=202102307</v>
      </c>
    </row>
    <row r="5800" spans="1:21" x14ac:dyDescent="0.2">
      <c r="A5800" s="3">
        <v>5799</v>
      </c>
      <c r="B5800" s="1" t="s">
        <v>4226</v>
      </c>
      <c r="D5800" s="1" t="s">
        <v>5412</v>
      </c>
      <c r="F5800" s="1" t="s">
        <v>5430</v>
      </c>
      <c r="H5800" s="1" t="s">
        <v>5431</v>
      </c>
      <c r="J5800" s="1" t="s">
        <v>1071</v>
      </c>
      <c r="L5800" s="1" t="s">
        <v>1072</v>
      </c>
      <c r="M5800" s="1" t="s">
        <v>2803</v>
      </c>
      <c r="N5800" s="1" t="s">
        <v>2807</v>
      </c>
      <c r="P5800" s="1" t="s">
        <v>2169</v>
      </c>
      <c r="Q5800" s="30" t="s">
        <v>2567</v>
      </c>
      <c r="R5800" s="33" t="s">
        <v>8665</v>
      </c>
      <c r="S5800">
        <v>36</v>
      </c>
      <c r="T5800" s="1" t="s">
        <v>8661</v>
      </c>
      <c r="U5800" s="1" t="str">
        <f>HYPERLINK("http://ictvonline.org/taxonomy/p/taxonomy-history?taxnode_id=202102309","ICTVonline=202102309")</f>
        <v>ICTVonline=202102309</v>
      </c>
    </row>
    <row r="5801" spans="1:21" x14ac:dyDescent="0.2">
      <c r="A5801" s="3">
        <v>5800</v>
      </c>
      <c r="B5801" s="1" t="s">
        <v>4226</v>
      </c>
      <c r="D5801" s="1" t="s">
        <v>5412</v>
      </c>
      <c r="F5801" s="1" t="s">
        <v>5430</v>
      </c>
      <c r="H5801" s="1" t="s">
        <v>5431</v>
      </c>
      <c r="J5801" s="1" t="s">
        <v>1071</v>
      </c>
      <c r="L5801" s="1" t="s">
        <v>1072</v>
      </c>
      <c r="M5801" s="1" t="s">
        <v>2803</v>
      </c>
      <c r="N5801" s="1" t="s">
        <v>2807</v>
      </c>
      <c r="P5801" s="1" t="s">
        <v>2170</v>
      </c>
      <c r="Q5801" s="30" t="s">
        <v>2567</v>
      </c>
      <c r="R5801" s="33" t="s">
        <v>3474</v>
      </c>
      <c r="S5801">
        <v>35</v>
      </c>
      <c r="T5801" s="1" t="s">
        <v>5416</v>
      </c>
      <c r="U5801" s="1" t="str">
        <f>HYPERLINK("http://ictvonline.org/taxonomy/p/taxonomy-history?taxnode_id=202102310","ICTVonline=202102310")</f>
        <v>ICTVonline=202102310</v>
      </c>
    </row>
    <row r="5802" spans="1:21" x14ac:dyDescent="0.2">
      <c r="A5802" s="3">
        <v>5801</v>
      </c>
      <c r="B5802" s="1" t="s">
        <v>4226</v>
      </c>
      <c r="D5802" s="1" t="s">
        <v>5412</v>
      </c>
      <c r="F5802" s="1" t="s">
        <v>5430</v>
      </c>
      <c r="H5802" s="1" t="s">
        <v>5431</v>
      </c>
      <c r="J5802" s="1" t="s">
        <v>1071</v>
      </c>
      <c r="L5802" s="1" t="s">
        <v>1072</v>
      </c>
      <c r="M5802" s="1" t="s">
        <v>2803</v>
      </c>
      <c r="N5802" s="1" t="s">
        <v>2807</v>
      </c>
      <c r="P5802" s="1" t="s">
        <v>2068</v>
      </c>
      <c r="Q5802" s="30" t="s">
        <v>2567</v>
      </c>
      <c r="R5802" s="33" t="s">
        <v>3474</v>
      </c>
      <c r="S5802">
        <v>35</v>
      </c>
      <c r="T5802" s="1" t="s">
        <v>5416</v>
      </c>
      <c r="U5802" s="1" t="str">
        <f>HYPERLINK("http://ictvonline.org/taxonomy/p/taxonomy-history?taxnode_id=202102311","ICTVonline=202102311")</f>
        <v>ICTVonline=202102311</v>
      </c>
    </row>
    <row r="5803" spans="1:21" x14ac:dyDescent="0.2">
      <c r="A5803" s="3">
        <v>5802</v>
      </c>
      <c r="B5803" s="1" t="s">
        <v>4226</v>
      </c>
      <c r="D5803" s="1" t="s">
        <v>5412</v>
      </c>
      <c r="F5803" s="1" t="s">
        <v>5430</v>
      </c>
      <c r="H5803" s="1" t="s">
        <v>5431</v>
      </c>
      <c r="J5803" s="1" t="s">
        <v>1071</v>
      </c>
      <c r="L5803" s="1" t="s">
        <v>1072</v>
      </c>
      <c r="M5803" s="1" t="s">
        <v>2803</v>
      </c>
      <c r="N5803" s="1" t="s">
        <v>2808</v>
      </c>
      <c r="P5803" s="1" t="s">
        <v>4428</v>
      </c>
      <c r="Q5803" s="30" t="s">
        <v>2567</v>
      </c>
      <c r="R5803" s="33" t="s">
        <v>3474</v>
      </c>
      <c r="S5803">
        <v>35</v>
      </c>
      <c r="T5803" s="1" t="s">
        <v>5416</v>
      </c>
      <c r="U5803" s="1" t="str">
        <f>HYPERLINK("http://ictvonline.org/taxonomy/p/taxonomy-history?taxnode_id=202106390","ICTVonline=202106390")</f>
        <v>ICTVonline=202106390</v>
      </c>
    </row>
    <row r="5804" spans="1:21" x14ac:dyDescent="0.2">
      <c r="A5804" s="3">
        <v>5803</v>
      </c>
      <c r="B5804" s="1" t="s">
        <v>4226</v>
      </c>
      <c r="D5804" s="1" t="s">
        <v>5412</v>
      </c>
      <c r="F5804" s="1" t="s">
        <v>5430</v>
      </c>
      <c r="H5804" s="1" t="s">
        <v>5431</v>
      </c>
      <c r="J5804" s="1" t="s">
        <v>1071</v>
      </c>
      <c r="L5804" s="1" t="s">
        <v>1072</v>
      </c>
      <c r="M5804" s="1" t="s">
        <v>2803</v>
      </c>
      <c r="N5804" s="1" t="s">
        <v>2808</v>
      </c>
      <c r="P5804" s="1" t="s">
        <v>2809</v>
      </c>
      <c r="Q5804" s="30" t="s">
        <v>2567</v>
      </c>
      <c r="R5804" s="33" t="s">
        <v>8665</v>
      </c>
      <c r="S5804">
        <v>36</v>
      </c>
      <c r="T5804" s="1" t="s">
        <v>8661</v>
      </c>
      <c r="U5804" s="1" t="str">
        <f>HYPERLINK("http://ictvonline.org/taxonomy/p/taxonomy-history?taxnode_id=202102313","ICTVonline=202102313")</f>
        <v>ICTVonline=202102313</v>
      </c>
    </row>
    <row r="5805" spans="1:21" x14ac:dyDescent="0.2">
      <c r="A5805" s="3">
        <v>5804</v>
      </c>
      <c r="B5805" s="1" t="s">
        <v>4226</v>
      </c>
      <c r="D5805" s="1" t="s">
        <v>5412</v>
      </c>
      <c r="F5805" s="1" t="s">
        <v>5430</v>
      </c>
      <c r="H5805" s="1" t="s">
        <v>5431</v>
      </c>
      <c r="J5805" s="1" t="s">
        <v>1071</v>
      </c>
      <c r="L5805" s="1" t="s">
        <v>1072</v>
      </c>
      <c r="M5805" s="1" t="s">
        <v>2803</v>
      </c>
      <c r="N5805" s="1" t="s">
        <v>2808</v>
      </c>
      <c r="P5805" s="1" t="s">
        <v>2810</v>
      </c>
      <c r="Q5805" s="30" t="s">
        <v>2567</v>
      </c>
      <c r="R5805" s="33" t="s">
        <v>3474</v>
      </c>
      <c r="S5805">
        <v>35</v>
      </c>
      <c r="T5805" s="1" t="s">
        <v>5416</v>
      </c>
      <c r="U5805" s="1" t="str">
        <f>HYPERLINK("http://ictvonline.org/taxonomy/p/taxonomy-history?taxnode_id=202102314","ICTVonline=202102314")</f>
        <v>ICTVonline=202102314</v>
      </c>
    </row>
    <row r="5806" spans="1:21" x14ac:dyDescent="0.2">
      <c r="A5806" s="3">
        <v>5805</v>
      </c>
      <c r="B5806" s="1" t="s">
        <v>4226</v>
      </c>
      <c r="D5806" s="1" t="s">
        <v>5412</v>
      </c>
      <c r="F5806" s="1" t="s">
        <v>5430</v>
      </c>
      <c r="H5806" s="1" t="s">
        <v>5431</v>
      </c>
      <c r="J5806" s="1" t="s">
        <v>1071</v>
      </c>
      <c r="L5806" s="1" t="s">
        <v>1072</v>
      </c>
      <c r="M5806" s="1" t="s">
        <v>2803</v>
      </c>
      <c r="N5806" s="1" t="s">
        <v>2808</v>
      </c>
      <c r="P5806" s="1" t="s">
        <v>12843</v>
      </c>
      <c r="Q5806" s="30" t="s">
        <v>2567</v>
      </c>
      <c r="R5806" s="33" t="s">
        <v>3472</v>
      </c>
      <c r="S5806">
        <v>37</v>
      </c>
      <c r="T5806" s="1" t="s">
        <v>14000</v>
      </c>
      <c r="U5806" s="1" t="str">
        <f>HYPERLINK("http://ictvonline.org/taxonomy/p/taxonomy-history?taxnode_id=202113853","ICTVonline=202113853")</f>
        <v>ICTVonline=202113853</v>
      </c>
    </row>
    <row r="5807" spans="1:21" x14ac:dyDescent="0.2">
      <c r="A5807" s="3">
        <v>5806</v>
      </c>
      <c r="B5807" s="1" t="s">
        <v>4226</v>
      </c>
      <c r="D5807" s="1" t="s">
        <v>5412</v>
      </c>
      <c r="F5807" s="1" t="s">
        <v>5430</v>
      </c>
      <c r="H5807" s="1" t="s">
        <v>5431</v>
      </c>
      <c r="J5807" s="1" t="s">
        <v>1071</v>
      </c>
      <c r="L5807" s="1" t="s">
        <v>1072</v>
      </c>
      <c r="M5807" s="1" t="s">
        <v>2803</v>
      </c>
      <c r="N5807" s="1" t="s">
        <v>5451</v>
      </c>
      <c r="P5807" s="1" t="s">
        <v>5452</v>
      </c>
      <c r="Q5807" s="30" t="s">
        <v>2567</v>
      </c>
      <c r="R5807" s="33" t="s">
        <v>8665</v>
      </c>
      <c r="S5807">
        <v>36</v>
      </c>
      <c r="T5807" s="1" t="s">
        <v>8661</v>
      </c>
      <c r="U5807" s="1" t="str">
        <f>HYPERLINK("http://ictvonline.org/taxonomy/p/taxonomy-history?taxnode_id=202107396","ICTVonline=202107396")</f>
        <v>ICTVonline=202107396</v>
      </c>
    </row>
    <row r="5808" spans="1:21" x14ac:dyDescent="0.2">
      <c r="A5808" s="3">
        <v>5807</v>
      </c>
      <c r="B5808" s="1" t="s">
        <v>4226</v>
      </c>
      <c r="D5808" s="1" t="s">
        <v>5412</v>
      </c>
      <c r="F5808" s="1" t="s">
        <v>5430</v>
      </c>
      <c r="H5808" s="1" t="s">
        <v>5431</v>
      </c>
      <c r="J5808" s="1" t="s">
        <v>1071</v>
      </c>
      <c r="L5808" s="1" t="s">
        <v>1072</v>
      </c>
      <c r="M5808" s="1" t="s">
        <v>2803</v>
      </c>
      <c r="N5808" s="1" t="s">
        <v>11</v>
      </c>
      <c r="P5808" s="1" t="s">
        <v>1848</v>
      </c>
      <c r="Q5808" s="30" t="s">
        <v>2567</v>
      </c>
      <c r="R5808" s="33" t="s">
        <v>8665</v>
      </c>
      <c r="S5808">
        <v>36</v>
      </c>
      <c r="T5808" s="1" t="s">
        <v>8661</v>
      </c>
      <c r="U5808" s="1" t="str">
        <f>HYPERLINK("http://ictvonline.org/taxonomy/p/taxonomy-history?taxnode_id=202102316","ICTVonline=202102316")</f>
        <v>ICTVonline=202102316</v>
      </c>
    </row>
    <row r="5809" spans="1:21" x14ac:dyDescent="0.2">
      <c r="A5809" s="3">
        <v>5808</v>
      </c>
      <c r="B5809" s="1" t="s">
        <v>4226</v>
      </c>
      <c r="D5809" s="1" t="s">
        <v>5412</v>
      </c>
      <c r="F5809" s="1" t="s">
        <v>5430</v>
      </c>
      <c r="H5809" s="1" t="s">
        <v>5431</v>
      </c>
      <c r="J5809" s="1" t="s">
        <v>1071</v>
      </c>
      <c r="L5809" s="1" t="s">
        <v>1072</v>
      </c>
      <c r="M5809" s="1" t="s">
        <v>2803</v>
      </c>
      <c r="N5809" s="1" t="s">
        <v>11</v>
      </c>
      <c r="P5809" s="1" t="s">
        <v>2811</v>
      </c>
      <c r="Q5809" s="30" t="s">
        <v>2567</v>
      </c>
      <c r="R5809" s="33" t="s">
        <v>3474</v>
      </c>
      <c r="S5809">
        <v>35</v>
      </c>
      <c r="T5809" s="1" t="s">
        <v>5416</v>
      </c>
      <c r="U5809" s="1" t="str">
        <f>HYPERLINK("http://ictvonline.org/taxonomy/p/taxonomy-history?taxnode_id=202102317","ICTVonline=202102317")</f>
        <v>ICTVonline=202102317</v>
      </c>
    </row>
    <row r="5810" spans="1:21" x14ac:dyDescent="0.2">
      <c r="A5810" s="3">
        <v>5809</v>
      </c>
      <c r="B5810" s="1" t="s">
        <v>4226</v>
      </c>
      <c r="D5810" s="1" t="s">
        <v>5412</v>
      </c>
      <c r="F5810" s="1" t="s">
        <v>5430</v>
      </c>
      <c r="H5810" s="1" t="s">
        <v>5431</v>
      </c>
      <c r="J5810" s="1" t="s">
        <v>1071</v>
      </c>
      <c r="L5810" s="1" t="s">
        <v>1072</v>
      </c>
      <c r="M5810" s="1" t="s">
        <v>2803</v>
      </c>
      <c r="N5810" s="1" t="s">
        <v>11</v>
      </c>
      <c r="P5810" s="1" t="s">
        <v>12844</v>
      </c>
      <c r="Q5810" s="30" t="s">
        <v>2567</v>
      </c>
      <c r="R5810" s="33" t="s">
        <v>3472</v>
      </c>
      <c r="S5810">
        <v>37</v>
      </c>
      <c r="T5810" s="1" t="s">
        <v>14000</v>
      </c>
      <c r="U5810" s="1" t="str">
        <f>HYPERLINK("http://ictvonline.org/taxonomy/p/taxonomy-history?taxnode_id=202113854","ICTVonline=202113854")</f>
        <v>ICTVonline=202113854</v>
      </c>
    </row>
    <row r="5811" spans="1:21" x14ac:dyDescent="0.2">
      <c r="A5811" s="3">
        <v>5810</v>
      </c>
      <c r="B5811" s="1" t="s">
        <v>4226</v>
      </c>
      <c r="D5811" s="1" t="s">
        <v>5412</v>
      </c>
      <c r="F5811" s="1" t="s">
        <v>5430</v>
      </c>
      <c r="H5811" s="1" t="s">
        <v>5431</v>
      </c>
      <c r="J5811" s="1" t="s">
        <v>1071</v>
      </c>
      <c r="L5811" s="1" t="s">
        <v>1072</v>
      </c>
      <c r="M5811" s="1" t="s">
        <v>2803</v>
      </c>
      <c r="N5811" s="1" t="s">
        <v>11</v>
      </c>
      <c r="P5811" s="1" t="s">
        <v>12845</v>
      </c>
      <c r="Q5811" s="30" t="s">
        <v>2567</v>
      </c>
      <c r="R5811" s="33" t="s">
        <v>3472</v>
      </c>
      <c r="S5811">
        <v>37</v>
      </c>
      <c r="T5811" s="1" t="s">
        <v>14000</v>
      </c>
      <c r="U5811" s="1" t="str">
        <f>HYPERLINK("http://ictvonline.org/taxonomy/p/taxonomy-history?taxnode_id=202113855","ICTVonline=202113855")</f>
        <v>ICTVonline=202113855</v>
      </c>
    </row>
    <row r="5812" spans="1:21" x14ac:dyDescent="0.2">
      <c r="A5812" s="3">
        <v>5811</v>
      </c>
      <c r="B5812" s="1" t="s">
        <v>4226</v>
      </c>
      <c r="D5812" s="1" t="s">
        <v>5412</v>
      </c>
      <c r="F5812" s="1" t="s">
        <v>5430</v>
      </c>
      <c r="H5812" s="1" t="s">
        <v>5431</v>
      </c>
      <c r="J5812" s="1" t="s">
        <v>1071</v>
      </c>
      <c r="L5812" s="1" t="s">
        <v>1072</v>
      </c>
      <c r="M5812" s="1" t="s">
        <v>2803</v>
      </c>
      <c r="N5812" s="1" t="s">
        <v>11</v>
      </c>
      <c r="P5812" s="1" t="s">
        <v>12846</v>
      </c>
      <c r="Q5812" s="30" t="s">
        <v>2567</v>
      </c>
      <c r="R5812" s="33" t="s">
        <v>3472</v>
      </c>
      <c r="S5812">
        <v>37</v>
      </c>
      <c r="T5812" s="1" t="s">
        <v>14000</v>
      </c>
      <c r="U5812" s="1" t="str">
        <f>HYPERLINK("http://ictvonline.org/taxonomy/p/taxonomy-history?taxnode_id=202113856","ICTVonline=202113856")</f>
        <v>ICTVonline=202113856</v>
      </c>
    </row>
    <row r="5813" spans="1:21" x14ac:dyDescent="0.2">
      <c r="A5813" s="3">
        <v>5812</v>
      </c>
      <c r="B5813" s="1" t="s">
        <v>4226</v>
      </c>
      <c r="D5813" s="1" t="s">
        <v>5412</v>
      </c>
      <c r="F5813" s="1" t="s">
        <v>5430</v>
      </c>
      <c r="H5813" s="1" t="s">
        <v>5431</v>
      </c>
      <c r="J5813" s="1" t="s">
        <v>1071</v>
      </c>
      <c r="L5813" s="1" t="s">
        <v>1072</v>
      </c>
      <c r="M5813" s="1" t="s">
        <v>2803</v>
      </c>
      <c r="N5813" s="1" t="s">
        <v>333</v>
      </c>
      <c r="P5813" s="1" t="s">
        <v>1349</v>
      </c>
      <c r="Q5813" s="30" t="s">
        <v>2567</v>
      </c>
      <c r="R5813" s="33" t="s">
        <v>8665</v>
      </c>
      <c r="S5813">
        <v>36</v>
      </c>
      <c r="T5813" s="1" t="s">
        <v>8661</v>
      </c>
      <c r="U5813" s="1" t="str">
        <f>HYPERLINK("http://ictvonline.org/taxonomy/p/taxonomy-history?taxnode_id=202102319","ICTVonline=202102319")</f>
        <v>ICTVonline=202102319</v>
      </c>
    </row>
    <row r="5814" spans="1:21" x14ac:dyDescent="0.2">
      <c r="A5814" s="3">
        <v>5813</v>
      </c>
      <c r="B5814" s="1" t="s">
        <v>4226</v>
      </c>
      <c r="D5814" s="1" t="s">
        <v>5412</v>
      </c>
      <c r="F5814" s="1" t="s">
        <v>5430</v>
      </c>
      <c r="H5814" s="1" t="s">
        <v>5431</v>
      </c>
      <c r="J5814" s="1" t="s">
        <v>1071</v>
      </c>
      <c r="L5814" s="1" t="s">
        <v>1072</v>
      </c>
      <c r="M5814" s="1" t="s">
        <v>2803</v>
      </c>
      <c r="N5814" s="1" t="s">
        <v>333</v>
      </c>
      <c r="P5814" s="1" t="s">
        <v>1948</v>
      </c>
      <c r="Q5814" s="30" t="s">
        <v>2567</v>
      </c>
      <c r="R5814" s="33" t="s">
        <v>3474</v>
      </c>
      <c r="S5814">
        <v>35</v>
      </c>
      <c r="T5814" s="1" t="s">
        <v>5416</v>
      </c>
      <c r="U5814" s="1" t="str">
        <f>HYPERLINK("http://ictvonline.org/taxonomy/p/taxonomy-history?taxnode_id=202102320","ICTVonline=202102320")</f>
        <v>ICTVonline=202102320</v>
      </c>
    </row>
    <row r="5815" spans="1:21" x14ac:dyDescent="0.2">
      <c r="A5815" s="3">
        <v>5814</v>
      </c>
      <c r="B5815" s="1" t="s">
        <v>4226</v>
      </c>
      <c r="D5815" s="1" t="s">
        <v>5412</v>
      </c>
      <c r="F5815" s="1" t="s">
        <v>5430</v>
      </c>
      <c r="H5815" s="1" t="s">
        <v>5431</v>
      </c>
      <c r="J5815" s="1" t="s">
        <v>1071</v>
      </c>
      <c r="L5815" s="1" t="s">
        <v>1072</v>
      </c>
      <c r="M5815" s="1" t="s">
        <v>2803</v>
      </c>
      <c r="N5815" s="1" t="s">
        <v>333</v>
      </c>
      <c r="P5815" s="1" t="s">
        <v>1949</v>
      </c>
      <c r="Q5815" s="30" t="s">
        <v>2567</v>
      </c>
      <c r="R5815" s="33" t="s">
        <v>3474</v>
      </c>
      <c r="S5815">
        <v>35</v>
      </c>
      <c r="T5815" s="1" t="s">
        <v>5416</v>
      </c>
      <c r="U5815" s="1" t="str">
        <f>HYPERLINK("http://ictvonline.org/taxonomy/p/taxonomy-history?taxnode_id=202102321","ICTVonline=202102321")</f>
        <v>ICTVonline=202102321</v>
      </c>
    </row>
    <row r="5816" spans="1:21" x14ac:dyDescent="0.2">
      <c r="A5816" s="3">
        <v>5815</v>
      </c>
      <c r="B5816" s="1" t="s">
        <v>4226</v>
      </c>
      <c r="D5816" s="1" t="s">
        <v>5412</v>
      </c>
      <c r="F5816" s="1" t="s">
        <v>5430</v>
      </c>
      <c r="H5816" s="1" t="s">
        <v>5431</v>
      </c>
      <c r="J5816" s="1" t="s">
        <v>1071</v>
      </c>
      <c r="L5816" s="1" t="s">
        <v>1072</v>
      </c>
      <c r="M5816" s="1" t="s">
        <v>2803</v>
      </c>
      <c r="N5816" s="1" t="s">
        <v>333</v>
      </c>
      <c r="P5816" s="1" t="s">
        <v>1950</v>
      </c>
      <c r="Q5816" s="30" t="s">
        <v>2567</v>
      </c>
      <c r="R5816" s="33" t="s">
        <v>3474</v>
      </c>
      <c r="S5816">
        <v>35</v>
      </c>
      <c r="T5816" s="1" t="s">
        <v>5416</v>
      </c>
      <c r="U5816" s="1" t="str">
        <f>HYPERLINK("http://ictvonline.org/taxonomy/p/taxonomy-history?taxnode_id=202102322","ICTVonline=202102322")</f>
        <v>ICTVonline=202102322</v>
      </c>
    </row>
    <row r="5817" spans="1:21" x14ac:dyDescent="0.2">
      <c r="A5817" s="3">
        <v>5816</v>
      </c>
      <c r="B5817" s="1" t="s">
        <v>4226</v>
      </c>
      <c r="D5817" s="1" t="s">
        <v>5412</v>
      </c>
      <c r="F5817" s="1" t="s">
        <v>5430</v>
      </c>
      <c r="H5817" s="1" t="s">
        <v>5431</v>
      </c>
      <c r="J5817" s="1" t="s">
        <v>1071</v>
      </c>
      <c r="L5817" s="1" t="s">
        <v>1072</v>
      </c>
      <c r="M5817" s="1" t="s">
        <v>2803</v>
      </c>
      <c r="N5817" s="1" t="s">
        <v>333</v>
      </c>
      <c r="P5817" s="1" t="s">
        <v>2065</v>
      </c>
      <c r="Q5817" s="30" t="s">
        <v>2567</v>
      </c>
      <c r="R5817" s="33" t="s">
        <v>3474</v>
      </c>
      <c r="S5817">
        <v>35</v>
      </c>
      <c r="T5817" s="1" t="s">
        <v>5416</v>
      </c>
      <c r="U5817" s="1" t="str">
        <f>HYPERLINK("http://ictvonline.org/taxonomy/p/taxonomy-history?taxnode_id=202102323","ICTVonline=202102323")</f>
        <v>ICTVonline=202102323</v>
      </c>
    </row>
    <row r="5818" spans="1:21" x14ac:dyDescent="0.2">
      <c r="A5818" s="3">
        <v>5817</v>
      </c>
      <c r="B5818" s="1" t="s">
        <v>4226</v>
      </c>
      <c r="D5818" s="1" t="s">
        <v>5412</v>
      </c>
      <c r="F5818" s="1" t="s">
        <v>5430</v>
      </c>
      <c r="H5818" s="1" t="s">
        <v>5431</v>
      </c>
      <c r="J5818" s="1" t="s">
        <v>1071</v>
      </c>
      <c r="L5818" s="1" t="s">
        <v>1072</v>
      </c>
      <c r="M5818" s="1" t="s">
        <v>2803</v>
      </c>
      <c r="N5818" s="1" t="s">
        <v>333</v>
      </c>
      <c r="P5818" s="1" t="s">
        <v>1951</v>
      </c>
      <c r="Q5818" s="30" t="s">
        <v>2567</v>
      </c>
      <c r="R5818" s="33" t="s">
        <v>3474</v>
      </c>
      <c r="S5818">
        <v>35</v>
      </c>
      <c r="T5818" s="1" t="s">
        <v>5416</v>
      </c>
      <c r="U5818" s="1" t="str">
        <f>HYPERLINK("http://ictvonline.org/taxonomy/p/taxonomy-history?taxnode_id=202102324","ICTVonline=202102324")</f>
        <v>ICTVonline=202102324</v>
      </c>
    </row>
    <row r="5819" spans="1:21" x14ac:dyDescent="0.2">
      <c r="A5819" s="3">
        <v>5818</v>
      </c>
      <c r="B5819" s="1" t="s">
        <v>4226</v>
      </c>
      <c r="D5819" s="1" t="s">
        <v>5412</v>
      </c>
      <c r="F5819" s="1" t="s">
        <v>5430</v>
      </c>
      <c r="H5819" s="1" t="s">
        <v>5431</v>
      </c>
      <c r="J5819" s="1" t="s">
        <v>1071</v>
      </c>
      <c r="L5819" s="1" t="s">
        <v>1072</v>
      </c>
      <c r="M5819" s="1" t="s">
        <v>2803</v>
      </c>
      <c r="N5819" s="1" t="s">
        <v>333</v>
      </c>
      <c r="P5819" s="1" t="s">
        <v>2066</v>
      </c>
      <c r="Q5819" s="30" t="s">
        <v>2567</v>
      </c>
      <c r="R5819" s="33" t="s">
        <v>3474</v>
      </c>
      <c r="S5819">
        <v>35</v>
      </c>
      <c r="T5819" s="1" t="s">
        <v>5416</v>
      </c>
      <c r="U5819" s="1" t="str">
        <f>HYPERLINK("http://ictvonline.org/taxonomy/p/taxonomy-history?taxnode_id=202102325","ICTVonline=202102325")</f>
        <v>ICTVonline=202102325</v>
      </c>
    </row>
    <row r="5820" spans="1:21" x14ac:dyDescent="0.2">
      <c r="A5820" s="3">
        <v>5819</v>
      </c>
      <c r="B5820" s="1" t="s">
        <v>4226</v>
      </c>
      <c r="D5820" s="1" t="s">
        <v>5412</v>
      </c>
      <c r="F5820" s="1" t="s">
        <v>5430</v>
      </c>
      <c r="H5820" s="1" t="s">
        <v>5431</v>
      </c>
      <c r="J5820" s="1" t="s">
        <v>1071</v>
      </c>
      <c r="L5820" s="1" t="s">
        <v>1072</v>
      </c>
      <c r="M5820" s="1" t="s">
        <v>2803</v>
      </c>
      <c r="N5820" s="1" t="s">
        <v>333</v>
      </c>
      <c r="P5820" s="1" t="s">
        <v>12847</v>
      </c>
      <c r="Q5820" s="30" t="s">
        <v>2567</v>
      </c>
      <c r="R5820" s="33" t="s">
        <v>3472</v>
      </c>
      <c r="S5820">
        <v>37</v>
      </c>
      <c r="T5820" s="1" t="s">
        <v>14000</v>
      </c>
      <c r="U5820" s="1" t="str">
        <f>HYPERLINK("http://ictvonline.org/taxonomy/p/taxonomy-history?taxnode_id=202113857","ICTVonline=202113857")</f>
        <v>ICTVonline=202113857</v>
      </c>
    </row>
    <row r="5821" spans="1:21" x14ac:dyDescent="0.2">
      <c r="A5821" s="3">
        <v>5820</v>
      </c>
      <c r="B5821" s="1" t="s">
        <v>4226</v>
      </c>
      <c r="D5821" s="1" t="s">
        <v>5412</v>
      </c>
      <c r="F5821" s="1" t="s">
        <v>5430</v>
      </c>
      <c r="H5821" s="1" t="s">
        <v>5431</v>
      </c>
      <c r="J5821" s="1" t="s">
        <v>1071</v>
      </c>
      <c r="L5821" s="1" t="s">
        <v>1072</v>
      </c>
      <c r="M5821" s="1" t="s">
        <v>2803</v>
      </c>
      <c r="N5821" s="1" t="s">
        <v>333</v>
      </c>
      <c r="P5821" s="1" t="s">
        <v>12848</v>
      </c>
      <c r="Q5821" s="30" t="s">
        <v>2567</v>
      </c>
      <c r="R5821" s="33" t="s">
        <v>3472</v>
      </c>
      <c r="S5821">
        <v>37</v>
      </c>
      <c r="T5821" s="1" t="s">
        <v>14000</v>
      </c>
      <c r="U5821" s="1" t="str">
        <f>HYPERLINK("http://ictvonline.org/taxonomy/p/taxonomy-history?taxnode_id=202113859","ICTVonline=202113859")</f>
        <v>ICTVonline=202113859</v>
      </c>
    </row>
    <row r="5822" spans="1:21" x14ac:dyDescent="0.2">
      <c r="A5822" s="3">
        <v>5821</v>
      </c>
      <c r="B5822" s="1" t="s">
        <v>4226</v>
      </c>
      <c r="D5822" s="1" t="s">
        <v>5412</v>
      </c>
      <c r="F5822" s="1" t="s">
        <v>5430</v>
      </c>
      <c r="H5822" s="1" t="s">
        <v>5431</v>
      </c>
      <c r="J5822" s="1" t="s">
        <v>1071</v>
      </c>
      <c r="L5822" s="1" t="s">
        <v>1072</v>
      </c>
      <c r="M5822" s="1" t="s">
        <v>2803</v>
      </c>
      <c r="N5822" s="1" t="s">
        <v>333</v>
      </c>
      <c r="P5822" s="1" t="s">
        <v>12849</v>
      </c>
      <c r="Q5822" s="30" t="s">
        <v>2567</v>
      </c>
      <c r="R5822" s="33" t="s">
        <v>3472</v>
      </c>
      <c r="S5822">
        <v>37</v>
      </c>
      <c r="T5822" s="1" t="s">
        <v>14000</v>
      </c>
      <c r="U5822" s="1" t="str">
        <f>HYPERLINK("http://ictvonline.org/taxonomy/p/taxonomy-history?taxnode_id=202113858","ICTVonline=202113858")</f>
        <v>ICTVonline=202113858</v>
      </c>
    </row>
    <row r="5823" spans="1:21" x14ac:dyDescent="0.2">
      <c r="A5823" s="3">
        <v>5822</v>
      </c>
      <c r="B5823" s="1" t="s">
        <v>4226</v>
      </c>
      <c r="D5823" s="1" t="s">
        <v>5412</v>
      </c>
      <c r="F5823" s="1" t="s">
        <v>5430</v>
      </c>
      <c r="H5823" s="1" t="s">
        <v>5431</v>
      </c>
      <c r="J5823" s="1" t="s">
        <v>1071</v>
      </c>
      <c r="L5823" s="1" t="s">
        <v>1072</v>
      </c>
      <c r="M5823" s="1" t="s">
        <v>2803</v>
      </c>
      <c r="N5823" s="1" t="s">
        <v>1528</v>
      </c>
      <c r="P5823" s="1" t="s">
        <v>2069</v>
      </c>
      <c r="Q5823" s="30" t="s">
        <v>2567</v>
      </c>
      <c r="R5823" s="33" t="s">
        <v>3474</v>
      </c>
      <c r="S5823">
        <v>35</v>
      </c>
      <c r="T5823" s="1" t="s">
        <v>5416</v>
      </c>
      <c r="U5823" s="1" t="str">
        <f>HYPERLINK("http://ictvonline.org/taxonomy/p/taxonomy-history?taxnode_id=202102327","ICTVonline=202102327")</f>
        <v>ICTVonline=202102327</v>
      </c>
    </row>
    <row r="5824" spans="1:21" x14ac:dyDescent="0.2">
      <c r="A5824" s="3">
        <v>5823</v>
      </c>
      <c r="B5824" s="1" t="s">
        <v>4226</v>
      </c>
      <c r="D5824" s="1" t="s">
        <v>5412</v>
      </c>
      <c r="F5824" s="1" t="s">
        <v>5430</v>
      </c>
      <c r="H5824" s="1" t="s">
        <v>5431</v>
      </c>
      <c r="J5824" s="1" t="s">
        <v>1071</v>
      </c>
      <c r="L5824" s="1" t="s">
        <v>1072</v>
      </c>
      <c r="M5824" s="1" t="s">
        <v>2803</v>
      </c>
      <c r="N5824" s="1" t="s">
        <v>1528</v>
      </c>
      <c r="P5824" s="1" t="s">
        <v>2139</v>
      </c>
      <c r="Q5824" s="30" t="s">
        <v>2567</v>
      </c>
      <c r="R5824" s="33" t="s">
        <v>3474</v>
      </c>
      <c r="S5824">
        <v>35</v>
      </c>
      <c r="T5824" s="1" t="s">
        <v>5416</v>
      </c>
      <c r="U5824" s="1" t="str">
        <f>HYPERLINK("http://ictvonline.org/taxonomy/p/taxonomy-history?taxnode_id=202102328","ICTVonline=202102328")</f>
        <v>ICTVonline=202102328</v>
      </c>
    </row>
    <row r="5825" spans="1:21" x14ac:dyDescent="0.2">
      <c r="A5825" s="3">
        <v>5824</v>
      </c>
      <c r="B5825" s="1" t="s">
        <v>4226</v>
      </c>
      <c r="D5825" s="1" t="s">
        <v>5412</v>
      </c>
      <c r="F5825" s="1" t="s">
        <v>5430</v>
      </c>
      <c r="H5825" s="1" t="s">
        <v>5431</v>
      </c>
      <c r="J5825" s="1" t="s">
        <v>1071</v>
      </c>
      <c r="L5825" s="1" t="s">
        <v>1072</v>
      </c>
      <c r="M5825" s="1" t="s">
        <v>2803</v>
      </c>
      <c r="N5825" s="1" t="s">
        <v>1528</v>
      </c>
      <c r="P5825" s="1" t="s">
        <v>3657</v>
      </c>
      <c r="Q5825" s="30" t="s">
        <v>2567</v>
      </c>
      <c r="R5825" s="33" t="s">
        <v>3474</v>
      </c>
      <c r="S5825">
        <v>35</v>
      </c>
      <c r="T5825" s="1" t="s">
        <v>5416</v>
      </c>
      <c r="U5825" s="1" t="str">
        <f>HYPERLINK("http://ictvonline.org/taxonomy/p/taxonomy-history?taxnode_id=202105644","ICTVonline=202105644")</f>
        <v>ICTVonline=202105644</v>
      </c>
    </row>
    <row r="5826" spans="1:21" x14ac:dyDescent="0.2">
      <c r="A5826" s="3">
        <v>5825</v>
      </c>
      <c r="B5826" s="1" t="s">
        <v>4226</v>
      </c>
      <c r="D5826" s="1" t="s">
        <v>5412</v>
      </c>
      <c r="F5826" s="1" t="s">
        <v>5430</v>
      </c>
      <c r="H5826" s="1" t="s">
        <v>5431</v>
      </c>
      <c r="J5826" s="1" t="s">
        <v>1071</v>
      </c>
      <c r="L5826" s="1" t="s">
        <v>1072</v>
      </c>
      <c r="M5826" s="1" t="s">
        <v>2803</v>
      </c>
      <c r="N5826" s="1" t="s">
        <v>1528</v>
      </c>
      <c r="P5826" s="1" t="s">
        <v>4429</v>
      </c>
      <c r="Q5826" s="30" t="s">
        <v>2567</v>
      </c>
      <c r="R5826" s="33" t="s">
        <v>3474</v>
      </c>
      <c r="S5826">
        <v>35</v>
      </c>
      <c r="T5826" s="1" t="s">
        <v>5416</v>
      </c>
      <c r="U5826" s="1" t="str">
        <f>HYPERLINK("http://ictvonline.org/taxonomy/p/taxonomy-history?taxnode_id=202106439","ICTVonline=202106439")</f>
        <v>ICTVonline=202106439</v>
      </c>
    </row>
    <row r="5827" spans="1:21" x14ac:dyDescent="0.2">
      <c r="A5827" s="3">
        <v>5826</v>
      </c>
      <c r="B5827" s="1" t="s">
        <v>4226</v>
      </c>
      <c r="D5827" s="1" t="s">
        <v>5412</v>
      </c>
      <c r="F5827" s="1" t="s">
        <v>5430</v>
      </c>
      <c r="H5827" s="1" t="s">
        <v>5431</v>
      </c>
      <c r="J5827" s="1" t="s">
        <v>1071</v>
      </c>
      <c r="L5827" s="1" t="s">
        <v>1072</v>
      </c>
      <c r="M5827" s="1" t="s">
        <v>2803</v>
      </c>
      <c r="N5827" s="1" t="s">
        <v>1528</v>
      </c>
      <c r="P5827" s="1" t="s">
        <v>1529</v>
      </c>
      <c r="Q5827" s="30" t="s">
        <v>2567</v>
      </c>
      <c r="R5827" s="33" t="s">
        <v>8665</v>
      </c>
      <c r="S5827">
        <v>36</v>
      </c>
      <c r="T5827" s="1" t="s">
        <v>8661</v>
      </c>
      <c r="U5827" s="1" t="str">
        <f>HYPERLINK("http://ictvonline.org/taxonomy/p/taxonomy-history?taxnode_id=202102329","ICTVonline=202102329")</f>
        <v>ICTVonline=202102329</v>
      </c>
    </row>
    <row r="5828" spans="1:21" x14ac:dyDescent="0.2">
      <c r="A5828" s="3">
        <v>5827</v>
      </c>
      <c r="B5828" s="1" t="s">
        <v>4226</v>
      </c>
      <c r="D5828" s="1" t="s">
        <v>5412</v>
      </c>
      <c r="F5828" s="1" t="s">
        <v>5430</v>
      </c>
      <c r="H5828" s="1" t="s">
        <v>5431</v>
      </c>
      <c r="J5828" s="1" t="s">
        <v>1071</v>
      </c>
      <c r="L5828" s="1" t="s">
        <v>1072</v>
      </c>
      <c r="M5828" s="1" t="s">
        <v>2803</v>
      </c>
      <c r="N5828" s="1" t="s">
        <v>1528</v>
      </c>
      <c r="P5828" s="1" t="s">
        <v>488</v>
      </c>
      <c r="Q5828" s="30" t="s">
        <v>2567</v>
      </c>
      <c r="R5828" s="33" t="s">
        <v>3474</v>
      </c>
      <c r="S5828">
        <v>35</v>
      </c>
      <c r="T5828" s="1" t="s">
        <v>5416</v>
      </c>
      <c r="U5828" s="1" t="str">
        <f>HYPERLINK("http://ictvonline.org/taxonomy/p/taxonomy-history?taxnode_id=202102330","ICTVonline=202102330")</f>
        <v>ICTVonline=202102330</v>
      </c>
    </row>
    <row r="5829" spans="1:21" x14ac:dyDescent="0.2">
      <c r="A5829" s="3">
        <v>5828</v>
      </c>
      <c r="B5829" s="1" t="s">
        <v>4226</v>
      </c>
      <c r="D5829" s="1" t="s">
        <v>5412</v>
      </c>
      <c r="F5829" s="1" t="s">
        <v>5430</v>
      </c>
      <c r="H5829" s="1" t="s">
        <v>5431</v>
      </c>
      <c r="J5829" s="1" t="s">
        <v>1071</v>
      </c>
      <c r="L5829" s="1" t="s">
        <v>1072</v>
      </c>
      <c r="M5829" s="1" t="s">
        <v>2803</v>
      </c>
      <c r="N5829" s="1" t="s">
        <v>1528</v>
      </c>
      <c r="P5829" s="1" t="s">
        <v>489</v>
      </c>
      <c r="Q5829" s="30" t="s">
        <v>2567</v>
      </c>
      <c r="R5829" s="33" t="s">
        <v>3474</v>
      </c>
      <c r="S5829">
        <v>35</v>
      </c>
      <c r="T5829" s="1" t="s">
        <v>5416</v>
      </c>
      <c r="U5829" s="1" t="str">
        <f>HYPERLINK("http://ictvonline.org/taxonomy/p/taxonomy-history?taxnode_id=202102331","ICTVonline=202102331")</f>
        <v>ICTVonline=202102331</v>
      </c>
    </row>
    <row r="5830" spans="1:21" x14ac:dyDescent="0.2">
      <c r="A5830" s="3">
        <v>5829</v>
      </c>
      <c r="B5830" s="1" t="s">
        <v>4226</v>
      </c>
      <c r="D5830" s="1" t="s">
        <v>5412</v>
      </c>
      <c r="F5830" s="1" t="s">
        <v>5430</v>
      </c>
      <c r="H5830" s="1" t="s">
        <v>5431</v>
      </c>
      <c r="J5830" s="1" t="s">
        <v>1071</v>
      </c>
      <c r="L5830" s="1" t="s">
        <v>1072</v>
      </c>
      <c r="M5830" s="1" t="s">
        <v>2803</v>
      </c>
      <c r="N5830" s="1" t="s">
        <v>1528</v>
      </c>
      <c r="P5830" s="1" t="s">
        <v>1418</v>
      </c>
      <c r="Q5830" s="30" t="s">
        <v>2567</v>
      </c>
      <c r="R5830" s="33" t="s">
        <v>3474</v>
      </c>
      <c r="S5830">
        <v>35</v>
      </c>
      <c r="T5830" s="1" t="s">
        <v>5416</v>
      </c>
      <c r="U5830" s="1" t="str">
        <f>HYPERLINK("http://ictvonline.org/taxonomy/p/taxonomy-history?taxnode_id=202102332","ICTVonline=202102332")</f>
        <v>ICTVonline=202102332</v>
      </c>
    </row>
    <row r="5831" spans="1:21" x14ac:dyDescent="0.2">
      <c r="A5831" s="3">
        <v>5830</v>
      </c>
      <c r="B5831" s="1" t="s">
        <v>4226</v>
      </c>
      <c r="D5831" s="1" t="s">
        <v>5412</v>
      </c>
      <c r="F5831" s="1" t="s">
        <v>5430</v>
      </c>
      <c r="H5831" s="1" t="s">
        <v>5431</v>
      </c>
      <c r="J5831" s="1" t="s">
        <v>1071</v>
      </c>
      <c r="L5831" s="1" t="s">
        <v>1072</v>
      </c>
      <c r="M5831" s="1" t="s">
        <v>2803</v>
      </c>
      <c r="N5831" s="1" t="s">
        <v>1528</v>
      </c>
      <c r="P5831" s="1" t="s">
        <v>2171</v>
      </c>
      <c r="Q5831" s="30" t="s">
        <v>2567</v>
      </c>
      <c r="R5831" s="33" t="s">
        <v>3474</v>
      </c>
      <c r="S5831">
        <v>35</v>
      </c>
      <c r="T5831" s="1" t="s">
        <v>5416</v>
      </c>
      <c r="U5831" s="1" t="str">
        <f>HYPERLINK("http://ictvonline.org/taxonomy/p/taxonomy-history?taxnode_id=202102333","ICTVonline=202102333")</f>
        <v>ICTVonline=202102333</v>
      </c>
    </row>
    <row r="5832" spans="1:21" x14ac:dyDescent="0.2">
      <c r="A5832" s="3">
        <v>5831</v>
      </c>
      <c r="B5832" s="1" t="s">
        <v>4226</v>
      </c>
      <c r="D5832" s="1" t="s">
        <v>5412</v>
      </c>
      <c r="F5832" s="1" t="s">
        <v>5430</v>
      </c>
      <c r="H5832" s="1" t="s">
        <v>5431</v>
      </c>
      <c r="J5832" s="1" t="s">
        <v>1071</v>
      </c>
      <c r="L5832" s="1" t="s">
        <v>1072</v>
      </c>
      <c r="M5832" s="1" t="s">
        <v>2803</v>
      </c>
      <c r="N5832" s="1" t="s">
        <v>1528</v>
      </c>
      <c r="P5832" s="1" t="s">
        <v>4430</v>
      </c>
      <c r="Q5832" s="30" t="s">
        <v>2567</v>
      </c>
      <c r="R5832" s="33" t="s">
        <v>3474</v>
      </c>
      <c r="S5832">
        <v>35</v>
      </c>
      <c r="T5832" s="1" t="s">
        <v>5416</v>
      </c>
      <c r="U5832" s="1" t="str">
        <f>HYPERLINK("http://ictvonline.org/taxonomy/p/taxonomy-history?taxnode_id=202106476","ICTVonline=202106476")</f>
        <v>ICTVonline=202106476</v>
      </c>
    </row>
    <row r="5833" spans="1:21" x14ac:dyDescent="0.2">
      <c r="A5833" s="3">
        <v>5832</v>
      </c>
      <c r="B5833" s="1" t="s">
        <v>4226</v>
      </c>
      <c r="D5833" s="1" t="s">
        <v>5412</v>
      </c>
      <c r="F5833" s="1" t="s">
        <v>5430</v>
      </c>
      <c r="H5833" s="1" t="s">
        <v>5431</v>
      </c>
      <c r="J5833" s="1" t="s">
        <v>1071</v>
      </c>
      <c r="L5833" s="1" t="s">
        <v>1072</v>
      </c>
      <c r="M5833" s="1" t="s">
        <v>2803</v>
      </c>
      <c r="N5833" s="1" t="s">
        <v>1528</v>
      </c>
      <c r="P5833" s="1" t="s">
        <v>4431</v>
      </c>
      <c r="Q5833" s="30" t="s">
        <v>2567</v>
      </c>
      <c r="R5833" s="33" t="s">
        <v>3474</v>
      </c>
      <c r="S5833">
        <v>35</v>
      </c>
      <c r="T5833" s="1" t="s">
        <v>5416</v>
      </c>
      <c r="U5833" s="1" t="str">
        <f>HYPERLINK("http://ictvonline.org/taxonomy/p/taxonomy-history?taxnode_id=202106481","ICTVonline=202106481")</f>
        <v>ICTVonline=202106481</v>
      </c>
    </row>
    <row r="5834" spans="1:21" x14ac:dyDescent="0.2">
      <c r="A5834" s="3">
        <v>5833</v>
      </c>
      <c r="B5834" s="1" t="s">
        <v>4226</v>
      </c>
      <c r="D5834" s="1" t="s">
        <v>5412</v>
      </c>
      <c r="F5834" s="1" t="s">
        <v>5430</v>
      </c>
      <c r="H5834" s="1" t="s">
        <v>5431</v>
      </c>
      <c r="J5834" s="1" t="s">
        <v>1071</v>
      </c>
      <c r="L5834" s="1" t="s">
        <v>1072</v>
      </c>
      <c r="M5834" s="1" t="s">
        <v>2803</v>
      </c>
      <c r="N5834" s="1" t="s">
        <v>1528</v>
      </c>
      <c r="P5834" s="1" t="s">
        <v>4432</v>
      </c>
      <c r="Q5834" s="30" t="s">
        <v>2567</v>
      </c>
      <c r="R5834" s="33" t="s">
        <v>3474</v>
      </c>
      <c r="S5834">
        <v>35</v>
      </c>
      <c r="T5834" s="1" t="s">
        <v>5416</v>
      </c>
      <c r="U5834" s="1" t="str">
        <f>HYPERLINK("http://ictvonline.org/taxonomy/p/taxonomy-history?taxnode_id=202106487","ICTVonline=202106487")</f>
        <v>ICTVonline=202106487</v>
      </c>
    </row>
    <row r="5835" spans="1:21" x14ac:dyDescent="0.2">
      <c r="A5835" s="3">
        <v>5834</v>
      </c>
      <c r="B5835" s="1" t="s">
        <v>4226</v>
      </c>
      <c r="D5835" s="1" t="s">
        <v>5412</v>
      </c>
      <c r="F5835" s="1" t="s">
        <v>5430</v>
      </c>
      <c r="H5835" s="1" t="s">
        <v>5431</v>
      </c>
      <c r="J5835" s="1" t="s">
        <v>1071</v>
      </c>
      <c r="L5835" s="1" t="s">
        <v>1072</v>
      </c>
      <c r="M5835" s="1" t="s">
        <v>2803</v>
      </c>
      <c r="N5835" s="1" t="s">
        <v>1528</v>
      </c>
      <c r="P5835" s="1" t="s">
        <v>4433</v>
      </c>
      <c r="Q5835" s="30" t="s">
        <v>2567</v>
      </c>
      <c r="R5835" s="33" t="s">
        <v>3474</v>
      </c>
      <c r="S5835">
        <v>35</v>
      </c>
      <c r="T5835" s="1" t="s">
        <v>5416</v>
      </c>
      <c r="U5835" s="1" t="str">
        <f>HYPERLINK("http://ictvonline.org/taxonomy/p/taxonomy-history?taxnode_id=202106493","ICTVonline=202106493")</f>
        <v>ICTVonline=202106493</v>
      </c>
    </row>
    <row r="5836" spans="1:21" x14ac:dyDescent="0.2">
      <c r="A5836" s="3">
        <v>5835</v>
      </c>
      <c r="B5836" s="1" t="s">
        <v>4226</v>
      </c>
      <c r="D5836" s="1" t="s">
        <v>5412</v>
      </c>
      <c r="F5836" s="1" t="s">
        <v>5430</v>
      </c>
      <c r="H5836" s="1" t="s">
        <v>5431</v>
      </c>
      <c r="J5836" s="1" t="s">
        <v>1071</v>
      </c>
      <c r="L5836" s="1" t="s">
        <v>1072</v>
      </c>
      <c r="M5836" s="1" t="s">
        <v>2803</v>
      </c>
      <c r="N5836" s="1" t="s">
        <v>1528</v>
      </c>
      <c r="P5836" s="1" t="s">
        <v>1952</v>
      </c>
      <c r="Q5836" s="30" t="s">
        <v>2567</v>
      </c>
      <c r="R5836" s="33" t="s">
        <v>3474</v>
      </c>
      <c r="S5836">
        <v>35</v>
      </c>
      <c r="T5836" s="1" t="s">
        <v>5416</v>
      </c>
      <c r="U5836" s="1" t="str">
        <f>HYPERLINK("http://ictvonline.org/taxonomy/p/taxonomy-history?taxnode_id=202102334","ICTVonline=202102334")</f>
        <v>ICTVonline=202102334</v>
      </c>
    </row>
    <row r="5837" spans="1:21" x14ac:dyDescent="0.2">
      <c r="A5837" s="3">
        <v>5836</v>
      </c>
      <c r="B5837" s="1" t="s">
        <v>4226</v>
      </c>
      <c r="D5837" s="1" t="s">
        <v>5412</v>
      </c>
      <c r="F5837" s="1" t="s">
        <v>5430</v>
      </c>
      <c r="H5837" s="1" t="s">
        <v>5431</v>
      </c>
      <c r="J5837" s="1" t="s">
        <v>1071</v>
      </c>
      <c r="L5837" s="1" t="s">
        <v>1072</v>
      </c>
      <c r="M5837" s="1" t="s">
        <v>2803</v>
      </c>
      <c r="N5837" s="1" t="s">
        <v>1528</v>
      </c>
      <c r="P5837" s="1" t="s">
        <v>1980</v>
      </c>
      <c r="Q5837" s="30" t="s">
        <v>2567</v>
      </c>
      <c r="R5837" s="33" t="s">
        <v>3474</v>
      </c>
      <c r="S5837">
        <v>35</v>
      </c>
      <c r="T5837" s="1" t="s">
        <v>5416</v>
      </c>
      <c r="U5837" s="1" t="str">
        <f>HYPERLINK("http://ictvonline.org/taxonomy/p/taxonomy-history?taxnode_id=202102335","ICTVonline=202102335")</f>
        <v>ICTVonline=202102335</v>
      </c>
    </row>
    <row r="5838" spans="1:21" x14ac:dyDescent="0.2">
      <c r="A5838" s="3">
        <v>5837</v>
      </c>
      <c r="B5838" s="1" t="s">
        <v>4226</v>
      </c>
      <c r="D5838" s="1" t="s">
        <v>5412</v>
      </c>
      <c r="F5838" s="1" t="s">
        <v>5430</v>
      </c>
      <c r="H5838" s="1" t="s">
        <v>5431</v>
      </c>
      <c r="J5838" s="1" t="s">
        <v>1071</v>
      </c>
      <c r="L5838" s="1" t="s">
        <v>1072</v>
      </c>
      <c r="M5838" s="1" t="s">
        <v>2803</v>
      </c>
      <c r="N5838" s="1" t="s">
        <v>1528</v>
      </c>
      <c r="P5838" s="1" t="s">
        <v>12850</v>
      </c>
      <c r="Q5838" s="30" t="s">
        <v>2567</v>
      </c>
      <c r="R5838" s="33" t="s">
        <v>3472</v>
      </c>
      <c r="S5838">
        <v>37</v>
      </c>
      <c r="T5838" s="1" t="s">
        <v>14000</v>
      </c>
      <c r="U5838" s="1" t="str">
        <f>HYPERLINK("http://ictvonline.org/taxonomy/p/taxonomy-history?taxnode_id=202113860","ICTVonline=202113860")</f>
        <v>ICTVonline=202113860</v>
      </c>
    </row>
    <row r="5839" spans="1:21" x14ac:dyDescent="0.2">
      <c r="A5839" s="3">
        <v>5838</v>
      </c>
      <c r="B5839" s="1" t="s">
        <v>4226</v>
      </c>
      <c r="D5839" s="1" t="s">
        <v>5412</v>
      </c>
      <c r="F5839" s="1" t="s">
        <v>5430</v>
      </c>
      <c r="H5839" s="1" t="s">
        <v>5431</v>
      </c>
      <c r="J5839" s="1" t="s">
        <v>1071</v>
      </c>
      <c r="L5839" s="1" t="s">
        <v>1072</v>
      </c>
      <c r="M5839" s="1" t="s">
        <v>2803</v>
      </c>
      <c r="N5839" s="1" t="s">
        <v>1528</v>
      </c>
      <c r="P5839" s="1" t="s">
        <v>12851</v>
      </c>
      <c r="Q5839" s="30" t="s">
        <v>2567</v>
      </c>
      <c r="R5839" s="33" t="s">
        <v>3472</v>
      </c>
      <c r="S5839">
        <v>37</v>
      </c>
      <c r="T5839" s="1" t="s">
        <v>14000</v>
      </c>
      <c r="U5839" s="1" t="str">
        <f>HYPERLINK("http://ictvonline.org/taxonomy/p/taxonomy-history?taxnode_id=202113861","ICTVonline=202113861")</f>
        <v>ICTVonline=202113861</v>
      </c>
    </row>
    <row r="5840" spans="1:21" x14ac:dyDescent="0.2">
      <c r="A5840" s="3">
        <v>5839</v>
      </c>
      <c r="B5840" s="1" t="s">
        <v>4226</v>
      </c>
      <c r="D5840" s="1" t="s">
        <v>5412</v>
      </c>
      <c r="F5840" s="1" t="s">
        <v>5430</v>
      </c>
      <c r="H5840" s="1" t="s">
        <v>5431</v>
      </c>
      <c r="J5840" s="1" t="s">
        <v>1071</v>
      </c>
      <c r="L5840" s="1" t="s">
        <v>1072</v>
      </c>
      <c r="M5840" s="1" t="s">
        <v>2803</v>
      </c>
      <c r="N5840" s="1" t="s">
        <v>4434</v>
      </c>
      <c r="P5840" s="1" t="s">
        <v>4435</v>
      </c>
      <c r="Q5840" s="30" t="s">
        <v>2567</v>
      </c>
      <c r="R5840" s="33" t="s">
        <v>8665</v>
      </c>
      <c r="S5840">
        <v>36</v>
      </c>
      <c r="T5840" s="1" t="s">
        <v>8661</v>
      </c>
      <c r="U5840" s="1" t="str">
        <f>HYPERLINK("http://ictvonline.org/taxonomy/p/taxonomy-history?taxnode_id=202106419","ICTVonline=202106419")</f>
        <v>ICTVonline=202106419</v>
      </c>
    </row>
    <row r="5841" spans="1:21" x14ac:dyDescent="0.2">
      <c r="A5841" s="3">
        <v>5840</v>
      </c>
      <c r="B5841" s="1" t="s">
        <v>4226</v>
      </c>
      <c r="D5841" s="1" t="s">
        <v>5412</v>
      </c>
      <c r="F5841" s="1" t="s">
        <v>5430</v>
      </c>
      <c r="H5841" s="1" t="s">
        <v>5431</v>
      </c>
      <c r="J5841" s="1" t="s">
        <v>1071</v>
      </c>
      <c r="L5841" s="1" t="s">
        <v>3658</v>
      </c>
      <c r="N5841" s="1" t="s">
        <v>3659</v>
      </c>
      <c r="P5841" s="1" t="s">
        <v>3660</v>
      </c>
      <c r="Q5841" s="30" t="s">
        <v>2567</v>
      </c>
      <c r="R5841" s="33" t="s">
        <v>3474</v>
      </c>
      <c r="S5841">
        <v>35</v>
      </c>
      <c r="T5841" s="1" t="s">
        <v>5416</v>
      </c>
      <c r="U5841" s="1" t="str">
        <f>HYPERLINK("http://ictvonline.org/taxonomy/p/taxonomy-history?taxnode_id=202105645","ICTVonline=202105645")</f>
        <v>ICTVonline=202105645</v>
      </c>
    </row>
    <row r="5842" spans="1:21" x14ac:dyDescent="0.2">
      <c r="A5842" s="3">
        <v>5841</v>
      </c>
      <c r="B5842" s="1" t="s">
        <v>4226</v>
      </c>
      <c r="D5842" s="1" t="s">
        <v>5412</v>
      </c>
      <c r="F5842" s="1" t="s">
        <v>5430</v>
      </c>
      <c r="H5842" s="1" t="s">
        <v>5431</v>
      </c>
      <c r="J5842" s="1" t="s">
        <v>1071</v>
      </c>
      <c r="L5842" s="1" t="s">
        <v>3658</v>
      </c>
      <c r="N5842" s="1" t="s">
        <v>3659</v>
      </c>
      <c r="P5842" s="1" t="s">
        <v>3661</v>
      </c>
      <c r="Q5842" s="30" t="s">
        <v>2567</v>
      </c>
      <c r="R5842" s="33" t="s">
        <v>8665</v>
      </c>
      <c r="S5842">
        <v>36</v>
      </c>
      <c r="T5842" s="1" t="s">
        <v>8661</v>
      </c>
      <c r="U5842" s="1" t="str">
        <f>HYPERLINK("http://ictvonline.org/taxonomy/p/taxonomy-history?taxnode_id=202105646","ICTVonline=202105646")</f>
        <v>ICTVonline=202105646</v>
      </c>
    </row>
    <row r="5843" spans="1:21" x14ac:dyDescent="0.2">
      <c r="A5843" s="3">
        <v>5842</v>
      </c>
      <c r="B5843" s="1" t="s">
        <v>4226</v>
      </c>
      <c r="D5843" s="1" t="s">
        <v>5412</v>
      </c>
      <c r="F5843" s="1" t="s">
        <v>5430</v>
      </c>
      <c r="H5843" s="1" t="s">
        <v>5431</v>
      </c>
      <c r="J5843" s="1" t="s">
        <v>1071</v>
      </c>
      <c r="L5843" s="1" t="s">
        <v>3658</v>
      </c>
      <c r="N5843" s="1" t="s">
        <v>3659</v>
      </c>
      <c r="P5843" s="1" t="s">
        <v>3662</v>
      </c>
      <c r="Q5843" s="30" t="s">
        <v>2567</v>
      </c>
      <c r="R5843" s="33" t="s">
        <v>3474</v>
      </c>
      <c r="S5843">
        <v>35</v>
      </c>
      <c r="T5843" s="1" t="s">
        <v>5416</v>
      </c>
      <c r="U5843" s="1" t="str">
        <f>HYPERLINK("http://ictvonline.org/taxonomy/p/taxonomy-history?taxnode_id=202105647","ICTVonline=202105647")</f>
        <v>ICTVonline=202105647</v>
      </c>
    </row>
    <row r="5844" spans="1:21" x14ac:dyDescent="0.2">
      <c r="A5844" s="3">
        <v>5843</v>
      </c>
      <c r="B5844" s="1" t="s">
        <v>4226</v>
      </c>
      <c r="D5844" s="1" t="s">
        <v>5412</v>
      </c>
      <c r="F5844" s="1" t="s">
        <v>5430</v>
      </c>
      <c r="H5844" s="1" t="s">
        <v>5431</v>
      </c>
      <c r="J5844" s="1" t="s">
        <v>1071</v>
      </c>
      <c r="L5844" s="1" t="s">
        <v>1573</v>
      </c>
      <c r="N5844" s="1" t="s">
        <v>12852</v>
      </c>
      <c r="P5844" s="1" t="s">
        <v>12853</v>
      </c>
      <c r="Q5844" s="30" t="s">
        <v>2567</v>
      </c>
      <c r="R5844" s="33" t="s">
        <v>3472</v>
      </c>
      <c r="S5844">
        <v>37</v>
      </c>
      <c r="T5844" s="1" t="s">
        <v>14001</v>
      </c>
      <c r="U5844" s="1" t="str">
        <f>HYPERLINK("http://ictvonline.org/taxonomy/p/taxonomy-history?taxnode_id=202112524","ICTVonline=202112524")</f>
        <v>ICTVonline=202112524</v>
      </c>
    </row>
    <row r="5845" spans="1:21" x14ac:dyDescent="0.2">
      <c r="A5845" s="3">
        <v>5844</v>
      </c>
      <c r="B5845" s="1" t="s">
        <v>4226</v>
      </c>
      <c r="D5845" s="1" t="s">
        <v>5412</v>
      </c>
      <c r="F5845" s="1" t="s">
        <v>5430</v>
      </c>
      <c r="H5845" s="1" t="s">
        <v>5431</v>
      </c>
      <c r="J5845" s="1" t="s">
        <v>1071</v>
      </c>
      <c r="L5845" s="1" t="s">
        <v>1573</v>
      </c>
      <c r="N5845" s="1" t="s">
        <v>12852</v>
      </c>
      <c r="P5845" s="1" t="s">
        <v>12854</v>
      </c>
      <c r="Q5845" s="30" t="s">
        <v>2567</v>
      </c>
      <c r="R5845" s="33" t="s">
        <v>3472</v>
      </c>
      <c r="S5845">
        <v>37</v>
      </c>
      <c r="T5845" s="1" t="s">
        <v>14001</v>
      </c>
      <c r="U5845" s="1" t="str">
        <f>HYPERLINK("http://ictvonline.org/taxonomy/p/taxonomy-history?taxnode_id=202112525","ICTVonline=202112525")</f>
        <v>ICTVonline=202112525</v>
      </c>
    </row>
    <row r="5846" spans="1:21" x14ac:dyDescent="0.2">
      <c r="A5846" s="3">
        <v>5845</v>
      </c>
      <c r="B5846" s="1" t="s">
        <v>4226</v>
      </c>
      <c r="D5846" s="1" t="s">
        <v>5412</v>
      </c>
      <c r="F5846" s="1" t="s">
        <v>5430</v>
      </c>
      <c r="H5846" s="1" t="s">
        <v>5431</v>
      </c>
      <c r="J5846" s="1" t="s">
        <v>1071</v>
      </c>
      <c r="L5846" s="1" t="s">
        <v>1573</v>
      </c>
      <c r="N5846" s="1" t="s">
        <v>286</v>
      </c>
      <c r="P5846" s="1" t="s">
        <v>283</v>
      </c>
      <c r="Q5846" s="30" t="s">
        <v>2567</v>
      </c>
      <c r="R5846" s="33" t="s">
        <v>8665</v>
      </c>
      <c r="S5846">
        <v>36</v>
      </c>
      <c r="T5846" s="1" t="s">
        <v>8661</v>
      </c>
      <c r="U5846" s="1" t="str">
        <f>HYPERLINK("http://ictvonline.org/taxonomy/p/taxonomy-history?taxnode_id=202102340","ICTVonline=202102340")</f>
        <v>ICTVonline=202102340</v>
      </c>
    </row>
    <row r="5847" spans="1:21" x14ac:dyDescent="0.2">
      <c r="A5847" s="3">
        <v>5846</v>
      </c>
      <c r="B5847" s="1" t="s">
        <v>4226</v>
      </c>
      <c r="D5847" s="1" t="s">
        <v>5412</v>
      </c>
      <c r="F5847" s="1" t="s">
        <v>5430</v>
      </c>
      <c r="H5847" s="1" t="s">
        <v>5431</v>
      </c>
      <c r="J5847" s="1" t="s">
        <v>1071</v>
      </c>
      <c r="L5847" s="1" t="s">
        <v>1573</v>
      </c>
      <c r="N5847" s="1" t="s">
        <v>12855</v>
      </c>
      <c r="P5847" s="1" t="s">
        <v>12856</v>
      </c>
      <c r="Q5847" s="30" t="s">
        <v>2567</v>
      </c>
      <c r="R5847" s="33" t="s">
        <v>3472</v>
      </c>
      <c r="S5847">
        <v>37</v>
      </c>
      <c r="T5847" s="1" t="s">
        <v>14001</v>
      </c>
      <c r="U5847" s="1" t="str">
        <f>HYPERLINK("http://ictvonline.org/taxonomy/p/taxonomy-history?taxnode_id=202112527","ICTVonline=202112527")</f>
        <v>ICTVonline=202112527</v>
      </c>
    </row>
    <row r="5848" spans="1:21" x14ac:dyDescent="0.2">
      <c r="A5848" s="3">
        <v>5847</v>
      </c>
      <c r="B5848" s="1" t="s">
        <v>4226</v>
      </c>
      <c r="D5848" s="1" t="s">
        <v>5412</v>
      </c>
      <c r="F5848" s="1" t="s">
        <v>5430</v>
      </c>
      <c r="H5848" s="1" t="s">
        <v>5431</v>
      </c>
      <c r="J5848" s="1" t="s">
        <v>1071</v>
      </c>
      <c r="L5848" s="1" t="s">
        <v>1235</v>
      </c>
      <c r="N5848" s="1" t="s">
        <v>1236</v>
      </c>
      <c r="P5848" s="1" t="s">
        <v>1237</v>
      </c>
      <c r="Q5848" s="30" t="s">
        <v>2567</v>
      </c>
      <c r="R5848" s="33" t="s">
        <v>8665</v>
      </c>
      <c r="S5848">
        <v>36</v>
      </c>
      <c r="T5848" s="1" t="s">
        <v>8661</v>
      </c>
      <c r="U5848" s="1" t="str">
        <f>HYPERLINK("http://ictvonline.org/taxonomy/p/taxonomy-history?taxnode_id=202102344","ICTVonline=202102344")</f>
        <v>ICTVonline=202102344</v>
      </c>
    </row>
    <row r="5849" spans="1:21" x14ac:dyDescent="0.2">
      <c r="A5849" s="3">
        <v>5848</v>
      </c>
      <c r="B5849" s="1" t="s">
        <v>4226</v>
      </c>
      <c r="D5849" s="1" t="s">
        <v>5412</v>
      </c>
      <c r="F5849" s="1" t="s">
        <v>5430</v>
      </c>
      <c r="H5849" s="1" t="s">
        <v>5431</v>
      </c>
      <c r="J5849" s="1" t="s">
        <v>1071</v>
      </c>
      <c r="L5849" s="1" t="s">
        <v>1235</v>
      </c>
      <c r="N5849" s="1" t="s">
        <v>1238</v>
      </c>
      <c r="P5849" s="1" t="s">
        <v>6716</v>
      </c>
      <c r="Q5849" s="30" t="s">
        <v>2567</v>
      </c>
      <c r="R5849" s="33" t="s">
        <v>3472</v>
      </c>
      <c r="S5849">
        <v>36</v>
      </c>
      <c r="T5849" s="1" t="s">
        <v>6717</v>
      </c>
      <c r="U5849" s="1" t="str">
        <f>HYPERLINK("http://ictvonline.org/taxonomy/p/taxonomy-history?taxnode_id=202109793","ICTVonline=202109793")</f>
        <v>ICTVonline=202109793</v>
      </c>
    </row>
    <row r="5850" spans="1:21" x14ac:dyDescent="0.2">
      <c r="A5850" s="3">
        <v>5849</v>
      </c>
      <c r="B5850" s="1" t="s">
        <v>4226</v>
      </c>
      <c r="D5850" s="1" t="s">
        <v>5412</v>
      </c>
      <c r="F5850" s="1" t="s">
        <v>5430</v>
      </c>
      <c r="H5850" s="1" t="s">
        <v>5431</v>
      </c>
      <c r="J5850" s="1" t="s">
        <v>1071</v>
      </c>
      <c r="L5850" s="1" t="s">
        <v>1235</v>
      </c>
      <c r="N5850" s="1" t="s">
        <v>1238</v>
      </c>
      <c r="P5850" s="1" t="s">
        <v>1228</v>
      </c>
      <c r="Q5850" s="30" t="s">
        <v>2567</v>
      </c>
      <c r="R5850" s="33" t="s">
        <v>3474</v>
      </c>
      <c r="S5850">
        <v>35</v>
      </c>
      <c r="T5850" s="1" t="s">
        <v>5416</v>
      </c>
      <c r="U5850" s="1" t="str">
        <f>HYPERLINK("http://ictvonline.org/taxonomy/p/taxonomy-history?taxnode_id=202102346","ICTVonline=202102346")</f>
        <v>ICTVonline=202102346</v>
      </c>
    </row>
    <row r="5851" spans="1:21" x14ac:dyDescent="0.2">
      <c r="A5851" s="3">
        <v>5850</v>
      </c>
      <c r="B5851" s="1" t="s">
        <v>4226</v>
      </c>
      <c r="D5851" s="1" t="s">
        <v>5412</v>
      </c>
      <c r="F5851" s="1" t="s">
        <v>5430</v>
      </c>
      <c r="H5851" s="1" t="s">
        <v>5431</v>
      </c>
      <c r="J5851" s="1" t="s">
        <v>1071</v>
      </c>
      <c r="L5851" s="1" t="s">
        <v>1235</v>
      </c>
      <c r="N5851" s="1" t="s">
        <v>1238</v>
      </c>
      <c r="P5851" s="1" t="s">
        <v>14</v>
      </c>
      <c r="Q5851" s="30" t="s">
        <v>2567</v>
      </c>
      <c r="R5851" s="33" t="s">
        <v>3474</v>
      </c>
      <c r="S5851">
        <v>35</v>
      </c>
      <c r="T5851" s="1" t="s">
        <v>5416</v>
      </c>
      <c r="U5851" s="1" t="str">
        <f>HYPERLINK("http://ictvonline.org/taxonomy/p/taxonomy-history?taxnode_id=202102347","ICTVonline=202102347")</f>
        <v>ICTVonline=202102347</v>
      </c>
    </row>
    <row r="5852" spans="1:21" x14ac:dyDescent="0.2">
      <c r="A5852" s="3">
        <v>5851</v>
      </c>
      <c r="B5852" s="1" t="s">
        <v>4226</v>
      </c>
      <c r="D5852" s="1" t="s">
        <v>5412</v>
      </c>
      <c r="F5852" s="1" t="s">
        <v>5430</v>
      </c>
      <c r="H5852" s="1" t="s">
        <v>5431</v>
      </c>
      <c r="J5852" s="1" t="s">
        <v>1071</v>
      </c>
      <c r="L5852" s="1" t="s">
        <v>1235</v>
      </c>
      <c r="N5852" s="1" t="s">
        <v>1238</v>
      </c>
      <c r="P5852" s="1" t="s">
        <v>1229</v>
      </c>
      <c r="Q5852" s="30" t="s">
        <v>2567</v>
      </c>
      <c r="R5852" s="33" t="s">
        <v>3474</v>
      </c>
      <c r="S5852">
        <v>35</v>
      </c>
      <c r="T5852" s="1" t="s">
        <v>5416</v>
      </c>
      <c r="U5852" s="1" t="str">
        <f>HYPERLINK("http://ictvonline.org/taxonomy/p/taxonomy-history?taxnode_id=202102348","ICTVonline=202102348")</f>
        <v>ICTVonline=202102348</v>
      </c>
    </row>
    <row r="5853" spans="1:21" x14ac:dyDescent="0.2">
      <c r="A5853" s="3">
        <v>5852</v>
      </c>
      <c r="B5853" s="1" t="s">
        <v>4226</v>
      </c>
      <c r="D5853" s="1" t="s">
        <v>5412</v>
      </c>
      <c r="F5853" s="1" t="s">
        <v>5430</v>
      </c>
      <c r="H5853" s="1" t="s">
        <v>5431</v>
      </c>
      <c r="J5853" s="1" t="s">
        <v>1071</v>
      </c>
      <c r="L5853" s="1" t="s">
        <v>1235</v>
      </c>
      <c r="N5853" s="1" t="s">
        <v>1238</v>
      </c>
      <c r="P5853" s="1" t="s">
        <v>3663</v>
      </c>
      <c r="Q5853" s="30" t="s">
        <v>2567</v>
      </c>
      <c r="R5853" s="33" t="s">
        <v>3474</v>
      </c>
      <c r="S5853">
        <v>35</v>
      </c>
      <c r="T5853" s="1" t="s">
        <v>5416</v>
      </c>
      <c r="U5853" s="1" t="str">
        <f>HYPERLINK("http://ictvonline.org/taxonomy/p/taxonomy-history?taxnode_id=202105650","ICTVonline=202105650")</f>
        <v>ICTVonline=202105650</v>
      </c>
    </row>
    <row r="5854" spans="1:21" x14ac:dyDescent="0.2">
      <c r="A5854" s="3">
        <v>5853</v>
      </c>
      <c r="B5854" s="1" t="s">
        <v>4226</v>
      </c>
      <c r="D5854" s="1" t="s">
        <v>5412</v>
      </c>
      <c r="F5854" s="1" t="s">
        <v>5430</v>
      </c>
      <c r="H5854" s="1" t="s">
        <v>5431</v>
      </c>
      <c r="J5854" s="1" t="s">
        <v>1071</v>
      </c>
      <c r="L5854" s="1" t="s">
        <v>1235</v>
      </c>
      <c r="N5854" s="1" t="s">
        <v>1238</v>
      </c>
      <c r="P5854" s="1" t="s">
        <v>15</v>
      </c>
      <c r="Q5854" s="30" t="s">
        <v>2567</v>
      </c>
      <c r="R5854" s="33" t="s">
        <v>3474</v>
      </c>
      <c r="S5854">
        <v>35</v>
      </c>
      <c r="T5854" s="1" t="s">
        <v>5416</v>
      </c>
      <c r="U5854" s="1" t="str">
        <f>HYPERLINK("http://ictvonline.org/taxonomy/p/taxonomy-history?taxnode_id=202102349","ICTVonline=202102349")</f>
        <v>ICTVonline=202102349</v>
      </c>
    </row>
    <row r="5855" spans="1:21" x14ac:dyDescent="0.2">
      <c r="A5855" s="3">
        <v>5854</v>
      </c>
      <c r="B5855" s="1" t="s">
        <v>4226</v>
      </c>
      <c r="D5855" s="1" t="s">
        <v>5412</v>
      </c>
      <c r="F5855" s="1" t="s">
        <v>5430</v>
      </c>
      <c r="H5855" s="1" t="s">
        <v>5431</v>
      </c>
      <c r="J5855" s="1" t="s">
        <v>1071</v>
      </c>
      <c r="L5855" s="1" t="s">
        <v>1235</v>
      </c>
      <c r="N5855" s="1" t="s">
        <v>1238</v>
      </c>
      <c r="P5855" s="1" t="s">
        <v>1230</v>
      </c>
      <c r="Q5855" s="30" t="s">
        <v>2567</v>
      </c>
      <c r="R5855" s="33" t="s">
        <v>8665</v>
      </c>
      <c r="S5855">
        <v>36</v>
      </c>
      <c r="T5855" s="1" t="s">
        <v>8661</v>
      </c>
      <c r="U5855" s="1" t="str">
        <f>HYPERLINK("http://ictvonline.org/taxonomy/p/taxonomy-history?taxnode_id=202102350","ICTVonline=202102350")</f>
        <v>ICTVonline=202102350</v>
      </c>
    </row>
    <row r="5856" spans="1:21" x14ac:dyDescent="0.2">
      <c r="A5856" s="3">
        <v>5855</v>
      </c>
      <c r="B5856" s="1" t="s">
        <v>4226</v>
      </c>
      <c r="D5856" s="1" t="s">
        <v>5412</v>
      </c>
      <c r="F5856" s="1" t="s">
        <v>5430</v>
      </c>
      <c r="H5856" s="1" t="s">
        <v>5431</v>
      </c>
      <c r="J5856" s="1" t="s">
        <v>1071</v>
      </c>
      <c r="L5856" s="1" t="s">
        <v>1235</v>
      </c>
      <c r="N5856" s="1" t="s">
        <v>1238</v>
      </c>
      <c r="P5856" s="1" t="s">
        <v>3266</v>
      </c>
      <c r="Q5856" s="30" t="s">
        <v>2567</v>
      </c>
      <c r="R5856" s="33" t="s">
        <v>3474</v>
      </c>
      <c r="S5856">
        <v>35</v>
      </c>
      <c r="T5856" s="1" t="s">
        <v>5416</v>
      </c>
      <c r="U5856" s="1" t="str">
        <f>HYPERLINK("http://ictvonline.org/taxonomy/p/taxonomy-history?taxnode_id=202102351","ICTVonline=202102351")</f>
        <v>ICTVonline=202102351</v>
      </c>
    </row>
    <row r="5857" spans="1:21" x14ac:dyDescent="0.2">
      <c r="A5857" s="3">
        <v>5856</v>
      </c>
      <c r="B5857" s="1" t="s">
        <v>4226</v>
      </c>
      <c r="D5857" s="1" t="s">
        <v>5412</v>
      </c>
      <c r="F5857" s="1" t="s">
        <v>5430</v>
      </c>
      <c r="H5857" s="1" t="s">
        <v>5431</v>
      </c>
      <c r="J5857" s="1" t="s">
        <v>1071</v>
      </c>
      <c r="L5857" s="1" t="s">
        <v>1235</v>
      </c>
      <c r="N5857" s="1" t="s">
        <v>1238</v>
      </c>
      <c r="P5857" s="1" t="s">
        <v>1231</v>
      </c>
      <c r="Q5857" s="30" t="s">
        <v>2567</v>
      </c>
      <c r="R5857" s="33" t="s">
        <v>3474</v>
      </c>
      <c r="S5857">
        <v>35</v>
      </c>
      <c r="T5857" s="1" t="s">
        <v>5416</v>
      </c>
      <c r="U5857" s="1" t="str">
        <f>HYPERLINK("http://ictvonline.org/taxonomy/p/taxonomy-history?taxnode_id=202102352","ICTVonline=202102352")</f>
        <v>ICTVonline=202102352</v>
      </c>
    </row>
    <row r="5858" spans="1:21" x14ac:dyDescent="0.2">
      <c r="A5858" s="3">
        <v>5857</v>
      </c>
      <c r="B5858" s="1" t="s">
        <v>4226</v>
      </c>
      <c r="D5858" s="1" t="s">
        <v>5412</v>
      </c>
      <c r="F5858" s="1" t="s">
        <v>5430</v>
      </c>
      <c r="H5858" s="1" t="s">
        <v>5431</v>
      </c>
      <c r="J5858" s="1" t="s">
        <v>1071</v>
      </c>
      <c r="L5858" s="1" t="s">
        <v>1235</v>
      </c>
      <c r="N5858" s="1" t="s">
        <v>1238</v>
      </c>
      <c r="P5858" s="1" t="s">
        <v>16</v>
      </c>
      <c r="Q5858" s="30" t="s">
        <v>2567</v>
      </c>
      <c r="R5858" s="33" t="s">
        <v>3474</v>
      </c>
      <c r="S5858">
        <v>35</v>
      </c>
      <c r="T5858" s="1" t="s">
        <v>5416</v>
      </c>
      <c r="U5858" s="1" t="str">
        <f>HYPERLINK("http://ictvonline.org/taxonomy/p/taxonomy-history?taxnode_id=202102353","ICTVonline=202102353")</f>
        <v>ICTVonline=202102353</v>
      </c>
    </row>
    <row r="5859" spans="1:21" x14ac:dyDescent="0.2">
      <c r="A5859" s="3">
        <v>5858</v>
      </c>
      <c r="B5859" s="1" t="s">
        <v>4226</v>
      </c>
      <c r="D5859" s="1" t="s">
        <v>5412</v>
      </c>
      <c r="F5859" s="1" t="s">
        <v>5430</v>
      </c>
      <c r="H5859" s="1" t="s">
        <v>5431</v>
      </c>
      <c r="J5859" s="1" t="s">
        <v>1071</v>
      </c>
      <c r="L5859" s="1" t="s">
        <v>1235</v>
      </c>
      <c r="N5859" s="1" t="s">
        <v>1238</v>
      </c>
      <c r="P5859" s="1" t="s">
        <v>3664</v>
      </c>
      <c r="Q5859" s="30" t="s">
        <v>2567</v>
      </c>
      <c r="R5859" s="33" t="s">
        <v>3474</v>
      </c>
      <c r="S5859">
        <v>35</v>
      </c>
      <c r="T5859" s="1" t="s">
        <v>5416</v>
      </c>
      <c r="U5859" s="1" t="str">
        <f>HYPERLINK("http://ictvonline.org/taxonomy/p/taxonomy-history?taxnode_id=202105651","ICTVonline=202105651")</f>
        <v>ICTVonline=202105651</v>
      </c>
    </row>
    <row r="5860" spans="1:21" x14ac:dyDescent="0.2">
      <c r="A5860" s="3">
        <v>5859</v>
      </c>
      <c r="B5860" s="1" t="s">
        <v>4226</v>
      </c>
      <c r="D5860" s="1" t="s">
        <v>5412</v>
      </c>
      <c r="F5860" s="1" t="s">
        <v>5430</v>
      </c>
      <c r="H5860" s="1" t="s">
        <v>5431</v>
      </c>
      <c r="J5860" s="1" t="s">
        <v>1071</v>
      </c>
      <c r="L5860" s="1" t="s">
        <v>1235</v>
      </c>
      <c r="N5860" s="1" t="s">
        <v>1371</v>
      </c>
      <c r="P5860" s="1" t="s">
        <v>1372</v>
      </c>
      <c r="Q5860" s="30" t="s">
        <v>2567</v>
      </c>
      <c r="R5860" s="33" t="s">
        <v>3474</v>
      </c>
      <c r="S5860">
        <v>35</v>
      </c>
      <c r="T5860" s="1" t="s">
        <v>5416</v>
      </c>
      <c r="U5860" s="1" t="str">
        <f>HYPERLINK("http://ictvonline.org/taxonomy/p/taxonomy-history?taxnode_id=202102355","ICTVonline=202102355")</f>
        <v>ICTVonline=202102355</v>
      </c>
    </row>
    <row r="5861" spans="1:21" x14ac:dyDescent="0.2">
      <c r="A5861" s="3">
        <v>5860</v>
      </c>
      <c r="B5861" s="1" t="s">
        <v>4226</v>
      </c>
      <c r="D5861" s="1" t="s">
        <v>5412</v>
      </c>
      <c r="F5861" s="1" t="s">
        <v>5430</v>
      </c>
      <c r="H5861" s="1" t="s">
        <v>5431</v>
      </c>
      <c r="J5861" s="1" t="s">
        <v>1071</v>
      </c>
      <c r="L5861" s="1" t="s">
        <v>1235</v>
      </c>
      <c r="N5861" s="1" t="s">
        <v>1371</v>
      </c>
      <c r="P5861" s="1" t="s">
        <v>1373</v>
      </c>
      <c r="Q5861" s="30" t="s">
        <v>2567</v>
      </c>
      <c r="R5861" s="33" t="s">
        <v>3474</v>
      </c>
      <c r="S5861">
        <v>35</v>
      </c>
      <c r="T5861" s="1" t="s">
        <v>5416</v>
      </c>
      <c r="U5861" s="1" t="str">
        <f>HYPERLINK("http://ictvonline.org/taxonomy/p/taxonomy-history?taxnode_id=202102356","ICTVonline=202102356")</f>
        <v>ICTVonline=202102356</v>
      </c>
    </row>
    <row r="5862" spans="1:21" x14ac:dyDescent="0.2">
      <c r="A5862" s="3">
        <v>5861</v>
      </c>
      <c r="B5862" s="1" t="s">
        <v>4226</v>
      </c>
      <c r="D5862" s="1" t="s">
        <v>5412</v>
      </c>
      <c r="F5862" s="1" t="s">
        <v>5430</v>
      </c>
      <c r="H5862" s="1" t="s">
        <v>5431</v>
      </c>
      <c r="J5862" s="1" t="s">
        <v>1071</v>
      </c>
      <c r="L5862" s="1" t="s">
        <v>1235</v>
      </c>
      <c r="N5862" s="1" t="s">
        <v>1371</v>
      </c>
      <c r="P5862" s="1" t="s">
        <v>2172</v>
      </c>
      <c r="Q5862" s="30" t="s">
        <v>2567</v>
      </c>
      <c r="R5862" s="33" t="s">
        <v>3474</v>
      </c>
      <c r="S5862">
        <v>35</v>
      </c>
      <c r="T5862" s="1" t="s">
        <v>5416</v>
      </c>
      <c r="U5862" s="1" t="str">
        <f>HYPERLINK("http://ictvonline.org/taxonomy/p/taxonomy-history?taxnode_id=202102357","ICTVonline=202102357")</f>
        <v>ICTVonline=202102357</v>
      </c>
    </row>
    <row r="5863" spans="1:21" x14ac:dyDescent="0.2">
      <c r="A5863" s="3">
        <v>5862</v>
      </c>
      <c r="B5863" s="1" t="s">
        <v>4226</v>
      </c>
      <c r="D5863" s="1" t="s">
        <v>5412</v>
      </c>
      <c r="F5863" s="1" t="s">
        <v>5430</v>
      </c>
      <c r="H5863" s="1" t="s">
        <v>5431</v>
      </c>
      <c r="J5863" s="1" t="s">
        <v>1071</v>
      </c>
      <c r="L5863" s="1" t="s">
        <v>1235</v>
      </c>
      <c r="N5863" s="1" t="s">
        <v>1371</v>
      </c>
      <c r="P5863" s="1" t="s">
        <v>1374</v>
      </c>
      <c r="Q5863" s="30" t="s">
        <v>2567</v>
      </c>
      <c r="R5863" s="33" t="s">
        <v>3474</v>
      </c>
      <c r="S5863">
        <v>35</v>
      </c>
      <c r="T5863" s="1" t="s">
        <v>5416</v>
      </c>
      <c r="U5863" s="1" t="str">
        <f>HYPERLINK("http://ictvonline.org/taxonomy/p/taxonomy-history?taxnode_id=202102358","ICTVonline=202102358")</f>
        <v>ICTVonline=202102358</v>
      </c>
    </row>
    <row r="5864" spans="1:21" x14ac:dyDescent="0.2">
      <c r="A5864" s="3">
        <v>5863</v>
      </c>
      <c r="B5864" s="1" t="s">
        <v>4226</v>
      </c>
      <c r="D5864" s="1" t="s">
        <v>5412</v>
      </c>
      <c r="F5864" s="1" t="s">
        <v>5430</v>
      </c>
      <c r="H5864" s="1" t="s">
        <v>5431</v>
      </c>
      <c r="J5864" s="1" t="s">
        <v>1071</v>
      </c>
      <c r="L5864" s="1" t="s">
        <v>1235</v>
      </c>
      <c r="N5864" s="1" t="s">
        <v>1371</v>
      </c>
      <c r="P5864" s="1" t="s">
        <v>1375</v>
      </c>
      <c r="Q5864" s="30" t="s">
        <v>2567</v>
      </c>
      <c r="R5864" s="33" t="s">
        <v>3474</v>
      </c>
      <c r="S5864">
        <v>35</v>
      </c>
      <c r="T5864" s="1" t="s">
        <v>5416</v>
      </c>
      <c r="U5864" s="1" t="str">
        <f>HYPERLINK("http://ictvonline.org/taxonomy/p/taxonomy-history?taxnode_id=202102359","ICTVonline=202102359")</f>
        <v>ICTVonline=202102359</v>
      </c>
    </row>
    <row r="5865" spans="1:21" x14ac:dyDescent="0.2">
      <c r="A5865" s="3">
        <v>5864</v>
      </c>
      <c r="B5865" s="1" t="s">
        <v>4226</v>
      </c>
      <c r="D5865" s="1" t="s">
        <v>5412</v>
      </c>
      <c r="F5865" s="1" t="s">
        <v>5430</v>
      </c>
      <c r="H5865" s="1" t="s">
        <v>5431</v>
      </c>
      <c r="J5865" s="1" t="s">
        <v>1071</v>
      </c>
      <c r="L5865" s="1" t="s">
        <v>1235</v>
      </c>
      <c r="N5865" s="1" t="s">
        <v>1371</v>
      </c>
      <c r="P5865" s="1" t="s">
        <v>1376</v>
      </c>
      <c r="Q5865" s="30" t="s">
        <v>2567</v>
      </c>
      <c r="R5865" s="33" t="s">
        <v>3474</v>
      </c>
      <c r="S5865">
        <v>35</v>
      </c>
      <c r="T5865" s="1" t="s">
        <v>5416</v>
      </c>
      <c r="U5865" s="1" t="str">
        <f>HYPERLINK("http://ictvonline.org/taxonomy/p/taxonomy-history?taxnode_id=202102360","ICTVonline=202102360")</f>
        <v>ICTVonline=202102360</v>
      </c>
    </row>
    <row r="5866" spans="1:21" x14ac:dyDescent="0.2">
      <c r="A5866" s="3">
        <v>5865</v>
      </c>
      <c r="B5866" s="1" t="s">
        <v>4226</v>
      </c>
      <c r="D5866" s="1" t="s">
        <v>5412</v>
      </c>
      <c r="F5866" s="1" t="s">
        <v>5430</v>
      </c>
      <c r="H5866" s="1" t="s">
        <v>5431</v>
      </c>
      <c r="J5866" s="1" t="s">
        <v>1071</v>
      </c>
      <c r="L5866" s="1" t="s">
        <v>1235</v>
      </c>
      <c r="N5866" s="1" t="s">
        <v>1371</v>
      </c>
      <c r="P5866" s="1" t="s">
        <v>1377</v>
      </c>
      <c r="Q5866" s="30" t="s">
        <v>2567</v>
      </c>
      <c r="R5866" s="33" t="s">
        <v>3474</v>
      </c>
      <c r="S5866">
        <v>35</v>
      </c>
      <c r="T5866" s="1" t="s">
        <v>5416</v>
      </c>
      <c r="U5866" s="1" t="str">
        <f>HYPERLINK("http://ictvonline.org/taxonomy/p/taxonomy-history?taxnode_id=202102361","ICTVonline=202102361")</f>
        <v>ICTVonline=202102361</v>
      </c>
    </row>
    <row r="5867" spans="1:21" x14ac:dyDescent="0.2">
      <c r="A5867" s="3">
        <v>5866</v>
      </c>
      <c r="B5867" s="1" t="s">
        <v>4226</v>
      </c>
      <c r="D5867" s="1" t="s">
        <v>5412</v>
      </c>
      <c r="F5867" s="1" t="s">
        <v>5430</v>
      </c>
      <c r="H5867" s="1" t="s">
        <v>5431</v>
      </c>
      <c r="J5867" s="1" t="s">
        <v>1071</v>
      </c>
      <c r="L5867" s="1" t="s">
        <v>1235</v>
      </c>
      <c r="N5867" s="1" t="s">
        <v>1371</v>
      </c>
      <c r="P5867" s="1" t="s">
        <v>17</v>
      </c>
      <c r="Q5867" s="30" t="s">
        <v>2567</v>
      </c>
      <c r="R5867" s="33" t="s">
        <v>3474</v>
      </c>
      <c r="S5867">
        <v>35</v>
      </c>
      <c r="T5867" s="1" t="s">
        <v>5416</v>
      </c>
      <c r="U5867" s="1" t="str">
        <f>HYPERLINK("http://ictvonline.org/taxonomy/p/taxonomy-history?taxnode_id=202102362","ICTVonline=202102362")</f>
        <v>ICTVonline=202102362</v>
      </c>
    </row>
    <row r="5868" spans="1:21" x14ac:dyDescent="0.2">
      <c r="A5868" s="3">
        <v>5867</v>
      </c>
      <c r="B5868" s="1" t="s">
        <v>4226</v>
      </c>
      <c r="D5868" s="1" t="s">
        <v>5412</v>
      </c>
      <c r="F5868" s="1" t="s">
        <v>5430</v>
      </c>
      <c r="H5868" s="1" t="s">
        <v>5431</v>
      </c>
      <c r="J5868" s="1" t="s">
        <v>1071</v>
      </c>
      <c r="L5868" s="1" t="s">
        <v>1235</v>
      </c>
      <c r="N5868" s="1" t="s">
        <v>1371</v>
      </c>
      <c r="P5868" s="1" t="s">
        <v>1378</v>
      </c>
      <c r="Q5868" s="30" t="s">
        <v>2567</v>
      </c>
      <c r="R5868" s="33" t="s">
        <v>3474</v>
      </c>
      <c r="S5868">
        <v>35</v>
      </c>
      <c r="T5868" s="1" t="s">
        <v>5416</v>
      </c>
      <c r="U5868" s="1" t="str">
        <f>HYPERLINK("http://ictvonline.org/taxonomy/p/taxonomy-history?taxnode_id=202102363","ICTVonline=202102363")</f>
        <v>ICTVonline=202102363</v>
      </c>
    </row>
    <row r="5869" spans="1:21" x14ac:dyDescent="0.2">
      <c r="A5869" s="3">
        <v>5868</v>
      </c>
      <c r="B5869" s="1" t="s">
        <v>4226</v>
      </c>
      <c r="D5869" s="1" t="s">
        <v>5412</v>
      </c>
      <c r="F5869" s="1" t="s">
        <v>5430</v>
      </c>
      <c r="H5869" s="1" t="s">
        <v>5431</v>
      </c>
      <c r="J5869" s="1" t="s">
        <v>1071</v>
      </c>
      <c r="L5869" s="1" t="s">
        <v>1235</v>
      </c>
      <c r="N5869" s="1" t="s">
        <v>1371</v>
      </c>
      <c r="P5869" s="1" t="s">
        <v>1350</v>
      </c>
      <c r="Q5869" s="30" t="s">
        <v>2567</v>
      </c>
      <c r="R5869" s="33" t="s">
        <v>3474</v>
      </c>
      <c r="S5869">
        <v>35</v>
      </c>
      <c r="T5869" s="1" t="s">
        <v>5416</v>
      </c>
      <c r="U5869" s="1" t="str">
        <f>HYPERLINK("http://ictvonline.org/taxonomy/p/taxonomy-history?taxnode_id=202102364","ICTVonline=202102364")</f>
        <v>ICTVonline=202102364</v>
      </c>
    </row>
    <row r="5870" spans="1:21" x14ac:dyDescent="0.2">
      <c r="A5870" s="3">
        <v>5869</v>
      </c>
      <c r="B5870" s="1" t="s">
        <v>4226</v>
      </c>
      <c r="D5870" s="1" t="s">
        <v>5412</v>
      </c>
      <c r="F5870" s="1" t="s">
        <v>5430</v>
      </c>
      <c r="H5870" s="1" t="s">
        <v>5431</v>
      </c>
      <c r="J5870" s="1" t="s">
        <v>1071</v>
      </c>
      <c r="L5870" s="1" t="s">
        <v>1235</v>
      </c>
      <c r="N5870" s="1" t="s">
        <v>1371</v>
      </c>
      <c r="P5870" s="1" t="s">
        <v>1351</v>
      </c>
      <c r="Q5870" s="30" t="s">
        <v>2567</v>
      </c>
      <c r="R5870" s="33" t="s">
        <v>3474</v>
      </c>
      <c r="S5870">
        <v>35</v>
      </c>
      <c r="T5870" s="1" t="s">
        <v>5416</v>
      </c>
      <c r="U5870" s="1" t="str">
        <f>HYPERLINK("http://ictvonline.org/taxonomy/p/taxonomy-history?taxnode_id=202102365","ICTVonline=202102365")</f>
        <v>ICTVonline=202102365</v>
      </c>
    </row>
    <row r="5871" spans="1:21" x14ac:dyDescent="0.2">
      <c r="A5871" s="3">
        <v>5870</v>
      </c>
      <c r="B5871" s="1" t="s">
        <v>4226</v>
      </c>
      <c r="D5871" s="1" t="s">
        <v>5412</v>
      </c>
      <c r="F5871" s="1" t="s">
        <v>5430</v>
      </c>
      <c r="H5871" s="1" t="s">
        <v>5431</v>
      </c>
      <c r="J5871" s="1" t="s">
        <v>1071</v>
      </c>
      <c r="L5871" s="1" t="s">
        <v>1235</v>
      </c>
      <c r="N5871" s="1" t="s">
        <v>1371</v>
      </c>
      <c r="P5871" s="1" t="s">
        <v>1352</v>
      </c>
      <c r="Q5871" s="30" t="s">
        <v>2567</v>
      </c>
      <c r="R5871" s="33" t="s">
        <v>3474</v>
      </c>
      <c r="S5871">
        <v>35</v>
      </c>
      <c r="T5871" s="1" t="s">
        <v>5416</v>
      </c>
      <c r="U5871" s="1" t="str">
        <f>HYPERLINK("http://ictvonline.org/taxonomy/p/taxonomy-history?taxnode_id=202102366","ICTVonline=202102366")</f>
        <v>ICTVonline=202102366</v>
      </c>
    </row>
    <row r="5872" spans="1:21" x14ac:dyDescent="0.2">
      <c r="A5872" s="3">
        <v>5871</v>
      </c>
      <c r="B5872" s="1" t="s">
        <v>4226</v>
      </c>
      <c r="D5872" s="1" t="s">
        <v>5412</v>
      </c>
      <c r="F5872" s="1" t="s">
        <v>5430</v>
      </c>
      <c r="H5872" s="1" t="s">
        <v>5431</v>
      </c>
      <c r="J5872" s="1" t="s">
        <v>1071</v>
      </c>
      <c r="L5872" s="1" t="s">
        <v>1235</v>
      </c>
      <c r="N5872" s="1" t="s">
        <v>1371</v>
      </c>
      <c r="P5872" s="1" t="s">
        <v>1353</v>
      </c>
      <c r="Q5872" s="30" t="s">
        <v>2567</v>
      </c>
      <c r="R5872" s="33" t="s">
        <v>3474</v>
      </c>
      <c r="S5872">
        <v>35</v>
      </c>
      <c r="T5872" s="1" t="s">
        <v>5416</v>
      </c>
      <c r="U5872" s="1" t="str">
        <f>HYPERLINK("http://ictvonline.org/taxonomy/p/taxonomy-history?taxnode_id=202102367","ICTVonline=202102367")</f>
        <v>ICTVonline=202102367</v>
      </c>
    </row>
    <row r="5873" spans="1:21" x14ac:dyDescent="0.2">
      <c r="A5873" s="3">
        <v>5872</v>
      </c>
      <c r="B5873" s="1" t="s">
        <v>4226</v>
      </c>
      <c r="D5873" s="1" t="s">
        <v>5412</v>
      </c>
      <c r="F5873" s="1" t="s">
        <v>5430</v>
      </c>
      <c r="H5873" s="1" t="s">
        <v>5431</v>
      </c>
      <c r="J5873" s="1" t="s">
        <v>1071</v>
      </c>
      <c r="L5873" s="1" t="s">
        <v>1235</v>
      </c>
      <c r="N5873" s="1" t="s">
        <v>1371</v>
      </c>
      <c r="P5873" s="1" t="s">
        <v>345</v>
      </c>
      <c r="Q5873" s="30" t="s">
        <v>2567</v>
      </c>
      <c r="R5873" s="33" t="s">
        <v>3474</v>
      </c>
      <c r="S5873">
        <v>35</v>
      </c>
      <c r="T5873" s="1" t="s">
        <v>5416</v>
      </c>
      <c r="U5873" s="1" t="str">
        <f>HYPERLINK("http://ictvonline.org/taxonomy/p/taxonomy-history?taxnode_id=202102368","ICTVonline=202102368")</f>
        <v>ICTVonline=202102368</v>
      </c>
    </row>
    <row r="5874" spans="1:21" x14ac:dyDescent="0.2">
      <c r="A5874" s="3">
        <v>5873</v>
      </c>
      <c r="B5874" s="1" t="s">
        <v>4226</v>
      </c>
      <c r="D5874" s="1" t="s">
        <v>5412</v>
      </c>
      <c r="F5874" s="1" t="s">
        <v>5430</v>
      </c>
      <c r="H5874" s="1" t="s">
        <v>5431</v>
      </c>
      <c r="J5874" s="1" t="s">
        <v>1071</v>
      </c>
      <c r="L5874" s="1" t="s">
        <v>1235</v>
      </c>
      <c r="N5874" s="1" t="s">
        <v>1371</v>
      </c>
      <c r="P5874" s="1" t="s">
        <v>346</v>
      </c>
      <c r="Q5874" s="30" t="s">
        <v>2567</v>
      </c>
      <c r="R5874" s="33" t="s">
        <v>3474</v>
      </c>
      <c r="S5874">
        <v>35</v>
      </c>
      <c r="T5874" s="1" t="s">
        <v>5416</v>
      </c>
      <c r="U5874" s="1" t="str">
        <f>HYPERLINK("http://ictvonline.org/taxonomy/p/taxonomy-history?taxnode_id=202102369","ICTVonline=202102369")</f>
        <v>ICTVonline=202102369</v>
      </c>
    </row>
    <row r="5875" spans="1:21" x14ac:dyDescent="0.2">
      <c r="A5875" s="3">
        <v>5874</v>
      </c>
      <c r="B5875" s="1" t="s">
        <v>4226</v>
      </c>
      <c r="D5875" s="1" t="s">
        <v>5412</v>
      </c>
      <c r="F5875" s="1" t="s">
        <v>5430</v>
      </c>
      <c r="H5875" s="1" t="s">
        <v>5431</v>
      </c>
      <c r="J5875" s="1" t="s">
        <v>1071</v>
      </c>
      <c r="L5875" s="1" t="s">
        <v>1235</v>
      </c>
      <c r="N5875" s="1" t="s">
        <v>1371</v>
      </c>
      <c r="P5875" s="1" t="s">
        <v>347</v>
      </c>
      <c r="Q5875" s="30" t="s">
        <v>2567</v>
      </c>
      <c r="R5875" s="33" t="s">
        <v>3474</v>
      </c>
      <c r="S5875">
        <v>35</v>
      </c>
      <c r="T5875" s="1" t="s">
        <v>5416</v>
      </c>
      <c r="U5875" s="1" t="str">
        <f>HYPERLINK("http://ictvonline.org/taxonomy/p/taxonomy-history?taxnode_id=202102370","ICTVonline=202102370")</f>
        <v>ICTVonline=202102370</v>
      </c>
    </row>
    <row r="5876" spans="1:21" x14ac:dyDescent="0.2">
      <c r="A5876" s="3">
        <v>5875</v>
      </c>
      <c r="B5876" s="1" t="s">
        <v>4226</v>
      </c>
      <c r="D5876" s="1" t="s">
        <v>5412</v>
      </c>
      <c r="F5876" s="1" t="s">
        <v>5430</v>
      </c>
      <c r="H5876" s="1" t="s">
        <v>5431</v>
      </c>
      <c r="J5876" s="1" t="s">
        <v>1071</v>
      </c>
      <c r="L5876" s="1" t="s">
        <v>1235</v>
      </c>
      <c r="N5876" s="1" t="s">
        <v>1371</v>
      </c>
      <c r="P5876" s="1" t="s">
        <v>1357</v>
      </c>
      <c r="Q5876" s="30" t="s">
        <v>2567</v>
      </c>
      <c r="R5876" s="33" t="s">
        <v>3474</v>
      </c>
      <c r="S5876">
        <v>35</v>
      </c>
      <c r="T5876" s="1" t="s">
        <v>5416</v>
      </c>
      <c r="U5876" s="1" t="str">
        <f>HYPERLINK("http://ictvonline.org/taxonomy/p/taxonomy-history?taxnode_id=202102371","ICTVonline=202102371")</f>
        <v>ICTVonline=202102371</v>
      </c>
    </row>
    <row r="5877" spans="1:21" x14ac:dyDescent="0.2">
      <c r="A5877" s="3">
        <v>5876</v>
      </c>
      <c r="B5877" s="1" t="s">
        <v>4226</v>
      </c>
      <c r="D5877" s="1" t="s">
        <v>5412</v>
      </c>
      <c r="F5877" s="1" t="s">
        <v>5430</v>
      </c>
      <c r="H5877" s="1" t="s">
        <v>5431</v>
      </c>
      <c r="J5877" s="1" t="s">
        <v>1071</v>
      </c>
      <c r="L5877" s="1" t="s">
        <v>1235</v>
      </c>
      <c r="N5877" s="1" t="s">
        <v>1371</v>
      </c>
      <c r="P5877" s="1" t="s">
        <v>1358</v>
      </c>
      <c r="Q5877" s="30" t="s">
        <v>2567</v>
      </c>
      <c r="R5877" s="33" t="s">
        <v>3474</v>
      </c>
      <c r="S5877">
        <v>35</v>
      </c>
      <c r="T5877" s="1" t="s">
        <v>5416</v>
      </c>
      <c r="U5877" s="1" t="str">
        <f>HYPERLINK("http://ictvonline.org/taxonomy/p/taxonomy-history?taxnode_id=202102372","ICTVonline=202102372")</f>
        <v>ICTVonline=202102372</v>
      </c>
    </row>
    <row r="5878" spans="1:21" x14ac:dyDescent="0.2">
      <c r="A5878" s="3">
        <v>5877</v>
      </c>
      <c r="B5878" s="1" t="s">
        <v>4226</v>
      </c>
      <c r="D5878" s="1" t="s">
        <v>5412</v>
      </c>
      <c r="F5878" s="1" t="s">
        <v>5430</v>
      </c>
      <c r="H5878" s="1" t="s">
        <v>5431</v>
      </c>
      <c r="J5878" s="1" t="s">
        <v>1071</v>
      </c>
      <c r="L5878" s="1" t="s">
        <v>1235</v>
      </c>
      <c r="N5878" s="1" t="s">
        <v>1371</v>
      </c>
      <c r="P5878" s="1" t="s">
        <v>349</v>
      </c>
      <c r="Q5878" s="30" t="s">
        <v>2567</v>
      </c>
      <c r="R5878" s="33" t="s">
        <v>3474</v>
      </c>
      <c r="S5878">
        <v>35</v>
      </c>
      <c r="T5878" s="1" t="s">
        <v>5416</v>
      </c>
      <c r="U5878" s="1" t="str">
        <f>HYPERLINK("http://ictvonline.org/taxonomy/p/taxonomy-history?taxnode_id=202102373","ICTVonline=202102373")</f>
        <v>ICTVonline=202102373</v>
      </c>
    </row>
    <row r="5879" spans="1:21" x14ac:dyDescent="0.2">
      <c r="A5879" s="3">
        <v>5878</v>
      </c>
      <c r="B5879" s="1" t="s">
        <v>4226</v>
      </c>
      <c r="D5879" s="1" t="s">
        <v>5412</v>
      </c>
      <c r="F5879" s="1" t="s">
        <v>5430</v>
      </c>
      <c r="H5879" s="1" t="s">
        <v>5431</v>
      </c>
      <c r="J5879" s="1" t="s">
        <v>1071</v>
      </c>
      <c r="L5879" s="1" t="s">
        <v>1235</v>
      </c>
      <c r="N5879" s="1" t="s">
        <v>1371</v>
      </c>
      <c r="P5879" s="1" t="s">
        <v>350</v>
      </c>
      <c r="Q5879" s="30" t="s">
        <v>2567</v>
      </c>
      <c r="R5879" s="33" t="s">
        <v>3474</v>
      </c>
      <c r="S5879">
        <v>35</v>
      </c>
      <c r="T5879" s="1" t="s">
        <v>5416</v>
      </c>
      <c r="U5879" s="1" t="str">
        <f>HYPERLINK("http://ictvonline.org/taxonomy/p/taxonomy-history?taxnode_id=202102374","ICTVonline=202102374")</f>
        <v>ICTVonline=202102374</v>
      </c>
    </row>
    <row r="5880" spans="1:21" x14ac:dyDescent="0.2">
      <c r="A5880" s="3">
        <v>5879</v>
      </c>
      <c r="B5880" s="1" t="s">
        <v>4226</v>
      </c>
      <c r="D5880" s="1" t="s">
        <v>5412</v>
      </c>
      <c r="F5880" s="1" t="s">
        <v>5430</v>
      </c>
      <c r="H5880" s="1" t="s">
        <v>5431</v>
      </c>
      <c r="J5880" s="1" t="s">
        <v>1071</v>
      </c>
      <c r="L5880" s="1" t="s">
        <v>1235</v>
      </c>
      <c r="N5880" s="1" t="s">
        <v>1371</v>
      </c>
      <c r="P5880" s="1" t="s">
        <v>351</v>
      </c>
      <c r="Q5880" s="30" t="s">
        <v>2567</v>
      </c>
      <c r="R5880" s="33" t="s">
        <v>3474</v>
      </c>
      <c r="S5880">
        <v>35</v>
      </c>
      <c r="T5880" s="1" t="s">
        <v>5416</v>
      </c>
      <c r="U5880" s="1" t="str">
        <f>HYPERLINK("http://ictvonline.org/taxonomy/p/taxonomy-history?taxnode_id=202102375","ICTVonline=202102375")</f>
        <v>ICTVonline=202102375</v>
      </c>
    </row>
    <row r="5881" spans="1:21" x14ac:dyDescent="0.2">
      <c r="A5881" s="3">
        <v>5880</v>
      </c>
      <c r="B5881" s="1" t="s">
        <v>4226</v>
      </c>
      <c r="D5881" s="1" t="s">
        <v>5412</v>
      </c>
      <c r="F5881" s="1" t="s">
        <v>5430</v>
      </c>
      <c r="H5881" s="1" t="s">
        <v>5431</v>
      </c>
      <c r="J5881" s="1" t="s">
        <v>1071</v>
      </c>
      <c r="L5881" s="1" t="s">
        <v>1235</v>
      </c>
      <c r="N5881" s="1" t="s">
        <v>1371</v>
      </c>
      <c r="P5881" s="1" t="s">
        <v>352</v>
      </c>
      <c r="Q5881" s="30" t="s">
        <v>2567</v>
      </c>
      <c r="R5881" s="33" t="s">
        <v>3474</v>
      </c>
      <c r="S5881">
        <v>35</v>
      </c>
      <c r="T5881" s="1" t="s">
        <v>5416</v>
      </c>
      <c r="U5881" s="1" t="str">
        <f>HYPERLINK("http://ictvonline.org/taxonomy/p/taxonomy-history?taxnode_id=202102376","ICTVonline=202102376")</f>
        <v>ICTVonline=202102376</v>
      </c>
    </row>
    <row r="5882" spans="1:21" x14ac:dyDescent="0.2">
      <c r="A5882" s="3">
        <v>5881</v>
      </c>
      <c r="B5882" s="1" t="s">
        <v>4226</v>
      </c>
      <c r="D5882" s="1" t="s">
        <v>5412</v>
      </c>
      <c r="F5882" s="1" t="s">
        <v>5430</v>
      </c>
      <c r="H5882" s="1" t="s">
        <v>5431</v>
      </c>
      <c r="J5882" s="1" t="s">
        <v>1071</v>
      </c>
      <c r="L5882" s="1" t="s">
        <v>1235</v>
      </c>
      <c r="N5882" s="1" t="s">
        <v>1371</v>
      </c>
      <c r="P5882" s="1" t="s">
        <v>353</v>
      </c>
      <c r="Q5882" s="30" t="s">
        <v>2567</v>
      </c>
      <c r="R5882" s="33" t="s">
        <v>3474</v>
      </c>
      <c r="S5882">
        <v>35</v>
      </c>
      <c r="T5882" s="1" t="s">
        <v>5416</v>
      </c>
      <c r="U5882" s="1" t="str">
        <f>HYPERLINK("http://ictvonline.org/taxonomy/p/taxonomy-history?taxnode_id=202102377","ICTVonline=202102377")</f>
        <v>ICTVonline=202102377</v>
      </c>
    </row>
    <row r="5883" spans="1:21" x14ac:dyDescent="0.2">
      <c r="A5883" s="3">
        <v>5882</v>
      </c>
      <c r="B5883" s="1" t="s">
        <v>4226</v>
      </c>
      <c r="D5883" s="1" t="s">
        <v>5412</v>
      </c>
      <c r="F5883" s="1" t="s">
        <v>5430</v>
      </c>
      <c r="H5883" s="1" t="s">
        <v>5431</v>
      </c>
      <c r="J5883" s="1" t="s">
        <v>1071</v>
      </c>
      <c r="L5883" s="1" t="s">
        <v>1235</v>
      </c>
      <c r="N5883" s="1" t="s">
        <v>1371</v>
      </c>
      <c r="P5883" s="1" t="s">
        <v>240</v>
      </c>
      <c r="Q5883" s="30" t="s">
        <v>2567</v>
      </c>
      <c r="R5883" s="33" t="s">
        <v>3474</v>
      </c>
      <c r="S5883">
        <v>35</v>
      </c>
      <c r="T5883" s="1" t="s">
        <v>5416</v>
      </c>
      <c r="U5883" s="1" t="str">
        <f>HYPERLINK("http://ictvonline.org/taxonomy/p/taxonomy-history?taxnode_id=202102378","ICTVonline=202102378")</f>
        <v>ICTVonline=202102378</v>
      </c>
    </row>
    <row r="5884" spans="1:21" x14ac:dyDescent="0.2">
      <c r="A5884" s="3">
        <v>5883</v>
      </c>
      <c r="B5884" s="1" t="s">
        <v>4226</v>
      </c>
      <c r="D5884" s="1" t="s">
        <v>5412</v>
      </c>
      <c r="F5884" s="1" t="s">
        <v>5430</v>
      </c>
      <c r="H5884" s="1" t="s">
        <v>5431</v>
      </c>
      <c r="J5884" s="1" t="s">
        <v>1071</v>
      </c>
      <c r="L5884" s="1" t="s">
        <v>1235</v>
      </c>
      <c r="N5884" s="1" t="s">
        <v>1371</v>
      </c>
      <c r="P5884" s="1" t="s">
        <v>3267</v>
      </c>
      <c r="Q5884" s="30" t="s">
        <v>2567</v>
      </c>
      <c r="R5884" s="33" t="s">
        <v>3474</v>
      </c>
      <c r="S5884">
        <v>35</v>
      </c>
      <c r="T5884" s="1" t="s">
        <v>5416</v>
      </c>
      <c r="U5884" s="1" t="str">
        <f>HYPERLINK("http://ictvonline.org/taxonomy/p/taxonomy-history?taxnode_id=202102379","ICTVonline=202102379")</f>
        <v>ICTVonline=202102379</v>
      </c>
    </row>
    <row r="5885" spans="1:21" x14ac:dyDescent="0.2">
      <c r="A5885" s="3">
        <v>5884</v>
      </c>
      <c r="B5885" s="1" t="s">
        <v>4226</v>
      </c>
      <c r="D5885" s="1" t="s">
        <v>5412</v>
      </c>
      <c r="F5885" s="1" t="s">
        <v>5430</v>
      </c>
      <c r="H5885" s="1" t="s">
        <v>5431</v>
      </c>
      <c r="J5885" s="1" t="s">
        <v>1071</v>
      </c>
      <c r="L5885" s="1" t="s">
        <v>1235</v>
      </c>
      <c r="N5885" s="1" t="s">
        <v>1371</v>
      </c>
      <c r="P5885" s="1" t="s">
        <v>1154</v>
      </c>
      <c r="Q5885" s="30" t="s">
        <v>2567</v>
      </c>
      <c r="R5885" s="33" t="s">
        <v>8665</v>
      </c>
      <c r="S5885">
        <v>36</v>
      </c>
      <c r="T5885" s="1" t="s">
        <v>8661</v>
      </c>
      <c r="U5885" s="1" t="str">
        <f>HYPERLINK("http://ictvonline.org/taxonomy/p/taxonomy-history?taxnode_id=202102380","ICTVonline=202102380")</f>
        <v>ICTVonline=202102380</v>
      </c>
    </row>
    <row r="5886" spans="1:21" x14ac:dyDescent="0.2">
      <c r="A5886" s="3">
        <v>5885</v>
      </c>
      <c r="B5886" s="1" t="s">
        <v>4226</v>
      </c>
      <c r="D5886" s="1" t="s">
        <v>5412</v>
      </c>
      <c r="F5886" s="1" t="s">
        <v>5430</v>
      </c>
      <c r="H5886" s="1" t="s">
        <v>5431</v>
      </c>
      <c r="J5886" s="1" t="s">
        <v>1071</v>
      </c>
      <c r="L5886" s="1" t="s">
        <v>1235</v>
      </c>
      <c r="N5886" s="1" t="s">
        <v>1371</v>
      </c>
      <c r="P5886" s="1" t="s">
        <v>1155</v>
      </c>
      <c r="Q5886" s="30" t="s">
        <v>2567</v>
      </c>
      <c r="R5886" s="33" t="s">
        <v>3474</v>
      </c>
      <c r="S5886">
        <v>35</v>
      </c>
      <c r="T5886" s="1" t="s">
        <v>5416</v>
      </c>
      <c r="U5886" s="1" t="str">
        <f>HYPERLINK("http://ictvonline.org/taxonomy/p/taxonomy-history?taxnode_id=202102381","ICTVonline=202102381")</f>
        <v>ICTVonline=202102381</v>
      </c>
    </row>
    <row r="5887" spans="1:21" x14ac:dyDescent="0.2">
      <c r="A5887" s="3">
        <v>5886</v>
      </c>
      <c r="B5887" s="1" t="s">
        <v>4226</v>
      </c>
      <c r="D5887" s="1" t="s">
        <v>5412</v>
      </c>
      <c r="F5887" s="1" t="s">
        <v>5430</v>
      </c>
      <c r="H5887" s="1" t="s">
        <v>5431</v>
      </c>
      <c r="J5887" s="1" t="s">
        <v>1071</v>
      </c>
      <c r="L5887" s="1" t="s">
        <v>1235</v>
      </c>
      <c r="N5887" s="1" t="s">
        <v>1371</v>
      </c>
      <c r="P5887" s="1" t="s">
        <v>1156</v>
      </c>
      <c r="Q5887" s="30" t="s">
        <v>2567</v>
      </c>
      <c r="R5887" s="33" t="s">
        <v>3474</v>
      </c>
      <c r="S5887">
        <v>35</v>
      </c>
      <c r="T5887" s="1" t="s">
        <v>5416</v>
      </c>
      <c r="U5887" s="1" t="str">
        <f>HYPERLINK("http://ictvonline.org/taxonomy/p/taxonomy-history?taxnode_id=202102382","ICTVonline=202102382")</f>
        <v>ICTVonline=202102382</v>
      </c>
    </row>
    <row r="5888" spans="1:21" x14ac:dyDescent="0.2">
      <c r="A5888" s="3">
        <v>5887</v>
      </c>
      <c r="B5888" s="1" t="s">
        <v>4226</v>
      </c>
      <c r="D5888" s="1" t="s">
        <v>5412</v>
      </c>
      <c r="F5888" s="1" t="s">
        <v>5430</v>
      </c>
      <c r="H5888" s="1" t="s">
        <v>5431</v>
      </c>
      <c r="J5888" s="1" t="s">
        <v>1071</v>
      </c>
      <c r="L5888" s="1" t="s">
        <v>1235</v>
      </c>
      <c r="P5888" s="1" t="s">
        <v>12</v>
      </c>
      <c r="Q5888" s="30" t="s">
        <v>2567</v>
      </c>
      <c r="R5888" s="33" t="s">
        <v>3474</v>
      </c>
      <c r="S5888">
        <v>35</v>
      </c>
      <c r="T5888" s="1" t="s">
        <v>5416</v>
      </c>
      <c r="U5888" s="1" t="str">
        <f>HYPERLINK("http://ictvonline.org/taxonomy/p/taxonomy-history?taxnode_id=202102384","ICTVonline=202102384")</f>
        <v>ICTVonline=202102384</v>
      </c>
    </row>
    <row r="5889" spans="1:21" x14ac:dyDescent="0.2">
      <c r="A5889" s="3">
        <v>5888</v>
      </c>
      <c r="B5889" s="1" t="s">
        <v>4226</v>
      </c>
      <c r="D5889" s="1" t="s">
        <v>5412</v>
      </c>
      <c r="F5889" s="1" t="s">
        <v>5430</v>
      </c>
      <c r="H5889" s="1" t="s">
        <v>5431</v>
      </c>
      <c r="J5889" s="1" t="s">
        <v>1071</v>
      </c>
      <c r="L5889" s="1" t="s">
        <v>1235</v>
      </c>
      <c r="P5889" s="1" t="s">
        <v>13</v>
      </c>
      <c r="Q5889" s="30" t="s">
        <v>2567</v>
      </c>
      <c r="R5889" s="33" t="s">
        <v>3474</v>
      </c>
      <c r="S5889">
        <v>35</v>
      </c>
      <c r="T5889" s="1" t="s">
        <v>5416</v>
      </c>
      <c r="U5889" s="1" t="str">
        <f>HYPERLINK("http://ictvonline.org/taxonomy/p/taxonomy-history?taxnode_id=202102385","ICTVonline=202102385")</f>
        <v>ICTVonline=202102385</v>
      </c>
    </row>
    <row r="5890" spans="1:21" x14ac:dyDescent="0.2">
      <c r="A5890" s="3">
        <v>5889</v>
      </c>
      <c r="B5890" s="1" t="s">
        <v>4226</v>
      </c>
      <c r="D5890" s="1" t="s">
        <v>5412</v>
      </c>
      <c r="F5890" s="1" t="s">
        <v>5430</v>
      </c>
      <c r="H5890" s="1" t="s">
        <v>5453</v>
      </c>
      <c r="J5890" s="1" t="s">
        <v>5454</v>
      </c>
      <c r="L5890" s="1" t="s">
        <v>1038</v>
      </c>
      <c r="N5890" s="1" t="s">
        <v>1039</v>
      </c>
      <c r="P5890" s="1" t="s">
        <v>1040</v>
      </c>
      <c r="Q5890" s="30" t="s">
        <v>2567</v>
      </c>
      <c r="R5890" s="33" t="s">
        <v>3474</v>
      </c>
      <c r="S5890">
        <v>35</v>
      </c>
      <c r="T5890" s="1" t="s">
        <v>5416</v>
      </c>
      <c r="U5890" s="1" t="str">
        <f>HYPERLINK("http://ictvonline.org/taxonomy/p/taxonomy-history?taxnode_id=202103071","ICTVonline=202103071")</f>
        <v>ICTVonline=202103071</v>
      </c>
    </row>
    <row r="5891" spans="1:21" x14ac:dyDescent="0.2">
      <c r="A5891" s="3">
        <v>5890</v>
      </c>
      <c r="B5891" s="1" t="s">
        <v>4226</v>
      </c>
      <c r="D5891" s="1" t="s">
        <v>5412</v>
      </c>
      <c r="F5891" s="1" t="s">
        <v>5430</v>
      </c>
      <c r="H5891" s="1" t="s">
        <v>5453</v>
      </c>
      <c r="J5891" s="1" t="s">
        <v>5454</v>
      </c>
      <c r="L5891" s="1" t="s">
        <v>1038</v>
      </c>
      <c r="N5891" s="1" t="s">
        <v>1039</v>
      </c>
      <c r="P5891" s="1" t="s">
        <v>1041</v>
      </c>
      <c r="Q5891" s="30" t="s">
        <v>2567</v>
      </c>
      <c r="R5891" s="33" t="s">
        <v>3474</v>
      </c>
      <c r="S5891">
        <v>35</v>
      </c>
      <c r="T5891" s="1" t="s">
        <v>5416</v>
      </c>
      <c r="U5891" s="1" t="str">
        <f>HYPERLINK("http://ictvonline.org/taxonomy/p/taxonomy-history?taxnode_id=202103072","ICTVonline=202103072")</f>
        <v>ICTVonline=202103072</v>
      </c>
    </row>
    <row r="5892" spans="1:21" x14ac:dyDescent="0.2">
      <c r="A5892" s="3">
        <v>5891</v>
      </c>
      <c r="B5892" s="1" t="s">
        <v>4226</v>
      </c>
      <c r="D5892" s="1" t="s">
        <v>5412</v>
      </c>
      <c r="F5892" s="1" t="s">
        <v>5430</v>
      </c>
      <c r="H5892" s="1" t="s">
        <v>5453</v>
      </c>
      <c r="J5892" s="1" t="s">
        <v>5454</v>
      </c>
      <c r="L5892" s="1" t="s">
        <v>1038</v>
      </c>
      <c r="N5892" s="1" t="s">
        <v>1039</v>
      </c>
      <c r="P5892" s="1" t="s">
        <v>1042</v>
      </c>
      <c r="Q5892" s="30" t="s">
        <v>2567</v>
      </c>
      <c r="R5892" s="33" t="s">
        <v>3474</v>
      </c>
      <c r="S5892">
        <v>35</v>
      </c>
      <c r="T5892" s="1" t="s">
        <v>5416</v>
      </c>
      <c r="U5892" s="1" t="str">
        <f>HYPERLINK("http://ictvonline.org/taxonomy/p/taxonomy-history?taxnode_id=202103073","ICTVonline=202103073")</f>
        <v>ICTVonline=202103073</v>
      </c>
    </row>
    <row r="5893" spans="1:21" x14ac:dyDescent="0.2">
      <c r="A5893" s="3">
        <v>5892</v>
      </c>
      <c r="B5893" s="1" t="s">
        <v>4226</v>
      </c>
      <c r="D5893" s="1" t="s">
        <v>5412</v>
      </c>
      <c r="F5893" s="1" t="s">
        <v>5430</v>
      </c>
      <c r="H5893" s="1" t="s">
        <v>5453</v>
      </c>
      <c r="J5893" s="1" t="s">
        <v>5454</v>
      </c>
      <c r="L5893" s="1" t="s">
        <v>1038</v>
      </c>
      <c r="N5893" s="1" t="s">
        <v>1039</v>
      </c>
      <c r="P5893" s="1" t="s">
        <v>1043</v>
      </c>
      <c r="Q5893" s="30" t="s">
        <v>2567</v>
      </c>
      <c r="R5893" s="33" t="s">
        <v>3474</v>
      </c>
      <c r="S5893">
        <v>35</v>
      </c>
      <c r="T5893" s="1" t="s">
        <v>5416</v>
      </c>
      <c r="U5893" s="1" t="str">
        <f>HYPERLINK("http://ictvonline.org/taxonomy/p/taxonomy-history?taxnode_id=202103074","ICTVonline=202103074")</f>
        <v>ICTVonline=202103074</v>
      </c>
    </row>
    <row r="5894" spans="1:21" x14ac:dyDescent="0.2">
      <c r="A5894" s="3">
        <v>5893</v>
      </c>
      <c r="B5894" s="1" t="s">
        <v>4226</v>
      </c>
      <c r="D5894" s="1" t="s">
        <v>5412</v>
      </c>
      <c r="F5894" s="1" t="s">
        <v>5430</v>
      </c>
      <c r="H5894" s="1" t="s">
        <v>5453</v>
      </c>
      <c r="J5894" s="1" t="s">
        <v>5454</v>
      </c>
      <c r="L5894" s="1" t="s">
        <v>1038</v>
      </c>
      <c r="N5894" s="1" t="s">
        <v>1039</v>
      </c>
      <c r="P5894" s="1" t="s">
        <v>1044</v>
      </c>
      <c r="Q5894" s="30" t="s">
        <v>2567</v>
      </c>
      <c r="R5894" s="33" t="s">
        <v>3474</v>
      </c>
      <c r="S5894">
        <v>35</v>
      </c>
      <c r="T5894" s="1" t="s">
        <v>5416</v>
      </c>
      <c r="U5894" s="1" t="str">
        <f>HYPERLINK("http://ictvonline.org/taxonomy/p/taxonomy-history?taxnode_id=202103075","ICTVonline=202103075")</f>
        <v>ICTVonline=202103075</v>
      </c>
    </row>
    <row r="5895" spans="1:21" x14ac:dyDescent="0.2">
      <c r="A5895" s="3">
        <v>5894</v>
      </c>
      <c r="B5895" s="1" t="s">
        <v>4226</v>
      </c>
      <c r="D5895" s="1" t="s">
        <v>5412</v>
      </c>
      <c r="F5895" s="1" t="s">
        <v>5430</v>
      </c>
      <c r="H5895" s="1" t="s">
        <v>5453</v>
      </c>
      <c r="J5895" s="1" t="s">
        <v>5454</v>
      </c>
      <c r="L5895" s="1" t="s">
        <v>1038</v>
      </c>
      <c r="N5895" s="1" t="s">
        <v>1039</v>
      </c>
      <c r="P5895" s="1" t="s">
        <v>1045</v>
      </c>
      <c r="Q5895" s="30" t="s">
        <v>2567</v>
      </c>
      <c r="R5895" s="33" t="s">
        <v>3474</v>
      </c>
      <c r="S5895">
        <v>35</v>
      </c>
      <c r="T5895" s="1" t="s">
        <v>5416</v>
      </c>
      <c r="U5895" s="1" t="str">
        <f>HYPERLINK("http://ictvonline.org/taxonomy/p/taxonomy-history?taxnode_id=202103076","ICTVonline=202103076")</f>
        <v>ICTVonline=202103076</v>
      </c>
    </row>
    <row r="5896" spans="1:21" x14ac:dyDescent="0.2">
      <c r="A5896" s="3">
        <v>5895</v>
      </c>
      <c r="B5896" s="1" t="s">
        <v>4226</v>
      </c>
      <c r="D5896" s="1" t="s">
        <v>5412</v>
      </c>
      <c r="F5896" s="1" t="s">
        <v>5430</v>
      </c>
      <c r="H5896" s="1" t="s">
        <v>5453</v>
      </c>
      <c r="J5896" s="1" t="s">
        <v>5454</v>
      </c>
      <c r="L5896" s="1" t="s">
        <v>1038</v>
      </c>
      <c r="N5896" s="1" t="s">
        <v>1039</v>
      </c>
      <c r="P5896" s="1" t="s">
        <v>1530</v>
      </c>
      <c r="Q5896" s="30" t="s">
        <v>2567</v>
      </c>
      <c r="R5896" s="33" t="s">
        <v>3474</v>
      </c>
      <c r="S5896">
        <v>35</v>
      </c>
      <c r="T5896" s="1" t="s">
        <v>5416</v>
      </c>
      <c r="U5896" s="1" t="str">
        <f>HYPERLINK("http://ictvonline.org/taxonomy/p/taxonomy-history?taxnode_id=202103077","ICTVonline=202103077")</f>
        <v>ICTVonline=202103077</v>
      </c>
    </row>
    <row r="5897" spans="1:21" x14ac:dyDescent="0.2">
      <c r="A5897" s="3">
        <v>5896</v>
      </c>
      <c r="B5897" s="1" t="s">
        <v>4226</v>
      </c>
      <c r="D5897" s="1" t="s">
        <v>5412</v>
      </c>
      <c r="F5897" s="1" t="s">
        <v>5430</v>
      </c>
      <c r="H5897" s="1" t="s">
        <v>5453</v>
      </c>
      <c r="J5897" s="1" t="s">
        <v>5454</v>
      </c>
      <c r="L5897" s="1" t="s">
        <v>1038</v>
      </c>
      <c r="N5897" s="1" t="s">
        <v>1039</v>
      </c>
      <c r="P5897" s="1" t="s">
        <v>1531</v>
      </c>
      <c r="Q5897" s="30" t="s">
        <v>2567</v>
      </c>
      <c r="R5897" s="33" t="s">
        <v>3474</v>
      </c>
      <c r="S5897">
        <v>35</v>
      </c>
      <c r="T5897" s="1" t="s">
        <v>5416</v>
      </c>
      <c r="U5897" s="1" t="str">
        <f>HYPERLINK("http://ictvonline.org/taxonomy/p/taxonomy-history?taxnode_id=202103078","ICTVonline=202103078")</f>
        <v>ICTVonline=202103078</v>
      </c>
    </row>
    <row r="5898" spans="1:21" x14ac:dyDescent="0.2">
      <c r="A5898" s="3">
        <v>5897</v>
      </c>
      <c r="B5898" s="1" t="s">
        <v>4226</v>
      </c>
      <c r="D5898" s="1" t="s">
        <v>5412</v>
      </c>
      <c r="F5898" s="1" t="s">
        <v>5430</v>
      </c>
      <c r="H5898" s="1" t="s">
        <v>5453</v>
      </c>
      <c r="J5898" s="1" t="s">
        <v>5454</v>
      </c>
      <c r="L5898" s="1" t="s">
        <v>1038</v>
      </c>
      <c r="N5898" s="1" t="s">
        <v>1039</v>
      </c>
      <c r="P5898" s="1" t="s">
        <v>1532</v>
      </c>
      <c r="Q5898" s="30" t="s">
        <v>2567</v>
      </c>
      <c r="R5898" s="33" t="s">
        <v>3474</v>
      </c>
      <c r="S5898">
        <v>35</v>
      </c>
      <c r="T5898" s="1" t="s">
        <v>5416</v>
      </c>
      <c r="U5898" s="1" t="str">
        <f>HYPERLINK("http://ictvonline.org/taxonomy/p/taxonomy-history?taxnode_id=202103079","ICTVonline=202103079")</f>
        <v>ICTVonline=202103079</v>
      </c>
    </row>
    <row r="5899" spans="1:21" x14ac:dyDescent="0.2">
      <c r="A5899" s="3">
        <v>5898</v>
      </c>
      <c r="B5899" s="1" t="s">
        <v>4226</v>
      </c>
      <c r="D5899" s="1" t="s">
        <v>5412</v>
      </c>
      <c r="F5899" s="1" t="s">
        <v>5430</v>
      </c>
      <c r="H5899" s="1" t="s">
        <v>5453</v>
      </c>
      <c r="J5899" s="1" t="s">
        <v>5454</v>
      </c>
      <c r="L5899" s="1" t="s">
        <v>1038</v>
      </c>
      <c r="N5899" s="1" t="s">
        <v>1039</v>
      </c>
      <c r="P5899" s="1" t="s">
        <v>1533</v>
      </c>
      <c r="Q5899" s="30" t="s">
        <v>2567</v>
      </c>
      <c r="R5899" s="33" t="s">
        <v>3474</v>
      </c>
      <c r="S5899">
        <v>35</v>
      </c>
      <c r="T5899" s="1" t="s">
        <v>5416</v>
      </c>
      <c r="U5899" s="1" t="str">
        <f>HYPERLINK("http://ictvonline.org/taxonomy/p/taxonomy-history?taxnode_id=202103080","ICTVonline=202103080")</f>
        <v>ICTVonline=202103080</v>
      </c>
    </row>
    <row r="5900" spans="1:21" x14ac:dyDescent="0.2">
      <c r="A5900" s="3">
        <v>5899</v>
      </c>
      <c r="B5900" s="1" t="s">
        <v>4226</v>
      </c>
      <c r="D5900" s="1" t="s">
        <v>5412</v>
      </c>
      <c r="F5900" s="1" t="s">
        <v>5430</v>
      </c>
      <c r="H5900" s="1" t="s">
        <v>5453</v>
      </c>
      <c r="J5900" s="1" t="s">
        <v>5454</v>
      </c>
      <c r="L5900" s="1" t="s">
        <v>1038</v>
      </c>
      <c r="N5900" s="1" t="s">
        <v>1039</v>
      </c>
      <c r="P5900" s="1" t="s">
        <v>1534</v>
      </c>
      <c r="Q5900" s="30" t="s">
        <v>2567</v>
      </c>
      <c r="R5900" s="33" t="s">
        <v>3474</v>
      </c>
      <c r="S5900">
        <v>35</v>
      </c>
      <c r="T5900" s="1" t="s">
        <v>5416</v>
      </c>
      <c r="U5900" s="1" t="str">
        <f>HYPERLINK("http://ictvonline.org/taxonomy/p/taxonomy-history?taxnode_id=202103081","ICTVonline=202103081")</f>
        <v>ICTVonline=202103081</v>
      </c>
    </row>
    <row r="5901" spans="1:21" x14ac:dyDescent="0.2">
      <c r="A5901" s="3">
        <v>5900</v>
      </c>
      <c r="B5901" s="1" t="s">
        <v>4226</v>
      </c>
      <c r="D5901" s="1" t="s">
        <v>5412</v>
      </c>
      <c r="F5901" s="1" t="s">
        <v>5430</v>
      </c>
      <c r="H5901" s="1" t="s">
        <v>5453</v>
      </c>
      <c r="J5901" s="1" t="s">
        <v>5454</v>
      </c>
      <c r="L5901" s="1" t="s">
        <v>1038</v>
      </c>
      <c r="N5901" s="1" t="s">
        <v>1039</v>
      </c>
      <c r="P5901" s="1" t="s">
        <v>1535</v>
      </c>
      <c r="Q5901" s="30" t="s">
        <v>2567</v>
      </c>
      <c r="R5901" s="33" t="s">
        <v>3474</v>
      </c>
      <c r="S5901">
        <v>35</v>
      </c>
      <c r="T5901" s="1" t="s">
        <v>5416</v>
      </c>
      <c r="U5901" s="1" t="str">
        <f>HYPERLINK("http://ictvonline.org/taxonomy/p/taxonomy-history?taxnode_id=202103082","ICTVonline=202103082")</f>
        <v>ICTVonline=202103082</v>
      </c>
    </row>
    <row r="5902" spans="1:21" x14ac:dyDescent="0.2">
      <c r="A5902" s="3">
        <v>5901</v>
      </c>
      <c r="B5902" s="1" t="s">
        <v>4226</v>
      </c>
      <c r="D5902" s="1" t="s">
        <v>5412</v>
      </c>
      <c r="F5902" s="1" t="s">
        <v>5430</v>
      </c>
      <c r="H5902" s="1" t="s">
        <v>5453</v>
      </c>
      <c r="J5902" s="1" t="s">
        <v>5454</v>
      </c>
      <c r="L5902" s="1" t="s">
        <v>1038</v>
      </c>
      <c r="N5902" s="1" t="s">
        <v>1039</v>
      </c>
      <c r="P5902" s="1" t="s">
        <v>1536</v>
      </c>
      <c r="Q5902" s="30" t="s">
        <v>2567</v>
      </c>
      <c r="R5902" s="33" t="s">
        <v>3474</v>
      </c>
      <c r="S5902">
        <v>35</v>
      </c>
      <c r="T5902" s="1" t="s">
        <v>5416</v>
      </c>
      <c r="U5902" s="1" t="str">
        <f>HYPERLINK("http://ictvonline.org/taxonomy/p/taxonomy-history?taxnode_id=202103083","ICTVonline=202103083")</f>
        <v>ICTVonline=202103083</v>
      </c>
    </row>
    <row r="5903" spans="1:21" x14ac:dyDescent="0.2">
      <c r="A5903" s="3">
        <v>5902</v>
      </c>
      <c r="B5903" s="1" t="s">
        <v>4226</v>
      </c>
      <c r="D5903" s="1" t="s">
        <v>5412</v>
      </c>
      <c r="F5903" s="1" t="s">
        <v>5430</v>
      </c>
      <c r="H5903" s="1" t="s">
        <v>5453</v>
      </c>
      <c r="J5903" s="1" t="s">
        <v>5454</v>
      </c>
      <c r="L5903" s="1" t="s">
        <v>1038</v>
      </c>
      <c r="N5903" s="1" t="s">
        <v>1039</v>
      </c>
      <c r="P5903" s="1" t="s">
        <v>1537</v>
      </c>
      <c r="Q5903" s="30" t="s">
        <v>2567</v>
      </c>
      <c r="R5903" s="33" t="s">
        <v>3474</v>
      </c>
      <c r="S5903">
        <v>35</v>
      </c>
      <c r="T5903" s="1" t="s">
        <v>5416</v>
      </c>
      <c r="U5903" s="1" t="str">
        <f>HYPERLINK("http://ictvonline.org/taxonomy/p/taxonomy-history?taxnode_id=202103084","ICTVonline=202103084")</f>
        <v>ICTVonline=202103084</v>
      </c>
    </row>
    <row r="5904" spans="1:21" x14ac:dyDescent="0.2">
      <c r="A5904" s="3">
        <v>5903</v>
      </c>
      <c r="B5904" s="1" t="s">
        <v>4226</v>
      </c>
      <c r="D5904" s="1" t="s">
        <v>5412</v>
      </c>
      <c r="F5904" s="1" t="s">
        <v>5430</v>
      </c>
      <c r="H5904" s="1" t="s">
        <v>5453</v>
      </c>
      <c r="J5904" s="1" t="s">
        <v>5454</v>
      </c>
      <c r="L5904" s="1" t="s">
        <v>1038</v>
      </c>
      <c r="N5904" s="1" t="s">
        <v>1039</v>
      </c>
      <c r="P5904" s="1" t="s">
        <v>1538</v>
      </c>
      <c r="Q5904" s="30" t="s">
        <v>2567</v>
      </c>
      <c r="R5904" s="33" t="s">
        <v>3474</v>
      </c>
      <c r="S5904">
        <v>35</v>
      </c>
      <c r="T5904" s="1" t="s">
        <v>5416</v>
      </c>
      <c r="U5904" s="1" t="str">
        <f>HYPERLINK("http://ictvonline.org/taxonomy/p/taxonomy-history?taxnode_id=202103085","ICTVonline=202103085")</f>
        <v>ICTVonline=202103085</v>
      </c>
    </row>
    <row r="5905" spans="1:21" x14ac:dyDescent="0.2">
      <c r="A5905" s="3">
        <v>5904</v>
      </c>
      <c r="B5905" s="1" t="s">
        <v>4226</v>
      </c>
      <c r="D5905" s="1" t="s">
        <v>5412</v>
      </c>
      <c r="F5905" s="1" t="s">
        <v>5430</v>
      </c>
      <c r="H5905" s="1" t="s">
        <v>5453</v>
      </c>
      <c r="J5905" s="1" t="s">
        <v>5454</v>
      </c>
      <c r="L5905" s="1" t="s">
        <v>1038</v>
      </c>
      <c r="N5905" s="1" t="s">
        <v>1039</v>
      </c>
      <c r="P5905" s="1" t="s">
        <v>1539</v>
      </c>
      <c r="Q5905" s="30" t="s">
        <v>2567</v>
      </c>
      <c r="R5905" s="33" t="s">
        <v>3474</v>
      </c>
      <c r="S5905">
        <v>35</v>
      </c>
      <c r="T5905" s="1" t="s">
        <v>5416</v>
      </c>
      <c r="U5905" s="1" t="str">
        <f>HYPERLINK("http://ictvonline.org/taxonomy/p/taxonomy-history?taxnode_id=202103086","ICTVonline=202103086")</f>
        <v>ICTVonline=202103086</v>
      </c>
    </row>
    <row r="5906" spans="1:21" x14ac:dyDescent="0.2">
      <c r="A5906" s="3">
        <v>5905</v>
      </c>
      <c r="B5906" s="1" t="s">
        <v>4226</v>
      </c>
      <c r="D5906" s="1" t="s">
        <v>5412</v>
      </c>
      <c r="F5906" s="1" t="s">
        <v>5430</v>
      </c>
      <c r="H5906" s="1" t="s">
        <v>5453</v>
      </c>
      <c r="J5906" s="1" t="s">
        <v>5454</v>
      </c>
      <c r="L5906" s="1" t="s">
        <v>1038</v>
      </c>
      <c r="N5906" s="1" t="s">
        <v>1039</v>
      </c>
      <c r="P5906" s="1" t="s">
        <v>1540</v>
      </c>
      <c r="Q5906" s="30" t="s">
        <v>2567</v>
      </c>
      <c r="R5906" s="33" t="s">
        <v>3474</v>
      </c>
      <c r="S5906">
        <v>35</v>
      </c>
      <c r="T5906" s="1" t="s">
        <v>5416</v>
      </c>
      <c r="U5906" s="1" t="str">
        <f>HYPERLINK("http://ictvonline.org/taxonomy/p/taxonomy-history?taxnode_id=202103087","ICTVonline=202103087")</f>
        <v>ICTVonline=202103087</v>
      </c>
    </row>
    <row r="5907" spans="1:21" x14ac:dyDescent="0.2">
      <c r="A5907" s="3">
        <v>5906</v>
      </c>
      <c r="B5907" s="1" t="s">
        <v>4226</v>
      </c>
      <c r="D5907" s="1" t="s">
        <v>5412</v>
      </c>
      <c r="F5907" s="1" t="s">
        <v>5430</v>
      </c>
      <c r="H5907" s="1" t="s">
        <v>5453</v>
      </c>
      <c r="J5907" s="1" t="s">
        <v>5454</v>
      </c>
      <c r="L5907" s="1" t="s">
        <v>1038</v>
      </c>
      <c r="N5907" s="1" t="s">
        <v>1039</v>
      </c>
      <c r="P5907" s="1" t="s">
        <v>1541</v>
      </c>
      <c r="Q5907" s="30" t="s">
        <v>2567</v>
      </c>
      <c r="R5907" s="33" t="s">
        <v>3474</v>
      </c>
      <c r="S5907">
        <v>35</v>
      </c>
      <c r="T5907" s="1" t="s">
        <v>5416</v>
      </c>
      <c r="U5907" s="1" t="str">
        <f>HYPERLINK("http://ictvonline.org/taxonomy/p/taxonomy-history?taxnode_id=202103088","ICTVonline=202103088")</f>
        <v>ICTVonline=202103088</v>
      </c>
    </row>
    <row r="5908" spans="1:21" x14ac:dyDescent="0.2">
      <c r="A5908" s="3">
        <v>5907</v>
      </c>
      <c r="B5908" s="1" t="s">
        <v>4226</v>
      </c>
      <c r="D5908" s="1" t="s">
        <v>5412</v>
      </c>
      <c r="F5908" s="1" t="s">
        <v>5430</v>
      </c>
      <c r="H5908" s="1" t="s">
        <v>5453</v>
      </c>
      <c r="J5908" s="1" t="s">
        <v>5454</v>
      </c>
      <c r="L5908" s="1" t="s">
        <v>1038</v>
      </c>
      <c r="N5908" s="1" t="s">
        <v>1039</v>
      </c>
      <c r="P5908" s="1" t="s">
        <v>1542</v>
      </c>
      <c r="Q5908" s="30" t="s">
        <v>2567</v>
      </c>
      <c r="R5908" s="33" t="s">
        <v>3474</v>
      </c>
      <c r="S5908">
        <v>35</v>
      </c>
      <c r="T5908" s="1" t="s">
        <v>5416</v>
      </c>
      <c r="U5908" s="1" t="str">
        <f>HYPERLINK("http://ictvonline.org/taxonomy/p/taxonomy-history?taxnode_id=202103089","ICTVonline=202103089")</f>
        <v>ICTVonline=202103089</v>
      </c>
    </row>
    <row r="5909" spans="1:21" x14ac:dyDescent="0.2">
      <c r="A5909" s="3">
        <v>5908</v>
      </c>
      <c r="B5909" s="1" t="s">
        <v>4226</v>
      </c>
      <c r="D5909" s="1" t="s">
        <v>5412</v>
      </c>
      <c r="F5909" s="1" t="s">
        <v>5430</v>
      </c>
      <c r="H5909" s="1" t="s">
        <v>5453</v>
      </c>
      <c r="J5909" s="1" t="s">
        <v>5454</v>
      </c>
      <c r="L5909" s="1" t="s">
        <v>1038</v>
      </c>
      <c r="N5909" s="1" t="s">
        <v>1039</v>
      </c>
      <c r="P5909" s="1" t="s">
        <v>1543</v>
      </c>
      <c r="Q5909" s="30" t="s">
        <v>2567</v>
      </c>
      <c r="R5909" s="33" t="s">
        <v>3474</v>
      </c>
      <c r="S5909">
        <v>35</v>
      </c>
      <c r="T5909" s="1" t="s">
        <v>5416</v>
      </c>
      <c r="U5909" s="1" t="str">
        <f>HYPERLINK("http://ictvonline.org/taxonomy/p/taxonomy-history?taxnode_id=202103090","ICTVonline=202103090")</f>
        <v>ICTVonline=202103090</v>
      </c>
    </row>
    <row r="5910" spans="1:21" x14ac:dyDescent="0.2">
      <c r="A5910" s="3">
        <v>5909</v>
      </c>
      <c r="B5910" s="1" t="s">
        <v>4226</v>
      </c>
      <c r="D5910" s="1" t="s">
        <v>5412</v>
      </c>
      <c r="F5910" s="1" t="s">
        <v>5430</v>
      </c>
      <c r="H5910" s="1" t="s">
        <v>5453</v>
      </c>
      <c r="J5910" s="1" t="s">
        <v>5454</v>
      </c>
      <c r="L5910" s="1" t="s">
        <v>1038</v>
      </c>
      <c r="N5910" s="1" t="s">
        <v>1039</v>
      </c>
      <c r="P5910" s="1" t="s">
        <v>1544</v>
      </c>
      <c r="Q5910" s="30" t="s">
        <v>2567</v>
      </c>
      <c r="R5910" s="33" t="s">
        <v>3474</v>
      </c>
      <c r="S5910">
        <v>35</v>
      </c>
      <c r="T5910" s="1" t="s">
        <v>5416</v>
      </c>
      <c r="U5910" s="1" t="str">
        <f>HYPERLINK("http://ictvonline.org/taxonomy/p/taxonomy-history?taxnode_id=202103091","ICTVonline=202103091")</f>
        <v>ICTVonline=202103091</v>
      </c>
    </row>
    <row r="5911" spans="1:21" x14ac:dyDescent="0.2">
      <c r="A5911" s="3">
        <v>5910</v>
      </c>
      <c r="B5911" s="1" t="s">
        <v>4226</v>
      </c>
      <c r="D5911" s="1" t="s">
        <v>5412</v>
      </c>
      <c r="F5911" s="1" t="s">
        <v>5430</v>
      </c>
      <c r="H5911" s="1" t="s">
        <v>5453</v>
      </c>
      <c r="J5911" s="1" t="s">
        <v>5454</v>
      </c>
      <c r="L5911" s="1" t="s">
        <v>1038</v>
      </c>
      <c r="N5911" s="1" t="s">
        <v>1039</v>
      </c>
      <c r="P5911" s="1" t="s">
        <v>1545</v>
      </c>
      <c r="Q5911" s="30" t="s">
        <v>2567</v>
      </c>
      <c r="R5911" s="33" t="s">
        <v>3474</v>
      </c>
      <c r="S5911">
        <v>35</v>
      </c>
      <c r="T5911" s="1" t="s">
        <v>5416</v>
      </c>
      <c r="U5911" s="1" t="str">
        <f>HYPERLINK("http://ictvonline.org/taxonomy/p/taxonomy-history?taxnode_id=202103092","ICTVonline=202103092")</f>
        <v>ICTVonline=202103092</v>
      </c>
    </row>
    <row r="5912" spans="1:21" x14ac:dyDescent="0.2">
      <c r="A5912" s="3">
        <v>5911</v>
      </c>
      <c r="B5912" s="1" t="s">
        <v>4226</v>
      </c>
      <c r="D5912" s="1" t="s">
        <v>5412</v>
      </c>
      <c r="F5912" s="1" t="s">
        <v>5430</v>
      </c>
      <c r="H5912" s="1" t="s">
        <v>5453</v>
      </c>
      <c r="J5912" s="1" t="s">
        <v>5454</v>
      </c>
      <c r="L5912" s="1" t="s">
        <v>1038</v>
      </c>
      <c r="N5912" s="1" t="s">
        <v>1039</v>
      </c>
      <c r="P5912" s="1" t="s">
        <v>1546</v>
      </c>
      <c r="Q5912" s="30" t="s">
        <v>2567</v>
      </c>
      <c r="R5912" s="33" t="s">
        <v>3474</v>
      </c>
      <c r="S5912">
        <v>35</v>
      </c>
      <c r="T5912" s="1" t="s">
        <v>5416</v>
      </c>
      <c r="U5912" s="1" t="str">
        <f>HYPERLINK("http://ictvonline.org/taxonomy/p/taxonomy-history?taxnode_id=202103093","ICTVonline=202103093")</f>
        <v>ICTVonline=202103093</v>
      </c>
    </row>
    <row r="5913" spans="1:21" x14ac:dyDescent="0.2">
      <c r="A5913" s="3">
        <v>5912</v>
      </c>
      <c r="B5913" s="1" t="s">
        <v>4226</v>
      </c>
      <c r="D5913" s="1" t="s">
        <v>5412</v>
      </c>
      <c r="F5913" s="1" t="s">
        <v>5430</v>
      </c>
      <c r="H5913" s="1" t="s">
        <v>5453</v>
      </c>
      <c r="J5913" s="1" t="s">
        <v>5454</v>
      </c>
      <c r="L5913" s="1" t="s">
        <v>1038</v>
      </c>
      <c r="N5913" s="1" t="s">
        <v>1039</v>
      </c>
      <c r="P5913" s="1" t="s">
        <v>1547</v>
      </c>
      <c r="Q5913" s="30" t="s">
        <v>2567</v>
      </c>
      <c r="R5913" s="33" t="s">
        <v>3474</v>
      </c>
      <c r="S5913">
        <v>35</v>
      </c>
      <c r="T5913" s="1" t="s">
        <v>5416</v>
      </c>
      <c r="U5913" s="1" t="str">
        <f>HYPERLINK("http://ictvonline.org/taxonomy/p/taxonomy-history?taxnode_id=202103094","ICTVonline=202103094")</f>
        <v>ICTVonline=202103094</v>
      </c>
    </row>
    <row r="5914" spans="1:21" x14ac:dyDescent="0.2">
      <c r="A5914" s="3">
        <v>5913</v>
      </c>
      <c r="B5914" s="1" t="s">
        <v>4226</v>
      </c>
      <c r="D5914" s="1" t="s">
        <v>5412</v>
      </c>
      <c r="F5914" s="1" t="s">
        <v>5430</v>
      </c>
      <c r="H5914" s="1" t="s">
        <v>5453</v>
      </c>
      <c r="J5914" s="1" t="s">
        <v>5454</v>
      </c>
      <c r="L5914" s="1" t="s">
        <v>1038</v>
      </c>
      <c r="N5914" s="1" t="s">
        <v>1039</v>
      </c>
      <c r="P5914" s="1" t="s">
        <v>1548</v>
      </c>
      <c r="Q5914" s="30" t="s">
        <v>2567</v>
      </c>
      <c r="R5914" s="33" t="s">
        <v>3474</v>
      </c>
      <c r="S5914">
        <v>35</v>
      </c>
      <c r="T5914" s="1" t="s">
        <v>5416</v>
      </c>
      <c r="U5914" s="1" t="str">
        <f>HYPERLINK("http://ictvonline.org/taxonomy/p/taxonomy-history?taxnode_id=202103095","ICTVonline=202103095")</f>
        <v>ICTVonline=202103095</v>
      </c>
    </row>
    <row r="5915" spans="1:21" x14ac:dyDescent="0.2">
      <c r="A5915" s="3">
        <v>5914</v>
      </c>
      <c r="B5915" s="1" t="s">
        <v>4226</v>
      </c>
      <c r="D5915" s="1" t="s">
        <v>5412</v>
      </c>
      <c r="F5915" s="1" t="s">
        <v>5430</v>
      </c>
      <c r="H5915" s="1" t="s">
        <v>5453</v>
      </c>
      <c r="J5915" s="1" t="s">
        <v>5454</v>
      </c>
      <c r="L5915" s="1" t="s">
        <v>1038</v>
      </c>
      <c r="N5915" s="1" t="s">
        <v>1039</v>
      </c>
      <c r="P5915" s="1" t="s">
        <v>1549</v>
      </c>
      <c r="Q5915" s="30" t="s">
        <v>2567</v>
      </c>
      <c r="R5915" s="33" t="s">
        <v>3474</v>
      </c>
      <c r="S5915">
        <v>35</v>
      </c>
      <c r="T5915" s="1" t="s">
        <v>5416</v>
      </c>
      <c r="U5915" s="1" t="str">
        <f>HYPERLINK("http://ictvonline.org/taxonomy/p/taxonomy-history?taxnode_id=202103096","ICTVonline=202103096")</f>
        <v>ICTVonline=202103096</v>
      </c>
    </row>
    <row r="5916" spans="1:21" x14ac:dyDescent="0.2">
      <c r="A5916" s="3">
        <v>5915</v>
      </c>
      <c r="B5916" s="1" t="s">
        <v>4226</v>
      </c>
      <c r="D5916" s="1" t="s">
        <v>5412</v>
      </c>
      <c r="F5916" s="1" t="s">
        <v>5430</v>
      </c>
      <c r="H5916" s="1" t="s">
        <v>5453</v>
      </c>
      <c r="J5916" s="1" t="s">
        <v>5454</v>
      </c>
      <c r="L5916" s="1" t="s">
        <v>1038</v>
      </c>
      <c r="N5916" s="1" t="s">
        <v>1039</v>
      </c>
      <c r="P5916" s="1" t="s">
        <v>1550</v>
      </c>
      <c r="Q5916" s="30" t="s">
        <v>2567</v>
      </c>
      <c r="R5916" s="33" t="s">
        <v>3474</v>
      </c>
      <c r="S5916">
        <v>35</v>
      </c>
      <c r="T5916" s="1" t="s">
        <v>5416</v>
      </c>
      <c r="U5916" s="1" t="str">
        <f>HYPERLINK("http://ictvonline.org/taxonomy/p/taxonomy-history?taxnode_id=202103097","ICTVonline=202103097")</f>
        <v>ICTVonline=202103097</v>
      </c>
    </row>
    <row r="5917" spans="1:21" x14ac:dyDescent="0.2">
      <c r="A5917" s="3">
        <v>5916</v>
      </c>
      <c r="B5917" s="1" t="s">
        <v>4226</v>
      </c>
      <c r="D5917" s="1" t="s">
        <v>5412</v>
      </c>
      <c r="F5917" s="1" t="s">
        <v>5430</v>
      </c>
      <c r="H5917" s="1" t="s">
        <v>5453</v>
      </c>
      <c r="J5917" s="1" t="s">
        <v>5454</v>
      </c>
      <c r="L5917" s="1" t="s">
        <v>1038</v>
      </c>
      <c r="N5917" s="1" t="s">
        <v>1039</v>
      </c>
      <c r="P5917" s="1" t="s">
        <v>1551</v>
      </c>
      <c r="Q5917" s="30" t="s">
        <v>2567</v>
      </c>
      <c r="R5917" s="33" t="s">
        <v>3474</v>
      </c>
      <c r="S5917">
        <v>35</v>
      </c>
      <c r="T5917" s="1" t="s">
        <v>5416</v>
      </c>
      <c r="U5917" s="1" t="str">
        <f>HYPERLINK("http://ictvonline.org/taxonomy/p/taxonomy-history?taxnode_id=202103098","ICTVonline=202103098")</f>
        <v>ICTVonline=202103098</v>
      </c>
    </row>
    <row r="5918" spans="1:21" x14ac:dyDescent="0.2">
      <c r="A5918" s="3">
        <v>5917</v>
      </c>
      <c r="B5918" s="1" t="s">
        <v>4226</v>
      </c>
      <c r="D5918" s="1" t="s">
        <v>5412</v>
      </c>
      <c r="F5918" s="1" t="s">
        <v>5430</v>
      </c>
      <c r="H5918" s="1" t="s">
        <v>5453</v>
      </c>
      <c r="J5918" s="1" t="s">
        <v>5454</v>
      </c>
      <c r="L5918" s="1" t="s">
        <v>1038</v>
      </c>
      <c r="N5918" s="1" t="s">
        <v>1039</v>
      </c>
      <c r="P5918" s="1" t="s">
        <v>1858</v>
      </c>
      <c r="Q5918" s="30" t="s">
        <v>2567</v>
      </c>
      <c r="R5918" s="33" t="s">
        <v>3474</v>
      </c>
      <c r="S5918">
        <v>35</v>
      </c>
      <c r="T5918" s="1" t="s">
        <v>5416</v>
      </c>
      <c r="U5918" s="1" t="str">
        <f>HYPERLINK("http://ictvonline.org/taxonomy/p/taxonomy-history?taxnode_id=202103099","ICTVonline=202103099")</f>
        <v>ICTVonline=202103099</v>
      </c>
    </row>
    <row r="5919" spans="1:21" x14ac:dyDescent="0.2">
      <c r="A5919" s="3">
        <v>5918</v>
      </c>
      <c r="B5919" s="1" t="s">
        <v>4226</v>
      </c>
      <c r="D5919" s="1" t="s">
        <v>5412</v>
      </c>
      <c r="F5919" s="1" t="s">
        <v>5430</v>
      </c>
      <c r="H5919" s="1" t="s">
        <v>5453</v>
      </c>
      <c r="J5919" s="1" t="s">
        <v>5454</v>
      </c>
      <c r="L5919" s="1" t="s">
        <v>1038</v>
      </c>
      <c r="N5919" s="1" t="s">
        <v>1039</v>
      </c>
      <c r="P5919" s="1" t="s">
        <v>1073</v>
      </c>
      <c r="Q5919" s="30" t="s">
        <v>2567</v>
      </c>
      <c r="R5919" s="33" t="s">
        <v>3474</v>
      </c>
      <c r="S5919">
        <v>35</v>
      </c>
      <c r="T5919" s="1" t="s">
        <v>5416</v>
      </c>
      <c r="U5919" s="1" t="str">
        <f>HYPERLINK("http://ictvonline.org/taxonomy/p/taxonomy-history?taxnode_id=202103100","ICTVonline=202103100")</f>
        <v>ICTVonline=202103100</v>
      </c>
    </row>
    <row r="5920" spans="1:21" x14ac:dyDescent="0.2">
      <c r="A5920" s="3">
        <v>5919</v>
      </c>
      <c r="B5920" s="1" t="s">
        <v>4226</v>
      </c>
      <c r="D5920" s="1" t="s">
        <v>5412</v>
      </c>
      <c r="F5920" s="1" t="s">
        <v>5430</v>
      </c>
      <c r="H5920" s="1" t="s">
        <v>5453</v>
      </c>
      <c r="J5920" s="1" t="s">
        <v>5454</v>
      </c>
      <c r="L5920" s="1" t="s">
        <v>1038</v>
      </c>
      <c r="N5920" s="1" t="s">
        <v>1039</v>
      </c>
      <c r="P5920" s="1" t="s">
        <v>1074</v>
      </c>
      <c r="Q5920" s="30" t="s">
        <v>2567</v>
      </c>
      <c r="R5920" s="33" t="s">
        <v>3474</v>
      </c>
      <c r="S5920">
        <v>35</v>
      </c>
      <c r="T5920" s="1" t="s">
        <v>5416</v>
      </c>
      <c r="U5920" s="1" t="str">
        <f>HYPERLINK("http://ictvonline.org/taxonomy/p/taxonomy-history?taxnode_id=202103101","ICTVonline=202103101")</f>
        <v>ICTVonline=202103101</v>
      </c>
    </row>
    <row r="5921" spans="1:21" x14ac:dyDescent="0.2">
      <c r="A5921" s="3">
        <v>5920</v>
      </c>
      <c r="B5921" s="1" t="s">
        <v>4226</v>
      </c>
      <c r="D5921" s="1" t="s">
        <v>5412</v>
      </c>
      <c r="F5921" s="1" t="s">
        <v>5430</v>
      </c>
      <c r="H5921" s="1" t="s">
        <v>5453</v>
      </c>
      <c r="J5921" s="1" t="s">
        <v>5454</v>
      </c>
      <c r="L5921" s="1" t="s">
        <v>1038</v>
      </c>
      <c r="N5921" s="1" t="s">
        <v>1039</v>
      </c>
      <c r="P5921" s="1" t="s">
        <v>1075</v>
      </c>
      <c r="Q5921" s="30" t="s">
        <v>2567</v>
      </c>
      <c r="R5921" s="33" t="s">
        <v>3474</v>
      </c>
      <c r="S5921">
        <v>35</v>
      </c>
      <c r="T5921" s="1" t="s">
        <v>5416</v>
      </c>
      <c r="U5921" s="1" t="str">
        <f>HYPERLINK("http://ictvonline.org/taxonomy/p/taxonomy-history?taxnode_id=202103102","ICTVonline=202103102")</f>
        <v>ICTVonline=202103102</v>
      </c>
    </row>
    <row r="5922" spans="1:21" x14ac:dyDescent="0.2">
      <c r="A5922" s="3">
        <v>5921</v>
      </c>
      <c r="B5922" s="1" t="s">
        <v>4226</v>
      </c>
      <c r="D5922" s="1" t="s">
        <v>5412</v>
      </c>
      <c r="F5922" s="1" t="s">
        <v>5430</v>
      </c>
      <c r="H5922" s="1" t="s">
        <v>5453</v>
      </c>
      <c r="J5922" s="1" t="s">
        <v>5454</v>
      </c>
      <c r="L5922" s="1" t="s">
        <v>1038</v>
      </c>
      <c r="N5922" s="1" t="s">
        <v>1039</v>
      </c>
      <c r="P5922" s="1" t="s">
        <v>680</v>
      </c>
      <c r="Q5922" s="30" t="s">
        <v>2567</v>
      </c>
      <c r="R5922" s="33" t="s">
        <v>3474</v>
      </c>
      <c r="S5922">
        <v>35</v>
      </c>
      <c r="T5922" s="1" t="s">
        <v>5416</v>
      </c>
      <c r="U5922" s="1" t="str">
        <f>HYPERLINK("http://ictvonline.org/taxonomy/p/taxonomy-history?taxnode_id=202103103","ICTVonline=202103103")</f>
        <v>ICTVonline=202103103</v>
      </c>
    </row>
    <row r="5923" spans="1:21" x14ac:dyDescent="0.2">
      <c r="A5923" s="3">
        <v>5922</v>
      </c>
      <c r="B5923" s="1" t="s">
        <v>4226</v>
      </c>
      <c r="D5923" s="1" t="s">
        <v>5412</v>
      </c>
      <c r="F5923" s="1" t="s">
        <v>5430</v>
      </c>
      <c r="H5923" s="1" t="s">
        <v>5453</v>
      </c>
      <c r="J5923" s="1" t="s">
        <v>5454</v>
      </c>
      <c r="L5923" s="1" t="s">
        <v>1038</v>
      </c>
      <c r="N5923" s="1" t="s">
        <v>1039</v>
      </c>
      <c r="P5923" s="1" t="s">
        <v>681</v>
      </c>
      <c r="Q5923" s="30" t="s">
        <v>2567</v>
      </c>
      <c r="R5923" s="33" t="s">
        <v>3474</v>
      </c>
      <c r="S5923">
        <v>35</v>
      </c>
      <c r="T5923" s="1" t="s">
        <v>5416</v>
      </c>
      <c r="U5923" s="1" t="str">
        <f>HYPERLINK("http://ictvonline.org/taxonomy/p/taxonomy-history?taxnode_id=202103104","ICTVonline=202103104")</f>
        <v>ICTVonline=202103104</v>
      </c>
    </row>
    <row r="5924" spans="1:21" x14ac:dyDescent="0.2">
      <c r="A5924" s="3">
        <v>5923</v>
      </c>
      <c r="B5924" s="1" t="s">
        <v>4226</v>
      </c>
      <c r="D5924" s="1" t="s">
        <v>5412</v>
      </c>
      <c r="F5924" s="1" t="s">
        <v>5430</v>
      </c>
      <c r="H5924" s="1" t="s">
        <v>5453</v>
      </c>
      <c r="J5924" s="1" t="s">
        <v>5454</v>
      </c>
      <c r="L5924" s="1" t="s">
        <v>1038</v>
      </c>
      <c r="N5924" s="1" t="s">
        <v>1039</v>
      </c>
      <c r="P5924" s="1" t="s">
        <v>682</v>
      </c>
      <c r="Q5924" s="30" t="s">
        <v>2567</v>
      </c>
      <c r="R5924" s="33" t="s">
        <v>3474</v>
      </c>
      <c r="S5924">
        <v>35</v>
      </c>
      <c r="T5924" s="1" t="s">
        <v>5416</v>
      </c>
      <c r="U5924" s="1" t="str">
        <f>HYPERLINK("http://ictvonline.org/taxonomy/p/taxonomy-history?taxnode_id=202103105","ICTVonline=202103105")</f>
        <v>ICTVonline=202103105</v>
      </c>
    </row>
    <row r="5925" spans="1:21" x14ac:dyDescent="0.2">
      <c r="A5925" s="3">
        <v>5924</v>
      </c>
      <c r="B5925" s="1" t="s">
        <v>4226</v>
      </c>
      <c r="D5925" s="1" t="s">
        <v>5412</v>
      </c>
      <c r="F5925" s="1" t="s">
        <v>5430</v>
      </c>
      <c r="H5925" s="1" t="s">
        <v>5453</v>
      </c>
      <c r="J5925" s="1" t="s">
        <v>5454</v>
      </c>
      <c r="L5925" s="1" t="s">
        <v>1038</v>
      </c>
      <c r="N5925" s="1" t="s">
        <v>1039</v>
      </c>
      <c r="P5925" s="1" t="s">
        <v>683</v>
      </c>
      <c r="Q5925" s="30" t="s">
        <v>2567</v>
      </c>
      <c r="R5925" s="33" t="s">
        <v>3474</v>
      </c>
      <c r="S5925">
        <v>35</v>
      </c>
      <c r="T5925" s="1" t="s">
        <v>5416</v>
      </c>
      <c r="U5925" s="1" t="str">
        <f>HYPERLINK("http://ictvonline.org/taxonomy/p/taxonomy-history?taxnode_id=202103106","ICTVonline=202103106")</f>
        <v>ICTVonline=202103106</v>
      </c>
    </row>
    <row r="5926" spans="1:21" x14ac:dyDescent="0.2">
      <c r="A5926" s="3">
        <v>5925</v>
      </c>
      <c r="B5926" s="1" t="s">
        <v>4226</v>
      </c>
      <c r="D5926" s="1" t="s">
        <v>5412</v>
      </c>
      <c r="F5926" s="1" t="s">
        <v>5430</v>
      </c>
      <c r="H5926" s="1" t="s">
        <v>5453</v>
      </c>
      <c r="J5926" s="1" t="s">
        <v>5454</v>
      </c>
      <c r="L5926" s="1" t="s">
        <v>1038</v>
      </c>
      <c r="N5926" s="1" t="s">
        <v>1039</v>
      </c>
      <c r="P5926" s="1" t="s">
        <v>684</v>
      </c>
      <c r="Q5926" s="30" t="s">
        <v>2567</v>
      </c>
      <c r="R5926" s="33" t="s">
        <v>3474</v>
      </c>
      <c r="S5926">
        <v>35</v>
      </c>
      <c r="T5926" s="1" t="s">
        <v>5416</v>
      </c>
      <c r="U5926" s="1" t="str">
        <f>HYPERLINK("http://ictvonline.org/taxonomy/p/taxonomy-history?taxnode_id=202103107","ICTVonline=202103107")</f>
        <v>ICTVonline=202103107</v>
      </c>
    </row>
    <row r="5927" spans="1:21" x14ac:dyDescent="0.2">
      <c r="A5927" s="3">
        <v>5926</v>
      </c>
      <c r="B5927" s="1" t="s">
        <v>4226</v>
      </c>
      <c r="D5927" s="1" t="s">
        <v>5412</v>
      </c>
      <c r="F5927" s="1" t="s">
        <v>5430</v>
      </c>
      <c r="H5927" s="1" t="s">
        <v>5453</v>
      </c>
      <c r="J5927" s="1" t="s">
        <v>5454</v>
      </c>
      <c r="L5927" s="1" t="s">
        <v>1038</v>
      </c>
      <c r="N5927" s="1" t="s">
        <v>1039</v>
      </c>
      <c r="P5927" s="1" t="s">
        <v>3789</v>
      </c>
      <c r="Q5927" s="30" t="s">
        <v>2567</v>
      </c>
      <c r="R5927" s="33" t="s">
        <v>3474</v>
      </c>
      <c r="S5927">
        <v>35</v>
      </c>
      <c r="T5927" s="1" t="s">
        <v>5416</v>
      </c>
      <c r="U5927" s="1" t="str">
        <f>HYPERLINK("http://ictvonline.org/taxonomy/p/taxonomy-history?taxnode_id=202103112","ICTVonline=202103112")</f>
        <v>ICTVonline=202103112</v>
      </c>
    </row>
    <row r="5928" spans="1:21" x14ac:dyDescent="0.2">
      <c r="A5928" s="3">
        <v>5927</v>
      </c>
      <c r="B5928" s="1" t="s">
        <v>4226</v>
      </c>
      <c r="D5928" s="1" t="s">
        <v>5412</v>
      </c>
      <c r="F5928" s="1" t="s">
        <v>5430</v>
      </c>
      <c r="H5928" s="1" t="s">
        <v>5453</v>
      </c>
      <c r="J5928" s="1" t="s">
        <v>5454</v>
      </c>
      <c r="L5928" s="1" t="s">
        <v>1038</v>
      </c>
      <c r="N5928" s="1" t="s">
        <v>1039</v>
      </c>
      <c r="P5928" s="1" t="s">
        <v>685</v>
      </c>
      <c r="Q5928" s="30" t="s">
        <v>2567</v>
      </c>
      <c r="R5928" s="33" t="s">
        <v>3474</v>
      </c>
      <c r="S5928">
        <v>35</v>
      </c>
      <c r="T5928" s="1" t="s">
        <v>5416</v>
      </c>
      <c r="U5928" s="1" t="str">
        <f>HYPERLINK("http://ictvonline.org/taxonomy/p/taxonomy-history?taxnode_id=202103108","ICTVonline=202103108")</f>
        <v>ICTVonline=202103108</v>
      </c>
    </row>
    <row r="5929" spans="1:21" x14ac:dyDescent="0.2">
      <c r="A5929" s="3">
        <v>5928</v>
      </c>
      <c r="B5929" s="1" t="s">
        <v>4226</v>
      </c>
      <c r="D5929" s="1" t="s">
        <v>5412</v>
      </c>
      <c r="F5929" s="1" t="s">
        <v>5430</v>
      </c>
      <c r="H5929" s="1" t="s">
        <v>5453</v>
      </c>
      <c r="J5929" s="1" t="s">
        <v>5454</v>
      </c>
      <c r="L5929" s="1" t="s">
        <v>1038</v>
      </c>
      <c r="N5929" s="1" t="s">
        <v>1039</v>
      </c>
      <c r="P5929" s="1" t="s">
        <v>686</v>
      </c>
      <c r="Q5929" s="30" t="s">
        <v>2567</v>
      </c>
      <c r="R5929" s="33" t="s">
        <v>3474</v>
      </c>
      <c r="S5929">
        <v>35</v>
      </c>
      <c r="T5929" s="1" t="s">
        <v>5416</v>
      </c>
      <c r="U5929" s="1" t="str">
        <f>HYPERLINK("http://ictvonline.org/taxonomy/p/taxonomy-history?taxnode_id=202103109","ICTVonline=202103109")</f>
        <v>ICTVonline=202103109</v>
      </c>
    </row>
    <row r="5930" spans="1:21" x14ac:dyDescent="0.2">
      <c r="A5930" s="3">
        <v>5929</v>
      </c>
      <c r="B5930" s="1" t="s">
        <v>4226</v>
      </c>
      <c r="D5930" s="1" t="s">
        <v>5412</v>
      </c>
      <c r="F5930" s="1" t="s">
        <v>5430</v>
      </c>
      <c r="H5930" s="1" t="s">
        <v>5453</v>
      </c>
      <c r="J5930" s="1" t="s">
        <v>5454</v>
      </c>
      <c r="L5930" s="1" t="s">
        <v>1038</v>
      </c>
      <c r="N5930" s="1" t="s">
        <v>1039</v>
      </c>
      <c r="P5930" s="1" t="s">
        <v>1081</v>
      </c>
      <c r="Q5930" s="30" t="s">
        <v>2567</v>
      </c>
      <c r="R5930" s="33" t="s">
        <v>3474</v>
      </c>
      <c r="S5930">
        <v>35</v>
      </c>
      <c r="T5930" s="1" t="s">
        <v>5416</v>
      </c>
      <c r="U5930" s="1" t="str">
        <f>HYPERLINK("http://ictvonline.org/taxonomy/p/taxonomy-history?taxnode_id=202103110","ICTVonline=202103110")</f>
        <v>ICTVonline=202103110</v>
      </c>
    </row>
    <row r="5931" spans="1:21" x14ac:dyDescent="0.2">
      <c r="A5931" s="3">
        <v>5930</v>
      </c>
      <c r="B5931" s="1" t="s">
        <v>4226</v>
      </c>
      <c r="D5931" s="1" t="s">
        <v>5412</v>
      </c>
      <c r="F5931" s="1" t="s">
        <v>5430</v>
      </c>
      <c r="H5931" s="1" t="s">
        <v>5453</v>
      </c>
      <c r="J5931" s="1" t="s">
        <v>5454</v>
      </c>
      <c r="L5931" s="1" t="s">
        <v>1038</v>
      </c>
      <c r="N5931" s="1" t="s">
        <v>1039</v>
      </c>
      <c r="P5931" s="1" t="s">
        <v>1082</v>
      </c>
      <c r="Q5931" s="30" t="s">
        <v>2567</v>
      </c>
      <c r="R5931" s="33" t="s">
        <v>3474</v>
      </c>
      <c r="S5931">
        <v>35</v>
      </c>
      <c r="T5931" s="1" t="s">
        <v>5416</v>
      </c>
      <c r="U5931" s="1" t="str">
        <f>HYPERLINK("http://ictvonline.org/taxonomy/p/taxonomy-history?taxnode_id=202103111","ICTVonline=202103111")</f>
        <v>ICTVonline=202103111</v>
      </c>
    </row>
    <row r="5932" spans="1:21" x14ac:dyDescent="0.2">
      <c r="A5932" s="3">
        <v>5931</v>
      </c>
      <c r="B5932" s="1" t="s">
        <v>4226</v>
      </c>
      <c r="D5932" s="1" t="s">
        <v>5412</v>
      </c>
      <c r="F5932" s="1" t="s">
        <v>5430</v>
      </c>
      <c r="H5932" s="1" t="s">
        <v>5453</v>
      </c>
      <c r="J5932" s="1" t="s">
        <v>5454</v>
      </c>
      <c r="L5932" s="1" t="s">
        <v>1038</v>
      </c>
      <c r="N5932" s="1" t="s">
        <v>1039</v>
      </c>
      <c r="P5932" s="1" t="s">
        <v>1083</v>
      </c>
      <c r="Q5932" s="30" t="s">
        <v>2567</v>
      </c>
      <c r="R5932" s="33" t="s">
        <v>3474</v>
      </c>
      <c r="S5932">
        <v>35</v>
      </c>
      <c r="T5932" s="1" t="s">
        <v>5416</v>
      </c>
      <c r="U5932" s="1" t="str">
        <f>HYPERLINK("http://ictvonline.org/taxonomy/p/taxonomy-history?taxnode_id=202103113","ICTVonline=202103113")</f>
        <v>ICTVonline=202103113</v>
      </c>
    </row>
    <row r="5933" spans="1:21" x14ac:dyDescent="0.2">
      <c r="A5933" s="3">
        <v>5932</v>
      </c>
      <c r="B5933" s="1" t="s">
        <v>4226</v>
      </c>
      <c r="D5933" s="1" t="s">
        <v>5412</v>
      </c>
      <c r="F5933" s="1" t="s">
        <v>5430</v>
      </c>
      <c r="H5933" s="1" t="s">
        <v>5453</v>
      </c>
      <c r="J5933" s="1" t="s">
        <v>5454</v>
      </c>
      <c r="L5933" s="1" t="s">
        <v>1038</v>
      </c>
      <c r="N5933" s="1" t="s">
        <v>1039</v>
      </c>
      <c r="P5933" s="1" t="s">
        <v>1084</v>
      </c>
      <c r="Q5933" s="30" t="s">
        <v>2567</v>
      </c>
      <c r="R5933" s="33" t="s">
        <v>3474</v>
      </c>
      <c r="S5933">
        <v>35</v>
      </c>
      <c r="T5933" s="1" t="s">
        <v>5416</v>
      </c>
      <c r="U5933" s="1" t="str">
        <f>HYPERLINK("http://ictvonline.org/taxonomy/p/taxonomy-history?taxnode_id=202103114","ICTVonline=202103114")</f>
        <v>ICTVonline=202103114</v>
      </c>
    </row>
    <row r="5934" spans="1:21" x14ac:dyDescent="0.2">
      <c r="A5934" s="3">
        <v>5933</v>
      </c>
      <c r="B5934" s="1" t="s">
        <v>4226</v>
      </c>
      <c r="D5934" s="1" t="s">
        <v>5412</v>
      </c>
      <c r="F5934" s="1" t="s">
        <v>5430</v>
      </c>
      <c r="H5934" s="1" t="s">
        <v>5453</v>
      </c>
      <c r="J5934" s="1" t="s">
        <v>5454</v>
      </c>
      <c r="L5934" s="1" t="s">
        <v>1038</v>
      </c>
      <c r="N5934" s="1" t="s">
        <v>1039</v>
      </c>
      <c r="P5934" s="1" t="s">
        <v>1085</v>
      </c>
      <c r="Q5934" s="30" t="s">
        <v>2567</v>
      </c>
      <c r="R5934" s="33" t="s">
        <v>3474</v>
      </c>
      <c r="S5934">
        <v>35</v>
      </c>
      <c r="T5934" s="1" t="s">
        <v>5416</v>
      </c>
      <c r="U5934" s="1" t="str">
        <f>HYPERLINK("http://ictvonline.org/taxonomy/p/taxonomy-history?taxnode_id=202103115","ICTVonline=202103115")</f>
        <v>ICTVonline=202103115</v>
      </c>
    </row>
    <row r="5935" spans="1:21" x14ac:dyDescent="0.2">
      <c r="A5935" s="3">
        <v>5934</v>
      </c>
      <c r="B5935" s="1" t="s">
        <v>4226</v>
      </c>
      <c r="D5935" s="1" t="s">
        <v>5412</v>
      </c>
      <c r="F5935" s="1" t="s">
        <v>5430</v>
      </c>
      <c r="H5935" s="1" t="s">
        <v>5453</v>
      </c>
      <c r="J5935" s="1" t="s">
        <v>5454</v>
      </c>
      <c r="L5935" s="1" t="s">
        <v>1038</v>
      </c>
      <c r="N5935" s="1" t="s">
        <v>1039</v>
      </c>
      <c r="P5935" s="1" t="s">
        <v>1086</v>
      </c>
      <c r="Q5935" s="30" t="s">
        <v>2567</v>
      </c>
      <c r="R5935" s="33" t="s">
        <v>3474</v>
      </c>
      <c r="S5935">
        <v>35</v>
      </c>
      <c r="T5935" s="1" t="s">
        <v>5416</v>
      </c>
      <c r="U5935" s="1" t="str">
        <f>HYPERLINK("http://ictvonline.org/taxonomy/p/taxonomy-history?taxnode_id=202103116","ICTVonline=202103116")</f>
        <v>ICTVonline=202103116</v>
      </c>
    </row>
    <row r="5936" spans="1:21" x14ac:dyDescent="0.2">
      <c r="A5936" s="3">
        <v>5935</v>
      </c>
      <c r="B5936" s="1" t="s">
        <v>4226</v>
      </c>
      <c r="D5936" s="1" t="s">
        <v>5412</v>
      </c>
      <c r="F5936" s="1" t="s">
        <v>5430</v>
      </c>
      <c r="H5936" s="1" t="s">
        <v>5453</v>
      </c>
      <c r="J5936" s="1" t="s">
        <v>5454</v>
      </c>
      <c r="L5936" s="1" t="s">
        <v>1038</v>
      </c>
      <c r="N5936" s="1" t="s">
        <v>1039</v>
      </c>
      <c r="P5936" s="1" t="s">
        <v>1087</v>
      </c>
      <c r="Q5936" s="30" t="s">
        <v>2567</v>
      </c>
      <c r="R5936" s="33" t="s">
        <v>3474</v>
      </c>
      <c r="S5936">
        <v>35</v>
      </c>
      <c r="T5936" s="1" t="s">
        <v>5416</v>
      </c>
      <c r="U5936" s="1" t="str">
        <f>HYPERLINK("http://ictvonline.org/taxonomy/p/taxonomy-history?taxnode_id=202103117","ICTVonline=202103117")</f>
        <v>ICTVonline=202103117</v>
      </c>
    </row>
    <row r="5937" spans="1:21" x14ac:dyDescent="0.2">
      <c r="A5937" s="3">
        <v>5936</v>
      </c>
      <c r="B5937" s="1" t="s">
        <v>4226</v>
      </c>
      <c r="D5937" s="1" t="s">
        <v>5412</v>
      </c>
      <c r="F5937" s="1" t="s">
        <v>5430</v>
      </c>
      <c r="H5937" s="1" t="s">
        <v>5453</v>
      </c>
      <c r="J5937" s="1" t="s">
        <v>5454</v>
      </c>
      <c r="L5937" s="1" t="s">
        <v>1038</v>
      </c>
      <c r="N5937" s="1" t="s">
        <v>1039</v>
      </c>
      <c r="P5937" s="1" t="s">
        <v>1088</v>
      </c>
      <c r="Q5937" s="30" t="s">
        <v>2567</v>
      </c>
      <c r="R5937" s="33" t="s">
        <v>3474</v>
      </c>
      <c r="S5937">
        <v>35</v>
      </c>
      <c r="T5937" s="1" t="s">
        <v>5416</v>
      </c>
      <c r="U5937" s="1" t="str">
        <f>HYPERLINK("http://ictvonline.org/taxonomy/p/taxonomy-history?taxnode_id=202103118","ICTVonline=202103118")</f>
        <v>ICTVonline=202103118</v>
      </c>
    </row>
    <row r="5938" spans="1:21" x14ac:dyDescent="0.2">
      <c r="A5938" s="3">
        <v>5937</v>
      </c>
      <c r="B5938" s="1" t="s">
        <v>4226</v>
      </c>
      <c r="D5938" s="1" t="s">
        <v>5412</v>
      </c>
      <c r="F5938" s="1" t="s">
        <v>5430</v>
      </c>
      <c r="H5938" s="1" t="s">
        <v>5453</v>
      </c>
      <c r="J5938" s="1" t="s">
        <v>5454</v>
      </c>
      <c r="L5938" s="1" t="s">
        <v>1038</v>
      </c>
      <c r="N5938" s="1" t="s">
        <v>1039</v>
      </c>
      <c r="P5938" s="1" t="s">
        <v>1089</v>
      </c>
      <c r="Q5938" s="30" t="s">
        <v>2567</v>
      </c>
      <c r="R5938" s="33" t="s">
        <v>3474</v>
      </c>
      <c r="S5938">
        <v>35</v>
      </c>
      <c r="T5938" s="1" t="s">
        <v>5416</v>
      </c>
      <c r="U5938" s="1" t="str">
        <f>HYPERLINK("http://ictvonline.org/taxonomy/p/taxonomy-history?taxnode_id=202103119","ICTVonline=202103119")</f>
        <v>ICTVonline=202103119</v>
      </c>
    </row>
    <row r="5939" spans="1:21" x14ac:dyDescent="0.2">
      <c r="A5939" s="3">
        <v>5938</v>
      </c>
      <c r="B5939" s="1" t="s">
        <v>4226</v>
      </c>
      <c r="D5939" s="1" t="s">
        <v>5412</v>
      </c>
      <c r="F5939" s="1" t="s">
        <v>5430</v>
      </c>
      <c r="H5939" s="1" t="s">
        <v>5453</v>
      </c>
      <c r="J5939" s="1" t="s">
        <v>5454</v>
      </c>
      <c r="L5939" s="1" t="s">
        <v>1038</v>
      </c>
      <c r="N5939" s="1" t="s">
        <v>1039</v>
      </c>
      <c r="P5939" s="1" t="s">
        <v>1090</v>
      </c>
      <c r="Q5939" s="30" t="s">
        <v>2567</v>
      </c>
      <c r="R5939" s="33" t="s">
        <v>3474</v>
      </c>
      <c r="S5939">
        <v>35</v>
      </c>
      <c r="T5939" s="1" t="s">
        <v>5416</v>
      </c>
      <c r="U5939" s="1" t="str">
        <f>HYPERLINK("http://ictvonline.org/taxonomy/p/taxonomy-history?taxnode_id=202103120","ICTVonline=202103120")</f>
        <v>ICTVonline=202103120</v>
      </c>
    </row>
    <row r="5940" spans="1:21" x14ac:dyDescent="0.2">
      <c r="A5940" s="3">
        <v>5939</v>
      </c>
      <c r="B5940" s="1" t="s">
        <v>4226</v>
      </c>
      <c r="D5940" s="1" t="s">
        <v>5412</v>
      </c>
      <c r="F5940" s="1" t="s">
        <v>5430</v>
      </c>
      <c r="H5940" s="1" t="s">
        <v>5453</v>
      </c>
      <c r="J5940" s="1" t="s">
        <v>5454</v>
      </c>
      <c r="L5940" s="1" t="s">
        <v>1038</v>
      </c>
      <c r="N5940" s="1" t="s">
        <v>1039</v>
      </c>
      <c r="P5940" s="1" t="s">
        <v>1091</v>
      </c>
      <c r="Q5940" s="30" t="s">
        <v>2567</v>
      </c>
      <c r="R5940" s="33" t="s">
        <v>8665</v>
      </c>
      <c r="S5940">
        <v>36</v>
      </c>
      <c r="T5940" s="1" t="s">
        <v>8661</v>
      </c>
      <c r="U5940" s="1" t="str">
        <f>HYPERLINK("http://ictvonline.org/taxonomy/p/taxonomy-history?taxnode_id=202103121","ICTVonline=202103121")</f>
        <v>ICTVonline=202103121</v>
      </c>
    </row>
    <row r="5941" spans="1:21" x14ac:dyDescent="0.2">
      <c r="A5941" s="3">
        <v>5940</v>
      </c>
      <c r="B5941" s="1" t="s">
        <v>4226</v>
      </c>
      <c r="D5941" s="1" t="s">
        <v>5412</v>
      </c>
      <c r="F5941" s="1" t="s">
        <v>5430</v>
      </c>
      <c r="H5941" s="1" t="s">
        <v>5453</v>
      </c>
      <c r="J5941" s="1" t="s">
        <v>5454</v>
      </c>
      <c r="L5941" s="1" t="s">
        <v>1038</v>
      </c>
      <c r="N5941" s="1" t="s">
        <v>1039</v>
      </c>
      <c r="P5941" s="1" t="s">
        <v>1092</v>
      </c>
      <c r="Q5941" s="30" t="s">
        <v>2567</v>
      </c>
      <c r="R5941" s="33" t="s">
        <v>3474</v>
      </c>
      <c r="S5941">
        <v>35</v>
      </c>
      <c r="T5941" s="1" t="s">
        <v>5416</v>
      </c>
      <c r="U5941" s="1" t="str">
        <f>HYPERLINK("http://ictvonline.org/taxonomy/p/taxonomy-history?taxnode_id=202103122","ICTVonline=202103122")</f>
        <v>ICTVonline=202103122</v>
      </c>
    </row>
    <row r="5942" spans="1:21" x14ac:dyDescent="0.2">
      <c r="A5942" s="3">
        <v>5941</v>
      </c>
      <c r="B5942" s="1" t="s">
        <v>4226</v>
      </c>
      <c r="D5942" s="1" t="s">
        <v>5412</v>
      </c>
      <c r="F5942" s="1" t="s">
        <v>5430</v>
      </c>
      <c r="H5942" s="1" t="s">
        <v>5453</v>
      </c>
      <c r="J5942" s="1" t="s">
        <v>5454</v>
      </c>
      <c r="L5942" s="1" t="s">
        <v>1038</v>
      </c>
      <c r="N5942" s="1" t="s">
        <v>1039</v>
      </c>
      <c r="P5942" s="1" t="s">
        <v>1093</v>
      </c>
      <c r="Q5942" s="30" t="s">
        <v>2567</v>
      </c>
      <c r="R5942" s="33" t="s">
        <v>3474</v>
      </c>
      <c r="S5942">
        <v>35</v>
      </c>
      <c r="T5942" s="1" t="s">
        <v>5416</v>
      </c>
      <c r="U5942" s="1" t="str">
        <f>HYPERLINK("http://ictvonline.org/taxonomy/p/taxonomy-history?taxnode_id=202103123","ICTVonline=202103123")</f>
        <v>ICTVonline=202103123</v>
      </c>
    </row>
    <row r="5943" spans="1:21" x14ac:dyDescent="0.2">
      <c r="A5943" s="3">
        <v>5942</v>
      </c>
      <c r="B5943" s="1" t="s">
        <v>4226</v>
      </c>
      <c r="D5943" s="1" t="s">
        <v>5412</v>
      </c>
      <c r="F5943" s="1" t="s">
        <v>5430</v>
      </c>
      <c r="H5943" s="1" t="s">
        <v>5453</v>
      </c>
      <c r="J5943" s="1" t="s">
        <v>5454</v>
      </c>
      <c r="L5943" s="1" t="s">
        <v>1038</v>
      </c>
      <c r="N5943" s="1" t="s">
        <v>1094</v>
      </c>
      <c r="P5943" s="1" t="s">
        <v>3332</v>
      </c>
      <c r="Q5943" s="30" t="s">
        <v>2567</v>
      </c>
      <c r="R5943" s="33" t="s">
        <v>3474</v>
      </c>
      <c r="S5943">
        <v>35</v>
      </c>
      <c r="T5943" s="1" t="s">
        <v>5416</v>
      </c>
      <c r="U5943" s="1" t="str">
        <f>HYPERLINK("http://ictvonline.org/taxonomy/p/taxonomy-history?taxnode_id=202103125","ICTVonline=202103125")</f>
        <v>ICTVonline=202103125</v>
      </c>
    </row>
    <row r="5944" spans="1:21" x14ac:dyDescent="0.2">
      <c r="A5944" s="3">
        <v>5943</v>
      </c>
      <c r="B5944" s="1" t="s">
        <v>4226</v>
      </c>
      <c r="D5944" s="1" t="s">
        <v>5412</v>
      </c>
      <c r="F5944" s="1" t="s">
        <v>5430</v>
      </c>
      <c r="H5944" s="1" t="s">
        <v>5453</v>
      </c>
      <c r="J5944" s="1" t="s">
        <v>5454</v>
      </c>
      <c r="L5944" s="1" t="s">
        <v>1038</v>
      </c>
      <c r="N5944" s="1" t="s">
        <v>1094</v>
      </c>
      <c r="P5944" s="1" t="s">
        <v>3333</v>
      </c>
      <c r="Q5944" s="30" t="s">
        <v>2567</v>
      </c>
      <c r="R5944" s="33" t="s">
        <v>3474</v>
      </c>
      <c r="S5944">
        <v>35</v>
      </c>
      <c r="T5944" s="1" t="s">
        <v>5416</v>
      </c>
      <c r="U5944" s="1" t="str">
        <f>HYPERLINK("http://ictvonline.org/taxonomy/p/taxonomy-history?taxnode_id=202103126","ICTVonline=202103126")</f>
        <v>ICTVonline=202103126</v>
      </c>
    </row>
    <row r="5945" spans="1:21" x14ac:dyDescent="0.2">
      <c r="A5945" s="3">
        <v>5944</v>
      </c>
      <c r="B5945" s="1" t="s">
        <v>4226</v>
      </c>
      <c r="D5945" s="1" t="s">
        <v>5412</v>
      </c>
      <c r="F5945" s="1" t="s">
        <v>5430</v>
      </c>
      <c r="H5945" s="1" t="s">
        <v>5453</v>
      </c>
      <c r="J5945" s="1" t="s">
        <v>5454</v>
      </c>
      <c r="L5945" s="1" t="s">
        <v>1038</v>
      </c>
      <c r="N5945" s="1" t="s">
        <v>1094</v>
      </c>
      <c r="P5945" s="1" t="s">
        <v>3526</v>
      </c>
      <c r="Q5945" s="30" t="s">
        <v>2567</v>
      </c>
      <c r="R5945" s="33" t="s">
        <v>8665</v>
      </c>
      <c r="S5945">
        <v>36</v>
      </c>
      <c r="T5945" s="1" t="s">
        <v>8661</v>
      </c>
      <c r="U5945" s="1" t="str">
        <f>HYPERLINK("http://ictvonline.org/taxonomy/p/taxonomy-history?taxnode_id=202103127","ICTVonline=202103127")</f>
        <v>ICTVonline=202103127</v>
      </c>
    </row>
    <row r="5946" spans="1:21" x14ac:dyDescent="0.2">
      <c r="A5946" s="3">
        <v>5945</v>
      </c>
      <c r="B5946" s="1" t="s">
        <v>4226</v>
      </c>
      <c r="D5946" s="1" t="s">
        <v>5412</v>
      </c>
      <c r="F5946" s="1" t="s">
        <v>5430</v>
      </c>
      <c r="H5946" s="1" t="s">
        <v>5453</v>
      </c>
      <c r="J5946" s="1" t="s">
        <v>5454</v>
      </c>
      <c r="L5946" s="1" t="s">
        <v>1038</v>
      </c>
      <c r="N5946" s="1" t="s">
        <v>1094</v>
      </c>
      <c r="P5946" s="1" t="s">
        <v>3334</v>
      </c>
      <c r="Q5946" s="30" t="s">
        <v>2567</v>
      </c>
      <c r="R5946" s="33" t="s">
        <v>3474</v>
      </c>
      <c r="S5946">
        <v>35</v>
      </c>
      <c r="T5946" s="1" t="s">
        <v>5416</v>
      </c>
      <c r="U5946" s="1" t="str">
        <f>HYPERLINK("http://ictvonline.org/taxonomy/p/taxonomy-history?taxnode_id=202103128","ICTVonline=202103128")</f>
        <v>ICTVonline=202103128</v>
      </c>
    </row>
    <row r="5947" spans="1:21" x14ac:dyDescent="0.2">
      <c r="A5947" s="3">
        <v>5946</v>
      </c>
      <c r="B5947" s="1" t="s">
        <v>4226</v>
      </c>
      <c r="D5947" s="1" t="s">
        <v>5412</v>
      </c>
      <c r="F5947" s="1" t="s">
        <v>5430</v>
      </c>
      <c r="H5947" s="1" t="s">
        <v>5453</v>
      </c>
      <c r="J5947" s="1" t="s">
        <v>5454</v>
      </c>
      <c r="L5947" s="1" t="s">
        <v>1038</v>
      </c>
      <c r="N5947" s="1" t="s">
        <v>1094</v>
      </c>
      <c r="P5947" s="1" t="s">
        <v>3335</v>
      </c>
      <c r="Q5947" s="30" t="s">
        <v>2567</v>
      </c>
      <c r="R5947" s="33" t="s">
        <v>3474</v>
      </c>
      <c r="S5947">
        <v>35</v>
      </c>
      <c r="T5947" s="1" t="s">
        <v>5416</v>
      </c>
      <c r="U5947" s="1" t="str">
        <f>HYPERLINK("http://ictvonline.org/taxonomy/p/taxonomy-history?taxnode_id=202103129","ICTVonline=202103129")</f>
        <v>ICTVonline=202103129</v>
      </c>
    </row>
    <row r="5948" spans="1:21" x14ac:dyDescent="0.2">
      <c r="A5948" s="3">
        <v>5947</v>
      </c>
      <c r="B5948" s="1" t="s">
        <v>4226</v>
      </c>
      <c r="D5948" s="1" t="s">
        <v>5412</v>
      </c>
      <c r="F5948" s="1" t="s">
        <v>5430</v>
      </c>
      <c r="H5948" s="1" t="s">
        <v>5453</v>
      </c>
      <c r="J5948" s="1" t="s">
        <v>5454</v>
      </c>
      <c r="L5948" s="1" t="s">
        <v>1038</v>
      </c>
      <c r="N5948" s="1" t="s">
        <v>1094</v>
      </c>
      <c r="P5948" s="1" t="s">
        <v>3336</v>
      </c>
      <c r="Q5948" s="30" t="s">
        <v>2567</v>
      </c>
      <c r="R5948" s="33" t="s">
        <v>3474</v>
      </c>
      <c r="S5948">
        <v>35</v>
      </c>
      <c r="T5948" s="1" t="s">
        <v>5416</v>
      </c>
      <c r="U5948" s="1" t="str">
        <f>HYPERLINK("http://ictvonline.org/taxonomy/p/taxonomy-history?taxnode_id=202103130","ICTVonline=202103130")</f>
        <v>ICTVonline=202103130</v>
      </c>
    </row>
    <row r="5949" spans="1:21" x14ac:dyDescent="0.2">
      <c r="A5949" s="3">
        <v>5948</v>
      </c>
      <c r="B5949" s="1" t="s">
        <v>4226</v>
      </c>
      <c r="D5949" s="1" t="s">
        <v>5412</v>
      </c>
      <c r="F5949" s="1" t="s">
        <v>5430</v>
      </c>
      <c r="H5949" s="1" t="s">
        <v>5453</v>
      </c>
      <c r="J5949" s="1" t="s">
        <v>5454</v>
      </c>
      <c r="L5949" s="1" t="s">
        <v>1038</v>
      </c>
      <c r="N5949" s="1" t="s">
        <v>1094</v>
      </c>
      <c r="P5949" s="1" t="s">
        <v>3337</v>
      </c>
      <c r="Q5949" s="30" t="s">
        <v>2567</v>
      </c>
      <c r="R5949" s="33" t="s">
        <v>3474</v>
      </c>
      <c r="S5949">
        <v>35</v>
      </c>
      <c r="T5949" s="1" t="s">
        <v>5416</v>
      </c>
      <c r="U5949" s="1" t="str">
        <f>HYPERLINK("http://ictvonline.org/taxonomy/p/taxonomy-history?taxnode_id=202103131","ICTVonline=202103131")</f>
        <v>ICTVonline=202103131</v>
      </c>
    </row>
    <row r="5950" spans="1:21" x14ac:dyDescent="0.2">
      <c r="A5950" s="3">
        <v>5949</v>
      </c>
      <c r="B5950" s="1" t="s">
        <v>4226</v>
      </c>
      <c r="D5950" s="1" t="s">
        <v>5412</v>
      </c>
      <c r="F5950" s="1" t="s">
        <v>5430</v>
      </c>
      <c r="H5950" s="1" t="s">
        <v>5453</v>
      </c>
      <c r="J5950" s="1" t="s">
        <v>5454</v>
      </c>
      <c r="L5950" s="1" t="s">
        <v>1038</v>
      </c>
      <c r="N5950" s="1" t="s">
        <v>1094</v>
      </c>
      <c r="P5950" s="1" t="s">
        <v>3338</v>
      </c>
      <c r="Q5950" s="30" t="s">
        <v>2567</v>
      </c>
      <c r="R5950" s="33" t="s">
        <v>3474</v>
      </c>
      <c r="S5950">
        <v>35</v>
      </c>
      <c r="T5950" s="1" t="s">
        <v>5416</v>
      </c>
      <c r="U5950" s="1" t="str">
        <f>HYPERLINK("http://ictvonline.org/taxonomy/p/taxonomy-history?taxnode_id=202103132","ICTVonline=202103132")</f>
        <v>ICTVonline=202103132</v>
      </c>
    </row>
    <row r="5951" spans="1:21" x14ac:dyDescent="0.2">
      <c r="A5951" s="3">
        <v>5950</v>
      </c>
      <c r="B5951" s="1" t="s">
        <v>4226</v>
      </c>
      <c r="D5951" s="1" t="s">
        <v>5412</v>
      </c>
      <c r="F5951" s="1" t="s">
        <v>5430</v>
      </c>
      <c r="H5951" s="1" t="s">
        <v>5453</v>
      </c>
      <c r="J5951" s="1" t="s">
        <v>5454</v>
      </c>
      <c r="L5951" s="1" t="s">
        <v>1038</v>
      </c>
      <c r="N5951" s="1" t="s">
        <v>1094</v>
      </c>
      <c r="P5951" s="1" t="s">
        <v>3339</v>
      </c>
      <c r="Q5951" s="30" t="s">
        <v>2567</v>
      </c>
      <c r="R5951" s="33" t="s">
        <v>3474</v>
      </c>
      <c r="S5951">
        <v>35</v>
      </c>
      <c r="T5951" s="1" t="s">
        <v>5416</v>
      </c>
      <c r="U5951" s="1" t="str">
        <f>HYPERLINK("http://ictvonline.org/taxonomy/p/taxonomy-history?taxnode_id=202103133","ICTVonline=202103133")</f>
        <v>ICTVonline=202103133</v>
      </c>
    </row>
    <row r="5952" spans="1:21" x14ac:dyDescent="0.2">
      <c r="A5952" s="3">
        <v>5951</v>
      </c>
      <c r="B5952" s="1" t="s">
        <v>4226</v>
      </c>
      <c r="D5952" s="1" t="s">
        <v>5412</v>
      </c>
      <c r="F5952" s="1" t="s">
        <v>5430</v>
      </c>
      <c r="H5952" s="1" t="s">
        <v>5453</v>
      </c>
      <c r="J5952" s="1" t="s">
        <v>5454</v>
      </c>
      <c r="L5952" s="1" t="s">
        <v>1038</v>
      </c>
      <c r="N5952" s="1" t="s">
        <v>1094</v>
      </c>
      <c r="P5952" s="1" t="s">
        <v>3340</v>
      </c>
      <c r="Q5952" s="30" t="s">
        <v>2567</v>
      </c>
      <c r="R5952" s="33" t="s">
        <v>3474</v>
      </c>
      <c r="S5952">
        <v>35</v>
      </c>
      <c r="T5952" s="1" t="s">
        <v>5416</v>
      </c>
      <c r="U5952" s="1" t="str">
        <f>HYPERLINK("http://ictvonline.org/taxonomy/p/taxonomy-history?taxnode_id=202103134","ICTVonline=202103134")</f>
        <v>ICTVonline=202103134</v>
      </c>
    </row>
    <row r="5953" spans="1:21" x14ac:dyDescent="0.2">
      <c r="A5953" s="3">
        <v>5952</v>
      </c>
      <c r="B5953" s="1" t="s">
        <v>4226</v>
      </c>
      <c r="D5953" s="1" t="s">
        <v>5412</v>
      </c>
      <c r="F5953" s="1" t="s">
        <v>5430</v>
      </c>
      <c r="H5953" s="1" t="s">
        <v>5453</v>
      </c>
      <c r="J5953" s="1" t="s">
        <v>5454</v>
      </c>
      <c r="L5953" s="1" t="s">
        <v>1038</v>
      </c>
      <c r="N5953" s="1" t="s">
        <v>1094</v>
      </c>
      <c r="P5953" s="1" t="s">
        <v>3341</v>
      </c>
      <c r="Q5953" s="30" t="s">
        <v>2567</v>
      </c>
      <c r="R5953" s="33" t="s">
        <v>3474</v>
      </c>
      <c r="S5953">
        <v>35</v>
      </c>
      <c r="T5953" s="1" t="s">
        <v>5416</v>
      </c>
      <c r="U5953" s="1" t="str">
        <f>HYPERLINK("http://ictvonline.org/taxonomy/p/taxonomy-history?taxnode_id=202103135","ICTVonline=202103135")</f>
        <v>ICTVonline=202103135</v>
      </c>
    </row>
    <row r="5954" spans="1:21" x14ac:dyDescent="0.2">
      <c r="A5954" s="3">
        <v>5953</v>
      </c>
      <c r="B5954" s="1" t="s">
        <v>4226</v>
      </c>
      <c r="D5954" s="1" t="s">
        <v>5412</v>
      </c>
      <c r="F5954" s="1" t="s">
        <v>5430</v>
      </c>
      <c r="H5954" s="1" t="s">
        <v>5453</v>
      </c>
      <c r="J5954" s="1" t="s">
        <v>5454</v>
      </c>
      <c r="L5954" s="1" t="s">
        <v>1038</v>
      </c>
      <c r="N5954" s="1" t="s">
        <v>1094</v>
      </c>
      <c r="P5954" s="1" t="s">
        <v>3342</v>
      </c>
      <c r="Q5954" s="30" t="s">
        <v>2567</v>
      </c>
      <c r="R5954" s="33" t="s">
        <v>3474</v>
      </c>
      <c r="S5954">
        <v>35</v>
      </c>
      <c r="T5954" s="1" t="s">
        <v>5416</v>
      </c>
      <c r="U5954" s="1" t="str">
        <f>HYPERLINK("http://ictvonline.org/taxonomy/p/taxonomy-history?taxnode_id=202103136","ICTVonline=202103136")</f>
        <v>ICTVonline=202103136</v>
      </c>
    </row>
    <row r="5955" spans="1:21" x14ac:dyDescent="0.2">
      <c r="A5955" s="3">
        <v>5954</v>
      </c>
      <c r="B5955" s="1" t="s">
        <v>4226</v>
      </c>
      <c r="D5955" s="1" t="s">
        <v>5412</v>
      </c>
      <c r="F5955" s="1" t="s">
        <v>5430</v>
      </c>
      <c r="H5955" s="1" t="s">
        <v>5453</v>
      </c>
      <c r="J5955" s="1" t="s">
        <v>5454</v>
      </c>
      <c r="L5955" s="1" t="s">
        <v>1038</v>
      </c>
      <c r="N5955" s="1" t="s">
        <v>1094</v>
      </c>
      <c r="P5955" s="1" t="s">
        <v>3343</v>
      </c>
      <c r="Q5955" s="30" t="s">
        <v>2567</v>
      </c>
      <c r="R5955" s="33" t="s">
        <v>3474</v>
      </c>
      <c r="S5955">
        <v>35</v>
      </c>
      <c r="T5955" s="1" t="s">
        <v>5416</v>
      </c>
      <c r="U5955" s="1" t="str">
        <f>HYPERLINK("http://ictvonline.org/taxonomy/p/taxonomy-history?taxnode_id=202103137","ICTVonline=202103137")</f>
        <v>ICTVonline=202103137</v>
      </c>
    </row>
    <row r="5956" spans="1:21" x14ac:dyDescent="0.2">
      <c r="A5956" s="3">
        <v>5955</v>
      </c>
      <c r="B5956" s="1" t="s">
        <v>4226</v>
      </c>
      <c r="D5956" s="1" t="s">
        <v>5412</v>
      </c>
      <c r="F5956" s="1" t="s">
        <v>5430</v>
      </c>
      <c r="H5956" s="1" t="s">
        <v>5453</v>
      </c>
      <c r="J5956" s="1" t="s">
        <v>5454</v>
      </c>
      <c r="L5956" s="1" t="s">
        <v>1038</v>
      </c>
      <c r="N5956" s="1" t="s">
        <v>1094</v>
      </c>
      <c r="P5956" s="1" t="s">
        <v>3344</v>
      </c>
      <c r="Q5956" s="30" t="s">
        <v>2567</v>
      </c>
      <c r="R5956" s="33" t="s">
        <v>3474</v>
      </c>
      <c r="S5956">
        <v>35</v>
      </c>
      <c r="T5956" s="1" t="s">
        <v>5416</v>
      </c>
      <c r="U5956" s="1" t="str">
        <f>HYPERLINK("http://ictvonline.org/taxonomy/p/taxonomy-history?taxnode_id=202103138","ICTVonline=202103138")</f>
        <v>ICTVonline=202103138</v>
      </c>
    </row>
    <row r="5957" spans="1:21" x14ac:dyDescent="0.2">
      <c r="A5957" s="3">
        <v>5956</v>
      </c>
      <c r="B5957" s="1" t="s">
        <v>4226</v>
      </c>
      <c r="D5957" s="1" t="s">
        <v>5412</v>
      </c>
      <c r="F5957" s="1" t="s">
        <v>5430</v>
      </c>
      <c r="H5957" s="1" t="s">
        <v>5453</v>
      </c>
      <c r="J5957" s="1" t="s">
        <v>5454</v>
      </c>
      <c r="L5957" s="1" t="s">
        <v>1038</v>
      </c>
      <c r="N5957" s="1" t="s">
        <v>2079</v>
      </c>
      <c r="P5957" s="1" t="s">
        <v>2080</v>
      </c>
      <c r="Q5957" s="30" t="s">
        <v>2567</v>
      </c>
      <c r="R5957" s="33" t="s">
        <v>8665</v>
      </c>
      <c r="S5957">
        <v>36</v>
      </c>
      <c r="T5957" s="1" t="s">
        <v>8661</v>
      </c>
      <c r="U5957" s="1" t="str">
        <f>HYPERLINK("http://ictvonline.org/taxonomy/p/taxonomy-history?taxnode_id=202103140","ICTVonline=202103140")</f>
        <v>ICTVonline=202103140</v>
      </c>
    </row>
    <row r="5958" spans="1:21" x14ac:dyDescent="0.2">
      <c r="A5958" s="3">
        <v>5957</v>
      </c>
      <c r="B5958" s="1" t="s">
        <v>4226</v>
      </c>
      <c r="D5958" s="1" t="s">
        <v>5412</v>
      </c>
      <c r="F5958" s="1" t="s">
        <v>5430</v>
      </c>
      <c r="H5958" s="1" t="s">
        <v>5453</v>
      </c>
      <c r="J5958" s="1" t="s">
        <v>5454</v>
      </c>
      <c r="L5958" s="1" t="s">
        <v>1038</v>
      </c>
      <c r="N5958" s="1" t="s">
        <v>2079</v>
      </c>
      <c r="P5958" s="1" t="s">
        <v>2081</v>
      </c>
      <c r="Q5958" s="30" t="s">
        <v>2567</v>
      </c>
      <c r="R5958" s="33" t="s">
        <v>3474</v>
      </c>
      <c r="S5958">
        <v>35</v>
      </c>
      <c r="T5958" s="1" t="s">
        <v>5416</v>
      </c>
      <c r="U5958" s="1" t="str">
        <f>HYPERLINK("http://ictvonline.org/taxonomy/p/taxonomy-history?taxnode_id=202103141","ICTVonline=202103141")</f>
        <v>ICTVonline=202103141</v>
      </c>
    </row>
    <row r="5959" spans="1:21" x14ac:dyDescent="0.2">
      <c r="A5959" s="3">
        <v>5958</v>
      </c>
      <c r="B5959" s="1" t="s">
        <v>4226</v>
      </c>
      <c r="D5959" s="1" t="s">
        <v>5412</v>
      </c>
      <c r="F5959" s="1" t="s">
        <v>5430</v>
      </c>
      <c r="H5959" s="1" t="s">
        <v>5453</v>
      </c>
      <c r="J5959" s="1" t="s">
        <v>5454</v>
      </c>
      <c r="L5959" s="1" t="s">
        <v>1038</v>
      </c>
      <c r="N5959" s="1" t="s">
        <v>2079</v>
      </c>
      <c r="P5959" s="1" t="s">
        <v>3345</v>
      </c>
      <c r="Q5959" s="30" t="s">
        <v>2567</v>
      </c>
      <c r="R5959" s="33" t="s">
        <v>3474</v>
      </c>
      <c r="S5959">
        <v>35</v>
      </c>
      <c r="T5959" s="1" t="s">
        <v>5416</v>
      </c>
      <c r="U5959" s="1" t="str">
        <f>HYPERLINK("http://ictvonline.org/taxonomy/p/taxonomy-history?taxnode_id=202103142","ICTVonline=202103142")</f>
        <v>ICTVonline=202103142</v>
      </c>
    </row>
    <row r="5960" spans="1:21" x14ac:dyDescent="0.2">
      <c r="A5960" s="3">
        <v>5959</v>
      </c>
      <c r="B5960" s="1" t="s">
        <v>4226</v>
      </c>
      <c r="D5960" s="1" t="s">
        <v>5412</v>
      </c>
      <c r="F5960" s="1" t="s">
        <v>5430</v>
      </c>
      <c r="H5960" s="1" t="s">
        <v>5453</v>
      </c>
      <c r="J5960" s="1" t="s">
        <v>5454</v>
      </c>
      <c r="L5960" s="1" t="s">
        <v>1038</v>
      </c>
      <c r="N5960" s="1" t="s">
        <v>2079</v>
      </c>
      <c r="P5960" s="1" t="s">
        <v>3346</v>
      </c>
      <c r="Q5960" s="30" t="s">
        <v>2567</v>
      </c>
      <c r="R5960" s="33" t="s">
        <v>3474</v>
      </c>
      <c r="S5960">
        <v>35</v>
      </c>
      <c r="T5960" s="1" t="s">
        <v>5416</v>
      </c>
      <c r="U5960" s="1" t="str">
        <f>HYPERLINK("http://ictvonline.org/taxonomy/p/taxonomy-history?taxnode_id=202103143","ICTVonline=202103143")</f>
        <v>ICTVonline=202103143</v>
      </c>
    </row>
    <row r="5961" spans="1:21" x14ac:dyDescent="0.2">
      <c r="A5961" s="3">
        <v>5960</v>
      </c>
      <c r="B5961" s="1" t="s">
        <v>4226</v>
      </c>
      <c r="D5961" s="1" t="s">
        <v>5412</v>
      </c>
      <c r="F5961" s="1" t="s">
        <v>5430</v>
      </c>
      <c r="H5961" s="1" t="s">
        <v>5453</v>
      </c>
      <c r="J5961" s="1" t="s">
        <v>5454</v>
      </c>
      <c r="L5961" s="1" t="s">
        <v>1038</v>
      </c>
      <c r="N5961" s="1" t="s">
        <v>2079</v>
      </c>
      <c r="P5961" s="1" t="s">
        <v>3347</v>
      </c>
      <c r="Q5961" s="30" t="s">
        <v>2567</v>
      </c>
      <c r="R5961" s="33" t="s">
        <v>3474</v>
      </c>
      <c r="S5961">
        <v>35</v>
      </c>
      <c r="T5961" s="1" t="s">
        <v>5416</v>
      </c>
      <c r="U5961" s="1" t="str">
        <f>HYPERLINK("http://ictvonline.org/taxonomy/p/taxonomy-history?taxnode_id=202103144","ICTVonline=202103144")</f>
        <v>ICTVonline=202103144</v>
      </c>
    </row>
    <row r="5962" spans="1:21" x14ac:dyDescent="0.2">
      <c r="A5962" s="3">
        <v>5961</v>
      </c>
      <c r="B5962" s="1" t="s">
        <v>4226</v>
      </c>
      <c r="D5962" s="1" t="s">
        <v>5412</v>
      </c>
      <c r="F5962" s="1" t="s">
        <v>5430</v>
      </c>
      <c r="H5962" s="1" t="s">
        <v>5453</v>
      </c>
      <c r="J5962" s="1" t="s">
        <v>5454</v>
      </c>
      <c r="L5962" s="1" t="s">
        <v>1038</v>
      </c>
      <c r="N5962" s="1" t="s">
        <v>2079</v>
      </c>
      <c r="P5962" s="1" t="s">
        <v>3348</v>
      </c>
      <c r="Q5962" s="30" t="s">
        <v>2567</v>
      </c>
      <c r="R5962" s="33" t="s">
        <v>3474</v>
      </c>
      <c r="S5962">
        <v>35</v>
      </c>
      <c r="T5962" s="1" t="s">
        <v>5416</v>
      </c>
      <c r="U5962" s="1" t="str">
        <f>HYPERLINK("http://ictvonline.org/taxonomy/p/taxonomy-history?taxnode_id=202103145","ICTVonline=202103145")</f>
        <v>ICTVonline=202103145</v>
      </c>
    </row>
    <row r="5963" spans="1:21" x14ac:dyDescent="0.2">
      <c r="A5963" s="3">
        <v>5962</v>
      </c>
      <c r="B5963" s="1" t="s">
        <v>4226</v>
      </c>
      <c r="D5963" s="1" t="s">
        <v>5412</v>
      </c>
      <c r="F5963" s="1" t="s">
        <v>5430</v>
      </c>
      <c r="H5963" s="1" t="s">
        <v>5453</v>
      </c>
      <c r="J5963" s="1" t="s">
        <v>5454</v>
      </c>
      <c r="L5963" s="1" t="s">
        <v>1038</v>
      </c>
      <c r="N5963" s="1" t="s">
        <v>2079</v>
      </c>
      <c r="P5963" s="1" t="s">
        <v>3349</v>
      </c>
      <c r="Q5963" s="30" t="s">
        <v>2567</v>
      </c>
      <c r="R5963" s="33" t="s">
        <v>3474</v>
      </c>
      <c r="S5963">
        <v>35</v>
      </c>
      <c r="T5963" s="1" t="s">
        <v>5416</v>
      </c>
      <c r="U5963" s="1" t="str">
        <f>HYPERLINK("http://ictvonline.org/taxonomy/p/taxonomy-history?taxnode_id=202103146","ICTVonline=202103146")</f>
        <v>ICTVonline=202103146</v>
      </c>
    </row>
    <row r="5964" spans="1:21" x14ac:dyDescent="0.2">
      <c r="A5964" s="3">
        <v>5963</v>
      </c>
      <c r="B5964" s="1" t="s">
        <v>4226</v>
      </c>
      <c r="D5964" s="1" t="s">
        <v>5412</v>
      </c>
      <c r="F5964" s="1" t="s">
        <v>5430</v>
      </c>
      <c r="H5964" s="1" t="s">
        <v>5453</v>
      </c>
      <c r="J5964" s="1" t="s">
        <v>5454</v>
      </c>
      <c r="L5964" s="1" t="s">
        <v>1038</v>
      </c>
      <c r="N5964" s="1" t="s">
        <v>2079</v>
      </c>
      <c r="P5964" s="1" t="s">
        <v>3350</v>
      </c>
      <c r="Q5964" s="30" t="s">
        <v>2567</v>
      </c>
      <c r="R5964" s="33" t="s">
        <v>3474</v>
      </c>
      <c r="S5964">
        <v>35</v>
      </c>
      <c r="T5964" s="1" t="s">
        <v>5416</v>
      </c>
      <c r="U5964" s="1" t="str">
        <f>HYPERLINK("http://ictvonline.org/taxonomy/p/taxonomy-history?taxnode_id=202103147","ICTVonline=202103147")</f>
        <v>ICTVonline=202103147</v>
      </c>
    </row>
    <row r="5965" spans="1:21" x14ac:dyDescent="0.2">
      <c r="A5965" s="3">
        <v>5964</v>
      </c>
      <c r="B5965" s="1" t="s">
        <v>4226</v>
      </c>
      <c r="D5965" s="1" t="s">
        <v>5412</v>
      </c>
      <c r="F5965" s="1" t="s">
        <v>5430</v>
      </c>
      <c r="H5965" s="1" t="s">
        <v>5453</v>
      </c>
      <c r="J5965" s="1" t="s">
        <v>5454</v>
      </c>
      <c r="L5965" s="1" t="s">
        <v>1038</v>
      </c>
      <c r="N5965" s="1" t="s">
        <v>2079</v>
      </c>
      <c r="P5965" s="1" t="s">
        <v>3351</v>
      </c>
      <c r="Q5965" s="30" t="s">
        <v>2567</v>
      </c>
      <c r="R5965" s="33" t="s">
        <v>3474</v>
      </c>
      <c r="S5965">
        <v>35</v>
      </c>
      <c r="T5965" s="1" t="s">
        <v>5416</v>
      </c>
      <c r="U5965" s="1" t="str">
        <f>HYPERLINK("http://ictvonline.org/taxonomy/p/taxonomy-history?taxnode_id=202103148","ICTVonline=202103148")</f>
        <v>ICTVonline=202103148</v>
      </c>
    </row>
    <row r="5966" spans="1:21" x14ac:dyDescent="0.2">
      <c r="A5966" s="3">
        <v>5965</v>
      </c>
      <c r="B5966" s="1" t="s">
        <v>4226</v>
      </c>
      <c r="D5966" s="1" t="s">
        <v>5412</v>
      </c>
      <c r="F5966" s="1" t="s">
        <v>5430</v>
      </c>
      <c r="H5966" s="1" t="s">
        <v>5453</v>
      </c>
      <c r="J5966" s="1" t="s">
        <v>5454</v>
      </c>
      <c r="L5966" s="1" t="s">
        <v>1038</v>
      </c>
      <c r="N5966" s="1" t="s">
        <v>2079</v>
      </c>
      <c r="P5966" s="1" t="s">
        <v>3352</v>
      </c>
      <c r="Q5966" s="30" t="s">
        <v>2567</v>
      </c>
      <c r="R5966" s="33" t="s">
        <v>3474</v>
      </c>
      <c r="S5966">
        <v>35</v>
      </c>
      <c r="T5966" s="1" t="s">
        <v>5416</v>
      </c>
      <c r="U5966" s="1" t="str">
        <f>HYPERLINK("http://ictvonline.org/taxonomy/p/taxonomy-history?taxnode_id=202103149","ICTVonline=202103149")</f>
        <v>ICTVonline=202103149</v>
      </c>
    </row>
    <row r="5967" spans="1:21" x14ac:dyDescent="0.2">
      <c r="A5967" s="3">
        <v>5966</v>
      </c>
      <c r="B5967" s="1" t="s">
        <v>4226</v>
      </c>
      <c r="D5967" s="1" t="s">
        <v>5412</v>
      </c>
      <c r="F5967" s="1" t="s">
        <v>5430</v>
      </c>
      <c r="H5967" s="1" t="s">
        <v>5453</v>
      </c>
      <c r="J5967" s="1" t="s">
        <v>5454</v>
      </c>
      <c r="L5967" s="1" t="s">
        <v>1038</v>
      </c>
      <c r="N5967" s="1" t="s">
        <v>2079</v>
      </c>
      <c r="P5967" s="1" t="s">
        <v>3353</v>
      </c>
      <c r="Q5967" s="30" t="s">
        <v>2567</v>
      </c>
      <c r="R5967" s="33" t="s">
        <v>3474</v>
      </c>
      <c r="S5967">
        <v>35</v>
      </c>
      <c r="T5967" s="1" t="s">
        <v>5416</v>
      </c>
      <c r="U5967" s="1" t="str">
        <f>HYPERLINK("http://ictvonline.org/taxonomy/p/taxonomy-history?taxnode_id=202103150","ICTVonline=202103150")</f>
        <v>ICTVonline=202103150</v>
      </c>
    </row>
    <row r="5968" spans="1:21" x14ac:dyDescent="0.2">
      <c r="A5968" s="3">
        <v>5967</v>
      </c>
      <c r="B5968" s="1" t="s">
        <v>4226</v>
      </c>
      <c r="D5968" s="1" t="s">
        <v>5412</v>
      </c>
      <c r="F5968" s="1" t="s">
        <v>5430</v>
      </c>
      <c r="H5968" s="1" t="s">
        <v>5453</v>
      </c>
      <c r="J5968" s="1" t="s">
        <v>5454</v>
      </c>
      <c r="L5968" s="1" t="s">
        <v>1038</v>
      </c>
      <c r="N5968" s="1" t="s">
        <v>1095</v>
      </c>
      <c r="P5968" s="1" t="s">
        <v>3790</v>
      </c>
      <c r="Q5968" s="30" t="s">
        <v>2567</v>
      </c>
      <c r="R5968" s="33" t="s">
        <v>8665</v>
      </c>
      <c r="S5968">
        <v>36</v>
      </c>
      <c r="T5968" s="1" t="s">
        <v>8661</v>
      </c>
      <c r="U5968" s="1" t="str">
        <f>HYPERLINK("http://ictvonline.org/taxonomy/p/taxonomy-history?taxnode_id=202103153","ICTVonline=202103153")</f>
        <v>ICTVonline=202103153</v>
      </c>
    </row>
    <row r="5969" spans="1:21" x14ac:dyDescent="0.2">
      <c r="A5969" s="3">
        <v>5968</v>
      </c>
      <c r="B5969" s="1" t="s">
        <v>4226</v>
      </c>
      <c r="D5969" s="1" t="s">
        <v>5412</v>
      </c>
      <c r="F5969" s="1" t="s">
        <v>5430</v>
      </c>
      <c r="H5969" s="1" t="s">
        <v>5453</v>
      </c>
      <c r="J5969" s="1" t="s">
        <v>5454</v>
      </c>
      <c r="L5969" s="1" t="s">
        <v>1038</v>
      </c>
      <c r="N5969" s="1" t="s">
        <v>1095</v>
      </c>
      <c r="P5969" s="1" t="s">
        <v>3791</v>
      </c>
      <c r="Q5969" s="30" t="s">
        <v>2567</v>
      </c>
      <c r="R5969" s="33" t="s">
        <v>8665</v>
      </c>
      <c r="S5969">
        <v>36</v>
      </c>
      <c r="T5969" s="1" t="s">
        <v>8661</v>
      </c>
      <c r="U5969" s="1" t="str">
        <f>HYPERLINK("http://ictvonline.org/taxonomy/p/taxonomy-history?taxnode_id=202103154","ICTVonline=202103154")</f>
        <v>ICTVonline=202103154</v>
      </c>
    </row>
    <row r="5970" spans="1:21" x14ac:dyDescent="0.2">
      <c r="A5970" s="3">
        <v>5969</v>
      </c>
      <c r="B5970" s="1" t="s">
        <v>4226</v>
      </c>
      <c r="D5970" s="1" t="s">
        <v>5412</v>
      </c>
      <c r="F5970" s="1" t="s">
        <v>5430</v>
      </c>
      <c r="H5970" s="1" t="s">
        <v>5453</v>
      </c>
      <c r="J5970" s="1" t="s">
        <v>5454</v>
      </c>
      <c r="L5970" s="1" t="s">
        <v>1038</v>
      </c>
      <c r="N5970" s="1" t="s">
        <v>1095</v>
      </c>
      <c r="P5970" s="1" t="s">
        <v>3792</v>
      </c>
      <c r="Q5970" s="30" t="s">
        <v>2567</v>
      </c>
      <c r="R5970" s="33" t="s">
        <v>3474</v>
      </c>
      <c r="S5970">
        <v>35</v>
      </c>
      <c r="T5970" s="1" t="s">
        <v>5416</v>
      </c>
      <c r="U5970" s="1" t="str">
        <f>HYPERLINK("http://ictvonline.org/taxonomy/p/taxonomy-history?taxnode_id=202103155","ICTVonline=202103155")</f>
        <v>ICTVonline=202103155</v>
      </c>
    </row>
    <row r="5971" spans="1:21" x14ac:dyDescent="0.2">
      <c r="A5971" s="3">
        <v>5970</v>
      </c>
      <c r="B5971" s="1" t="s">
        <v>4226</v>
      </c>
      <c r="D5971" s="1" t="s">
        <v>5412</v>
      </c>
      <c r="F5971" s="1" t="s">
        <v>5430</v>
      </c>
      <c r="H5971" s="1" t="s">
        <v>5453</v>
      </c>
      <c r="J5971" s="1" t="s">
        <v>5454</v>
      </c>
      <c r="L5971" s="1" t="s">
        <v>1038</v>
      </c>
      <c r="N5971" s="1" t="s">
        <v>1095</v>
      </c>
      <c r="P5971" s="1" t="s">
        <v>3793</v>
      </c>
      <c r="Q5971" s="30" t="s">
        <v>2567</v>
      </c>
      <c r="R5971" s="33" t="s">
        <v>3474</v>
      </c>
      <c r="S5971">
        <v>35</v>
      </c>
      <c r="T5971" s="1" t="s">
        <v>5416</v>
      </c>
      <c r="U5971" s="1" t="str">
        <f>HYPERLINK("http://ictvonline.org/taxonomy/p/taxonomy-history?taxnode_id=202103152","ICTVonline=202103152")</f>
        <v>ICTVonline=202103152</v>
      </c>
    </row>
    <row r="5972" spans="1:21" x14ac:dyDescent="0.2">
      <c r="A5972" s="3">
        <v>5971</v>
      </c>
      <c r="B5972" s="1" t="s">
        <v>4226</v>
      </c>
      <c r="D5972" s="1" t="s">
        <v>5412</v>
      </c>
      <c r="F5972" s="1" t="s">
        <v>5430</v>
      </c>
      <c r="H5972" s="1" t="s">
        <v>5453</v>
      </c>
      <c r="J5972" s="1" t="s">
        <v>5454</v>
      </c>
      <c r="L5972" s="1" t="s">
        <v>1038</v>
      </c>
      <c r="N5972" s="1" t="s">
        <v>1095</v>
      </c>
      <c r="P5972" s="1" t="s">
        <v>3794</v>
      </c>
      <c r="Q5972" s="30" t="s">
        <v>2567</v>
      </c>
      <c r="R5972" s="33" t="s">
        <v>3474</v>
      </c>
      <c r="S5972">
        <v>35</v>
      </c>
      <c r="T5972" s="1" t="s">
        <v>5416</v>
      </c>
      <c r="U5972" s="1" t="str">
        <f>HYPERLINK("http://ictvonline.org/taxonomy/p/taxonomy-history?taxnode_id=202105780","ICTVonline=202105780")</f>
        <v>ICTVonline=202105780</v>
      </c>
    </row>
    <row r="5973" spans="1:21" x14ac:dyDescent="0.2">
      <c r="A5973" s="3">
        <v>5972</v>
      </c>
      <c r="B5973" s="1" t="s">
        <v>4226</v>
      </c>
      <c r="D5973" s="1" t="s">
        <v>5412</v>
      </c>
      <c r="F5973" s="1" t="s">
        <v>5430</v>
      </c>
      <c r="H5973" s="1" t="s">
        <v>5453</v>
      </c>
      <c r="J5973" s="1" t="s">
        <v>5454</v>
      </c>
      <c r="L5973" s="1" t="s">
        <v>1038</v>
      </c>
      <c r="N5973" s="1" t="s">
        <v>1095</v>
      </c>
      <c r="P5973" s="1" t="s">
        <v>3795</v>
      </c>
      <c r="Q5973" s="30" t="s">
        <v>2567</v>
      </c>
      <c r="R5973" s="33" t="s">
        <v>3474</v>
      </c>
      <c r="S5973">
        <v>35</v>
      </c>
      <c r="T5973" s="1" t="s">
        <v>5416</v>
      </c>
      <c r="U5973" s="1" t="str">
        <f>HYPERLINK("http://ictvonline.org/taxonomy/p/taxonomy-history?taxnode_id=202105781","ICTVonline=202105781")</f>
        <v>ICTVonline=202105781</v>
      </c>
    </row>
    <row r="5974" spans="1:21" x14ac:dyDescent="0.2">
      <c r="A5974" s="3">
        <v>5973</v>
      </c>
      <c r="B5974" s="1" t="s">
        <v>4226</v>
      </c>
      <c r="D5974" s="1" t="s">
        <v>5412</v>
      </c>
      <c r="F5974" s="1" t="s">
        <v>5430</v>
      </c>
      <c r="H5974" s="1" t="s">
        <v>5453</v>
      </c>
      <c r="J5974" s="1" t="s">
        <v>5454</v>
      </c>
      <c r="L5974" s="1" t="s">
        <v>1038</v>
      </c>
      <c r="N5974" s="1" t="s">
        <v>1095</v>
      </c>
      <c r="P5974" s="1" t="s">
        <v>3796</v>
      </c>
      <c r="Q5974" s="30" t="s">
        <v>2567</v>
      </c>
      <c r="R5974" s="33" t="s">
        <v>3474</v>
      </c>
      <c r="S5974">
        <v>35</v>
      </c>
      <c r="T5974" s="1" t="s">
        <v>5416</v>
      </c>
      <c r="U5974" s="1" t="str">
        <f>HYPERLINK("http://ictvonline.org/taxonomy/p/taxonomy-history?taxnode_id=202105782","ICTVonline=202105782")</f>
        <v>ICTVonline=202105782</v>
      </c>
    </row>
    <row r="5975" spans="1:21" x14ac:dyDescent="0.2">
      <c r="A5975" s="3">
        <v>5974</v>
      </c>
      <c r="B5975" s="1" t="s">
        <v>4226</v>
      </c>
      <c r="D5975" s="1" t="s">
        <v>5412</v>
      </c>
      <c r="F5975" s="1" t="s">
        <v>5430</v>
      </c>
      <c r="H5975" s="1" t="s">
        <v>5453</v>
      </c>
      <c r="J5975" s="1" t="s">
        <v>5454</v>
      </c>
      <c r="L5975" s="1" t="s">
        <v>1038</v>
      </c>
      <c r="N5975" s="1" t="s">
        <v>1095</v>
      </c>
      <c r="P5975" s="1" t="s">
        <v>3797</v>
      </c>
      <c r="Q5975" s="30" t="s">
        <v>2567</v>
      </c>
      <c r="R5975" s="33" t="s">
        <v>3474</v>
      </c>
      <c r="S5975">
        <v>35</v>
      </c>
      <c r="T5975" s="1" t="s">
        <v>5416</v>
      </c>
      <c r="U5975" s="1" t="str">
        <f>HYPERLINK("http://ictvonline.org/taxonomy/p/taxonomy-history?taxnode_id=202105783","ICTVonline=202105783")</f>
        <v>ICTVonline=202105783</v>
      </c>
    </row>
    <row r="5976" spans="1:21" x14ac:dyDescent="0.2">
      <c r="A5976" s="3">
        <v>5975</v>
      </c>
      <c r="B5976" s="1" t="s">
        <v>4226</v>
      </c>
      <c r="D5976" s="1" t="s">
        <v>5412</v>
      </c>
      <c r="F5976" s="1" t="s">
        <v>5430</v>
      </c>
      <c r="H5976" s="1" t="s">
        <v>5453</v>
      </c>
      <c r="J5976" s="1" t="s">
        <v>5454</v>
      </c>
      <c r="L5976" s="1" t="s">
        <v>1038</v>
      </c>
      <c r="N5976" s="1" t="s">
        <v>1095</v>
      </c>
      <c r="P5976" s="1" t="s">
        <v>3798</v>
      </c>
      <c r="Q5976" s="30" t="s">
        <v>2567</v>
      </c>
      <c r="R5976" s="33" t="s">
        <v>3474</v>
      </c>
      <c r="S5976">
        <v>35</v>
      </c>
      <c r="T5976" s="1" t="s">
        <v>5416</v>
      </c>
      <c r="U5976" s="1" t="str">
        <f>HYPERLINK("http://ictvonline.org/taxonomy/p/taxonomy-history?taxnode_id=202105784","ICTVonline=202105784")</f>
        <v>ICTVonline=202105784</v>
      </c>
    </row>
    <row r="5977" spans="1:21" x14ac:dyDescent="0.2">
      <c r="A5977" s="3">
        <v>5976</v>
      </c>
      <c r="B5977" s="1" t="s">
        <v>4226</v>
      </c>
      <c r="D5977" s="1" t="s">
        <v>5412</v>
      </c>
      <c r="F5977" s="1" t="s">
        <v>5430</v>
      </c>
      <c r="H5977" s="1" t="s">
        <v>5453</v>
      </c>
      <c r="J5977" s="1" t="s">
        <v>5454</v>
      </c>
      <c r="L5977" s="1" t="s">
        <v>1038</v>
      </c>
      <c r="N5977" s="1" t="s">
        <v>1095</v>
      </c>
      <c r="P5977" s="1" t="s">
        <v>3799</v>
      </c>
      <c r="Q5977" s="30" t="s">
        <v>2567</v>
      </c>
      <c r="R5977" s="33" t="s">
        <v>3474</v>
      </c>
      <c r="S5977">
        <v>35</v>
      </c>
      <c r="T5977" s="1" t="s">
        <v>5416</v>
      </c>
      <c r="U5977" s="1" t="str">
        <f>HYPERLINK("http://ictvonline.org/taxonomy/p/taxonomy-history?taxnode_id=202105785","ICTVonline=202105785")</f>
        <v>ICTVonline=202105785</v>
      </c>
    </row>
    <row r="5978" spans="1:21" x14ac:dyDescent="0.2">
      <c r="A5978" s="3">
        <v>5977</v>
      </c>
      <c r="B5978" s="1" t="s">
        <v>4226</v>
      </c>
      <c r="D5978" s="1" t="s">
        <v>5412</v>
      </c>
      <c r="F5978" s="1" t="s">
        <v>5430</v>
      </c>
      <c r="H5978" s="1" t="s">
        <v>5453</v>
      </c>
      <c r="J5978" s="1" t="s">
        <v>5454</v>
      </c>
      <c r="L5978" s="1" t="s">
        <v>1038</v>
      </c>
      <c r="N5978" s="1" t="s">
        <v>1095</v>
      </c>
      <c r="P5978" s="1" t="s">
        <v>3800</v>
      </c>
      <c r="Q5978" s="30" t="s">
        <v>2567</v>
      </c>
      <c r="R5978" s="33" t="s">
        <v>3474</v>
      </c>
      <c r="S5978">
        <v>35</v>
      </c>
      <c r="T5978" s="1" t="s">
        <v>5416</v>
      </c>
      <c r="U5978" s="1" t="str">
        <f>HYPERLINK("http://ictvonline.org/taxonomy/p/taxonomy-history?taxnode_id=202105786","ICTVonline=202105786")</f>
        <v>ICTVonline=202105786</v>
      </c>
    </row>
    <row r="5979" spans="1:21" x14ac:dyDescent="0.2">
      <c r="A5979" s="3">
        <v>5978</v>
      </c>
      <c r="B5979" s="1" t="s">
        <v>4226</v>
      </c>
      <c r="D5979" s="1" t="s">
        <v>5412</v>
      </c>
      <c r="F5979" s="1" t="s">
        <v>5430</v>
      </c>
      <c r="H5979" s="1" t="s">
        <v>5455</v>
      </c>
      <c r="J5979" s="1" t="s">
        <v>5456</v>
      </c>
      <c r="L5979" s="1" t="s">
        <v>1002</v>
      </c>
      <c r="N5979" s="1" t="s">
        <v>1003</v>
      </c>
      <c r="P5979" s="1" t="s">
        <v>1004</v>
      </c>
      <c r="Q5979" s="30" t="s">
        <v>2567</v>
      </c>
      <c r="R5979" s="33" t="s">
        <v>3474</v>
      </c>
      <c r="S5979">
        <v>35</v>
      </c>
      <c r="T5979" s="1" t="s">
        <v>5416</v>
      </c>
      <c r="U5979" s="1" t="str">
        <f>HYPERLINK("http://ictvonline.org/taxonomy/p/taxonomy-history?taxnode_id=202103926","ICTVonline=202103926")</f>
        <v>ICTVonline=202103926</v>
      </c>
    </row>
    <row r="5980" spans="1:21" x14ac:dyDescent="0.2">
      <c r="A5980" s="3">
        <v>5979</v>
      </c>
      <c r="B5980" s="1" t="s">
        <v>4226</v>
      </c>
      <c r="D5980" s="1" t="s">
        <v>5412</v>
      </c>
      <c r="F5980" s="1" t="s">
        <v>5430</v>
      </c>
      <c r="H5980" s="1" t="s">
        <v>5455</v>
      </c>
      <c r="J5980" s="1" t="s">
        <v>5456</v>
      </c>
      <c r="L5980" s="1" t="s">
        <v>1002</v>
      </c>
      <c r="N5980" s="1" t="s">
        <v>1003</v>
      </c>
      <c r="P5980" s="1" t="s">
        <v>1005</v>
      </c>
      <c r="Q5980" s="30" t="s">
        <v>2567</v>
      </c>
      <c r="R5980" s="33" t="s">
        <v>3474</v>
      </c>
      <c r="S5980">
        <v>35</v>
      </c>
      <c r="T5980" s="1" t="s">
        <v>5416</v>
      </c>
      <c r="U5980" s="1" t="str">
        <f>HYPERLINK("http://ictvonline.org/taxonomy/p/taxonomy-history?taxnode_id=202103927","ICTVonline=202103927")</f>
        <v>ICTVonline=202103927</v>
      </c>
    </row>
    <row r="5981" spans="1:21" x14ac:dyDescent="0.2">
      <c r="A5981" s="3">
        <v>5980</v>
      </c>
      <c r="B5981" s="1" t="s">
        <v>4226</v>
      </c>
      <c r="D5981" s="1" t="s">
        <v>5412</v>
      </c>
      <c r="F5981" s="1" t="s">
        <v>5430</v>
      </c>
      <c r="H5981" s="1" t="s">
        <v>5455</v>
      </c>
      <c r="J5981" s="1" t="s">
        <v>5456</v>
      </c>
      <c r="L5981" s="1" t="s">
        <v>1002</v>
      </c>
      <c r="N5981" s="1" t="s">
        <v>1003</v>
      </c>
      <c r="P5981" s="1" t="s">
        <v>1006</v>
      </c>
      <c r="Q5981" s="30" t="s">
        <v>2567</v>
      </c>
      <c r="R5981" s="33" t="s">
        <v>3474</v>
      </c>
      <c r="S5981">
        <v>35</v>
      </c>
      <c r="T5981" s="1" t="s">
        <v>5416</v>
      </c>
      <c r="U5981" s="1" t="str">
        <f>HYPERLINK("http://ictvonline.org/taxonomy/p/taxonomy-history?taxnode_id=202103928","ICTVonline=202103928")</f>
        <v>ICTVonline=202103928</v>
      </c>
    </row>
    <row r="5982" spans="1:21" x14ac:dyDescent="0.2">
      <c r="A5982" s="3">
        <v>5981</v>
      </c>
      <c r="B5982" s="1" t="s">
        <v>4226</v>
      </c>
      <c r="D5982" s="1" t="s">
        <v>5412</v>
      </c>
      <c r="F5982" s="1" t="s">
        <v>5430</v>
      </c>
      <c r="H5982" s="1" t="s">
        <v>5455</v>
      </c>
      <c r="J5982" s="1" t="s">
        <v>5456</v>
      </c>
      <c r="L5982" s="1" t="s">
        <v>1002</v>
      </c>
      <c r="N5982" s="1" t="s">
        <v>1003</v>
      </c>
      <c r="P5982" s="1" t="s">
        <v>1007</v>
      </c>
      <c r="Q5982" s="30" t="s">
        <v>2567</v>
      </c>
      <c r="R5982" s="33" t="s">
        <v>8665</v>
      </c>
      <c r="S5982">
        <v>36</v>
      </c>
      <c r="T5982" s="1" t="s">
        <v>8661</v>
      </c>
      <c r="U5982" s="1" t="str">
        <f>HYPERLINK("http://ictvonline.org/taxonomy/p/taxonomy-history?taxnode_id=202103929","ICTVonline=202103929")</f>
        <v>ICTVonline=202103929</v>
      </c>
    </row>
    <row r="5983" spans="1:21" x14ac:dyDescent="0.2">
      <c r="A5983" s="3">
        <v>5982</v>
      </c>
      <c r="B5983" s="1" t="s">
        <v>4226</v>
      </c>
      <c r="D5983" s="1" t="s">
        <v>5412</v>
      </c>
      <c r="F5983" s="1" t="s">
        <v>5430</v>
      </c>
      <c r="H5983" s="1" t="s">
        <v>5455</v>
      </c>
      <c r="J5983" s="1" t="s">
        <v>5456</v>
      </c>
      <c r="L5983" s="1" t="s">
        <v>1002</v>
      </c>
      <c r="N5983" s="1" t="s">
        <v>1003</v>
      </c>
      <c r="P5983" s="1" t="s">
        <v>1008</v>
      </c>
      <c r="Q5983" s="30" t="s">
        <v>2567</v>
      </c>
      <c r="R5983" s="33" t="s">
        <v>3474</v>
      </c>
      <c r="S5983">
        <v>35</v>
      </c>
      <c r="T5983" s="1" t="s">
        <v>5416</v>
      </c>
      <c r="U5983" s="1" t="str">
        <f>HYPERLINK("http://ictvonline.org/taxonomy/p/taxonomy-history?taxnode_id=202103930","ICTVonline=202103930")</f>
        <v>ICTVonline=202103930</v>
      </c>
    </row>
    <row r="5984" spans="1:21" x14ac:dyDescent="0.2">
      <c r="A5984" s="3">
        <v>5983</v>
      </c>
      <c r="B5984" s="1" t="s">
        <v>4226</v>
      </c>
      <c r="D5984" s="1" t="s">
        <v>5412</v>
      </c>
      <c r="F5984" s="1" t="s">
        <v>5430</v>
      </c>
      <c r="H5984" s="1" t="s">
        <v>5455</v>
      </c>
      <c r="J5984" s="1" t="s">
        <v>5456</v>
      </c>
      <c r="L5984" s="1" t="s">
        <v>1002</v>
      </c>
      <c r="N5984" s="1" t="s">
        <v>1009</v>
      </c>
      <c r="P5984" s="1" t="s">
        <v>1010</v>
      </c>
      <c r="Q5984" s="30" t="s">
        <v>2567</v>
      </c>
      <c r="R5984" s="33" t="s">
        <v>3474</v>
      </c>
      <c r="S5984">
        <v>35</v>
      </c>
      <c r="T5984" s="1" t="s">
        <v>5416</v>
      </c>
      <c r="U5984" s="1" t="str">
        <f>HYPERLINK("http://ictvonline.org/taxonomy/p/taxonomy-history?taxnode_id=202103932","ICTVonline=202103932")</f>
        <v>ICTVonline=202103932</v>
      </c>
    </row>
    <row r="5985" spans="1:21" x14ac:dyDescent="0.2">
      <c r="A5985" s="3">
        <v>5984</v>
      </c>
      <c r="B5985" s="1" t="s">
        <v>4226</v>
      </c>
      <c r="D5985" s="1" t="s">
        <v>5412</v>
      </c>
      <c r="F5985" s="1" t="s">
        <v>5430</v>
      </c>
      <c r="H5985" s="1" t="s">
        <v>5455</v>
      </c>
      <c r="J5985" s="1" t="s">
        <v>5456</v>
      </c>
      <c r="L5985" s="1" t="s">
        <v>1002</v>
      </c>
      <c r="N5985" s="1" t="s">
        <v>1009</v>
      </c>
      <c r="P5985" s="1" t="s">
        <v>1507</v>
      </c>
      <c r="Q5985" s="30" t="s">
        <v>2567</v>
      </c>
      <c r="R5985" s="33" t="s">
        <v>3474</v>
      </c>
      <c r="S5985">
        <v>35</v>
      </c>
      <c r="T5985" s="1" t="s">
        <v>5416</v>
      </c>
      <c r="U5985" s="1" t="str">
        <f>HYPERLINK("http://ictvonline.org/taxonomy/p/taxonomy-history?taxnode_id=202103933","ICTVonline=202103933")</f>
        <v>ICTVonline=202103933</v>
      </c>
    </row>
    <row r="5986" spans="1:21" x14ac:dyDescent="0.2">
      <c r="A5986" s="3">
        <v>5985</v>
      </c>
      <c r="B5986" s="1" t="s">
        <v>4226</v>
      </c>
      <c r="D5986" s="1" t="s">
        <v>5412</v>
      </c>
      <c r="F5986" s="1" t="s">
        <v>5430</v>
      </c>
      <c r="H5986" s="1" t="s">
        <v>5455</v>
      </c>
      <c r="J5986" s="1" t="s">
        <v>5456</v>
      </c>
      <c r="L5986" s="1" t="s">
        <v>1002</v>
      </c>
      <c r="N5986" s="1" t="s">
        <v>1009</v>
      </c>
      <c r="P5986" s="1" t="s">
        <v>1508</v>
      </c>
      <c r="Q5986" s="30" t="s">
        <v>2567</v>
      </c>
      <c r="R5986" s="33" t="s">
        <v>8665</v>
      </c>
      <c r="S5986">
        <v>36</v>
      </c>
      <c r="T5986" s="1" t="s">
        <v>8661</v>
      </c>
      <c r="U5986" s="1" t="str">
        <f>HYPERLINK("http://ictvonline.org/taxonomy/p/taxonomy-history?taxnode_id=202103934","ICTVonline=202103934")</f>
        <v>ICTVonline=202103934</v>
      </c>
    </row>
    <row r="5987" spans="1:21" x14ac:dyDescent="0.2">
      <c r="A5987" s="3">
        <v>5986</v>
      </c>
      <c r="B5987" s="1" t="s">
        <v>4226</v>
      </c>
      <c r="D5987" s="1" t="s">
        <v>5412</v>
      </c>
      <c r="F5987" s="1" t="s">
        <v>5430</v>
      </c>
      <c r="H5987" s="1" t="s">
        <v>5455</v>
      </c>
      <c r="J5987" s="1" t="s">
        <v>5456</v>
      </c>
      <c r="L5987" s="1" t="s">
        <v>1002</v>
      </c>
      <c r="N5987" s="1" t="s">
        <v>1009</v>
      </c>
      <c r="P5987" s="1" t="s">
        <v>1509</v>
      </c>
      <c r="Q5987" s="30" t="s">
        <v>2567</v>
      </c>
      <c r="R5987" s="33" t="s">
        <v>3474</v>
      </c>
      <c r="S5987">
        <v>35</v>
      </c>
      <c r="T5987" s="1" t="s">
        <v>5416</v>
      </c>
      <c r="U5987" s="1" t="str">
        <f>HYPERLINK("http://ictvonline.org/taxonomy/p/taxonomy-history?taxnode_id=202103935","ICTVonline=202103935")</f>
        <v>ICTVonline=202103935</v>
      </c>
    </row>
    <row r="5988" spans="1:21" x14ac:dyDescent="0.2">
      <c r="A5988" s="3">
        <v>5987</v>
      </c>
      <c r="B5988" s="1" t="s">
        <v>4226</v>
      </c>
      <c r="D5988" s="1" t="s">
        <v>5412</v>
      </c>
      <c r="F5988" s="1" t="s">
        <v>5430</v>
      </c>
      <c r="H5988" s="1" t="s">
        <v>5455</v>
      </c>
      <c r="J5988" s="1" t="s">
        <v>5456</v>
      </c>
      <c r="L5988" s="1" t="s">
        <v>5457</v>
      </c>
      <c r="N5988" s="1" t="s">
        <v>3048</v>
      </c>
      <c r="P5988" s="1" t="s">
        <v>3049</v>
      </c>
      <c r="Q5988" s="30" t="s">
        <v>2567</v>
      </c>
      <c r="R5988" s="33" t="s">
        <v>3474</v>
      </c>
      <c r="S5988">
        <v>35</v>
      </c>
      <c r="T5988" s="1" t="s">
        <v>5416</v>
      </c>
      <c r="U5988" s="1" t="str">
        <f>HYPERLINK("http://ictvonline.org/taxonomy/p/taxonomy-history?taxnode_id=202105368","ICTVonline=202105368")</f>
        <v>ICTVonline=202105368</v>
      </c>
    </row>
    <row r="5989" spans="1:21" x14ac:dyDescent="0.2">
      <c r="A5989" s="3">
        <v>5988</v>
      </c>
      <c r="B5989" s="1" t="s">
        <v>4226</v>
      </c>
      <c r="D5989" s="1" t="s">
        <v>5412</v>
      </c>
      <c r="F5989" s="1" t="s">
        <v>5430</v>
      </c>
      <c r="H5989" s="1" t="s">
        <v>5455</v>
      </c>
      <c r="J5989" s="1" t="s">
        <v>5456</v>
      </c>
      <c r="L5989" s="1" t="s">
        <v>5457</v>
      </c>
      <c r="N5989" s="1" t="s">
        <v>3048</v>
      </c>
      <c r="P5989" s="1" t="s">
        <v>3050</v>
      </c>
      <c r="Q5989" s="30" t="s">
        <v>2567</v>
      </c>
      <c r="R5989" s="33" t="s">
        <v>8665</v>
      </c>
      <c r="S5989">
        <v>36</v>
      </c>
      <c r="T5989" s="1" t="s">
        <v>8661</v>
      </c>
      <c r="U5989" s="1" t="str">
        <f>HYPERLINK("http://ictvonline.org/taxonomy/p/taxonomy-history?taxnode_id=202105369","ICTVonline=202105369")</f>
        <v>ICTVonline=202105369</v>
      </c>
    </row>
    <row r="5990" spans="1:21" x14ac:dyDescent="0.2">
      <c r="A5990" s="3">
        <v>5989</v>
      </c>
      <c r="B5990" s="1" t="s">
        <v>4226</v>
      </c>
      <c r="D5990" s="1" t="s">
        <v>5412</v>
      </c>
      <c r="F5990" s="1" t="s">
        <v>5430</v>
      </c>
      <c r="H5990" s="1" t="s">
        <v>5458</v>
      </c>
      <c r="J5990" s="1" t="s">
        <v>5459</v>
      </c>
      <c r="L5990" s="1" t="s">
        <v>70</v>
      </c>
      <c r="N5990" s="1" t="s">
        <v>71</v>
      </c>
      <c r="P5990" s="1" t="s">
        <v>1462</v>
      </c>
      <c r="Q5990" s="30" t="s">
        <v>2567</v>
      </c>
      <c r="R5990" s="33" t="s">
        <v>8665</v>
      </c>
      <c r="S5990">
        <v>36</v>
      </c>
      <c r="T5990" s="1" t="s">
        <v>8661</v>
      </c>
      <c r="U5990" s="1" t="str">
        <f>HYPERLINK("http://ictvonline.org/taxonomy/p/taxonomy-history?taxnode_id=202102815","ICTVonline=202102815")</f>
        <v>ICTVonline=202102815</v>
      </c>
    </row>
    <row r="5991" spans="1:21" x14ac:dyDescent="0.2">
      <c r="A5991" s="3">
        <v>5990</v>
      </c>
      <c r="B5991" s="1" t="s">
        <v>4226</v>
      </c>
      <c r="D5991" s="1" t="s">
        <v>5412</v>
      </c>
      <c r="F5991" s="1" t="s">
        <v>5430</v>
      </c>
      <c r="H5991" s="1" t="s">
        <v>5458</v>
      </c>
      <c r="J5991" s="1" t="s">
        <v>5459</v>
      </c>
      <c r="L5991" s="1" t="s">
        <v>739</v>
      </c>
      <c r="M5991" s="1" t="s">
        <v>4489</v>
      </c>
      <c r="N5991" s="1" t="s">
        <v>1596</v>
      </c>
      <c r="P5991" s="1" t="s">
        <v>1597</v>
      </c>
      <c r="Q5991" s="30" t="s">
        <v>2567</v>
      </c>
      <c r="R5991" s="33" t="s">
        <v>3474</v>
      </c>
      <c r="S5991">
        <v>35</v>
      </c>
      <c r="T5991" s="1" t="s">
        <v>5416</v>
      </c>
      <c r="U5991" s="1" t="str">
        <f>HYPERLINK("http://ictvonline.org/taxonomy/p/taxonomy-history?taxnode_id=202105267","ICTVonline=202105267")</f>
        <v>ICTVonline=202105267</v>
      </c>
    </row>
    <row r="5992" spans="1:21" x14ac:dyDescent="0.2">
      <c r="A5992" s="3">
        <v>5991</v>
      </c>
      <c r="B5992" s="1" t="s">
        <v>4226</v>
      </c>
      <c r="D5992" s="1" t="s">
        <v>5412</v>
      </c>
      <c r="F5992" s="1" t="s">
        <v>5430</v>
      </c>
      <c r="H5992" s="1" t="s">
        <v>5458</v>
      </c>
      <c r="J5992" s="1" t="s">
        <v>5459</v>
      </c>
      <c r="L5992" s="1" t="s">
        <v>739</v>
      </c>
      <c r="M5992" s="1" t="s">
        <v>4489</v>
      </c>
      <c r="N5992" s="1" t="s">
        <v>1596</v>
      </c>
      <c r="P5992" s="1" t="s">
        <v>1026</v>
      </c>
      <c r="Q5992" s="30" t="s">
        <v>2567</v>
      </c>
      <c r="R5992" s="33" t="s">
        <v>8665</v>
      </c>
      <c r="S5992">
        <v>36</v>
      </c>
      <c r="T5992" s="1" t="s">
        <v>8661</v>
      </c>
      <c r="U5992" s="1" t="str">
        <f>HYPERLINK("http://ictvonline.org/taxonomy/p/taxonomy-history?taxnode_id=202105268","ICTVonline=202105268")</f>
        <v>ICTVonline=202105268</v>
      </c>
    </row>
    <row r="5993" spans="1:21" x14ac:dyDescent="0.2">
      <c r="A5993" s="3">
        <v>5992</v>
      </c>
      <c r="B5993" s="1" t="s">
        <v>4226</v>
      </c>
      <c r="D5993" s="1" t="s">
        <v>5412</v>
      </c>
      <c r="F5993" s="1" t="s">
        <v>5430</v>
      </c>
      <c r="H5993" s="1" t="s">
        <v>5458</v>
      </c>
      <c r="J5993" s="1" t="s">
        <v>5459</v>
      </c>
      <c r="L5993" s="1" t="s">
        <v>739</v>
      </c>
      <c r="M5993" s="1" t="s">
        <v>4489</v>
      </c>
      <c r="N5993" s="1" t="s">
        <v>1596</v>
      </c>
      <c r="P5993" s="1" t="s">
        <v>3463</v>
      </c>
      <c r="Q5993" s="30" t="s">
        <v>2567</v>
      </c>
      <c r="R5993" s="33" t="s">
        <v>3474</v>
      </c>
      <c r="S5993">
        <v>35</v>
      </c>
      <c r="T5993" s="1" t="s">
        <v>5416</v>
      </c>
      <c r="U5993" s="1" t="str">
        <f>HYPERLINK("http://ictvonline.org/taxonomy/p/taxonomy-history?taxnode_id=202105269","ICTVonline=202105269")</f>
        <v>ICTVonline=202105269</v>
      </c>
    </row>
    <row r="5994" spans="1:21" x14ac:dyDescent="0.2">
      <c r="A5994" s="3">
        <v>5993</v>
      </c>
      <c r="B5994" s="1" t="s">
        <v>4226</v>
      </c>
      <c r="D5994" s="1" t="s">
        <v>5412</v>
      </c>
      <c r="F5994" s="1" t="s">
        <v>5430</v>
      </c>
      <c r="H5994" s="1" t="s">
        <v>5458</v>
      </c>
      <c r="J5994" s="1" t="s">
        <v>5459</v>
      </c>
      <c r="L5994" s="1" t="s">
        <v>739</v>
      </c>
      <c r="M5994" s="1" t="s">
        <v>4489</v>
      </c>
      <c r="N5994" s="1" t="s">
        <v>1596</v>
      </c>
      <c r="P5994" s="1" t="s">
        <v>1027</v>
      </c>
      <c r="Q5994" s="30" t="s">
        <v>2567</v>
      </c>
      <c r="R5994" s="33" t="s">
        <v>3474</v>
      </c>
      <c r="S5994">
        <v>35</v>
      </c>
      <c r="T5994" s="1" t="s">
        <v>5416</v>
      </c>
      <c r="U5994" s="1" t="str">
        <f>HYPERLINK("http://ictvonline.org/taxonomy/p/taxonomy-history?taxnode_id=202105270","ICTVonline=202105270")</f>
        <v>ICTVonline=202105270</v>
      </c>
    </row>
    <row r="5995" spans="1:21" x14ac:dyDescent="0.2">
      <c r="A5995" s="3">
        <v>5994</v>
      </c>
      <c r="B5995" s="1" t="s">
        <v>4226</v>
      </c>
      <c r="D5995" s="1" t="s">
        <v>5412</v>
      </c>
      <c r="F5995" s="1" t="s">
        <v>5430</v>
      </c>
      <c r="H5995" s="1" t="s">
        <v>5458</v>
      </c>
      <c r="J5995" s="1" t="s">
        <v>5459</v>
      </c>
      <c r="L5995" s="1" t="s">
        <v>739</v>
      </c>
      <c r="M5995" s="1" t="s">
        <v>4489</v>
      </c>
      <c r="N5995" s="1" t="s">
        <v>1596</v>
      </c>
      <c r="P5995" s="1" t="s">
        <v>6718</v>
      </c>
      <c r="Q5995" s="30" t="s">
        <v>2567</v>
      </c>
      <c r="R5995" s="33" t="s">
        <v>3472</v>
      </c>
      <c r="S5995">
        <v>36</v>
      </c>
      <c r="T5995" s="1" t="s">
        <v>6719</v>
      </c>
      <c r="U5995" s="1" t="str">
        <f>HYPERLINK("http://ictvonline.org/taxonomy/p/taxonomy-history?taxnode_id=202109878","ICTVonline=202109878")</f>
        <v>ICTVonline=202109878</v>
      </c>
    </row>
    <row r="5996" spans="1:21" x14ac:dyDescent="0.2">
      <c r="A5996" s="3">
        <v>5995</v>
      </c>
      <c r="B5996" s="1" t="s">
        <v>4226</v>
      </c>
      <c r="D5996" s="1" t="s">
        <v>5412</v>
      </c>
      <c r="F5996" s="1" t="s">
        <v>5430</v>
      </c>
      <c r="H5996" s="1" t="s">
        <v>5458</v>
      </c>
      <c r="J5996" s="1" t="s">
        <v>5459</v>
      </c>
      <c r="L5996" s="1" t="s">
        <v>739</v>
      </c>
      <c r="M5996" s="1" t="s">
        <v>4489</v>
      </c>
      <c r="N5996" s="1" t="s">
        <v>1596</v>
      </c>
      <c r="P5996" s="1" t="s">
        <v>1516</v>
      </c>
      <c r="Q5996" s="30" t="s">
        <v>2567</v>
      </c>
      <c r="R5996" s="33" t="s">
        <v>3474</v>
      </c>
      <c r="S5996">
        <v>35</v>
      </c>
      <c r="T5996" s="1" t="s">
        <v>5416</v>
      </c>
      <c r="U5996" s="1" t="str">
        <f>HYPERLINK("http://ictvonline.org/taxonomy/p/taxonomy-history?taxnode_id=202105271","ICTVonline=202105271")</f>
        <v>ICTVonline=202105271</v>
      </c>
    </row>
    <row r="5997" spans="1:21" x14ac:dyDescent="0.2">
      <c r="A5997" s="3">
        <v>5996</v>
      </c>
      <c r="B5997" s="1" t="s">
        <v>4226</v>
      </c>
      <c r="D5997" s="1" t="s">
        <v>5412</v>
      </c>
      <c r="F5997" s="1" t="s">
        <v>5430</v>
      </c>
      <c r="H5997" s="1" t="s">
        <v>5458</v>
      </c>
      <c r="J5997" s="1" t="s">
        <v>5459</v>
      </c>
      <c r="L5997" s="1" t="s">
        <v>739</v>
      </c>
      <c r="M5997" s="1" t="s">
        <v>4489</v>
      </c>
      <c r="N5997" s="1" t="s">
        <v>1596</v>
      </c>
      <c r="P5997" s="1" t="s">
        <v>3464</v>
      </c>
      <c r="Q5997" s="30" t="s">
        <v>2567</v>
      </c>
      <c r="R5997" s="33" t="s">
        <v>3474</v>
      </c>
      <c r="S5997">
        <v>35</v>
      </c>
      <c r="T5997" s="1" t="s">
        <v>5416</v>
      </c>
      <c r="U5997" s="1" t="str">
        <f>HYPERLINK("http://ictvonline.org/taxonomy/p/taxonomy-history?taxnode_id=202105272","ICTVonline=202105272")</f>
        <v>ICTVonline=202105272</v>
      </c>
    </row>
    <row r="5998" spans="1:21" x14ac:dyDescent="0.2">
      <c r="A5998" s="3">
        <v>5997</v>
      </c>
      <c r="B5998" s="1" t="s">
        <v>4226</v>
      </c>
      <c r="D5998" s="1" t="s">
        <v>5412</v>
      </c>
      <c r="F5998" s="1" t="s">
        <v>5430</v>
      </c>
      <c r="H5998" s="1" t="s">
        <v>5458</v>
      </c>
      <c r="J5998" s="1" t="s">
        <v>5459</v>
      </c>
      <c r="L5998" s="1" t="s">
        <v>739</v>
      </c>
      <c r="M5998" s="1" t="s">
        <v>4489</v>
      </c>
      <c r="N5998" s="1" t="s">
        <v>1596</v>
      </c>
      <c r="P5998" s="1" t="s">
        <v>6720</v>
      </c>
      <c r="Q5998" s="30" t="s">
        <v>2567</v>
      </c>
      <c r="R5998" s="33" t="s">
        <v>3472</v>
      </c>
      <c r="S5998">
        <v>36</v>
      </c>
      <c r="T5998" s="1" t="s">
        <v>6719</v>
      </c>
      <c r="U5998" s="1" t="str">
        <f>HYPERLINK("http://ictvonline.org/taxonomy/p/taxonomy-history?taxnode_id=202109879","ICTVonline=202109879")</f>
        <v>ICTVonline=202109879</v>
      </c>
    </row>
    <row r="5999" spans="1:21" x14ac:dyDescent="0.2">
      <c r="A5999" s="3">
        <v>5998</v>
      </c>
      <c r="B5999" s="1" t="s">
        <v>4226</v>
      </c>
      <c r="D5999" s="1" t="s">
        <v>5412</v>
      </c>
      <c r="F5999" s="1" t="s">
        <v>5430</v>
      </c>
      <c r="H5999" s="1" t="s">
        <v>5458</v>
      </c>
      <c r="J5999" s="1" t="s">
        <v>5459</v>
      </c>
      <c r="L5999" s="1" t="s">
        <v>739</v>
      </c>
      <c r="M5999" s="1" t="s">
        <v>4489</v>
      </c>
      <c r="N5999" s="1" t="s">
        <v>1596</v>
      </c>
      <c r="P5999" s="1" t="s">
        <v>2457</v>
      </c>
      <c r="Q5999" s="30" t="s">
        <v>2567</v>
      </c>
      <c r="R5999" s="33" t="s">
        <v>8660</v>
      </c>
      <c r="S5999">
        <v>36</v>
      </c>
      <c r="T5999" s="1" t="s">
        <v>8661</v>
      </c>
      <c r="U5999" s="1" t="str">
        <f>HYPERLINK("http://ictvonline.org/taxonomy/p/taxonomy-history?taxnode_id=202105273","ICTVonline=202105273")</f>
        <v>ICTVonline=202105273</v>
      </c>
    </row>
    <row r="6000" spans="1:21" x14ac:dyDescent="0.2">
      <c r="A6000" s="3">
        <v>5999</v>
      </c>
      <c r="B6000" s="1" t="s">
        <v>4226</v>
      </c>
      <c r="D6000" s="1" t="s">
        <v>5412</v>
      </c>
      <c r="F6000" s="1" t="s">
        <v>5430</v>
      </c>
      <c r="H6000" s="1" t="s">
        <v>5458</v>
      </c>
      <c r="J6000" s="1" t="s">
        <v>5459</v>
      </c>
      <c r="L6000" s="1" t="s">
        <v>739</v>
      </c>
      <c r="M6000" s="1" t="s">
        <v>4489</v>
      </c>
      <c r="N6000" s="1" t="s">
        <v>1596</v>
      </c>
      <c r="P6000" s="1" t="s">
        <v>1029</v>
      </c>
      <c r="Q6000" s="30" t="s">
        <v>2567</v>
      </c>
      <c r="R6000" s="33" t="s">
        <v>3474</v>
      </c>
      <c r="S6000">
        <v>35</v>
      </c>
      <c r="T6000" s="1" t="s">
        <v>5416</v>
      </c>
      <c r="U6000" s="1" t="str">
        <f>HYPERLINK("http://ictvonline.org/taxonomy/p/taxonomy-history?taxnode_id=202105274","ICTVonline=202105274")</f>
        <v>ICTVonline=202105274</v>
      </c>
    </row>
    <row r="6001" spans="1:21" x14ac:dyDescent="0.2">
      <c r="A6001" s="3">
        <v>6000</v>
      </c>
      <c r="B6001" s="1" t="s">
        <v>4226</v>
      </c>
      <c r="D6001" s="1" t="s">
        <v>5412</v>
      </c>
      <c r="F6001" s="1" t="s">
        <v>5430</v>
      </c>
      <c r="H6001" s="1" t="s">
        <v>5458</v>
      </c>
      <c r="J6001" s="1" t="s">
        <v>5459</v>
      </c>
      <c r="L6001" s="1" t="s">
        <v>739</v>
      </c>
      <c r="M6001" s="1" t="s">
        <v>4489</v>
      </c>
      <c r="N6001" s="1" t="s">
        <v>1596</v>
      </c>
      <c r="P6001" s="1" t="s">
        <v>954</v>
      </c>
      <c r="Q6001" s="30" t="s">
        <v>2567</v>
      </c>
      <c r="R6001" s="33" t="s">
        <v>3474</v>
      </c>
      <c r="S6001">
        <v>35</v>
      </c>
      <c r="T6001" s="1" t="s">
        <v>5416</v>
      </c>
      <c r="U6001" s="1" t="str">
        <f>HYPERLINK("http://ictvonline.org/taxonomy/p/taxonomy-history?taxnode_id=202105275","ICTVonline=202105275")</f>
        <v>ICTVonline=202105275</v>
      </c>
    </row>
    <row r="6002" spans="1:21" x14ac:dyDescent="0.2">
      <c r="A6002" s="3">
        <v>6001</v>
      </c>
      <c r="B6002" s="1" t="s">
        <v>4226</v>
      </c>
      <c r="D6002" s="1" t="s">
        <v>5412</v>
      </c>
      <c r="F6002" s="1" t="s">
        <v>5430</v>
      </c>
      <c r="H6002" s="1" t="s">
        <v>5458</v>
      </c>
      <c r="J6002" s="1" t="s">
        <v>5459</v>
      </c>
      <c r="L6002" s="1" t="s">
        <v>739</v>
      </c>
      <c r="M6002" s="1" t="s">
        <v>4490</v>
      </c>
      <c r="N6002" s="1" t="s">
        <v>3033</v>
      </c>
      <c r="P6002" s="1" t="s">
        <v>6722</v>
      </c>
      <c r="Q6002" s="30" t="s">
        <v>2567</v>
      </c>
      <c r="R6002" s="33" t="s">
        <v>3472</v>
      </c>
      <c r="S6002">
        <v>36</v>
      </c>
      <c r="T6002" s="1" t="s">
        <v>6723</v>
      </c>
      <c r="U6002" s="1" t="str">
        <f>HYPERLINK("http://ictvonline.org/taxonomy/p/taxonomy-history?taxnode_id=202109897","ICTVonline=202109897")</f>
        <v>ICTVonline=202109897</v>
      </c>
    </row>
    <row r="6003" spans="1:21" x14ac:dyDescent="0.2">
      <c r="A6003" s="3">
        <v>6002</v>
      </c>
      <c r="B6003" s="1" t="s">
        <v>4226</v>
      </c>
      <c r="D6003" s="1" t="s">
        <v>5412</v>
      </c>
      <c r="F6003" s="1" t="s">
        <v>5430</v>
      </c>
      <c r="H6003" s="1" t="s">
        <v>5458</v>
      </c>
      <c r="J6003" s="1" t="s">
        <v>5459</v>
      </c>
      <c r="L6003" s="1" t="s">
        <v>739</v>
      </c>
      <c r="M6003" s="1" t="s">
        <v>4490</v>
      </c>
      <c r="N6003" s="1" t="s">
        <v>3033</v>
      </c>
      <c r="P6003" s="1" t="s">
        <v>746</v>
      </c>
      <c r="Q6003" s="30" t="s">
        <v>2567</v>
      </c>
      <c r="R6003" s="33" t="s">
        <v>3474</v>
      </c>
      <c r="S6003">
        <v>35</v>
      </c>
      <c r="T6003" s="1" t="s">
        <v>5416</v>
      </c>
      <c r="U6003" s="1" t="str">
        <f>HYPERLINK("http://ictvonline.org/taxonomy/p/taxonomy-history?taxnode_id=202105195","ICTVonline=202105195")</f>
        <v>ICTVonline=202105195</v>
      </c>
    </row>
    <row r="6004" spans="1:21" x14ac:dyDescent="0.2">
      <c r="A6004" s="3">
        <v>6003</v>
      </c>
      <c r="B6004" s="1" t="s">
        <v>4226</v>
      </c>
      <c r="D6004" s="1" t="s">
        <v>5412</v>
      </c>
      <c r="F6004" s="1" t="s">
        <v>5430</v>
      </c>
      <c r="H6004" s="1" t="s">
        <v>5458</v>
      </c>
      <c r="J6004" s="1" t="s">
        <v>5459</v>
      </c>
      <c r="L6004" s="1" t="s">
        <v>739</v>
      </c>
      <c r="M6004" s="1" t="s">
        <v>4490</v>
      </c>
      <c r="N6004" s="1" t="s">
        <v>3033</v>
      </c>
      <c r="P6004" s="1" t="s">
        <v>200</v>
      </c>
      <c r="Q6004" s="30" t="s">
        <v>2567</v>
      </c>
      <c r="R6004" s="33" t="s">
        <v>3474</v>
      </c>
      <c r="S6004">
        <v>35</v>
      </c>
      <c r="T6004" s="1" t="s">
        <v>5416</v>
      </c>
      <c r="U6004" s="1" t="str">
        <f>HYPERLINK("http://ictvonline.org/taxonomy/p/taxonomy-history?taxnode_id=202105196","ICTVonline=202105196")</f>
        <v>ICTVonline=202105196</v>
      </c>
    </row>
    <row r="6005" spans="1:21" x14ac:dyDescent="0.2">
      <c r="A6005" s="3">
        <v>6004</v>
      </c>
      <c r="B6005" s="1" t="s">
        <v>4226</v>
      </c>
      <c r="D6005" s="1" t="s">
        <v>5412</v>
      </c>
      <c r="F6005" s="1" t="s">
        <v>5430</v>
      </c>
      <c r="H6005" s="1" t="s">
        <v>5458</v>
      </c>
      <c r="J6005" s="1" t="s">
        <v>5459</v>
      </c>
      <c r="L6005" s="1" t="s">
        <v>739</v>
      </c>
      <c r="M6005" s="1" t="s">
        <v>4490</v>
      </c>
      <c r="N6005" s="1" t="s">
        <v>3033</v>
      </c>
      <c r="P6005" s="1" t="s">
        <v>749</v>
      </c>
      <c r="Q6005" s="30" t="s">
        <v>2567</v>
      </c>
      <c r="R6005" s="33" t="s">
        <v>8665</v>
      </c>
      <c r="S6005">
        <v>36</v>
      </c>
      <c r="T6005" s="1" t="s">
        <v>8661</v>
      </c>
      <c r="U6005" s="1" t="str">
        <f>HYPERLINK("http://ictvonline.org/taxonomy/p/taxonomy-history?taxnode_id=202105197","ICTVonline=202105197")</f>
        <v>ICTVonline=202105197</v>
      </c>
    </row>
    <row r="6006" spans="1:21" x14ac:dyDescent="0.2">
      <c r="A6006" s="3">
        <v>6005</v>
      </c>
      <c r="B6006" s="1" t="s">
        <v>4226</v>
      </c>
      <c r="D6006" s="1" t="s">
        <v>5412</v>
      </c>
      <c r="F6006" s="1" t="s">
        <v>5430</v>
      </c>
      <c r="H6006" s="1" t="s">
        <v>5458</v>
      </c>
      <c r="J6006" s="1" t="s">
        <v>5459</v>
      </c>
      <c r="L6006" s="1" t="s">
        <v>739</v>
      </c>
      <c r="M6006" s="1" t="s">
        <v>4490</v>
      </c>
      <c r="N6006" s="1" t="s">
        <v>3033</v>
      </c>
      <c r="P6006" s="1" t="s">
        <v>201</v>
      </c>
      <c r="Q6006" s="30" t="s">
        <v>2567</v>
      </c>
      <c r="R6006" s="33" t="s">
        <v>3474</v>
      </c>
      <c r="S6006">
        <v>35</v>
      </c>
      <c r="T6006" s="1" t="s">
        <v>5416</v>
      </c>
      <c r="U6006" s="1" t="str">
        <f>HYPERLINK("http://ictvonline.org/taxonomy/p/taxonomy-history?taxnode_id=202105198","ICTVonline=202105198")</f>
        <v>ICTVonline=202105198</v>
      </c>
    </row>
    <row r="6007" spans="1:21" x14ac:dyDescent="0.2">
      <c r="A6007" s="3">
        <v>6006</v>
      </c>
      <c r="B6007" s="1" t="s">
        <v>4226</v>
      </c>
      <c r="D6007" s="1" t="s">
        <v>5412</v>
      </c>
      <c r="F6007" s="1" t="s">
        <v>5430</v>
      </c>
      <c r="H6007" s="1" t="s">
        <v>5458</v>
      </c>
      <c r="J6007" s="1" t="s">
        <v>5459</v>
      </c>
      <c r="L6007" s="1" t="s">
        <v>739</v>
      </c>
      <c r="M6007" s="1" t="s">
        <v>4490</v>
      </c>
      <c r="N6007" s="1" t="s">
        <v>3033</v>
      </c>
      <c r="P6007" s="1" t="s">
        <v>541</v>
      </c>
      <c r="Q6007" s="30" t="s">
        <v>2567</v>
      </c>
      <c r="R6007" s="33" t="s">
        <v>3474</v>
      </c>
      <c r="S6007">
        <v>35</v>
      </c>
      <c r="T6007" s="1" t="s">
        <v>5416</v>
      </c>
      <c r="U6007" s="1" t="str">
        <f>HYPERLINK("http://ictvonline.org/taxonomy/p/taxonomy-history?taxnode_id=202105199","ICTVonline=202105199")</f>
        <v>ICTVonline=202105199</v>
      </c>
    </row>
    <row r="6008" spans="1:21" x14ac:dyDescent="0.2">
      <c r="A6008" s="3">
        <v>6007</v>
      </c>
      <c r="B6008" s="1" t="s">
        <v>4226</v>
      </c>
      <c r="D6008" s="1" t="s">
        <v>5412</v>
      </c>
      <c r="F6008" s="1" t="s">
        <v>5430</v>
      </c>
      <c r="H6008" s="1" t="s">
        <v>5458</v>
      </c>
      <c r="J6008" s="1" t="s">
        <v>5459</v>
      </c>
      <c r="L6008" s="1" t="s">
        <v>739</v>
      </c>
      <c r="M6008" s="1" t="s">
        <v>4490</v>
      </c>
      <c r="N6008" s="1" t="s">
        <v>3033</v>
      </c>
      <c r="P6008" s="1" t="s">
        <v>1170</v>
      </c>
      <c r="Q6008" s="30" t="s">
        <v>2567</v>
      </c>
      <c r="R6008" s="33" t="s">
        <v>3474</v>
      </c>
      <c r="S6008">
        <v>35</v>
      </c>
      <c r="T6008" s="1" t="s">
        <v>5416</v>
      </c>
      <c r="U6008" s="1" t="str">
        <f>HYPERLINK("http://ictvonline.org/taxonomy/p/taxonomy-history?taxnode_id=202105200","ICTVonline=202105200")</f>
        <v>ICTVonline=202105200</v>
      </c>
    </row>
    <row r="6009" spans="1:21" x14ac:dyDescent="0.2">
      <c r="A6009" s="3">
        <v>6008</v>
      </c>
      <c r="B6009" s="1" t="s">
        <v>4226</v>
      </c>
      <c r="D6009" s="1" t="s">
        <v>5412</v>
      </c>
      <c r="F6009" s="1" t="s">
        <v>5430</v>
      </c>
      <c r="H6009" s="1" t="s">
        <v>5458</v>
      </c>
      <c r="J6009" s="1" t="s">
        <v>5459</v>
      </c>
      <c r="L6009" s="1" t="s">
        <v>739</v>
      </c>
      <c r="M6009" s="1" t="s">
        <v>4490</v>
      </c>
      <c r="N6009" s="1" t="s">
        <v>3033</v>
      </c>
      <c r="P6009" s="1" t="s">
        <v>1171</v>
      </c>
      <c r="Q6009" s="30" t="s">
        <v>2567</v>
      </c>
      <c r="R6009" s="33" t="s">
        <v>3474</v>
      </c>
      <c r="S6009">
        <v>35</v>
      </c>
      <c r="T6009" s="1" t="s">
        <v>5416</v>
      </c>
      <c r="U6009" s="1" t="str">
        <f>HYPERLINK("http://ictvonline.org/taxonomy/p/taxonomy-history?taxnode_id=202105201","ICTVonline=202105201")</f>
        <v>ICTVonline=202105201</v>
      </c>
    </row>
    <row r="6010" spans="1:21" x14ac:dyDescent="0.2">
      <c r="A6010" s="3">
        <v>6009</v>
      </c>
      <c r="B6010" s="1" t="s">
        <v>4226</v>
      </c>
      <c r="D6010" s="1" t="s">
        <v>5412</v>
      </c>
      <c r="F6010" s="1" t="s">
        <v>5430</v>
      </c>
      <c r="H6010" s="1" t="s">
        <v>5458</v>
      </c>
      <c r="J6010" s="1" t="s">
        <v>5459</v>
      </c>
      <c r="L6010" s="1" t="s">
        <v>739</v>
      </c>
      <c r="M6010" s="1" t="s">
        <v>4490</v>
      </c>
      <c r="N6010" s="1" t="s">
        <v>2124</v>
      </c>
      <c r="P6010" s="1" t="s">
        <v>826</v>
      </c>
      <c r="Q6010" s="30" t="s">
        <v>2567</v>
      </c>
      <c r="R6010" s="33" t="s">
        <v>3474</v>
      </c>
      <c r="S6010">
        <v>35</v>
      </c>
      <c r="T6010" s="1" t="s">
        <v>5416</v>
      </c>
      <c r="U6010" s="1" t="str">
        <f>HYPERLINK("http://ictvonline.org/taxonomy/p/taxonomy-history?taxnode_id=202105203","ICTVonline=202105203")</f>
        <v>ICTVonline=202105203</v>
      </c>
    </row>
    <row r="6011" spans="1:21" x14ac:dyDescent="0.2">
      <c r="A6011" s="3">
        <v>6010</v>
      </c>
      <c r="B6011" s="1" t="s">
        <v>4226</v>
      </c>
      <c r="D6011" s="1" t="s">
        <v>5412</v>
      </c>
      <c r="F6011" s="1" t="s">
        <v>5430</v>
      </c>
      <c r="H6011" s="1" t="s">
        <v>5458</v>
      </c>
      <c r="J6011" s="1" t="s">
        <v>5459</v>
      </c>
      <c r="L6011" s="1" t="s">
        <v>739</v>
      </c>
      <c r="M6011" s="1" t="s">
        <v>4490</v>
      </c>
      <c r="N6011" s="1" t="s">
        <v>2124</v>
      </c>
      <c r="P6011" s="1" t="s">
        <v>827</v>
      </c>
      <c r="Q6011" s="30" t="s">
        <v>2567</v>
      </c>
      <c r="R6011" s="33" t="s">
        <v>3474</v>
      </c>
      <c r="S6011">
        <v>35</v>
      </c>
      <c r="T6011" s="1" t="s">
        <v>5416</v>
      </c>
      <c r="U6011" s="1" t="str">
        <f>HYPERLINK("http://ictvonline.org/taxonomy/p/taxonomy-history?taxnode_id=202105204","ICTVonline=202105204")</f>
        <v>ICTVonline=202105204</v>
      </c>
    </row>
    <row r="6012" spans="1:21" x14ac:dyDescent="0.2">
      <c r="A6012" s="3">
        <v>6011</v>
      </c>
      <c r="B6012" s="1" t="s">
        <v>4226</v>
      </c>
      <c r="D6012" s="1" t="s">
        <v>5412</v>
      </c>
      <c r="F6012" s="1" t="s">
        <v>5430</v>
      </c>
      <c r="H6012" s="1" t="s">
        <v>5458</v>
      </c>
      <c r="J6012" s="1" t="s">
        <v>5459</v>
      </c>
      <c r="L6012" s="1" t="s">
        <v>739</v>
      </c>
      <c r="M6012" s="1" t="s">
        <v>4490</v>
      </c>
      <c r="N6012" s="1" t="s">
        <v>2124</v>
      </c>
      <c r="P6012" s="1" t="s">
        <v>4491</v>
      </c>
      <c r="Q6012" s="30" t="s">
        <v>2567</v>
      </c>
      <c r="R6012" s="33" t="s">
        <v>3474</v>
      </c>
      <c r="S6012">
        <v>35</v>
      </c>
      <c r="T6012" s="1" t="s">
        <v>5416</v>
      </c>
      <c r="U6012" s="1" t="str">
        <f>HYPERLINK("http://ictvonline.org/taxonomy/p/taxonomy-history?taxnode_id=202106636","ICTVonline=202106636")</f>
        <v>ICTVonline=202106636</v>
      </c>
    </row>
    <row r="6013" spans="1:21" x14ac:dyDescent="0.2">
      <c r="A6013" s="3">
        <v>6012</v>
      </c>
      <c r="B6013" s="1" t="s">
        <v>4226</v>
      </c>
      <c r="D6013" s="1" t="s">
        <v>5412</v>
      </c>
      <c r="F6013" s="1" t="s">
        <v>5430</v>
      </c>
      <c r="H6013" s="1" t="s">
        <v>5458</v>
      </c>
      <c r="J6013" s="1" t="s">
        <v>5459</v>
      </c>
      <c r="L6013" s="1" t="s">
        <v>739</v>
      </c>
      <c r="M6013" s="1" t="s">
        <v>4490</v>
      </c>
      <c r="N6013" s="1" t="s">
        <v>2124</v>
      </c>
      <c r="P6013" s="1" t="s">
        <v>828</v>
      </c>
      <c r="Q6013" s="30" t="s">
        <v>2567</v>
      </c>
      <c r="R6013" s="33" t="s">
        <v>8665</v>
      </c>
      <c r="S6013">
        <v>36</v>
      </c>
      <c r="T6013" s="1" t="s">
        <v>8661</v>
      </c>
      <c r="U6013" s="1" t="str">
        <f>HYPERLINK("http://ictvonline.org/taxonomy/p/taxonomy-history?taxnode_id=202105205","ICTVonline=202105205")</f>
        <v>ICTVonline=202105205</v>
      </c>
    </row>
    <row r="6014" spans="1:21" x14ac:dyDescent="0.2">
      <c r="A6014" s="3">
        <v>6013</v>
      </c>
      <c r="B6014" s="1" t="s">
        <v>4226</v>
      </c>
      <c r="D6014" s="1" t="s">
        <v>5412</v>
      </c>
      <c r="F6014" s="1" t="s">
        <v>5430</v>
      </c>
      <c r="H6014" s="1" t="s">
        <v>5458</v>
      </c>
      <c r="J6014" s="1" t="s">
        <v>5459</v>
      </c>
      <c r="L6014" s="1" t="s">
        <v>739</v>
      </c>
      <c r="M6014" s="1" t="s">
        <v>4490</v>
      </c>
      <c r="N6014" s="1" t="s">
        <v>740</v>
      </c>
      <c r="P6014" s="1" t="s">
        <v>741</v>
      </c>
      <c r="Q6014" s="30" t="s">
        <v>2567</v>
      </c>
      <c r="R6014" s="33" t="s">
        <v>3474</v>
      </c>
      <c r="S6014">
        <v>35</v>
      </c>
      <c r="T6014" s="1" t="s">
        <v>5416</v>
      </c>
      <c r="U6014" s="1" t="str">
        <f>HYPERLINK("http://ictvonline.org/taxonomy/p/taxonomy-history?taxnode_id=202105207","ICTVonline=202105207")</f>
        <v>ICTVonline=202105207</v>
      </c>
    </row>
    <row r="6015" spans="1:21" x14ac:dyDescent="0.2">
      <c r="A6015" s="3">
        <v>6014</v>
      </c>
      <c r="B6015" s="1" t="s">
        <v>4226</v>
      </c>
      <c r="D6015" s="1" t="s">
        <v>5412</v>
      </c>
      <c r="F6015" s="1" t="s">
        <v>5430</v>
      </c>
      <c r="H6015" s="1" t="s">
        <v>5458</v>
      </c>
      <c r="J6015" s="1" t="s">
        <v>5459</v>
      </c>
      <c r="L6015" s="1" t="s">
        <v>739</v>
      </c>
      <c r="M6015" s="1" t="s">
        <v>4490</v>
      </c>
      <c r="N6015" s="1" t="s">
        <v>740</v>
      </c>
      <c r="P6015" s="1" t="s">
        <v>6724</v>
      </c>
      <c r="Q6015" s="30" t="s">
        <v>2567</v>
      </c>
      <c r="R6015" s="33" t="s">
        <v>3472</v>
      </c>
      <c r="S6015">
        <v>36</v>
      </c>
      <c r="T6015" s="1" t="s">
        <v>6725</v>
      </c>
      <c r="U6015" s="1" t="str">
        <f>HYPERLINK("http://ictvonline.org/taxonomy/p/taxonomy-history?taxnode_id=202109900","ICTVonline=202109900")</f>
        <v>ICTVonline=202109900</v>
      </c>
    </row>
    <row r="6016" spans="1:21" x14ac:dyDescent="0.2">
      <c r="A6016" s="3">
        <v>6015</v>
      </c>
      <c r="B6016" s="1" t="s">
        <v>4226</v>
      </c>
      <c r="D6016" s="1" t="s">
        <v>5412</v>
      </c>
      <c r="F6016" s="1" t="s">
        <v>5430</v>
      </c>
      <c r="H6016" s="1" t="s">
        <v>5458</v>
      </c>
      <c r="J6016" s="1" t="s">
        <v>5459</v>
      </c>
      <c r="L6016" s="1" t="s">
        <v>739</v>
      </c>
      <c r="M6016" s="1" t="s">
        <v>4490</v>
      </c>
      <c r="N6016" s="1" t="s">
        <v>740</v>
      </c>
      <c r="P6016" s="1" t="s">
        <v>1985</v>
      </c>
      <c r="Q6016" s="30" t="s">
        <v>2567</v>
      </c>
      <c r="R6016" s="33" t="s">
        <v>3474</v>
      </c>
      <c r="S6016">
        <v>35</v>
      </c>
      <c r="T6016" s="1" t="s">
        <v>5416</v>
      </c>
      <c r="U6016" s="1" t="str">
        <f>HYPERLINK("http://ictvonline.org/taxonomy/p/taxonomy-history?taxnode_id=202105208","ICTVonline=202105208")</f>
        <v>ICTVonline=202105208</v>
      </c>
    </row>
    <row r="6017" spans="1:21" x14ac:dyDescent="0.2">
      <c r="A6017" s="3">
        <v>6016</v>
      </c>
      <c r="B6017" s="1" t="s">
        <v>4226</v>
      </c>
      <c r="D6017" s="1" t="s">
        <v>5412</v>
      </c>
      <c r="F6017" s="1" t="s">
        <v>5430</v>
      </c>
      <c r="H6017" s="1" t="s">
        <v>5458</v>
      </c>
      <c r="J6017" s="1" t="s">
        <v>5459</v>
      </c>
      <c r="L6017" s="1" t="s">
        <v>739</v>
      </c>
      <c r="M6017" s="1" t="s">
        <v>4490</v>
      </c>
      <c r="N6017" s="1" t="s">
        <v>740</v>
      </c>
      <c r="P6017" s="1" t="s">
        <v>1765</v>
      </c>
      <c r="Q6017" s="30" t="s">
        <v>2567</v>
      </c>
      <c r="R6017" s="33" t="s">
        <v>3474</v>
      </c>
      <c r="S6017">
        <v>35</v>
      </c>
      <c r="T6017" s="1" t="s">
        <v>5416</v>
      </c>
      <c r="U6017" s="1" t="str">
        <f>HYPERLINK("http://ictvonline.org/taxonomy/p/taxonomy-history?taxnode_id=202105209","ICTVonline=202105209")</f>
        <v>ICTVonline=202105209</v>
      </c>
    </row>
    <row r="6018" spans="1:21" x14ac:dyDescent="0.2">
      <c r="A6018" s="3">
        <v>6017</v>
      </c>
      <c r="B6018" s="1" t="s">
        <v>4226</v>
      </c>
      <c r="D6018" s="1" t="s">
        <v>5412</v>
      </c>
      <c r="F6018" s="1" t="s">
        <v>5430</v>
      </c>
      <c r="H6018" s="1" t="s">
        <v>5458</v>
      </c>
      <c r="J6018" s="1" t="s">
        <v>5459</v>
      </c>
      <c r="L6018" s="1" t="s">
        <v>739</v>
      </c>
      <c r="M6018" s="1" t="s">
        <v>4490</v>
      </c>
      <c r="N6018" s="1" t="s">
        <v>740</v>
      </c>
      <c r="P6018" s="1" t="s">
        <v>742</v>
      </c>
      <c r="Q6018" s="30" t="s">
        <v>2567</v>
      </c>
      <c r="R6018" s="33" t="s">
        <v>8665</v>
      </c>
      <c r="S6018">
        <v>36</v>
      </c>
      <c r="T6018" s="1" t="s">
        <v>8661</v>
      </c>
      <c r="U6018" s="1" t="str">
        <f>HYPERLINK("http://ictvonline.org/taxonomy/p/taxonomy-history?taxnode_id=202105210","ICTVonline=202105210")</f>
        <v>ICTVonline=202105210</v>
      </c>
    </row>
    <row r="6019" spans="1:21" x14ac:dyDescent="0.2">
      <c r="A6019" s="3">
        <v>6018</v>
      </c>
      <c r="B6019" s="1" t="s">
        <v>4226</v>
      </c>
      <c r="D6019" s="1" t="s">
        <v>5412</v>
      </c>
      <c r="F6019" s="1" t="s">
        <v>5430</v>
      </c>
      <c r="H6019" s="1" t="s">
        <v>5458</v>
      </c>
      <c r="J6019" s="1" t="s">
        <v>5459</v>
      </c>
      <c r="L6019" s="1" t="s">
        <v>739</v>
      </c>
      <c r="M6019" s="1" t="s">
        <v>4490</v>
      </c>
      <c r="N6019" s="1" t="s">
        <v>740</v>
      </c>
      <c r="P6019" s="1" t="s">
        <v>3034</v>
      </c>
      <c r="Q6019" s="30" t="s">
        <v>2567</v>
      </c>
      <c r="R6019" s="33" t="s">
        <v>3474</v>
      </c>
      <c r="S6019">
        <v>35</v>
      </c>
      <c r="T6019" s="1" t="s">
        <v>5416</v>
      </c>
      <c r="U6019" s="1" t="str">
        <f>HYPERLINK("http://ictvonline.org/taxonomy/p/taxonomy-history?taxnode_id=202105211","ICTVonline=202105211")</f>
        <v>ICTVonline=202105211</v>
      </c>
    </row>
    <row r="6020" spans="1:21" x14ac:dyDescent="0.2">
      <c r="A6020" s="3">
        <v>6019</v>
      </c>
      <c r="B6020" s="1" t="s">
        <v>4226</v>
      </c>
      <c r="D6020" s="1" t="s">
        <v>5412</v>
      </c>
      <c r="F6020" s="1" t="s">
        <v>5430</v>
      </c>
      <c r="H6020" s="1" t="s">
        <v>5458</v>
      </c>
      <c r="J6020" s="1" t="s">
        <v>5459</v>
      </c>
      <c r="L6020" s="1" t="s">
        <v>739</v>
      </c>
      <c r="M6020" s="1" t="s">
        <v>4490</v>
      </c>
      <c r="N6020" s="1" t="s">
        <v>743</v>
      </c>
      <c r="P6020" s="1" t="s">
        <v>744</v>
      </c>
      <c r="Q6020" s="30" t="s">
        <v>4207</v>
      </c>
      <c r="R6020" s="33" t="s">
        <v>8665</v>
      </c>
      <c r="S6020">
        <v>36</v>
      </c>
      <c r="T6020" s="1" t="s">
        <v>8661</v>
      </c>
      <c r="U6020" s="1" t="str">
        <f>HYPERLINK("http://ictvonline.org/taxonomy/p/taxonomy-history?taxnode_id=202105213","ICTVonline=202105213")</f>
        <v>ICTVonline=202105213</v>
      </c>
    </row>
    <row r="6021" spans="1:21" x14ac:dyDescent="0.2">
      <c r="A6021" s="3">
        <v>6020</v>
      </c>
      <c r="B6021" s="1" t="s">
        <v>4226</v>
      </c>
      <c r="D6021" s="1" t="s">
        <v>5412</v>
      </c>
      <c r="F6021" s="1" t="s">
        <v>5430</v>
      </c>
      <c r="H6021" s="1" t="s">
        <v>5458</v>
      </c>
      <c r="J6021" s="1" t="s">
        <v>5459</v>
      </c>
      <c r="L6021" s="1" t="s">
        <v>739</v>
      </c>
      <c r="M6021" s="1" t="s">
        <v>4490</v>
      </c>
      <c r="N6021" s="1" t="s">
        <v>3035</v>
      </c>
      <c r="P6021" s="1" t="s">
        <v>748</v>
      </c>
      <c r="Q6021" s="30" t="s">
        <v>2567</v>
      </c>
      <c r="R6021" s="33" t="s">
        <v>3474</v>
      </c>
      <c r="S6021">
        <v>35</v>
      </c>
      <c r="T6021" s="1" t="s">
        <v>5416</v>
      </c>
      <c r="U6021" s="1" t="str">
        <f>HYPERLINK("http://ictvonline.org/taxonomy/p/taxonomy-history?taxnode_id=202105215","ICTVonline=202105215")</f>
        <v>ICTVonline=202105215</v>
      </c>
    </row>
    <row r="6022" spans="1:21" x14ac:dyDescent="0.2">
      <c r="A6022" s="3">
        <v>6021</v>
      </c>
      <c r="B6022" s="1" t="s">
        <v>4226</v>
      </c>
      <c r="D6022" s="1" t="s">
        <v>5412</v>
      </c>
      <c r="F6022" s="1" t="s">
        <v>5430</v>
      </c>
      <c r="H6022" s="1" t="s">
        <v>5458</v>
      </c>
      <c r="J6022" s="1" t="s">
        <v>5459</v>
      </c>
      <c r="L6022" s="1" t="s">
        <v>739</v>
      </c>
      <c r="M6022" s="1" t="s">
        <v>4490</v>
      </c>
      <c r="N6022" s="1" t="s">
        <v>3035</v>
      </c>
      <c r="P6022" s="1" t="s">
        <v>1283</v>
      </c>
      <c r="Q6022" s="30" t="s">
        <v>2567</v>
      </c>
      <c r="R6022" s="33" t="s">
        <v>3474</v>
      </c>
      <c r="S6022">
        <v>35</v>
      </c>
      <c r="T6022" s="1" t="s">
        <v>5416</v>
      </c>
      <c r="U6022" s="1" t="str">
        <f>HYPERLINK("http://ictvonline.org/taxonomy/p/taxonomy-history?taxnode_id=202105216","ICTVonline=202105216")</f>
        <v>ICTVonline=202105216</v>
      </c>
    </row>
    <row r="6023" spans="1:21" x14ac:dyDescent="0.2">
      <c r="A6023" s="3">
        <v>6022</v>
      </c>
      <c r="B6023" s="1" t="s">
        <v>4226</v>
      </c>
      <c r="D6023" s="1" t="s">
        <v>5412</v>
      </c>
      <c r="F6023" s="1" t="s">
        <v>5430</v>
      </c>
      <c r="H6023" s="1" t="s">
        <v>5458</v>
      </c>
      <c r="J6023" s="1" t="s">
        <v>5459</v>
      </c>
      <c r="L6023" s="1" t="s">
        <v>739</v>
      </c>
      <c r="M6023" s="1" t="s">
        <v>4490</v>
      </c>
      <c r="N6023" s="1" t="s">
        <v>3035</v>
      </c>
      <c r="P6023" s="1" t="s">
        <v>645</v>
      </c>
      <c r="Q6023" s="30" t="s">
        <v>2567</v>
      </c>
      <c r="R6023" s="33" t="s">
        <v>3474</v>
      </c>
      <c r="S6023">
        <v>35</v>
      </c>
      <c r="T6023" s="1" t="s">
        <v>5416</v>
      </c>
      <c r="U6023" s="1" t="str">
        <f>HYPERLINK("http://ictvonline.org/taxonomy/p/taxonomy-history?taxnode_id=202105217","ICTVonline=202105217")</f>
        <v>ICTVonline=202105217</v>
      </c>
    </row>
    <row r="6024" spans="1:21" x14ac:dyDescent="0.2">
      <c r="A6024" s="3">
        <v>6023</v>
      </c>
      <c r="B6024" s="1" t="s">
        <v>4226</v>
      </c>
      <c r="D6024" s="1" t="s">
        <v>5412</v>
      </c>
      <c r="F6024" s="1" t="s">
        <v>5430</v>
      </c>
      <c r="H6024" s="1" t="s">
        <v>5458</v>
      </c>
      <c r="J6024" s="1" t="s">
        <v>5459</v>
      </c>
      <c r="L6024" s="1" t="s">
        <v>739</v>
      </c>
      <c r="M6024" s="1" t="s">
        <v>4490</v>
      </c>
      <c r="N6024" s="1" t="s">
        <v>3035</v>
      </c>
      <c r="P6024" s="1" t="s">
        <v>1172</v>
      </c>
      <c r="Q6024" s="30" t="s">
        <v>2567</v>
      </c>
      <c r="R6024" s="33" t="s">
        <v>8665</v>
      </c>
      <c r="S6024">
        <v>36</v>
      </c>
      <c r="T6024" s="1" t="s">
        <v>8661</v>
      </c>
      <c r="U6024" s="1" t="str">
        <f>HYPERLINK("http://ictvonline.org/taxonomy/p/taxonomy-history?taxnode_id=202105218","ICTVonline=202105218")</f>
        <v>ICTVonline=202105218</v>
      </c>
    </row>
    <row r="6025" spans="1:21" x14ac:dyDescent="0.2">
      <c r="A6025" s="3">
        <v>6024</v>
      </c>
      <c r="B6025" s="1" t="s">
        <v>4226</v>
      </c>
      <c r="D6025" s="1" t="s">
        <v>5412</v>
      </c>
      <c r="F6025" s="1" t="s">
        <v>5430</v>
      </c>
      <c r="H6025" s="1" t="s">
        <v>5458</v>
      </c>
      <c r="J6025" s="1" t="s">
        <v>5459</v>
      </c>
      <c r="L6025" s="1" t="s">
        <v>739</v>
      </c>
      <c r="M6025" s="1" t="s">
        <v>4490</v>
      </c>
      <c r="N6025" s="1" t="s">
        <v>2125</v>
      </c>
      <c r="P6025" s="1" t="s">
        <v>823</v>
      </c>
      <c r="Q6025" s="30" t="s">
        <v>2567</v>
      </c>
      <c r="R6025" s="33" t="s">
        <v>3474</v>
      </c>
      <c r="S6025">
        <v>35</v>
      </c>
      <c r="T6025" s="1" t="s">
        <v>5416</v>
      </c>
      <c r="U6025" s="1" t="str">
        <f>HYPERLINK("http://ictvonline.org/taxonomy/p/taxonomy-history?taxnode_id=202105220","ICTVonline=202105220")</f>
        <v>ICTVonline=202105220</v>
      </c>
    </row>
    <row r="6026" spans="1:21" x14ac:dyDescent="0.2">
      <c r="A6026" s="3">
        <v>6025</v>
      </c>
      <c r="B6026" s="1" t="s">
        <v>4226</v>
      </c>
      <c r="D6026" s="1" t="s">
        <v>5412</v>
      </c>
      <c r="F6026" s="1" t="s">
        <v>5430</v>
      </c>
      <c r="H6026" s="1" t="s">
        <v>5458</v>
      </c>
      <c r="J6026" s="1" t="s">
        <v>5459</v>
      </c>
      <c r="L6026" s="1" t="s">
        <v>739</v>
      </c>
      <c r="M6026" s="1" t="s">
        <v>4490</v>
      </c>
      <c r="N6026" s="1" t="s">
        <v>2125</v>
      </c>
      <c r="P6026" s="1" t="s">
        <v>825</v>
      </c>
      <c r="Q6026" s="30" t="s">
        <v>2567</v>
      </c>
      <c r="R6026" s="33" t="s">
        <v>3474</v>
      </c>
      <c r="S6026">
        <v>35</v>
      </c>
      <c r="T6026" s="1" t="s">
        <v>5416</v>
      </c>
      <c r="U6026" s="1" t="str">
        <f>HYPERLINK("http://ictvonline.org/taxonomy/p/taxonomy-history?taxnode_id=202105221","ICTVonline=202105221")</f>
        <v>ICTVonline=202105221</v>
      </c>
    </row>
    <row r="6027" spans="1:21" x14ac:dyDescent="0.2">
      <c r="A6027" s="3">
        <v>6026</v>
      </c>
      <c r="B6027" s="1" t="s">
        <v>4226</v>
      </c>
      <c r="D6027" s="1" t="s">
        <v>5412</v>
      </c>
      <c r="F6027" s="1" t="s">
        <v>5430</v>
      </c>
      <c r="H6027" s="1" t="s">
        <v>5458</v>
      </c>
      <c r="J6027" s="1" t="s">
        <v>5459</v>
      </c>
      <c r="L6027" s="1" t="s">
        <v>739</v>
      </c>
      <c r="M6027" s="1" t="s">
        <v>4490</v>
      </c>
      <c r="N6027" s="1" t="s">
        <v>2125</v>
      </c>
      <c r="P6027" s="1" t="s">
        <v>1768</v>
      </c>
      <c r="Q6027" s="30" t="s">
        <v>2567</v>
      </c>
      <c r="R6027" s="33" t="s">
        <v>8665</v>
      </c>
      <c r="S6027">
        <v>36</v>
      </c>
      <c r="T6027" s="1" t="s">
        <v>8661</v>
      </c>
      <c r="U6027" s="1" t="str">
        <f>HYPERLINK("http://ictvonline.org/taxonomy/p/taxonomy-history?taxnode_id=202105222","ICTVonline=202105222")</f>
        <v>ICTVonline=202105222</v>
      </c>
    </row>
    <row r="6028" spans="1:21" x14ac:dyDescent="0.2">
      <c r="A6028" s="3">
        <v>6027</v>
      </c>
      <c r="B6028" s="1" t="s">
        <v>4226</v>
      </c>
      <c r="D6028" s="1" t="s">
        <v>5412</v>
      </c>
      <c r="F6028" s="1" t="s">
        <v>5430</v>
      </c>
      <c r="H6028" s="1" t="s">
        <v>5458</v>
      </c>
      <c r="J6028" s="1" t="s">
        <v>5459</v>
      </c>
      <c r="L6028" s="1" t="s">
        <v>739</v>
      </c>
      <c r="M6028" s="1" t="s">
        <v>4490</v>
      </c>
      <c r="N6028" s="1" t="s">
        <v>2126</v>
      </c>
      <c r="P6028" s="1" t="s">
        <v>1282</v>
      </c>
      <c r="Q6028" s="30" t="s">
        <v>2567</v>
      </c>
      <c r="R6028" s="33" t="s">
        <v>8665</v>
      </c>
      <c r="S6028">
        <v>36</v>
      </c>
      <c r="T6028" s="1" t="s">
        <v>8661</v>
      </c>
      <c r="U6028" s="1" t="str">
        <f>HYPERLINK("http://ictvonline.org/taxonomy/p/taxonomy-history?taxnode_id=202105228","ICTVonline=202105228")</f>
        <v>ICTVonline=202105228</v>
      </c>
    </row>
    <row r="6029" spans="1:21" x14ac:dyDescent="0.2">
      <c r="A6029" s="3">
        <v>6028</v>
      </c>
      <c r="B6029" s="1" t="s">
        <v>4226</v>
      </c>
      <c r="D6029" s="1" t="s">
        <v>5412</v>
      </c>
      <c r="F6029" s="1" t="s">
        <v>5430</v>
      </c>
      <c r="H6029" s="1" t="s">
        <v>5458</v>
      </c>
      <c r="J6029" s="1" t="s">
        <v>5459</v>
      </c>
      <c r="L6029" s="1" t="s">
        <v>739</v>
      </c>
      <c r="M6029" s="1" t="s">
        <v>4490</v>
      </c>
      <c r="N6029" s="1" t="s">
        <v>3036</v>
      </c>
      <c r="P6029" s="1" t="s">
        <v>1280</v>
      </c>
      <c r="Q6029" s="30" t="s">
        <v>2567</v>
      </c>
      <c r="R6029" s="33" t="s">
        <v>3474</v>
      </c>
      <c r="S6029">
        <v>35</v>
      </c>
      <c r="T6029" s="1" t="s">
        <v>5416</v>
      </c>
      <c r="U6029" s="1" t="str">
        <f>HYPERLINK("http://ictvonline.org/taxonomy/p/taxonomy-history?taxnode_id=202105230","ICTVonline=202105230")</f>
        <v>ICTVonline=202105230</v>
      </c>
    </row>
    <row r="6030" spans="1:21" x14ac:dyDescent="0.2">
      <c r="A6030" s="3">
        <v>6029</v>
      </c>
      <c r="B6030" s="1" t="s">
        <v>4226</v>
      </c>
      <c r="D6030" s="1" t="s">
        <v>5412</v>
      </c>
      <c r="F6030" s="1" t="s">
        <v>5430</v>
      </c>
      <c r="H6030" s="1" t="s">
        <v>5458</v>
      </c>
      <c r="J6030" s="1" t="s">
        <v>5459</v>
      </c>
      <c r="L6030" s="1" t="s">
        <v>739</v>
      </c>
      <c r="M6030" s="1" t="s">
        <v>4490</v>
      </c>
      <c r="N6030" s="1" t="s">
        <v>3036</v>
      </c>
      <c r="P6030" s="1" t="s">
        <v>646</v>
      </c>
      <c r="Q6030" s="30" t="s">
        <v>2567</v>
      </c>
      <c r="R6030" s="33" t="s">
        <v>8665</v>
      </c>
      <c r="S6030">
        <v>36</v>
      </c>
      <c r="T6030" s="1" t="s">
        <v>8661</v>
      </c>
      <c r="U6030" s="1" t="str">
        <f>HYPERLINK("http://ictvonline.org/taxonomy/p/taxonomy-history?taxnode_id=202105231","ICTVonline=202105231")</f>
        <v>ICTVonline=202105231</v>
      </c>
    </row>
    <row r="6031" spans="1:21" x14ac:dyDescent="0.2">
      <c r="A6031" s="3">
        <v>6030</v>
      </c>
      <c r="B6031" s="1" t="s">
        <v>4226</v>
      </c>
      <c r="D6031" s="1" t="s">
        <v>5412</v>
      </c>
      <c r="F6031" s="1" t="s">
        <v>5430</v>
      </c>
      <c r="H6031" s="1" t="s">
        <v>5458</v>
      </c>
      <c r="J6031" s="1" t="s">
        <v>5459</v>
      </c>
      <c r="L6031" s="1" t="s">
        <v>739</v>
      </c>
      <c r="M6031" s="1" t="s">
        <v>4490</v>
      </c>
      <c r="N6031" s="1" t="s">
        <v>3036</v>
      </c>
      <c r="P6031" s="1" t="s">
        <v>1169</v>
      </c>
      <c r="Q6031" s="30" t="s">
        <v>2567</v>
      </c>
      <c r="R6031" s="33" t="s">
        <v>3474</v>
      </c>
      <c r="S6031">
        <v>35</v>
      </c>
      <c r="T6031" s="1" t="s">
        <v>5416</v>
      </c>
      <c r="U6031" s="1" t="str">
        <f>HYPERLINK("http://ictvonline.org/taxonomy/p/taxonomy-history?taxnode_id=202105232","ICTVonline=202105232")</f>
        <v>ICTVonline=202105232</v>
      </c>
    </row>
    <row r="6032" spans="1:21" x14ac:dyDescent="0.2">
      <c r="A6032" s="3">
        <v>6031</v>
      </c>
      <c r="B6032" s="1" t="s">
        <v>4226</v>
      </c>
      <c r="D6032" s="1" t="s">
        <v>5412</v>
      </c>
      <c r="F6032" s="1" t="s">
        <v>5430</v>
      </c>
      <c r="H6032" s="1" t="s">
        <v>5458</v>
      </c>
      <c r="J6032" s="1" t="s">
        <v>5459</v>
      </c>
      <c r="L6032" s="1" t="s">
        <v>739</v>
      </c>
      <c r="M6032" s="1" t="s">
        <v>4490</v>
      </c>
      <c r="N6032" s="1" t="s">
        <v>3036</v>
      </c>
      <c r="P6032" s="1" t="s">
        <v>202</v>
      </c>
      <c r="Q6032" s="30" t="s">
        <v>2567</v>
      </c>
      <c r="R6032" s="33" t="s">
        <v>3474</v>
      </c>
      <c r="S6032">
        <v>35</v>
      </c>
      <c r="T6032" s="1" t="s">
        <v>5416</v>
      </c>
      <c r="U6032" s="1" t="str">
        <f>HYPERLINK("http://ictvonline.org/taxonomy/p/taxonomy-history?taxnode_id=202105233","ICTVonline=202105233")</f>
        <v>ICTVonline=202105233</v>
      </c>
    </row>
    <row r="6033" spans="1:21" x14ac:dyDescent="0.2">
      <c r="A6033" s="3">
        <v>6032</v>
      </c>
      <c r="B6033" s="1" t="s">
        <v>4226</v>
      </c>
      <c r="D6033" s="1" t="s">
        <v>5412</v>
      </c>
      <c r="F6033" s="1" t="s">
        <v>5430</v>
      </c>
      <c r="H6033" s="1" t="s">
        <v>5458</v>
      </c>
      <c r="J6033" s="1" t="s">
        <v>5459</v>
      </c>
      <c r="L6033" s="1" t="s">
        <v>739</v>
      </c>
      <c r="M6033" s="1" t="s">
        <v>4490</v>
      </c>
      <c r="N6033" s="1" t="s">
        <v>2127</v>
      </c>
      <c r="P6033" s="1" t="s">
        <v>2128</v>
      </c>
      <c r="Q6033" s="30" t="s">
        <v>2567</v>
      </c>
      <c r="R6033" s="33" t="s">
        <v>8665</v>
      </c>
      <c r="S6033">
        <v>36</v>
      </c>
      <c r="T6033" s="1" t="s">
        <v>8661</v>
      </c>
      <c r="U6033" s="1" t="str">
        <f>HYPERLINK("http://ictvonline.org/taxonomy/p/taxonomy-history?taxnode_id=202105235","ICTVonline=202105235")</f>
        <v>ICTVonline=202105235</v>
      </c>
    </row>
    <row r="6034" spans="1:21" x14ac:dyDescent="0.2">
      <c r="A6034" s="3">
        <v>6033</v>
      </c>
      <c r="B6034" s="1" t="s">
        <v>4226</v>
      </c>
      <c r="D6034" s="1" t="s">
        <v>5412</v>
      </c>
      <c r="F6034" s="1" t="s">
        <v>5430</v>
      </c>
      <c r="H6034" s="1" t="s">
        <v>5458</v>
      </c>
      <c r="J6034" s="1" t="s">
        <v>5459</v>
      </c>
      <c r="L6034" s="1" t="s">
        <v>739</v>
      </c>
      <c r="M6034" s="1" t="s">
        <v>4490</v>
      </c>
      <c r="N6034" s="1" t="s">
        <v>1178</v>
      </c>
      <c r="P6034" s="1" t="s">
        <v>1179</v>
      </c>
      <c r="Q6034" s="30" t="s">
        <v>2567</v>
      </c>
      <c r="R6034" s="33" t="s">
        <v>8665</v>
      </c>
      <c r="S6034">
        <v>36</v>
      </c>
      <c r="T6034" s="1" t="s">
        <v>8661</v>
      </c>
      <c r="U6034" s="1" t="str">
        <f>HYPERLINK("http://ictvonline.org/taxonomy/p/taxonomy-history?taxnode_id=202105237","ICTVonline=202105237")</f>
        <v>ICTVonline=202105237</v>
      </c>
    </row>
    <row r="6035" spans="1:21" x14ac:dyDescent="0.2">
      <c r="A6035" s="3">
        <v>6034</v>
      </c>
      <c r="B6035" s="1" t="s">
        <v>4226</v>
      </c>
      <c r="D6035" s="1" t="s">
        <v>5412</v>
      </c>
      <c r="F6035" s="1" t="s">
        <v>5430</v>
      </c>
      <c r="H6035" s="1" t="s">
        <v>5458</v>
      </c>
      <c r="J6035" s="1" t="s">
        <v>5459</v>
      </c>
      <c r="L6035" s="1" t="s">
        <v>739</v>
      </c>
      <c r="M6035" s="1" t="s">
        <v>4490</v>
      </c>
      <c r="N6035" s="1" t="s">
        <v>1769</v>
      </c>
      <c r="P6035" s="1" t="s">
        <v>203</v>
      </c>
      <c r="Q6035" s="30" t="s">
        <v>2567</v>
      </c>
      <c r="R6035" s="33" t="s">
        <v>3474</v>
      </c>
      <c r="S6035">
        <v>35</v>
      </c>
      <c r="T6035" s="1" t="s">
        <v>5416</v>
      </c>
      <c r="U6035" s="1" t="str">
        <f>HYPERLINK("http://ictvonline.org/taxonomy/p/taxonomy-history?taxnode_id=202105239","ICTVonline=202105239")</f>
        <v>ICTVonline=202105239</v>
      </c>
    </row>
    <row r="6036" spans="1:21" x14ac:dyDescent="0.2">
      <c r="A6036" s="3">
        <v>6035</v>
      </c>
      <c r="B6036" s="1" t="s">
        <v>4226</v>
      </c>
      <c r="D6036" s="1" t="s">
        <v>5412</v>
      </c>
      <c r="F6036" s="1" t="s">
        <v>5430</v>
      </c>
      <c r="H6036" s="1" t="s">
        <v>5458</v>
      </c>
      <c r="J6036" s="1" t="s">
        <v>5459</v>
      </c>
      <c r="L6036" s="1" t="s">
        <v>739</v>
      </c>
      <c r="M6036" s="1" t="s">
        <v>4490</v>
      </c>
      <c r="N6036" s="1" t="s">
        <v>1769</v>
      </c>
      <c r="P6036" s="1" t="s">
        <v>1770</v>
      </c>
      <c r="Q6036" s="30" t="s">
        <v>2567</v>
      </c>
      <c r="R6036" s="33" t="s">
        <v>8665</v>
      </c>
      <c r="S6036">
        <v>36</v>
      </c>
      <c r="T6036" s="1" t="s">
        <v>8661</v>
      </c>
      <c r="U6036" s="1" t="str">
        <f>HYPERLINK("http://ictvonline.org/taxonomy/p/taxonomy-history?taxnode_id=202105240","ICTVonline=202105240")</f>
        <v>ICTVonline=202105240</v>
      </c>
    </row>
    <row r="6037" spans="1:21" x14ac:dyDescent="0.2">
      <c r="A6037" s="3">
        <v>6036</v>
      </c>
      <c r="B6037" s="1" t="s">
        <v>4226</v>
      </c>
      <c r="D6037" s="1" t="s">
        <v>5412</v>
      </c>
      <c r="F6037" s="1" t="s">
        <v>5430</v>
      </c>
      <c r="H6037" s="1" t="s">
        <v>5458</v>
      </c>
      <c r="J6037" s="1" t="s">
        <v>5459</v>
      </c>
      <c r="L6037" s="1" t="s">
        <v>739</v>
      </c>
      <c r="M6037" s="1" t="s">
        <v>4490</v>
      </c>
      <c r="N6037" s="1" t="s">
        <v>1769</v>
      </c>
      <c r="P6037" s="1" t="s">
        <v>2558</v>
      </c>
      <c r="Q6037" s="30" t="s">
        <v>2567</v>
      </c>
      <c r="R6037" s="33" t="s">
        <v>3474</v>
      </c>
      <c r="S6037">
        <v>35</v>
      </c>
      <c r="T6037" s="1" t="s">
        <v>5416</v>
      </c>
      <c r="U6037" s="1" t="str">
        <f>HYPERLINK("http://ictvonline.org/taxonomy/p/taxonomy-history?taxnode_id=202105241","ICTVonline=202105241")</f>
        <v>ICTVonline=202105241</v>
      </c>
    </row>
    <row r="6038" spans="1:21" x14ac:dyDescent="0.2">
      <c r="A6038" s="3">
        <v>6037</v>
      </c>
      <c r="B6038" s="1" t="s">
        <v>4226</v>
      </c>
      <c r="D6038" s="1" t="s">
        <v>5412</v>
      </c>
      <c r="F6038" s="1" t="s">
        <v>5430</v>
      </c>
      <c r="H6038" s="1" t="s">
        <v>5458</v>
      </c>
      <c r="J6038" s="1" t="s">
        <v>5459</v>
      </c>
      <c r="L6038" s="1" t="s">
        <v>739</v>
      </c>
      <c r="M6038" s="1" t="s">
        <v>4490</v>
      </c>
      <c r="N6038" s="1" t="s">
        <v>3037</v>
      </c>
      <c r="P6038" s="1" t="s">
        <v>4492</v>
      </c>
      <c r="Q6038" s="30" t="s">
        <v>2567</v>
      </c>
      <c r="R6038" s="33" t="s">
        <v>3474</v>
      </c>
      <c r="S6038">
        <v>35</v>
      </c>
      <c r="T6038" s="1" t="s">
        <v>5416</v>
      </c>
      <c r="U6038" s="1" t="str">
        <f>HYPERLINK("http://ictvonline.org/taxonomy/p/taxonomy-history?taxnode_id=202106290","ICTVonline=202106290")</f>
        <v>ICTVonline=202106290</v>
      </c>
    </row>
    <row r="6039" spans="1:21" x14ac:dyDescent="0.2">
      <c r="A6039" s="3">
        <v>6038</v>
      </c>
      <c r="B6039" s="1" t="s">
        <v>4226</v>
      </c>
      <c r="D6039" s="1" t="s">
        <v>5412</v>
      </c>
      <c r="F6039" s="1" t="s">
        <v>5430</v>
      </c>
      <c r="H6039" s="1" t="s">
        <v>5458</v>
      </c>
      <c r="J6039" s="1" t="s">
        <v>5459</v>
      </c>
      <c r="L6039" s="1" t="s">
        <v>739</v>
      </c>
      <c r="M6039" s="1" t="s">
        <v>4490</v>
      </c>
      <c r="N6039" s="1" t="s">
        <v>3037</v>
      </c>
      <c r="P6039" s="1" t="s">
        <v>2559</v>
      </c>
      <c r="Q6039" s="30" t="s">
        <v>2567</v>
      </c>
      <c r="R6039" s="33" t="s">
        <v>3474</v>
      </c>
      <c r="S6039">
        <v>35</v>
      </c>
      <c r="T6039" s="1" t="s">
        <v>5416</v>
      </c>
      <c r="U6039" s="1" t="str">
        <f>HYPERLINK("http://ictvonline.org/taxonomy/p/taxonomy-history?taxnode_id=202105243","ICTVonline=202105243")</f>
        <v>ICTVonline=202105243</v>
      </c>
    </row>
    <row r="6040" spans="1:21" x14ac:dyDescent="0.2">
      <c r="A6040" s="3">
        <v>6039</v>
      </c>
      <c r="B6040" s="1" t="s">
        <v>4226</v>
      </c>
      <c r="D6040" s="1" t="s">
        <v>5412</v>
      </c>
      <c r="F6040" s="1" t="s">
        <v>5430</v>
      </c>
      <c r="H6040" s="1" t="s">
        <v>5458</v>
      </c>
      <c r="J6040" s="1" t="s">
        <v>5459</v>
      </c>
      <c r="L6040" s="1" t="s">
        <v>739</v>
      </c>
      <c r="M6040" s="1" t="s">
        <v>4490</v>
      </c>
      <c r="N6040" s="1" t="s">
        <v>3037</v>
      </c>
      <c r="P6040" s="1" t="s">
        <v>6726</v>
      </c>
      <c r="Q6040" s="30" t="s">
        <v>2567</v>
      </c>
      <c r="R6040" s="33" t="s">
        <v>3472</v>
      </c>
      <c r="S6040">
        <v>36</v>
      </c>
      <c r="T6040" s="1" t="s">
        <v>6727</v>
      </c>
      <c r="U6040" s="1" t="str">
        <f>HYPERLINK("http://ictvonline.org/taxonomy/p/taxonomy-history?taxnode_id=202109876","ICTVonline=202109876")</f>
        <v>ICTVonline=202109876</v>
      </c>
    </row>
    <row r="6041" spans="1:21" x14ac:dyDescent="0.2">
      <c r="A6041" s="3">
        <v>6040</v>
      </c>
      <c r="B6041" s="1" t="s">
        <v>4226</v>
      </c>
      <c r="D6041" s="1" t="s">
        <v>5412</v>
      </c>
      <c r="F6041" s="1" t="s">
        <v>5430</v>
      </c>
      <c r="H6041" s="1" t="s">
        <v>5458</v>
      </c>
      <c r="J6041" s="1" t="s">
        <v>5459</v>
      </c>
      <c r="L6041" s="1" t="s">
        <v>739</v>
      </c>
      <c r="M6041" s="1" t="s">
        <v>4490</v>
      </c>
      <c r="N6041" s="1" t="s">
        <v>3037</v>
      </c>
      <c r="P6041" s="1" t="s">
        <v>6728</v>
      </c>
      <c r="Q6041" s="30" t="s">
        <v>2567</v>
      </c>
      <c r="R6041" s="33" t="s">
        <v>3472</v>
      </c>
      <c r="S6041">
        <v>36</v>
      </c>
      <c r="T6041" s="1" t="s">
        <v>6727</v>
      </c>
      <c r="U6041" s="1" t="str">
        <f>HYPERLINK("http://ictvonline.org/taxonomy/p/taxonomy-history?taxnode_id=202109875","ICTVonline=202109875")</f>
        <v>ICTVonline=202109875</v>
      </c>
    </row>
    <row r="6042" spans="1:21" x14ac:dyDescent="0.2">
      <c r="A6042" s="3">
        <v>6041</v>
      </c>
      <c r="B6042" s="1" t="s">
        <v>4226</v>
      </c>
      <c r="D6042" s="1" t="s">
        <v>5412</v>
      </c>
      <c r="F6042" s="1" t="s">
        <v>5430</v>
      </c>
      <c r="H6042" s="1" t="s">
        <v>5458</v>
      </c>
      <c r="J6042" s="1" t="s">
        <v>5459</v>
      </c>
      <c r="L6042" s="1" t="s">
        <v>739</v>
      </c>
      <c r="M6042" s="1" t="s">
        <v>4490</v>
      </c>
      <c r="N6042" s="1" t="s">
        <v>3037</v>
      </c>
      <c r="P6042" s="1" t="s">
        <v>2560</v>
      </c>
      <c r="Q6042" s="30" t="s">
        <v>2567</v>
      </c>
      <c r="R6042" s="33" t="s">
        <v>3474</v>
      </c>
      <c r="S6042">
        <v>35</v>
      </c>
      <c r="T6042" s="1" t="s">
        <v>5416</v>
      </c>
      <c r="U6042" s="1" t="str">
        <f>HYPERLINK("http://ictvonline.org/taxonomy/p/taxonomy-history?taxnode_id=202105244","ICTVonline=202105244")</f>
        <v>ICTVonline=202105244</v>
      </c>
    </row>
    <row r="6043" spans="1:21" x14ac:dyDescent="0.2">
      <c r="A6043" s="3">
        <v>6042</v>
      </c>
      <c r="B6043" s="1" t="s">
        <v>4226</v>
      </c>
      <c r="D6043" s="1" t="s">
        <v>5412</v>
      </c>
      <c r="F6043" s="1" t="s">
        <v>5430</v>
      </c>
      <c r="H6043" s="1" t="s">
        <v>5458</v>
      </c>
      <c r="J6043" s="1" t="s">
        <v>5459</v>
      </c>
      <c r="L6043" s="1" t="s">
        <v>739</v>
      </c>
      <c r="M6043" s="1" t="s">
        <v>4490</v>
      </c>
      <c r="N6043" s="1" t="s">
        <v>3037</v>
      </c>
      <c r="P6043" s="1" t="s">
        <v>1867</v>
      </c>
      <c r="Q6043" s="30" t="s">
        <v>2567</v>
      </c>
      <c r="R6043" s="33" t="s">
        <v>8665</v>
      </c>
      <c r="S6043">
        <v>36</v>
      </c>
      <c r="T6043" s="1" t="s">
        <v>8661</v>
      </c>
      <c r="U6043" s="1" t="str">
        <f>HYPERLINK("http://ictvonline.org/taxonomy/p/taxonomy-history?taxnode_id=202105245","ICTVonline=202105245")</f>
        <v>ICTVonline=202105245</v>
      </c>
    </row>
    <row r="6044" spans="1:21" x14ac:dyDescent="0.2">
      <c r="A6044" s="3">
        <v>6043</v>
      </c>
      <c r="B6044" s="1" t="s">
        <v>4226</v>
      </c>
      <c r="D6044" s="1" t="s">
        <v>5412</v>
      </c>
      <c r="F6044" s="1" t="s">
        <v>5430</v>
      </c>
      <c r="H6044" s="1" t="s">
        <v>5458</v>
      </c>
      <c r="J6044" s="1" t="s">
        <v>5459</v>
      </c>
      <c r="L6044" s="1" t="s">
        <v>739</v>
      </c>
      <c r="M6044" s="1" t="s">
        <v>4490</v>
      </c>
      <c r="N6044" s="1" t="s">
        <v>3037</v>
      </c>
      <c r="P6044" s="1" t="s">
        <v>2561</v>
      </c>
      <c r="Q6044" s="30" t="s">
        <v>2567</v>
      </c>
      <c r="R6044" s="33" t="s">
        <v>3474</v>
      </c>
      <c r="S6044">
        <v>35</v>
      </c>
      <c r="T6044" s="1" t="s">
        <v>5416</v>
      </c>
      <c r="U6044" s="1" t="str">
        <f>HYPERLINK("http://ictvonline.org/taxonomy/p/taxonomy-history?taxnode_id=202105246","ICTVonline=202105246")</f>
        <v>ICTVonline=202105246</v>
      </c>
    </row>
    <row r="6045" spans="1:21" x14ac:dyDescent="0.2">
      <c r="A6045" s="3">
        <v>6044</v>
      </c>
      <c r="B6045" s="1" t="s">
        <v>4226</v>
      </c>
      <c r="D6045" s="1" t="s">
        <v>5412</v>
      </c>
      <c r="F6045" s="1" t="s">
        <v>5430</v>
      </c>
      <c r="H6045" s="1" t="s">
        <v>5458</v>
      </c>
      <c r="J6045" s="1" t="s">
        <v>5459</v>
      </c>
      <c r="L6045" s="1" t="s">
        <v>739</v>
      </c>
      <c r="M6045" s="1" t="s">
        <v>4490</v>
      </c>
      <c r="N6045" s="1" t="s">
        <v>3037</v>
      </c>
      <c r="P6045" s="1" t="s">
        <v>2562</v>
      </c>
      <c r="Q6045" s="30" t="s">
        <v>2567</v>
      </c>
      <c r="R6045" s="33" t="s">
        <v>3474</v>
      </c>
      <c r="S6045">
        <v>35</v>
      </c>
      <c r="T6045" s="1" t="s">
        <v>5416</v>
      </c>
      <c r="U6045" s="1" t="str">
        <f>HYPERLINK("http://ictvonline.org/taxonomy/p/taxonomy-history?taxnode_id=202105247","ICTVonline=202105247")</f>
        <v>ICTVonline=202105247</v>
      </c>
    </row>
    <row r="6046" spans="1:21" x14ac:dyDescent="0.2">
      <c r="A6046" s="3">
        <v>6045</v>
      </c>
      <c r="B6046" s="1" t="s">
        <v>4226</v>
      </c>
      <c r="D6046" s="1" t="s">
        <v>5412</v>
      </c>
      <c r="F6046" s="1" t="s">
        <v>5430</v>
      </c>
      <c r="H6046" s="1" t="s">
        <v>5458</v>
      </c>
      <c r="J6046" s="1" t="s">
        <v>5459</v>
      </c>
      <c r="L6046" s="1" t="s">
        <v>739</v>
      </c>
      <c r="M6046" s="1" t="s">
        <v>4490</v>
      </c>
      <c r="N6046" s="1" t="s">
        <v>1771</v>
      </c>
      <c r="P6046" s="1" t="s">
        <v>1772</v>
      </c>
      <c r="Q6046" s="30" t="s">
        <v>2567</v>
      </c>
      <c r="R6046" s="33" t="s">
        <v>3474</v>
      </c>
      <c r="S6046">
        <v>35</v>
      </c>
      <c r="T6046" s="1" t="s">
        <v>5416</v>
      </c>
      <c r="U6046" s="1" t="str">
        <f>HYPERLINK("http://ictvonline.org/taxonomy/p/taxonomy-history?taxnode_id=202105249","ICTVonline=202105249")</f>
        <v>ICTVonline=202105249</v>
      </c>
    </row>
    <row r="6047" spans="1:21" x14ac:dyDescent="0.2">
      <c r="A6047" s="3">
        <v>6046</v>
      </c>
      <c r="B6047" s="1" t="s">
        <v>4226</v>
      </c>
      <c r="D6047" s="1" t="s">
        <v>5412</v>
      </c>
      <c r="F6047" s="1" t="s">
        <v>5430</v>
      </c>
      <c r="H6047" s="1" t="s">
        <v>5458</v>
      </c>
      <c r="J6047" s="1" t="s">
        <v>5459</v>
      </c>
      <c r="L6047" s="1" t="s">
        <v>739</v>
      </c>
      <c r="M6047" s="1" t="s">
        <v>4490</v>
      </c>
      <c r="N6047" s="1" t="s">
        <v>1771</v>
      </c>
      <c r="P6047" s="1" t="s">
        <v>1773</v>
      </c>
      <c r="Q6047" s="30" t="s">
        <v>2567</v>
      </c>
      <c r="R6047" s="33" t="s">
        <v>3474</v>
      </c>
      <c r="S6047">
        <v>35</v>
      </c>
      <c r="T6047" s="1" t="s">
        <v>5416</v>
      </c>
      <c r="U6047" s="1" t="str">
        <f>HYPERLINK("http://ictvonline.org/taxonomy/p/taxonomy-history?taxnode_id=202105250","ICTVonline=202105250")</f>
        <v>ICTVonline=202105250</v>
      </c>
    </row>
    <row r="6048" spans="1:21" x14ac:dyDescent="0.2">
      <c r="A6048" s="3">
        <v>6047</v>
      </c>
      <c r="B6048" s="1" t="s">
        <v>4226</v>
      </c>
      <c r="D6048" s="1" t="s">
        <v>5412</v>
      </c>
      <c r="F6048" s="1" t="s">
        <v>5430</v>
      </c>
      <c r="H6048" s="1" t="s">
        <v>5458</v>
      </c>
      <c r="J6048" s="1" t="s">
        <v>5459</v>
      </c>
      <c r="L6048" s="1" t="s">
        <v>739</v>
      </c>
      <c r="M6048" s="1" t="s">
        <v>4490</v>
      </c>
      <c r="N6048" s="1" t="s">
        <v>1771</v>
      </c>
      <c r="P6048" s="1" t="s">
        <v>4493</v>
      </c>
      <c r="Q6048" s="30" t="s">
        <v>2567</v>
      </c>
      <c r="R6048" s="33" t="s">
        <v>3474</v>
      </c>
      <c r="S6048">
        <v>35</v>
      </c>
      <c r="T6048" s="1" t="s">
        <v>5416</v>
      </c>
      <c r="U6048" s="1" t="str">
        <f>HYPERLINK("http://ictvonline.org/taxonomy/p/taxonomy-history?taxnode_id=202105251","ICTVonline=202105251")</f>
        <v>ICTVonline=202105251</v>
      </c>
    </row>
    <row r="6049" spans="1:21" x14ac:dyDescent="0.2">
      <c r="A6049" s="3">
        <v>6048</v>
      </c>
      <c r="B6049" s="1" t="s">
        <v>4226</v>
      </c>
      <c r="D6049" s="1" t="s">
        <v>5412</v>
      </c>
      <c r="F6049" s="1" t="s">
        <v>5430</v>
      </c>
      <c r="H6049" s="1" t="s">
        <v>5458</v>
      </c>
      <c r="J6049" s="1" t="s">
        <v>5459</v>
      </c>
      <c r="L6049" s="1" t="s">
        <v>739</v>
      </c>
      <c r="M6049" s="1" t="s">
        <v>4490</v>
      </c>
      <c r="N6049" s="1" t="s">
        <v>1771</v>
      </c>
      <c r="P6049" s="1" t="s">
        <v>1774</v>
      </c>
      <c r="Q6049" s="30" t="s">
        <v>2567</v>
      </c>
      <c r="R6049" s="33" t="s">
        <v>3474</v>
      </c>
      <c r="S6049">
        <v>35</v>
      </c>
      <c r="T6049" s="1" t="s">
        <v>5416</v>
      </c>
      <c r="U6049" s="1" t="str">
        <f>HYPERLINK("http://ictvonline.org/taxonomy/p/taxonomy-history?taxnode_id=202105252","ICTVonline=202105252")</f>
        <v>ICTVonline=202105252</v>
      </c>
    </row>
    <row r="6050" spans="1:21" x14ac:dyDescent="0.2">
      <c r="A6050" s="3">
        <v>6049</v>
      </c>
      <c r="B6050" s="1" t="s">
        <v>4226</v>
      </c>
      <c r="D6050" s="1" t="s">
        <v>5412</v>
      </c>
      <c r="F6050" s="1" t="s">
        <v>5430</v>
      </c>
      <c r="H6050" s="1" t="s">
        <v>5458</v>
      </c>
      <c r="J6050" s="1" t="s">
        <v>5459</v>
      </c>
      <c r="L6050" s="1" t="s">
        <v>739</v>
      </c>
      <c r="M6050" s="1" t="s">
        <v>4490</v>
      </c>
      <c r="N6050" s="1" t="s">
        <v>1771</v>
      </c>
      <c r="P6050" s="1" t="s">
        <v>1775</v>
      </c>
      <c r="Q6050" s="30" t="s">
        <v>2567</v>
      </c>
      <c r="R6050" s="33" t="s">
        <v>3474</v>
      </c>
      <c r="S6050">
        <v>35</v>
      </c>
      <c r="T6050" s="1" t="s">
        <v>5416</v>
      </c>
      <c r="U6050" s="1" t="str">
        <f>HYPERLINK("http://ictvonline.org/taxonomy/p/taxonomy-history?taxnode_id=202105253","ICTVonline=202105253")</f>
        <v>ICTVonline=202105253</v>
      </c>
    </row>
    <row r="6051" spans="1:21" x14ac:dyDescent="0.2">
      <c r="A6051" s="3">
        <v>6050</v>
      </c>
      <c r="B6051" s="1" t="s">
        <v>4226</v>
      </c>
      <c r="D6051" s="1" t="s">
        <v>5412</v>
      </c>
      <c r="F6051" s="1" t="s">
        <v>5430</v>
      </c>
      <c r="H6051" s="1" t="s">
        <v>5458</v>
      </c>
      <c r="J6051" s="1" t="s">
        <v>5459</v>
      </c>
      <c r="L6051" s="1" t="s">
        <v>739</v>
      </c>
      <c r="M6051" s="1" t="s">
        <v>4490</v>
      </c>
      <c r="N6051" s="1" t="s">
        <v>1771</v>
      </c>
      <c r="P6051" s="1" t="s">
        <v>1776</v>
      </c>
      <c r="Q6051" s="30" t="s">
        <v>2567</v>
      </c>
      <c r="R6051" s="33" t="s">
        <v>3474</v>
      </c>
      <c r="S6051">
        <v>35</v>
      </c>
      <c r="T6051" s="1" t="s">
        <v>5416</v>
      </c>
      <c r="U6051" s="1" t="str">
        <f>HYPERLINK("http://ictvonline.org/taxonomy/p/taxonomy-history?taxnode_id=202105254","ICTVonline=202105254")</f>
        <v>ICTVonline=202105254</v>
      </c>
    </row>
    <row r="6052" spans="1:21" x14ac:dyDescent="0.2">
      <c r="A6052" s="3">
        <v>6051</v>
      </c>
      <c r="B6052" s="1" t="s">
        <v>4226</v>
      </c>
      <c r="D6052" s="1" t="s">
        <v>5412</v>
      </c>
      <c r="F6052" s="1" t="s">
        <v>5430</v>
      </c>
      <c r="H6052" s="1" t="s">
        <v>5458</v>
      </c>
      <c r="J6052" s="1" t="s">
        <v>5459</v>
      </c>
      <c r="L6052" s="1" t="s">
        <v>739</v>
      </c>
      <c r="M6052" s="1" t="s">
        <v>4490</v>
      </c>
      <c r="N6052" s="1" t="s">
        <v>1771</v>
      </c>
      <c r="P6052" s="1" t="s">
        <v>1799</v>
      </c>
      <c r="Q6052" s="30" t="s">
        <v>2567</v>
      </c>
      <c r="R6052" s="33" t="s">
        <v>3474</v>
      </c>
      <c r="S6052">
        <v>35</v>
      </c>
      <c r="T6052" s="1" t="s">
        <v>5416</v>
      </c>
      <c r="U6052" s="1" t="str">
        <f>HYPERLINK("http://ictvonline.org/taxonomy/p/taxonomy-history?taxnode_id=202105255","ICTVonline=202105255")</f>
        <v>ICTVonline=202105255</v>
      </c>
    </row>
    <row r="6053" spans="1:21" x14ac:dyDescent="0.2">
      <c r="A6053" s="3">
        <v>6052</v>
      </c>
      <c r="B6053" s="1" t="s">
        <v>4226</v>
      </c>
      <c r="D6053" s="1" t="s">
        <v>5412</v>
      </c>
      <c r="F6053" s="1" t="s">
        <v>5430</v>
      </c>
      <c r="H6053" s="1" t="s">
        <v>5458</v>
      </c>
      <c r="J6053" s="1" t="s">
        <v>5459</v>
      </c>
      <c r="L6053" s="1" t="s">
        <v>739</v>
      </c>
      <c r="M6053" s="1" t="s">
        <v>4490</v>
      </c>
      <c r="N6053" s="1" t="s">
        <v>1771</v>
      </c>
      <c r="P6053" s="1" t="s">
        <v>1800</v>
      </c>
      <c r="Q6053" s="30" t="s">
        <v>2567</v>
      </c>
      <c r="R6053" s="33" t="s">
        <v>3474</v>
      </c>
      <c r="S6053">
        <v>35</v>
      </c>
      <c r="T6053" s="1" t="s">
        <v>5416</v>
      </c>
      <c r="U6053" s="1" t="str">
        <f>HYPERLINK("http://ictvonline.org/taxonomy/p/taxonomy-history?taxnode_id=202105256","ICTVonline=202105256")</f>
        <v>ICTVonline=202105256</v>
      </c>
    </row>
    <row r="6054" spans="1:21" x14ac:dyDescent="0.2">
      <c r="A6054" s="3">
        <v>6053</v>
      </c>
      <c r="B6054" s="1" t="s">
        <v>4226</v>
      </c>
      <c r="D6054" s="1" t="s">
        <v>5412</v>
      </c>
      <c r="F6054" s="1" t="s">
        <v>5430</v>
      </c>
      <c r="H6054" s="1" t="s">
        <v>5458</v>
      </c>
      <c r="J6054" s="1" t="s">
        <v>5459</v>
      </c>
      <c r="L6054" s="1" t="s">
        <v>739</v>
      </c>
      <c r="M6054" s="1" t="s">
        <v>4490</v>
      </c>
      <c r="N6054" s="1" t="s">
        <v>1771</v>
      </c>
      <c r="P6054" s="1" t="s">
        <v>1801</v>
      </c>
      <c r="Q6054" s="30" t="s">
        <v>2567</v>
      </c>
      <c r="R6054" s="33" t="s">
        <v>3474</v>
      </c>
      <c r="S6054">
        <v>35</v>
      </c>
      <c r="T6054" s="1" t="s">
        <v>5416</v>
      </c>
      <c r="U6054" s="1" t="str">
        <f>HYPERLINK("http://ictvonline.org/taxonomy/p/taxonomy-history?taxnode_id=202105257","ICTVonline=202105257")</f>
        <v>ICTVonline=202105257</v>
      </c>
    </row>
    <row r="6055" spans="1:21" x14ac:dyDescent="0.2">
      <c r="A6055" s="3">
        <v>6054</v>
      </c>
      <c r="B6055" s="1" t="s">
        <v>4226</v>
      </c>
      <c r="D6055" s="1" t="s">
        <v>5412</v>
      </c>
      <c r="F6055" s="1" t="s">
        <v>5430</v>
      </c>
      <c r="H6055" s="1" t="s">
        <v>5458</v>
      </c>
      <c r="J6055" s="1" t="s">
        <v>5459</v>
      </c>
      <c r="L6055" s="1" t="s">
        <v>739</v>
      </c>
      <c r="M6055" s="1" t="s">
        <v>4490</v>
      </c>
      <c r="N6055" s="1" t="s">
        <v>1771</v>
      </c>
      <c r="P6055" s="1" t="s">
        <v>1802</v>
      </c>
      <c r="Q6055" s="30" t="s">
        <v>2567</v>
      </c>
      <c r="R6055" s="33" t="s">
        <v>3474</v>
      </c>
      <c r="S6055">
        <v>35</v>
      </c>
      <c r="T6055" s="1" t="s">
        <v>5416</v>
      </c>
      <c r="U6055" s="1" t="str">
        <f>HYPERLINK("http://ictvonline.org/taxonomy/p/taxonomy-history?taxnode_id=202105258","ICTVonline=202105258")</f>
        <v>ICTVonline=202105258</v>
      </c>
    </row>
    <row r="6056" spans="1:21" x14ac:dyDescent="0.2">
      <c r="A6056" s="3">
        <v>6055</v>
      </c>
      <c r="B6056" s="1" t="s">
        <v>4226</v>
      </c>
      <c r="D6056" s="1" t="s">
        <v>5412</v>
      </c>
      <c r="F6056" s="1" t="s">
        <v>5430</v>
      </c>
      <c r="H6056" s="1" t="s">
        <v>5458</v>
      </c>
      <c r="J6056" s="1" t="s">
        <v>5459</v>
      </c>
      <c r="L6056" s="1" t="s">
        <v>739</v>
      </c>
      <c r="M6056" s="1" t="s">
        <v>4490</v>
      </c>
      <c r="N6056" s="1" t="s">
        <v>1771</v>
      </c>
      <c r="P6056" s="1" t="s">
        <v>1803</v>
      </c>
      <c r="Q6056" s="30" t="s">
        <v>2567</v>
      </c>
      <c r="R6056" s="33" t="s">
        <v>3474</v>
      </c>
      <c r="S6056">
        <v>35</v>
      </c>
      <c r="T6056" s="1" t="s">
        <v>5416</v>
      </c>
      <c r="U6056" s="1" t="str">
        <f>HYPERLINK("http://ictvonline.org/taxonomy/p/taxonomy-history?taxnode_id=202105259","ICTVonline=202105259")</f>
        <v>ICTVonline=202105259</v>
      </c>
    </row>
    <row r="6057" spans="1:21" x14ac:dyDescent="0.2">
      <c r="A6057" s="3">
        <v>6056</v>
      </c>
      <c r="B6057" s="1" t="s">
        <v>4226</v>
      </c>
      <c r="D6057" s="1" t="s">
        <v>5412</v>
      </c>
      <c r="F6057" s="1" t="s">
        <v>5430</v>
      </c>
      <c r="H6057" s="1" t="s">
        <v>5458</v>
      </c>
      <c r="J6057" s="1" t="s">
        <v>5459</v>
      </c>
      <c r="L6057" s="1" t="s">
        <v>739</v>
      </c>
      <c r="M6057" s="1" t="s">
        <v>4490</v>
      </c>
      <c r="N6057" s="1" t="s">
        <v>1771</v>
      </c>
      <c r="P6057" s="1" t="s">
        <v>1804</v>
      </c>
      <c r="Q6057" s="30" t="s">
        <v>2567</v>
      </c>
      <c r="R6057" s="33" t="s">
        <v>3474</v>
      </c>
      <c r="S6057">
        <v>35</v>
      </c>
      <c r="T6057" s="1" t="s">
        <v>5416</v>
      </c>
      <c r="U6057" s="1" t="str">
        <f>HYPERLINK("http://ictvonline.org/taxonomy/p/taxonomy-history?taxnode_id=202105260","ICTVonline=202105260")</f>
        <v>ICTVonline=202105260</v>
      </c>
    </row>
    <row r="6058" spans="1:21" x14ac:dyDescent="0.2">
      <c r="A6058" s="3">
        <v>6057</v>
      </c>
      <c r="B6058" s="1" t="s">
        <v>4226</v>
      </c>
      <c r="D6058" s="1" t="s">
        <v>5412</v>
      </c>
      <c r="F6058" s="1" t="s">
        <v>5430</v>
      </c>
      <c r="H6058" s="1" t="s">
        <v>5458</v>
      </c>
      <c r="J6058" s="1" t="s">
        <v>5459</v>
      </c>
      <c r="L6058" s="1" t="s">
        <v>739</v>
      </c>
      <c r="M6058" s="1" t="s">
        <v>4490</v>
      </c>
      <c r="N6058" s="1" t="s">
        <v>1771</v>
      </c>
      <c r="P6058" s="1" t="s">
        <v>1805</v>
      </c>
      <c r="Q6058" s="30" t="s">
        <v>2567</v>
      </c>
      <c r="R6058" s="33" t="s">
        <v>3474</v>
      </c>
      <c r="S6058">
        <v>35</v>
      </c>
      <c r="T6058" s="1" t="s">
        <v>5416</v>
      </c>
      <c r="U6058" s="1" t="str">
        <f>HYPERLINK("http://ictvonline.org/taxonomy/p/taxonomy-history?taxnode_id=202105261","ICTVonline=202105261")</f>
        <v>ICTVonline=202105261</v>
      </c>
    </row>
    <row r="6059" spans="1:21" x14ac:dyDescent="0.2">
      <c r="A6059" s="3">
        <v>6058</v>
      </c>
      <c r="B6059" s="1" t="s">
        <v>4226</v>
      </c>
      <c r="D6059" s="1" t="s">
        <v>5412</v>
      </c>
      <c r="F6059" s="1" t="s">
        <v>5430</v>
      </c>
      <c r="H6059" s="1" t="s">
        <v>5458</v>
      </c>
      <c r="J6059" s="1" t="s">
        <v>5459</v>
      </c>
      <c r="L6059" s="1" t="s">
        <v>739</v>
      </c>
      <c r="M6059" s="1" t="s">
        <v>4490</v>
      </c>
      <c r="N6059" s="1" t="s">
        <v>1771</v>
      </c>
      <c r="P6059" s="1" t="s">
        <v>1806</v>
      </c>
      <c r="Q6059" s="30" t="s">
        <v>2567</v>
      </c>
      <c r="R6059" s="33" t="s">
        <v>3474</v>
      </c>
      <c r="S6059">
        <v>35</v>
      </c>
      <c r="T6059" s="1" t="s">
        <v>5416</v>
      </c>
      <c r="U6059" s="1" t="str">
        <f>HYPERLINK("http://ictvonline.org/taxonomy/p/taxonomy-history?taxnode_id=202105262","ICTVonline=202105262")</f>
        <v>ICTVonline=202105262</v>
      </c>
    </row>
    <row r="6060" spans="1:21" x14ac:dyDescent="0.2">
      <c r="A6060" s="3">
        <v>6059</v>
      </c>
      <c r="B6060" s="1" t="s">
        <v>4226</v>
      </c>
      <c r="D6060" s="1" t="s">
        <v>5412</v>
      </c>
      <c r="F6060" s="1" t="s">
        <v>5430</v>
      </c>
      <c r="H6060" s="1" t="s">
        <v>5458</v>
      </c>
      <c r="J6060" s="1" t="s">
        <v>5459</v>
      </c>
      <c r="L6060" s="1" t="s">
        <v>739</v>
      </c>
      <c r="M6060" s="1" t="s">
        <v>4490</v>
      </c>
      <c r="N6060" s="1" t="s">
        <v>1771</v>
      </c>
      <c r="P6060" s="1" t="s">
        <v>837</v>
      </c>
      <c r="Q6060" s="30" t="s">
        <v>2567</v>
      </c>
      <c r="R6060" s="33" t="s">
        <v>3474</v>
      </c>
      <c r="S6060">
        <v>35</v>
      </c>
      <c r="T6060" s="1" t="s">
        <v>5416</v>
      </c>
      <c r="U6060" s="1" t="str">
        <f>HYPERLINK("http://ictvonline.org/taxonomy/p/taxonomy-history?taxnode_id=202105263","ICTVonline=202105263")</f>
        <v>ICTVonline=202105263</v>
      </c>
    </row>
    <row r="6061" spans="1:21" x14ac:dyDescent="0.2">
      <c r="A6061" s="3">
        <v>6060</v>
      </c>
      <c r="B6061" s="1" t="s">
        <v>4226</v>
      </c>
      <c r="D6061" s="1" t="s">
        <v>5412</v>
      </c>
      <c r="F6061" s="1" t="s">
        <v>5430</v>
      </c>
      <c r="H6061" s="1" t="s">
        <v>5458</v>
      </c>
      <c r="J6061" s="1" t="s">
        <v>5459</v>
      </c>
      <c r="L6061" s="1" t="s">
        <v>739</v>
      </c>
      <c r="M6061" s="1" t="s">
        <v>4490</v>
      </c>
      <c r="N6061" s="1" t="s">
        <v>1771</v>
      </c>
      <c r="P6061" s="1" t="s">
        <v>12857</v>
      </c>
      <c r="Q6061" s="30" t="s">
        <v>2567</v>
      </c>
      <c r="R6061" s="33" t="s">
        <v>3475</v>
      </c>
      <c r="S6061">
        <v>36</v>
      </c>
      <c r="T6061" s="1" t="s">
        <v>12858</v>
      </c>
      <c r="U6061" s="1" t="str">
        <f>HYPERLINK("http://ictvonline.org/taxonomy/p/taxonomy-history?taxnode_id=202105264","ICTVonline=202105264")</f>
        <v>ICTVonline=202105264</v>
      </c>
    </row>
    <row r="6062" spans="1:21" x14ac:dyDescent="0.2">
      <c r="A6062" s="3">
        <v>6061</v>
      </c>
      <c r="B6062" s="1" t="s">
        <v>4226</v>
      </c>
      <c r="D6062" s="1" t="s">
        <v>5412</v>
      </c>
      <c r="F6062" s="1" t="s">
        <v>5430</v>
      </c>
      <c r="H6062" s="1" t="s">
        <v>5458</v>
      </c>
      <c r="J6062" s="1" t="s">
        <v>5459</v>
      </c>
      <c r="L6062" s="1" t="s">
        <v>739</v>
      </c>
      <c r="M6062" s="1" t="s">
        <v>4490</v>
      </c>
      <c r="N6062" s="1" t="s">
        <v>1771</v>
      </c>
      <c r="P6062" s="1" t="s">
        <v>1782</v>
      </c>
      <c r="Q6062" s="30" t="s">
        <v>2567</v>
      </c>
      <c r="R6062" s="33" t="s">
        <v>8665</v>
      </c>
      <c r="S6062">
        <v>36</v>
      </c>
      <c r="T6062" s="1" t="s">
        <v>8661</v>
      </c>
      <c r="U6062" s="1" t="str">
        <f>HYPERLINK("http://ictvonline.org/taxonomy/p/taxonomy-history?taxnode_id=202105265","ICTVonline=202105265")</f>
        <v>ICTVonline=202105265</v>
      </c>
    </row>
    <row r="6063" spans="1:21" x14ac:dyDescent="0.2">
      <c r="A6063" s="3">
        <v>6062</v>
      </c>
      <c r="B6063" s="1" t="s">
        <v>4226</v>
      </c>
      <c r="D6063" s="1" t="s">
        <v>5412</v>
      </c>
      <c r="F6063" s="1" t="s">
        <v>5430</v>
      </c>
      <c r="H6063" s="1" t="s">
        <v>5458</v>
      </c>
      <c r="J6063" s="1" t="s">
        <v>5459</v>
      </c>
      <c r="L6063" s="1" t="s">
        <v>739</v>
      </c>
      <c r="M6063" s="1" t="s">
        <v>4490</v>
      </c>
      <c r="N6063" s="1" t="s">
        <v>12859</v>
      </c>
      <c r="P6063" s="1" t="s">
        <v>12860</v>
      </c>
      <c r="Q6063" s="30" t="s">
        <v>2567</v>
      </c>
      <c r="R6063" s="33" t="s">
        <v>3472</v>
      </c>
      <c r="S6063">
        <v>37</v>
      </c>
      <c r="T6063" s="1" t="s">
        <v>14002</v>
      </c>
      <c r="U6063" s="1" t="str">
        <f>HYPERLINK("http://ictvonline.org/taxonomy/p/taxonomy-history?taxnode_id=202113879","ICTVonline=202113879")</f>
        <v>ICTVonline=202113879</v>
      </c>
    </row>
    <row r="6064" spans="1:21" x14ac:dyDescent="0.2">
      <c r="A6064" s="3">
        <v>6063</v>
      </c>
      <c r="B6064" s="1" t="s">
        <v>4226</v>
      </c>
      <c r="D6064" s="1" t="s">
        <v>5412</v>
      </c>
      <c r="F6064" s="1" t="s">
        <v>5430</v>
      </c>
      <c r="H6064" s="1" t="s">
        <v>5458</v>
      </c>
      <c r="J6064" s="1" t="s">
        <v>5459</v>
      </c>
      <c r="L6064" s="1" t="s">
        <v>739</v>
      </c>
      <c r="M6064" s="1" t="s">
        <v>4490</v>
      </c>
      <c r="N6064" s="1" t="s">
        <v>12859</v>
      </c>
      <c r="P6064" s="1" t="s">
        <v>12861</v>
      </c>
      <c r="Q6064" s="30" t="s">
        <v>2567</v>
      </c>
      <c r="R6064" s="33" t="s">
        <v>3473</v>
      </c>
      <c r="S6064">
        <v>37</v>
      </c>
      <c r="T6064" s="1" t="s">
        <v>14002</v>
      </c>
      <c r="U6064" s="1" t="str">
        <f>HYPERLINK("http://ictvonline.org/taxonomy/p/taxonomy-history?taxnode_id=202105281","ICTVonline=202105281")</f>
        <v>ICTVonline=202105281</v>
      </c>
    </row>
    <row r="6065" spans="1:21" x14ac:dyDescent="0.2">
      <c r="A6065" s="3">
        <v>6064</v>
      </c>
      <c r="B6065" s="1" t="s">
        <v>4226</v>
      </c>
      <c r="D6065" s="1" t="s">
        <v>5412</v>
      </c>
      <c r="F6065" s="1" t="s">
        <v>5430</v>
      </c>
      <c r="H6065" s="1" t="s">
        <v>5458</v>
      </c>
      <c r="J6065" s="1" t="s">
        <v>5459</v>
      </c>
      <c r="L6065" s="1" t="s">
        <v>739</v>
      </c>
      <c r="M6065" s="1" t="s">
        <v>4490</v>
      </c>
      <c r="N6065" s="1" t="s">
        <v>2129</v>
      </c>
      <c r="P6065" s="1" t="s">
        <v>1866</v>
      </c>
      <c r="Q6065" s="30" t="s">
        <v>2567</v>
      </c>
      <c r="R6065" s="33" t="s">
        <v>8665</v>
      </c>
      <c r="S6065">
        <v>36</v>
      </c>
      <c r="T6065" s="1" t="s">
        <v>8661</v>
      </c>
      <c r="U6065" s="1" t="str">
        <f>HYPERLINK("http://ictvonline.org/taxonomy/p/taxonomy-history?taxnode_id=202105284","ICTVonline=202105284")</f>
        <v>ICTVonline=202105284</v>
      </c>
    </row>
    <row r="6066" spans="1:21" x14ac:dyDescent="0.2">
      <c r="A6066" s="3">
        <v>6065</v>
      </c>
      <c r="B6066" s="1" t="s">
        <v>4226</v>
      </c>
      <c r="D6066" s="1" t="s">
        <v>5412</v>
      </c>
      <c r="F6066" s="1" t="s">
        <v>5430</v>
      </c>
      <c r="H6066" s="1" t="s">
        <v>5458</v>
      </c>
      <c r="J6066" s="1" t="s">
        <v>5459</v>
      </c>
      <c r="L6066" s="1" t="s">
        <v>739</v>
      </c>
      <c r="M6066" s="1" t="s">
        <v>4490</v>
      </c>
      <c r="P6066" s="1" t="s">
        <v>745</v>
      </c>
      <c r="Q6066" s="30" t="s">
        <v>2567</v>
      </c>
      <c r="R6066" s="33" t="s">
        <v>3474</v>
      </c>
      <c r="S6066">
        <v>35</v>
      </c>
      <c r="T6066" s="1" t="s">
        <v>5416</v>
      </c>
      <c r="U6066" s="1" t="str">
        <f>HYPERLINK("http://ictvonline.org/taxonomy/p/taxonomy-history?taxnode_id=202105277","ICTVonline=202105277")</f>
        <v>ICTVonline=202105277</v>
      </c>
    </row>
    <row r="6067" spans="1:21" x14ac:dyDescent="0.2">
      <c r="A6067" s="3">
        <v>6066</v>
      </c>
      <c r="B6067" s="1" t="s">
        <v>4226</v>
      </c>
      <c r="D6067" s="1" t="s">
        <v>5412</v>
      </c>
      <c r="F6067" s="1" t="s">
        <v>5430</v>
      </c>
      <c r="H6067" s="1" t="s">
        <v>5458</v>
      </c>
      <c r="J6067" s="1" t="s">
        <v>5459</v>
      </c>
      <c r="L6067" s="1" t="s">
        <v>739</v>
      </c>
      <c r="M6067" s="1" t="s">
        <v>4490</v>
      </c>
      <c r="P6067" s="1" t="s">
        <v>747</v>
      </c>
      <c r="Q6067" s="30" t="s">
        <v>2567</v>
      </c>
      <c r="R6067" s="33" t="s">
        <v>3474</v>
      </c>
      <c r="S6067">
        <v>35</v>
      </c>
      <c r="T6067" s="1" t="s">
        <v>5416</v>
      </c>
      <c r="U6067" s="1" t="str">
        <f>HYPERLINK("http://ictvonline.org/taxonomy/p/taxonomy-history?taxnode_id=202105278","ICTVonline=202105278")</f>
        <v>ICTVonline=202105278</v>
      </c>
    </row>
    <row r="6068" spans="1:21" x14ac:dyDescent="0.2">
      <c r="A6068" s="3">
        <v>6067</v>
      </c>
      <c r="B6068" s="1" t="s">
        <v>4226</v>
      </c>
      <c r="D6068" s="1" t="s">
        <v>5412</v>
      </c>
      <c r="F6068" s="1" t="s">
        <v>5430</v>
      </c>
      <c r="H6068" s="1" t="s">
        <v>5458</v>
      </c>
      <c r="J6068" s="1" t="s">
        <v>5459</v>
      </c>
      <c r="L6068" s="1" t="s">
        <v>739</v>
      </c>
      <c r="M6068" s="1" t="s">
        <v>4490</v>
      </c>
      <c r="P6068" s="1" t="s">
        <v>824</v>
      </c>
      <c r="Q6068" s="30" t="s">
        <v>2567</v>
      </c>
      <c r="R6068" s="33" t="s">
        <v>3474</v>
      </c>
      <c r="S6068">
        <v>35</v>
      </c>
      <c r="T6068" s="1" t="s">
        <v>5416</v>
      </c>
      <c r="U6068" s="1" t="str">
        <f>HYPERLINK("http://ictvonline.org/taxonomy/p/taxonomy-history?taxnode_id=202105279","ICTVonline=202105279")</f>
        <v>ICTVonline=202105279</v>
      </c>
    </row>
    <row r="6069" spans="1:21" x14ac:dyDescent="0.2">
      <c r="A6069" s="3">
        <v>6068</v>
      </c>
      <c r="B6069" s="1" t="s">
        <v>4226</v>
      </c>
      <c r="D6069" s="1" t="s">
        <v>5412</v>
      </c>
      <c r="F6069" s="1" t="s">
        <v>5430</v>
      </c>
      <c r="H6069" s="1" t="s">
        <v>5458</v>
      </c>
      <c r="J6069" s="1" t="s">
        <v>5459</v>
      </c>
      <c r="L6069" s="1" t="s">
        <v>739</v>
      </c>
      <c r="M6069" s="1" t="s">
        <v>4490</v>
      </c>
      <c r="P6069" s="1" t="s">
        <v>1281</v>
      </c>
      <c r="Q6069" s="30" t="s">
        <v>2567</v>
      </c>
      <c r="R6069" s="33" t="s">
        <v>3474</v>
      </c>
      <c r="S6069">
        <v>35</v>
      </c>
      <c r="T6069" s="1" t="s">
        <v>5416</v>
      </c>
      <c r="U6069" s="1" t="str">
        <f>HYPERLINK("http://ictvonline.org/taxonomy/p/taxonomy-history?taxnode_id=202105280","ICTVonline=202105280")</f>
        <v>ICTVonline=202105280</v>
      </c>
    </row>
    <row r="6070" spans="1:21" x14ac:dyDescent="0.2">
      <c r="A6070" s="3">
        <v>6069</v>
      </c>
      <c r="B6070" s="1" t="s">
        <v>4226</v>
      </c>
      <c r="D6070" s="1" t="s">
        <v>5412</v>
      </c>
      <c r="F6070" s="1" t="s">
        <v>5430</v>
      </c>
      <c r="H6070" s="1" t="s">
        <v>5458</v>
      </c>
      <c r="J6070" s="1" t="s">
        <v>5459</v>
      </c>
      <c r="L6070" s="1" t="s">
        <v>739</v>
      </c>
      <c r="M6070" s="1" t="s">
        <v>4490</v>
      </c>
      <c r="P6070" s="1" t="s">
        <v>1173</v>
      </c>
      <c r="Q6070" s="30" t="s">
        <v>2567</v>
      </c>
      <c r="R6070" s="33" t="s">
        <v>3474</v>
      </c>
      <c r="S6070">
        <v>35</v>
      </c>
      <c r="T6070" s="1" t="s">
        <v>5416</v>
      </c>
      <c r="U6070" s="1" t="str">
        <f>HYPERLINK("http://ictvonline.org/taxonomy/p/taxonomy-history?taxnode_id=202105282","ICTVonline=202105282")</f>
        <v>ICTVonline=202105282</v>
      </c>
    </row>
    <row r="6071" spans="1:21" x14ac:dyDescent="0.2">
      <c r="A6071" s="3">
        <v>6070</v>
      </c>
      <c r="B6071" s="1" t="s">
        <v>4226</v>
      </c>
      <c r="D6071" s="1" t="s">
        <v>5412</v>
      </c>
      <c r="F6071" s="1" t="s">
        <v>5430</v>
      </c>
      <c r="H6071" s="1" t="s">
        <v>5458</v>
      </c>
      <c r="J6071" s="1" t="s">
        <v>5459</v>
      </c>
      <c r="L6071" s="1" t="s">
        <v>739</v>
      </c>
      <c r="M6071" s="1" t="s">
        <v>4494</v>
      </c>
      <c r="N6071" s="1" t="s">
        <v>1174</v>
      </c>
      <c r="P6071" s="1" t="s">
        <v>1175</v>
      </c>
      <c r="Q6071" s="30" t="s">
        <v>2567</v>
      </c>
      <c r="R6071" s="33" t="s">
        <v>8665</v>
      </c>
      <c r="S6071">
        <v>36</v>
      </c>
      <c r="T6071" s="1" t="s">
        <v>8661</v>
      </c>
      <c r="U6071" s="1" t="str">
        <f>HYPERLINK("http://ictvonline.org/taxonomy/p/taxonomy-history?taxnode_id=202105224","ICTVonline=202105224")</f>
        <v>ICTVonline=202105224</v>
      </c>
    </row>
    <row r="6072" spans="1:21" x14ac:dyDescent="0.2">
      <c r="A6072" s="3">
        <v>6071</v>
      </c>
      <c r="B6072" s="1" t="s">
        <v>4226</v>
      </c>
      <c r="D6072" s="1" t="s">
        <v>5412</v>
      </c>
      <c r="F6072" s="1" t="s">
        <v>5430</v>
      </c>
      <c r="H6072" s="1" t="s">
        <v>5458</v>
      </c>
      <c r="J6072" s="1" t="s">
        <v>5459</v>
      </c>
      <c r="L6072" s="1" t="s">
        <v>739</v>
      </c>
      <c r="M6072" s="1" t="s">
        <v>4494</v>
      </c>
      <c r="N6072" s="1" t="s">
        <v>1174</v>
      </c>
      <c r="P6072" s="1" t="s">
        <v>1176</v>
      </c>
      <c r="Q6072" s="30" t="s">
        <v>2567</v>
      </c>
      <c r="R6072" s="33" t="s">
        <v>3474</v>
      </c>
      <c r="S6072">
        <v>35</v>
      </c>
      <c r="T6072" s="1" t="s">
        <v>5416</v>
      </c>
      <c r="U6072" s="1" t="str">
        <f>HYPERLINK("http://ictvonline.org/taxonomy/p/taxonomy-history?taxnode_id=202105225","ICTVonline=202105225")</f>
        <v>ICTVonline=202105225</v>
      </c>
    </row>
    <row r="6073" spans="1:21" x14ac:dyDescent="0.2">
      <c r="A6073" s="3">
        <v>6072</v>
      </c>
      <c r="B6073" s="1" t="s">
        <v>4226</v>
      </c>
      <c r="D6073" s="1" t="s">
        <v>5412</v>
      </c>
      <c r="F6073" s="1" t="s">
        <v>5430</v>
      </c>
      <c r="H6073" s="1" t="s">
        <v>5458</v>
      </c>
      <c r="J6073" s="1" t="s">
        <v>5459</v>
      </c>
      <c r="L6073" s="1" t="s">
        <v>739</v>
      </c>
      <c r="M6073" s="1" t="s">
        <v>4494</v>
      </c>
      <c r="N6073" s="1" t="s">
        <v>1174</v>
      </c>
      <c r="P6073" s="1" t="s">
        <v>1177</v>
      </c>
      <c r="Q6073" s="30" t="s">
        <v>2567</v>
      </c>
      <c r="R6073" s="33" t="s">
        <v>3474</v>
      </c>
      <c r="S6073">
        <v>35</v>
      </c>
      <c r="T6073" s="1" t="s">
        <v>5416</v>
      </c>
      <c r="U6073" s="1" t="str">
        <f>HYPERLINK("http://ictvonline.org/taxonomy/p/taxonomy-history?taxnode_id=202105226","ICTVonline=202105226")</f>
        <v>ICTVonline=202105226</v>
      </c>
    </row>
    <row r="6074" spans="1:21" x14ac:dyDescent="0.2">
      <c r="A6074" s="3">
        <v>6073</v>
      </c>
      <c r="B6074" s="1" t="s">
        <v>4226</v>
      </c>
      <c r="D6074" s="1" t="s">
        <v>5412</v>
      </c>
      <c r="F6074" s="1" t="s">
        <v>5430</v>
      </c>
      <c r="H6074" s="1" t="s">
        <v>5458</v>
      </c>
      <c r="J6074" s="1" t="s">
        <v>5459</v>
      </c>
      <c r="L6074" s="1" t="s">
        <v>739</v>
      </c>
      <c r="N6074" s="1" t="s">
        <v>1031</v>
      </c>
      <c r="P6074" s="1" t="s">
        <v>5461</v>
      </c>
      <c r="Q6074" s="30" t="s">
        <v>2567</v>
      </c>
      <c r="R6074" s="33" t="s">
        <v>3474</v>
      </c>
      <c r="S6074">
        <v>36</v>
      </c>
      <c r="T6074" s="1" t="s">
        <v>6721</v>
      </c>
      <c r="U6074" s="1" t="str">
        <f>HYPERLINK("http://ictvonline.org/taxonomy/p/taxonomy-history?taxnode_id=202107550","ICTVonline=202107550")</f>
        <v>ICTVonline=202107550</v>
      </c>
    </row>
    <row r="6075" spans="1:21" x14ac:dyDescent="0.2">
      <c r="A6075" s="3">
        <v>6074</v>
      </c>
      <c r="B6075" s="1" t="s">
        <v>4226</v>
      </c>
      <c r="D6075" s="1" t="s">
        <v>5412</v>
      </c>
      <c r="F6075" s="1" t="s">
        <v>5430</v>
      </c>
      <c r="H6075" s="1" t="s">
        <v>5458</v>
      </c>
      <c r="J6075" s="1" t="s">
        <v>5459</v>
      </c>
      <c r="L6075" s="1" t="s">
        <v>739</v>
      </c>
      <c r="N6075" s="1" t="s">
        <v>1031</v>
      </c>
      <c r="P6075" s="1" t="s">
        <v>5462</v>
      </c>
      <c r="Q6075" s="30" t="s">
        <v>2567</v>
      </c>
      <c r="R6075" s="33" t="s">
        <v>3474</v>
      </c>
      <c r="S6075">
        <v>36</v>
      </c>
      <c r="T6075" s="1" t="s">
        <v>6721</v>
      </c>
      <c r="U6075" s="1" t="str">
        <f>HYPERLINK("http://ictvonline.org/taxonomy/p/taxonomy-history?taxnode_id=202107551","ICTVonline=202107551")</f>
        <v>ICTVonline=202107551</v>
      </c>
    </row>
    <row r="6076" spans="1:21" x14ac:dyDescent="0.2">
      <c r="A6076" s="3">
        <v>6075</v>
      </c>
      <c r="B6076" s="1" t="s">
        <v>4226</v>
      </c>
      <c r="D6076" s="1" t="s">
        <v>5412</v>
      </c>
      <c r="F6076" s="1" t="s">
        <v>5430</v>
      </c>
      <c r="H6076" s="1" t="s">
        <v>5458</v>
      </c>
      <c r="J6076" s="1" t="s">
        <v>5459</v>
      </c>
      <c r="L6076" s="1" t="s">
        <v>739</v>
      </c>
      <c r="N6076" s="1" t="s">
        <v>1031</v>
      </c>
      <c r="P6076" s="1" t="s">
        <v>3879</v>
      </c>
      <c r="Q6076" s="30" t="s">
        <v>2567</v>
      </c>
      <c r="R6076" s="33" t="s">
        <v>3474</v>
      </c>
      <c r="S6076">
        <v>36</v>
      </c>
      <c r="T6076" s="1" t="s">
        <v>6721</v>
      </c>
      <c r="U6076" s="1" t="str">
        <f>HYPERLINK("http://ictvonline.org/taxonomy/p/taxonomy-history?taxnode_id=202103765","ICTVonline=202103765")</f>
        <v>ICTVonline=202103765</v>
      </c>
    </row>
    <row r="6077" spans="1:21" x14ac:dyDescent="0.2">
      <c r="A6077" s="3">
        <v>6076</v>
      </c>
      <c r="B6077" s="1" t="s">
        <v>4226</v>
      </c>
      <c r="D6077" s="1" t="s">
        <v>5412</v>
      </c>
      <c r="F6077" s="1" t="s">
        <v>5430</v>
      </c>
      <c r="H6077" s="1" t="s">
        <v>5458</v>
      </c>
      <c r="J6077" s="1" t="s">
        <v>5459</v>
      </c>
      <c r="L6077" s="1" t="s">
        <v>739</v>
      </c>
      <c r="N6077" s="1" t="s">
        <v>1031</v>
      </c>
      <c r="P6077" s="1" t="s">
        <v>3880</v>
      </c>
      <c r="Q6077" s="30" t="s">
        <v>2567</v>
      </c>
      <c r="R6077" s="33" t="s">
        <v>3474</v>
      </c>
      <c r="S6077">
        <v>36</v>
      </c>
      <c r="T6077" s="1" t="s">
        <v>6721</v>
      </c>
      <c r="U6077" s="1" t="str">
        <f>HYPERLINK("http://ictvonline.org/taxonomy/p/taxonomy-history?taxnode_id=202103766","ICTVonline=202103766")</f>
        <v>ICTVonline=202103766</v>
      </c>
    </row>
    <row r="6078" spans="1:21" x14ac:dyDescent="0.2">
      <c r="A6078" s="3">
        <v>6077</v>
      </c>
      <c r="B6078" s="1" t="s">
        <v>4226</v>
      </c>
      <c r="D6078" s="1" t="s">
        <v>5412</v>
      </c>
      <c r="F6078" s="1" t="s">
        <v>5430</v>
      </c>
      <c r="H6078" s="1" t="s">
        <v>5458</v>
      </c>
      <c r="J6078" s="1" t="s">
        <v>5459</v>
      </c>
      <c r="L6078" s="1" t="s">
        <v>739</v>
      </c>
      <c r="N6078" s="1" t="s">
        <v>1031</v>
      </c>
      <c r="P6078" s="1" t="s">
        <v>3881</v>
      </c>
      <c r="Q6078" s="30" t="s">
        <v>2567</v>
      </c>
      <c r="R6078" s="33" t="s">
        <v>3474</v>
      </c>
      <c r="S6078">
        <v>36</v>
      </c>
      <c r="T6078" s="1" t="s">
        <v>8661</v>
      </c>
      <c r="U6078" s="1" t="str">
        <f>HYPERLINK("http://ictvonline.org/taxonomy/p/taxonomy-history?taxnode_id=202103767","ICTVonline=202103767")</f>
        <v>ICTVonline=202103767</v>
      </c>
    </row>
    <row r="6079" spans="1:21" x14ac:dyDescent="0.2">
      <c r="A6079" s="3">
        <v>6078</v>
      </c>
      <c r="B6079" s="1" t="s">
        <v>4226</v>
      </c>
      <c r="D6079" s="1" t="s">
        <v>5412</v>
      </c>
      <c r="F6079" s="1" t="s">
        <v>5430</v>
      </c>
      <c r="H6079" s="1" t="s">
        <v>5458</v>
      </c>
      <c r="J6079" s="1" t="s">
        <v>5459</v>
      </c>
      <c r="L6079" s="1" t="s">
        <v>739</v>
      </c>
      <c r="N6079" s="1" t="s">
        <v>1031</v>
      </c>
      <c r="P6079" s="1" t="s">
        <v>3882</v>
      </c>
      <c r="Q6079" s="30" t="s">
        <v>2567</v>
      </c>
      <c r="R6079" s="33" t="s">
        <v>3474</v>
      </c>
      <c r="S6079">
        <v>36</v>
      </c>
      <c r="T6079" s="1" t="s">
        <v>6721</v>
      </c>
      <c r="U6079" s="1" t="str">
        <f>HYPERLINK("http://ictvonline.org/taxonomy/p/taxonomy-history?taxnode_id=202103768","ICTVonline=202103768")</f>
        <v>ICTVonline=202103768</v>
      </c>
    </row>
    <row r="6080" spans="1:21" x14ac:dyDescent="0.2">
      <c r="A6080" s="3">
        <v>6079</v>
      </c>
      <c r="B6080" s="1" t="s">
        <v>4226</v>
      </c>
      <c r="D6080" s="1" t="s">
        <v>5412</v>
      </c>
      <c r="F6080" s="1" t="s">
        <v>5430</v>
      </c>
      <c r="H6080" s="1" t="s">
        <v>5458</v>
      </c>
      <c r="J6080" s="1" t="s">
        <v>5459</v>
      </c>
      <c r="L6080" s="1" t="s">
        <v>739</v>
      </c>
      <c r="N6080" s="1" t="s">
        <v>1031</v>
      </c>
      <c r="P6080" s="1" t="s">
        <v>3883</v>
      </c>
      <c r="Q6080" s="30" t="s">
        <v>2567</v>
      </c>
      <c r="R6080" s="33" t="s">
        <v>3474</v>
      </c>
      <c r="S6080">
        <v>36</v>
      </c>
      <c r="T6080" s="1" t="s">
        <v>8661</v>
      </c>
      <c r="U6080" s="1" t="str">
        <f>HYPERLINK("http://ictvonline.org/taxonomy/p/taxonomy-history?taxnode_id=202103769","ICTVonline=202103769")</f>
        <v>ICTVonline=202103769</v>
      </c>
    </row>
    <row r="6081" spans="1:21" x14ac:dyDescent="0.2">
      <c r="A6081" s="3">
        <v>6080</v>
      </c>
      <c r="B6081" s="1" t="s">
        <v>4226</v>
      </c>
      <c r="D6081" s="1" t="s">
        <v>5412</v>
      </c>
      <c r="F6081" s="1" t="s">
        <v>5430</v>
      </c>
      <c r="H6081" s="1" t="s">
        <v>5458</v>
      </c>
      <c r="J6081" s="1" t="s">
        <v>5459</v>
      </c>
      <c r="L6081" s="1" t="s">
        <v>739</v>
      </c>
      <c r="N6081" s="1" t="s">
        <v>1031</v>
      </c>
      <c r="P6081" s="1" t="s">
        <v>1515</v>
      </c>
      <c r="Q6081" s="30" t="s">
        <v>2567</v>
      </c>
      <c r="R6081" s="33" t="s">
        <v>3474</v>
      </c>
      <c r="S6081">
        <v>36</v>
      </c>
      <c r="T6081" s="1" t="s">
        <v>6721</v>
      </c>
      <c r="U6081" s="1" t="str">
        <f>HYPERLINK("http://ictvonline.org/taxonomy/p/taxonomy-history?taxnode_id=202103770","ICTVonline=202103770")</f>
        <v>ICTVonline=202103770</v>
      </c>
    </row>
    <row r="6082" spans="1:21" x14ac:dyDescent="0.2">
      <c r="A6082" s="3">
        <v>6081</v>
      </c>
      <c r="B6082" s="1" t="s">
        <v>4226</v>
      </c>
      <c r="D6082" s="1" t="s">
        <v>5412</v>
      </c>
      <c r="F6082" s="1" t="s">
        <v>5430</v>
      </c>
      <c r="H6082" s="1" t="s">
        <v>5458</v>
      </c>
      <c r="J6082" s="1" t="s">
        <v>5459</v>
      </c>
      <c r="L6082" s="1" t="s">
        <v>739</v>
      </c>
      <c r="N6082" s="1" t="s">
        <v>1031</v>
      </c>
      <c r="P6082" s="1" t="s">
        <v>4473</v>
      </c>
      <c r="Q6082" s="30" t="s">
        <v>2567</v>
      </c>
      <c r="R6082" s="33" t="s">
        <v>3474</v>
      </c>
      <c r="S6082">
        <v>36</v>
      </c>
      <c r="T6082" s="1" t="s">
        <v>6721</v>
      </c>
      <c r="U6082" s="1" t="str">
        <f>HYPERLINK("http://ictvonline.org/taxonomy/p/taxonomy-history?taxnode_id=202106618","ICTVonline=202106618")</f>
        <v>ICTVonline=202106618</v>
      </c>
    </row>
    <row r="6083" spans="1:21" x14ac:dyDescent="0.2">
      <c r="A6083" s="3">
        <v>6082</v>
      </c>
      <c r="B6083" s="1" t="s">
        <v>4226</v>
      </c>
      <c r="D6083" s="1" t="s">
        <v>5412</v>
      </c>
      <c r="F6083" s="1" t="s">
        <v>5430</v>
      </c>
      <c r="H6083" s="1" t="s">
        <v>5458</v>
      </c>
      <c r="J6083" s="1" t="s">
        <v>5459</v>
      </c>
      <c r="L6083" s="1" t="s">
        <v>739</v>
      </c>
      <c r="N6083" s="1" t="s">
        <v>1031</v>
      </c>
      <c r="P6083" s="1" t="s">
        <v>4474</v>
      </c>
      <c r="Q6083" s="30" t="s">
        <v>2567</v>
      </c>
      <c r="R6083" s="33" t="s">
        <v>3474</v>
      </c>
      <c r="S6083">
        <v>36</v>
      </c>
      <c r="T6083" s="1" t="s">
        <v>6721</v>
      </c>
      <c r="U6083" s="1" t="str">
        <f>HYPERLINK("http://ictvonline.org/taxonomy/p/taxonomy-history?taxnode_id=202106615","ICTVonline=202106615")</f>
        <v>ICTVonline=202106615</v>
      </c>
    </row>
    <row r="6084" spans="1:21" x14ac:dyDescent="0.2">
      <c r="A6084" s="3">
        <v>6083</v>
      </c>
      <c r="B6084" s="1" t="s">
        <v>4226</v>
      </c>
      <c r="D6084" s="1" t="s">
        <v>5412</v>
      </c>
      <c r="F6084" s="1" t="s">
        <v>5430</v>
      </c>
      <c r="H6084" s="1" t="s">
        <v>5458</v>
      </c>
      <c r="J6084" s="1" t="s">
        <v>5459</v>
      </c>
      <c r="L6084" s="1" t="s">
        <v>739</v>
      </c>
      <c r="N6084" s="1" t="s">
        <v>1031</v>
      </c>
      <c r="P6084" s="1" t="s">
        <v>5463</v>
      </c>
      <c r="Q6084" s="30" t="s">
        <v>2567</v>
      </c>
      <c r="R6084" s="33" t="s">
        <v>3474</v>
      </c>
      <c r="S6084">
        <v>36</v>
      </c>
      <c r="T6084" s="1" t="s">
        <v>6721</v>
      </c>
      <c r="U6084" s="1" t="str">
        <f>HYPERLINK("http://ictvonline.org/taxonomy/p/taxonomy-history?taxnode_id=202107552","ICTVonline=202107552")</f>
        <v>ICTVonline=202107552</v>
      </c>
    </row>
    <row r="6085" spans="1:21" x14ac:dyDescent="0.2">
      <c r="A6085" s="3">
        <v>6084</v>
      </c>
      <c r="B6085" s="1" t="s">
        <v>4226</v>
      </c>
      <c r="D6085" s="1" t="s">
        <v>5412</v>
      </c>
      <c r="F6085" s="1" t="s">
        <v>5430</v>
      </c>
      <c r="H6085" s="1" t="s">
        <v>5458</v>
      </c>
      <c r="J6085" s="1" t="s">
        <v>5459</v>
      </c>
      <c r="L6085" s="1" t="s">
        <v>739</v>
      </c>
      <c r="N6085" s="1" t="s">
        <v>1031</v>
      </c>
      <c r="P6085" s="1" t="s">
        <v>524</v>
      </c>
      <c r="Q6085" s="30" t="s">
        <v>2567</v>
      </c>
      <c r="R6085" s="33" t="s">
        <v>3474</v>
      </c>
      <c r="S6085">
        <v>36</v>
      </c>
      <c r="T6085" s="1" t="s">
        <v>6721</v>
      </c>
      <c r="U6085" s="1" t="str">
        <f>HYPERLINK("http://ictvonline.org/taxonomy/p/taxonomy-history?taxnode_id=202103771","ICTVonline=202103771")</f>
        <v>ICTVonline=202103771</v>
      </c>
    </row>
    <row r="6086" spans="1:21" x14ac:dyDescent="0.2">
      <c r="A6086" s="3">
        <v>6085</v>
      </c>
      <c r="B6086" s="1" t="s">
        <v>4226</v>
      </c>
      <c r="D6086" s="1" t="s">
        <v>5412</v>
      </c>
      <c r="F6086" s="1" t="s">
        <v>5430</v>
      </c>
      <c r="H6086" s="1" t="s">
        <v>5458</v>
      </c>
      <c r="J6086" s="1" t="s">
        <v>5459</v>
      </c>
      <c r="L6086" s="1" t="s">
        <v>739</v>
      </c>
      <c r="N6086" s="1" t="s">
        <v>1031</v>
      </c>
      <c r="P6086" s="1" t="s">
        <v>1032</v>
      </c>
      <c r="Q6086" s="30" t="s">
        <v>2567</v>
      </c>
      <c r="R6086" s="33" t="s">
        <v>3474</v>
      </c>
      <c r="S6086">
        <v>36</v>
      </c>
      <c r="T6086" s="1" t="s">
        <v>6721</v>
      </c>
      <c r="U6086" s="1" t="str">
        <f>HYPERLINK("http://ictvonline.org/taxonomy/p/taxonomy-history?taxnode_id=202103772","ICTVonline=202103772")</f>
        <v>ICTVonline=202103772</v>
      </c>
    </row>
    <row r="6087" spans="1:21" x14ac:dyDescent="0.2">
      <c r="A6087" s="3">
        <v>6086</v>
      </c>
      <c r="B6087" s="1" t="s">
        <v>4226</v>
      </c>
      <c r="D6087" s="1" t="s">
        <v>5412</v>
      </c>
      <c r="F6087" s="1" t="s">
        <v>5466</v>
      </c>
      <c r="H6087" s="1" t="s">
        <v>5467</v>
      </c>
      <c r="J6087" s="1" t="s">
        <v>5468</v>
      </c>
      <c r="L6087" s="1" t="s">
        <v>997</v>
      </c>
      <c r="N6087" s="1" t="s">
        <v>931</v>
      </c>
      <c r="P6087" s="1" t="s">
        <v>932</v>
      </c>
      <c r="Q6087" s="30" t="s">
        <v>2567</v>
      </c>
      <c r="R6087" s="33" t="s">
        <v>8665</v>
      </c>
      <c r="S6087">
        <v>36</v>
      </c>
      <c r="T6087" s="1" t="s">
        <v>8661</v>
      </c>
      <c r="U6087" s="1" t="str">
        <f>HYPERLINK("http://ictvonline.org/taxonomy/p/taxonomy-history?taxnode_id=202103917","ICTVonline=202103917")</f>
        <v>ICTVonline=202103917</v>
      </c>
    </row>
    <row r="6088" spans="1:21" x14ac:dyDescent="0.2">
      <c r="A6088" s="3">
        <v>6087</v>
      </c>
      <c r="B6088" s="1" t="s">
        <v>4226</v>
      </c>
      <c r="D6088" s="1" t="s">
        <v>5412</v>
      </c>
      <c r="F6088" s="1" t="s">
        <v>5466</v>
      </c>
      <c r="H6088" s="1" t="s">
        <v>5467</v>
      </c>
      <c r="J6088" s="1" t="s">
        <v>5468</v>
      </c>
      <c r="L6088" s="1" t="s">
        <v>997</v>
      </c>
      <c r="N6088" s="1" t="s">
        <v>931</v>
      </c>
      <c r="P6088" s="1" t="s">
        <v>998</v>
      </c>
      <c r="Q6088" s="30" t="s">
        <v>2567</v>
      </c>
      <c r="R6088" s="33" t="s">
        <v>3474</v>
      </c>
      <c r="S6088">
        <v>35</v>
      </c>
      <c r="T6088" s="1" t="s">
        <v>5416</v>
      </c>
      <c r="U6088" s="1" t="str">
        <f>HYPERLINK("http://ictvonline.org/taxonomy/p/taxonomy-history?taxnode_id=202103918","ICTVonline=202103918")</f>
        <v>ICTVonline=202103918</v>
      </c>
    </row>
    <row r="6089" spans="1:21" x14ac:dyDescent="0.2">
      <c r="A6089" s="3">
        <v>6088</v>
      </c>
      <c r="B6089" s="1" t="s">
        <v>4226</v>
      </c>
      <c r="D6089" s="1" t="s">
        <v>5412</v>
      </c>
      <c r="F6089" s="1" t="s">
        <v>5466</v>
      </c>
      <c r="H6089" s="1" t="s">
        <v>5469</v>
      </c>
      <c r="J6089" s="1" t="s">
        <v>5470</v>
      </c>
      <c r="L6089" s="1" t="s">
        <v>5471</v>
      </c>
      <c r="N6089" s="1" t="s">
        <v>12862</v>
      </c>
      <c r="P6089" s="1" t="s">
        <v>12863</v>
      </c>
      <c r="Q6089" s="30" t="s">
        <v>2567</v>
      </c>
      <c r="R6089" s="33" t="s">
        <v>3472</v>
      </c>
      <c r="S6089">
        <v>37</v>
      </c>
      <c r="T6089" s="1" t="s">
        <v>14003</v>
      </c>
      <c r="U6089" s="1" t="str">
        <f>HYPERLINK("http://ictvonline.org/taxonomy/p/taxonomy-history?taxnode_id=202113794","ICTVonline=202113794")</f>
        <v>ICTVonline=202113794</v>
      </c>
    </row>
    <row r="6090" spans="1:21" x14ac:dyDescent="0.2">
      <c r="A6090" s="3">
        <v>6089</v>
      </c>
      <c r="B6090" s="1" t="s">
        <v>4226</v>
      </c>
      <c r="D6090" s="1" t="s">
        <v>5412</v>
      </c>
      <c r="F6090" s="1" t="s">
        <v>5466</v>
      </c>
      <c r="H6090" s="1" t="s">
        <v>5469</v>
      </c>
      <c r="J6090" s="1" t="s">
        <v>5470</v>
      </c>
      <c r="L6090" s="1" t="s">
        <v>5471</v>
      </c>
      <c r="N6090" s="1" t="s">
        <v>12862</v>
      </c>
      <c r="P6090" s="1" t="s">
        <v>12864</v>
      </c>
      <c r="Q6090" s="30" t="s">
        <v>2567</v>
      </c>
      <c r="R6090" s="33" t="s">
        <v>3472</v>
      </c>
      <c r="S6090">
        <v>37</v>
      </c>
      <c r="T6090" s="1" t="s">
        <v>14003</v>
      </c>
      <c r="U6090" s="1" t="str">
        <f>HYPERLINK("http://ictvonline.org/taxonomy/p/taxonomy-history?taxnode_id=202113795","ICTVonline=202113795")</f>
        <v>ICTVonline=202113795</v>
      </c>
    </row>
    <row r="6091" spans="1:21" x14ac:dyDescent="0.2">
      <c r="A6091" s="3">
        <v>6090</v>
      </c>
      <c r="B6091" s="1" t="s">
        <v>4226</v>
      </c>
      <c r="D6091" s="1" t="s">
        <v>5412</v>
      </c>
      <c r="F6091" s="1" t="s">
        <v>5466</v>
      </c>
      <c r="H6091" s="1" t="s">
        <v>5469</v>
      </c>
      <c r="J6091" s="1" t="s">
        <v>5470</v>
      </c>
      <c r="L6091" s="1" t="s">
        <v>5471</v>
      </c>
      <c r="N6091" s="1" t="s">
        <v>12862</v>
      </c>
      <c r="P6091" s="1" t="s">
        <v>12865</v>
      </c>
      <c r="Q6091" s="30" t="s">
        <v>2567</v>
      </c>
      <c r="R6091" s="33" t="s">
        <v>3472</v>
      </c>
      <c r="S6091">
        <v>37</v>
      </c>
      <c r="T6091" s="1" t="s">
        <v>14003</v>
      </c>
      <c r="U6091" s="1" t="str">
        <f>HYPERLINK("http://ictvonline.org/taxonomy/p/taxonomy-history?taxnode_id=202113796","ICTVonline=202113796")</f>
        <v>ICTVonline=202113796</v>
      </c>
    </row>
    <row r="6092" spans="1:21" x14ac:dyDescent="0.2">
      <c r="A6092" s="3">
        <v>6091</v>
      </c>
      <c r="B6092" s="1" t="s">
        <v>4226</v>
      </c>
      <c r="D6092" s="1" t="s">
        <v>5412</v>
      </c>
      <c r="F6092" s="1" t="s">
        <v>5466</v>
      </c>
      <c r="H6092" s="1" t="s">
        <v>5469</v>
      </c>
      <c r="J6092" s="1" t="s">
        <v>5470</v>
      </c>
      <c r="L6092" s="1" t="s">
        <v>5471</v>
      </c>
      <c r="N6092" s="1" t="s">
        <v>12862</v>
      </c>
      <c r="P6092" s="1" t="s">
        <v>12866</v>
      </c>
      <c r="Q6092" s="30" t="s">
        <v>2567</v>
      </c>
      <c r="R6092" s="33" t="s">
        <v>3472</v>
      </c>
      <c r="S6092">
        <v>37</v>
      </c>
      <c r="T6092" s="1" t="s">
        <v>14003</v>
      </c>
      <c r="U6092" s="1" t="str">
        <f>HYPERLINK("http://ictvonline.org/taxonomy/p/taxonomy-history?taxnode_id=202113798","ICTVonline=202113798")</f>
        <v>ICTVonline=202113798</v>
      </c>
    </row>
    <row r="6093" spans="1:21" x14ac:dyDescent="0.2">
      <c r="A6093" s="3">
        <v>6092</v>
      </c>
      <c r="B6093" s="1" t="s">
        <v>4226</v>
      </c>
      <c r="D6093" s="1" t="s">
        <v>5412</v>
      </c>
      <c r="F6093" s="1" t="s">
        <v>5466</v>
      </c>
      <c r="H6093" s="1" t="s">
        <v>5469</v>
      </c>
      <c r="J6093" s="1" t="s">
        <v>5470</v>
      </c>
      <c r="L6093" s="1" t="s">
        <v>5471</v>
      </c>
      <c r="N6093" s="1" t="s">
        <v>12862</v>
      </c>
      <c r="P6093" s="1" t="s">
        <v>12867</v>
      </c>
      <c r="Q6093" s="30" t="s">
        <v>2567</v>
      </c>
      <c r="R6093" s="33" t="s">
        <v>3472</v>
      </c>
      <c r="S6093">
        <v>37</v>
      </c>
      <c r="T6093" s="1" t="s">
        <v>14003</v>
      </c>
      <c r="U6093" s="1" t="str">
        <f>HYPERLINK("http://ictvonline.org/taxonomy/p/taxonomy-history?taxnode_id=202113799","ICTVonline=202113799")</f>
        <v>ICTVonline=202113799</v>
      </c>
    </row>
    <row r="6094" spans="1:21" x14ac:dyDescent="0.2">
      <c r="A6094" s="3">
        <v>6093</v>
      </c>
      <c r="B6094" s="1" t="s">
        <v>4226</v>
      </c>
      <c r="D6094" s="1" t="s">
        <v>5412</v>
      </c>
      <c r="F6094" s="1" t="s">
        <v>5466</v>
      </c>
      <c r="H6094" s="1" t="s">
        <v>5469</v>
      </c>
      <c r="J6094" s="1" t="s">
        <v>5470</v>
      </c>
      <c r="L6094" s="1" t="s">
        <v>5471</v>
      </c>
      <c r="N6094" s="1" t="s">
        <v>12862</v>
      </c>
      <c r="P6094" s="1" t="s">
        <v>12868</v>
      </c>
      <c r="Q6094" s="30" t="s">
        <v>2567</v>
      </c>
      <c r="R6094" s="33" t="s">
        <v>3472</v>
      </c>
      <c r="S6094">
        <v>37</v>
      </c>
      <c r="T6094" s="1" t="s">
        <v>14003</v>
      </c>
      <c r="U6094" s="1" t="str">
        <f>HYPERLINK("http://ictvonline.org/taxonomy/p/taxonomy-history?taxnode_id=202113797","ICTVonline=202113797")</f>
        <v>ICTVonline=202113797</v>
      </c>
    </row>
    <row r="6095" spans="1:21" x14ac:dyDescent="0.2">
      <c r="A6095" s="3">
        <v>6094</v>
      </c>
      <c r="B6095" s="1" t="s">
        <v>4226</v>
      </c>
      <c r="D6095" s="1" t="s">
        <v>5412</v>
      </c>
      <c r="F6095" s="1" t="s">
        <v>5466</v>
      </c>
      <c r="H6095" s="1" t="s">
        <v>5469</v>
      </c>
      <c r="J6095" s="1" t="s">
        <v>5470</v>
      </c>
      <c r="L6095" s="1" t="s">
        <v>5471</v>
      </c>
      <c r="N6095" s="1" t="s">
        <v>12862</v>
      </c>
      <c r="P6095" s="1" t="s">
        <v>12869</v>
      </c>
      <c r="Q6095" s="30" t="s">
        <v>2567</v>
      </c>
      <c r="R6095" s="33" t="s">
        <v>3472</v>
      </c>
      <c r="S6095">
        <v>37</v>
      </c>
      <c r="T6095" s="1" t="s">
        <v>14003</v>
      </c>
      <c r="U6095" s="1" t="str">
        <f>HYPERLINK("http://ictvonline.org/taxonomy/p/taxonomy-history?taxnode_id=202113800","ICTVonline=202113800")</f>
        <v>ICTVonline=202113800</v>
      </c>
    </row>
    <row r="6096" spans="1:21" x14ac:dyDescent="0.2">
      <c r="A6096" s="3">
        <v>6095</v>
      </c>
      <c r="B6096" s="1" t="s">
        <v>4226</v>
      </c>
      <c r="D6096" s="1" t="s">
        <v>5412</v>
      </c>
      <c r="F6096" s="1" t="s">
        <v>5466</v>
      </c>
      <c r="H6096" s="1" t="s">
        <v>5469</v>
      </c>
      <c r="J6096" s="1" t="s">
        <v>5470</v>
      </c>
      <c r="L6096" s="1" t="s">
        <v>5471</v>
      </c>
      <c r="N6096" s="1" t="s">
        <v>12862</v>
      </c>
      <c r="P6096" s="1" t="s">
        <v>12870</v>
      </c>
      <c r="Q6096" s="30" t="s">
        <v>2567</v>
      </c>
      <c r="R6096" s="33" t="s">
        <v>3472</v>
      </c>
      <c r="S6096">
        <v>37</v>
      </c>
      <c r="T6096" s="1" t="s">
        <v>14003</v>
      </c>
      <c r="U6096" s="1" t="str">
        <f>HYPERLINK("http://ictvonline.org/taxonomy/p/taxonomy-history?taxnode_id=202113801","ICTVonline=202113801")</f>
        <v>ICTVonline=202113801</v>
      </c>
    </row>
    <row r="6097" spans="1:21" x14ac:dyDescent="0.2">
      <c r="A6097" s="3">
        <v>6096</v>
      </c>
      <c r="B6097" s="1" t="s">
        <v>4226</v>
      </c>
      <c r="D6097" s="1" t="s">
        <v>5412</v>
      </c>
      <c r="F6097" s="1" t="s">
        <v>5466</v>
      </c>
      <c r="H6097" s="1" t="s">
        <v>5469</v>
      </c>
      <c r="J6097" s="1" t="s">
        <v>5470</v>
      </c>
      <c r="L6097" s="1" t="s">
        <v>5471</v>
      </c>
      <c r="N6097" s="1" t="s">
        <v>12862</v>
      </c>
      <c r="P6097" s="1" t="s">
        <v>12871</v>
      </c>
      <c r="Q6097" s="30" t="s">
        <v>2567</v>
      </c>
      <c r="R6097" s="33" t="s">
        <v>3472</v>
      </c>
      <c r="S6097">
        <v>37</v>
      </c>
      <c r="T6097" s="1" t="s">
        <v>14003</v>
      </c>
      <c r="U6097" s="1" t="str">
        <f>HYPERLINK("http://ictvonline.org/taxonomy/p/taxonomy-history?taxnode_id=202113802","ICTVonline=202113802")</f>
        <v>ICTVonline=202113802</v>
      </c>
    </row>
    <row r="6098" spans="1:21" x14ac:dyDescent="0.2">
      <c r="A6098" s="3">
        <v>6097</v>
      </c>
      <c r="B6098" s="1" t="s">
        <v>4226</v>
      </c>
      <c r="D6098" s="1" t="s">
        <v>5412</v>
      </c>
      <c r="F6098" s="1" t="s">
        <v>5466</v>
      </c>
      <c r="H6098" s="1" t="s">
        <v>5469</v>
      </c>
      <c r="J6098" s="1" t="s">
        <v>5470</v>
      </c>
      <c r="L6098" s="1" t="s">
        <v>5471</v>
      </c>
      <c r="N6098" s="1" t="s">
        <v>12862</v>
      </c>
      <c r="P6098" s="1" t="s">
        <v>12872</v>
      </c>
      <c r="Q6098" s="30" t="s">
        <v>2567</v>
      </c>
      <c r="R6098" s="33" t="s">
        <v>3472</v>
      </c>
      <c r="S6098">
        <v>37</v>
      </c>
      <c r="T6098" s="1" t="s">
        <v>14003</v>
      </c>
      <c r="U6098" s="1" t="str">
        <f>HYPERLINK("http://ictvonline.org/taxonomy/p/taxonomy-history?taxnode_id=202113803","ICTVonline=202113803")</f>
        <v>ICTVonline=202113803</v>
      </c>
    </row>
    <row r="6099" spans="1:21" x14ac:dyDescent="0.2">
      <c r="A6099" s="3">
        <v>6098</v>
      </c>
      <c r="B6099" s="1" t="s">
        <v>4226</v>
      </c>
      <c r="D6099" s="1" t="s">
        <v>5412</v>
      </c>
      <c r="F6099" s="1" t="s">
        <v>5466</v>
      </c>
      <c r="H6099" s="1" t="s">
        <v>5469</v>
      </c>
      <c r="J6099" s="1" t="s">
        <v>5470</v>
      </c>
      <c r="L6099" s="1" t="s">
        <v>5471</v>
      </c>
      <c r="N6099" s="1" t="s">
        <v>12862</v>
      </c>
      <c r="P6099" s="1" t="s">
        <v>12873</v>
      </c>
      <c r="Q6099" s="30" t="s">
        <v>2567</v>
      </c>
      <c r="R6099" s="33" t="s">
        <v>3472</v>
      </c>
      <c r="S6099">
        <v>37</v>
      </c>
      <c r="T6099" s="1" t="s">
        <v>14003</v>
      </c>
      <c r="U6099" s="1" t="str">
        <f>HYPERLINK("http://ictvonline.org/taxonomy/p/taxonomy-history?taxnode_id=202113804","ICTVonline=202113804")</f>
        <v>ICTVonline=202113804</v>
      </c>
    </row>
    <row r="6100" spans="1:21" x14ac:dyDescent="0.2">
      <c r="A6100" s="3">
        <v>6099</v>
      </c>
      <c r="B6100" s="1" t="s">
        <v>4226</v>
      </c>
      <c r="D6100" s="1" t="s">
        <v>5412</v>
      </c>
      <c r="F6100" s="1" t="s">
        <v>5466</v>
      </c>
      <c r="H6100" s="1" t="s">
        <v>5469</v>
      </c>
      <c r="J6100" s="1" t="s">
        <v>5470</v>
      </c>
      <c r="L6100" s="1" t="s">
        <v>5471</v>
      </c>
      <c r="N6100" s="1" t="s">
        <v>12862</v>
      </c>
      <c r="P6100" s="1" t="s">
        <v>12874</v>
      </c>
      <c r="Q6100" s="30" t="s">
        <v>2567</v>
      </c>
      <c r="R6100" s="33" t="s">
        <v>3473</v>
      </c>
      <c r="S6100">
        <v>37</v>
      </c>
      <c r="T6100" s="1" t="s">
        <v>14003</v>
      </c>
      <c r="U6100" s="1" t="str">
        <f>HYPERLINK("http://ictvonline.org/taxonomy/p/taxonomy-history?taxnode_id=202103911","ICTVonline=202103911")</f>
        <v>ICTVonline=202103911</v>
      </c>
    </row>
    <row r="6101" spans="1:21" x14ac:dyDescent="0.2">
      <c r="A6101" s="3">
        <v>6100</v>
      </c>
      <c r="B6101" s="1" t="s">
        <v>4226</v>
      </c>
      <c r="D6101" s="1" t="s">
        <v>5412</v>
      </c>
      <c r="F6101" s="1" t="s">
        <v>5466</v>
      </c>
      <c r="H6101" s="1" t="s">
        <v>5469</v>
      </c>
      <c r="J6101" s="1" t="s">
        <v>5470</v>
      </c>
      <c r="L6101" s="1" t="s">
        <v>5471</v>
      </c>
      <c r="N6101" s="1" t="s">
        <v>12862</v>
      </c>
      <c r="P6101" s="1" t="s">
        <v>12875</v>
      </c>
      <c r="Q6101" s="30" t="s">
        <v>2567</v>
      </c>
      <c r="R6101" s="33" t="s">
        <v>3472</v>
      </c>
      <c r="S6101">
        <v>37</v>
      </c>
      <c r="T6101" s="1" t="s">
        <v>14003</v>
      </c>
      <c r="U6101" s="1" t="str">
        <f>HYPERLINK("http://ictvonline.org/taxonomy/p/taxonomy-history?taxnode_id=202113805","ICTVonline=202113805")</f>
        <v>ICTVonline=202113805</v>
      </c>
    </row>
    <row r="6102" spans="1:21" x14ac:dyDescent="0.2">
      <c r="A6102" s="3">
        <v>6101</v>
      </c>
      <c r="B6102" s="1" t="s">
        <v>4226</v>
      </c>
      <c r="D6102" s="1" t="s">
        <v>5412</v>
      </c>
      <c r="F6102" s="1" t="s">
        <v>5466</v>
      </c>
      <c r="H6102" s="1" t="s">
        <v>5469</v>
      </c>
      <c r="J6102" s="1" t="s">
        <v>5470</v>
      </c>
      <c r="L6102" s="1" t="s">
        <v>5471</v>
      </c>
      <c r="N6102" s="1" t="s">
        <v>12862</v>
      </c>
      <c r="P6102" s="1" t="s">
        <v>12876</v>
      </c>
      <c r="Q6102" s="30" t="s">
        <v>2567</v>
      </c>
      <c r="R6102" s="33" t="s">
        <v>3472</v>
      </c>
      <c r="S6102">
        <v>37</v>
      </c>
      <c r="T6102" s="1" t="s">
        <v>14003</v>
      </c>
      <c r="U6102" s="1" t="str">
        <f>HYPERLINK("http://ictvonline.org/taxonomy/p/taxonomy-history?taxnode_id=202113806","ICTVonline=202113806")</f>
        <v>ICTVonline=202113806</v>
      </c>
    </row>
    <row r="6103" spans="1:21" x14ac:dyDescent="0.2">
      <c r="A6103" s="3">
        <v>6102</v>
      </c>
      <c r="B6103" s="1" t="s">
        <v>4226</v>
      </c>
      <c r="D6103" s="1" t="s">
        <v>5412</v>
      </c>
      <c r="F6103" s="1" t="s">
        <v>5466</v>
      </c>
      <c r="H6103" s="1" t="s">
        <v>5469</v>
      </c>
      <c r="J6103" s="1" t="s">
        <v>5470</v>
      </c>
      <c r="L6103" s="1" t="s">
        <v>5471</v>
      </c>
      <c r="N6103" s="1" t="s">
        <v>12862</v>
      </c>
      <c r="P6103" s="1" t="s">
        <v>12877</v>
      </c>
      <c r="Q6103" s="30" t="s">
        <v>2567</v>
      </c>
      <c r="R6103" s="33" t="s">
        <v>3472</v>
      </c>
      <c r="S6103">
        <v>37</v>
      </c>
      <c r="T6103" s="1" t="s">
        <v>14003</v>
      </c>
      <c r="U6103" s="1" t="str">
        <f>HYPERLINK("http://ictvonline.org/taxonomy/p/taxonomy-history?taxnode_id=202113807","ICTVonline=202113807")</f>
        <v>ICTVonline=202113807</v>
      </c>
    </row>
    <row r="6104" spans="1:21" x14ac:dyDescent="0.2">
      <c r="A6104" s="3">
        <v>6103</v>
      </c>
      <c r="B6104" s="1" t="s">
        <v>4226</v>
      </c>
      <c r="D6104" s="1" t="s">
        <v>5412</v>
      </c>
      <c r="F6104" s="1" t="s">
        <v>5466</v>
      </c>
      <c r="H6104" s="1" t="s">
        <v>5469</v>
      </c>
      <c r="J6104" s="1" t="s">
        <v>5470</v>
      </c>
      <c r="L6104" s="1" t="s">
        <v>5471</v>
      </c>
      <c r="N6104" s="1" t="s">
        <v>12862</v>
      </c>
      <c r="P6104" s="1" t="s">
        <v>12878</v>
      </c>
      <c r="Q6104" s="30" t="s">
        <v>2567</v>
      </c>
      <c r="R6104" s="33" t="s">
        <v>3472</v>
      </c>
      <c r="S6104">
        <v>37</v>
      </c>
      <c r="T6104" s="1" t="s">
        <v>14003</v>
      </c>
      <c r="U6104" s="1" t="str">
        <f>HYPERLINK("http://ictvonline.org/taxonomy/p/taxonomy-history?taxnode_id=202113808","ICTVonline=202113808")</f>
        <v>ICTVonline=202113808</v>
      </c>
    </row>
    <row r="6105" spans="1:21" x14ac:dyDescent="0.2">
      <c r="A6105" s="3">
        <v>6104</v>
      </c>
      <c r="B6105" s="1" t="s">
        <v>4226</v>
      </c>
      <c r="D6105" s="1" t="s">
        <v>5412</v>
      </c>
      <c r="F6105" s="1" t="s">
        <v>5466</v>
      </c>
      <c r="H6105" s="1" t="s">
        <v>5469</v>
      </c>
      <c r="J6105" s="1" t="s">
        <v>5470</v>
      </c>
      <c r="L6105" s="1" t="s">
        <v>5471</v>
      </c>
      <c r="N6105" s="1" t="s">
        <v>12862</v>
      </c>
      <c r="P6105" s="1" t="s">
        <v>12879</v>
      </c>
      <c r="Q6105" s="30" t="s">
        <v>2567</v>
      </c>
      <c r="R6105" s="33" t="s">
        <v>3472</v>
      </c>
      <c r="S6105">
        <v>37</v>
      </c>
      <c r="T6105" s="1" t="s">
        <v>14003</v>
      </c>
      <c r="U6105" s="1" t="str">
        <f>HYPERLINK("http://ictvonline.org/taxonomy/p/taxonomy-history?taxnode_id=202113809","ICTVonline=202113809")</f>
        <v>ICTVonline=202113809</v>
      </c>
    </row>
    <row r="6106" spans="1:21" x14ac:dyDescent="0.2">
      <c r="A6106" s="3">
        <v>6105</v>
      </c>
      <c r="B6106" s="1" t="s">
        <v>4226</v>
      </c>
      <c r="D6106" s="1" t="s">
        <v>5412</v>
      </c>
      <c r="F6106" s="1" t="s">
        <v>5466</v>
      </c>
      <c r="H6106" s="1" t="s">
        <v>5469</v>
      </c>
      <c r="J6106" s="1" t="s">
        <v>5470</v>
      </c>
      <c r="L6106" s="1" t="s">
        <v>5471</v>
      </c>
      <c r="N6106" s="1" t="s">
        <v>12862</v>
      </c>
      <c r="P6106" s="1" t="s">
        <v>12880</v>
      </c>
      <c r="Q6106" s="30" t="s">
        <v>2567</v>
      </c>
      <c r="R6106" s="33" t="s">
        <v>3472</v>
      </c>
      <c r="S6106">
        <v>37</v>
      </c>
      <c r="T6106" s="1" t="s">
        <v>14003</v>
      </c>
      <c r="U6106" s="1" t="str">
        <f>HYPERLINK("http://ictvonline.org/taxonomy/p/taxonomy-history?taxnode_id=202113810","ICTVonline=202113810")</f>
        <v>ICTVonline=202113810</v>
      </c>
    </row>
    <row r="6107" spans="1:21" x14ac:dyDescent="0.2">
      <c r="A6107" s="3">
        <v>6106</v>
      </c>
      <c r="B6107" s="1" t="s">
        <v>4226</v>
      </c>
      <c r="D6107" s="1" t="s">
        <v>5412</v>
      </c>
      <c r="F6107" s="1" t="s">
        <v>5466</v>
      </c>
      <c r="H6107" s="1" t="s">
        <v>5469</v>
      </c>
      <c r="J6107" s="1" t="s">
        <v>5470</v>
      </c>
      <c r="L6107" s="1" t="s">
        <v>5471</v>
      </c>
      <c r="N6107" s="1" t="s">
        <v>12862</v>
      </c>
      <c r="P6107" s="1" t="s">
        <v>12881</v>
      </c>
      <c r="Q6107" s="30" t="s">
        <v>2567</v>
      </c>
      <c r="R6107" s="33" t="s">
        <v>3472</v>
      </c>
      <c r="S6107">
        <v>37</v>
      </c>
      <c r="T6107" s="1" t="s">
        <v>14003</v>
      </c>
      <c r="U6107" s="1" t="str">
        <f>HYPERLINK("http://ictvonline.org/taxonomy/p/taxonomy-history?taxnode_id=202113811","ICTVonline=202113811")</f>
        <v>ICTVonline=202113811</v>
      </c>
    </row>
    <row r="6108" spans="1:21" x14ac:dyDescent="0.2">
      <c r="A6108" s="3">
        <v>6107</v>
      </c>
      <c r="B6108" s="1" t="s">
        <v>4226</v>
      </c>
      <c r="D6108" s="1" t="s">
        <v>5412</v>
      </c>
      <c r="F6108" s="1" t="s">
        <v>5466</v>
      </c>
      <c r="H6108" s="1" t="s">
        <v>5469</v>
      </c>
      <c r="J6108" s="1" t="s">
        <v>5470</v>
      </c>
      <c r="L6108" s="1" t="s">
        <v>5471</v>
      </c>
      <c r="N6108" s="1" t="s">
        <v>12862</v>
      </c>
      <c r="P6108" s="1" t="s">
        <v>12882</v>
      </c>
      <c r="Q6108" s="30" t="s">
        <v>2567</v>
      </c>
      <c r="R6108" s="33" t="s">
        <v>3472</v>
      </c>
      <c r="S6108">
        <v>37</v>
      </c>
      <c r="T6108" s="1" t="s">
        <v>14003</v>
      </c>
      <c r="U6108" s="1" t="str">
        <f>HYPERLINK("http://ictvonline.org/taxonomy/p/taxonomy-history?taxnode_id=202113812","ICTVonline=202113812")</f>
        <v>ICTVonline=202113812</v>
      </c>
    </row>
    <row r="6109" spans="1:21" x14ac:dyDescent="0.2">
      <c r="A6109" s="3">
        <v>6108</v>
      </c>
      <c r="B6109" s="1" t="s">
        <v>4226</v>
      </c>
      <c r="D6109" s="1" t="s">
        <v>5412</v>
      </c>
      <c r="F6109" s="1" t="s">
        <v>5466</v>
      </c>
      <c r="H6109" s="1" t="s">
        <v>5469</v>
      </c>
      <c r="J6109" s="1" t="s">
        <v>5470</v>
      </c>
      <c r="L6109" s="1" t="s">
        <v>5471</v>
      </c>
      <c r="N6109" s="1" t="s">
        <v>12862</v>
      </c>
      <c r="P6109" s="1" t="s">
        <v>12883</v>
      </c>
      <c r="Q6109" s="30" t="s">
        <v>2567</v>
      </c>
      <c r="R6109" s="33" t="s">
        <v>3472</v>
      </c>
      <c r="S6109">
        <v>37</v>
      </c>
      <c r="T6109" s="1" t="s">
        <v>14003</v>
      </c>
      <c r="U6109" s="1" t="str">
        <f>HYPERLINK("http://ictvonline.org/taxonomy/p/taxonomy-history?taxnode_id=202113813","ICTVonline=202113813")</f>
        <v>ICTVonline=202113813</v>
      </c>
    </row>
    <row r="6110" spans="1:21" x14ac:dyDescent="0.2">
      <c r="A6110" s="3">
        <v>6109</v>
      </c>
      <c r="B6110" s="1" t="s">
        <v>4226</v>
      </c>
      <c r="D6110" s="1" t="s">
        <v>5412</v>
      </c>
      <c r="F6110" s="1" t="s">
        <v>5466</v>
      </c>
      <c r="H6110" s="1" t="s">
        <v>5469</v>
      </c>
      <c r="J6110" s="1" t="s">
        <v>5470</v>
      </c>
      <c r="L6110" s="1" t="s">
        <v>5471</v>
      </c>
      <c r="N6110" s="1" t="s">
        <v>12862</v>
      </c>
      <c r="P6110" s="1" t="s">
        <v>12884</v>
      </c>
      <c r="Q6110" s="30" t="s">
        <v>2567</v>
      </c>
      <c r="R6110" s="33" t="s">
        <v>3472</v>
      </c>
      <c r="S6110">
        <v>37</v>
      </c>
      <c r="T6110" s="1" t="s">
        <v>14003</v>
      </c>
      <c r="U6110" s="1" t="str">
        <f>HYPERLINK("http://ictvonline.org/taxonomy/p/taxonomy-history?taxnode_id=202113814","ICTVonline=202113814")</f>
        <v>ICTVonline=202113814</v>
      </c>
    </row>
    <row r="6111" spans="1:21" x14ac:dyDescent="0.2">
      <c r="A6111" s="3">
        <v>6110</v>
      </c>
      <c r="B6111" s="1" t="s">
        <v>4226</v>
      </c>
      <c r="D6111" s="1" t="s">
        <v>5412</v>
      </c>
      <c r="F6111" s="1" t="s">
        <v>5466</v>
      </c>
      <c r="H6111" s="1" t="s">
        <v>5469</v>
      </c>
      <c r="J6111" s="1" t="s">
        <v>5470</v>
      </c>
      <c r="L6111" s="1" t="s">
        <v>5471</v>
      </c>
      <c r="N6111" s="1" t="s">
        <v>12862</v>
      </c>
      <c r="P6111" s="1" t="s">
        <v>12885</v>
      </c>
      <c r="Q6111" s="30" t="s">
        <v>2567</v>
      </c>
      <c r="R6111" s="33" t="s">
        <v>3472</v>
      </c>
      <c r="S6111">
        <v>37</v>
      </c>
      <c r="T6111" s="1" t="s">
        <v>14003</v>
      </c>
      <c r="U6111" s="1" t="str">
        <f>HYPERLINK("http://ictvonline.org/taxonomy/p/taxonomy-history?taxnode_id=202113815","ICTVonline=202113815")</f>
        <v>ICTVonline=202113815</v>
      </c>
    </row>
    <row r="6112" spans="1:21" x14ac:dyDescent="0.2">
      <c r="A6112" s="3">
        <v>6111</v>
      </c>
      <c r="B6112" s="1" t="s">
        <v>4226</v>
      </c>
      <c r="D6112" s="1" t="s">
        <v>5412</v>
      </c>
      <c r="F6112" s="1" t="s">
        <v>5466</v>
      </c>
      <c r="H6112" s="1" t="s">
        <v>5469</v>
      </c>
      <c r="J6112" s="1" t="s">
        <v>5470</v>
      </c>
      <c r="L6112" s="1" t="s">
        <v>5471</v>
      </c>
      <c r="N6112" s="1" t="s">
        <v>12862</v>
      </c>
      <c r="P6112" s="1" t="s">
        <v>12886</v>
      </c>
      <c r="Q6112" s="30" t="s">
        <v>2567</v>
      </c>
      <c r="R6112" s="33" t="s">
        <v>3472</v>
      </c>
      <c r="S6112">
        <v>37</v>
      </c>
      <c r="T6112" s="1" t="s">
        <v>14003</v>
      </c>
      <c r="U6112" s="1" t="str">
        <f>HYPERLINK("http://ictvonline.org/taxonomy/p/taxonomy-history?taxnode_id=202112426","ICTVonline=202112426")</f>
        <v>ICTVonline=202112426</v>
      </c>
    </row>
    <row r="6113" spans="1:21" x14ac:dyDescent="0.2">
      <c r="A6113" s="3">
        <v>6112</v>
      </c>
      <c r="B6113" s="1" t="s">
        <v>4226</v>
      </c>
      <c r="D6113" s="1" t="s">
        <v>5412</v>
      </c>
      <c r="F6113" s="1" t="s">
        <v>5466</v>
      </c>
      <c r="H6113" s="1" t="s">
        <v>5469</v>
      </c>
      <c r="J6113" s="1" t="s">
        <v>5470</v>
      </c>
      <c r="L6113" s="1" t="s">
        <v>5471</v>
      </c>
      <c r="N6113" s="1" t="s">
        <v>12862</v>
      </c>
      <c r="P6113" s="1" t="s">
        <v>12887</v>
      </c>
      <c r="Q6113" s="30" t="s">
        <v>2567</v>
      </c>
      <c r="R6113" s="33" t="s">
        <v>3472</v>
      </c>
      <c r="S6113">
        <v>37</v>
      </c>
      <c r="T6113" s="1" t="s">
        <v>14003</v>
      </c>
      <c r="U6113" s="1" t="str">
        <f>HYPERLINK("http://ictvonline.org/taxonomy/p/taxonomy-history?taxnode_id=202112427","ICTVonline=202112427")</f>
        <v>ICTVonline=202112427</v>
      </c>
    </row>
    <row r="6114" spans="1:21" x14ac:dyDescent="0.2">
      <c r="A6114" s="3">
        <v>6113</v>
      </c>
      <c r="B6114" s="1" t="s">
        <v>4226</v>
      </c>
      <c r="D6114" s="1" t="s">
        <v>5412</v>
      </c>
      <c r="F6114" s="1" t="s">
        <v>5466</v>
      </c>
      <c r="H6114" s="1" t="s">
        <v>5469</v>
      </c>
      <c r="J6114" s="1" t="s">
        <v>5470</v>
      </c>
      <c r="L6114" s="1" t="s">
        <v>5471</v>
      </c>
      <c r="N6114" s="1" t="s">
        <v>12862</v>
      </c>
      <c r="P6114" s="1" t="s">
        <v>12888</v>
      </c>
      <c r="Q6114" s="30" t="s">
        <v>2567</v>
      </c>
      <c r="R6114" s="33" t="s">
        <v>3472</v>
      </c>
      <c r="S6114">
        <v>37</v>
      </c>
      <c r="T6114" s="1" t="s">
        <v>14003</v>
      </c>
      <c r="U6114" s="1" t="str">
        <f>HYPERLINK("http://ictvonline.org/taxonomy/p/taxonomy-history?taxnode_id=202112428","ICTVonline=202112428")</f>
        <v>ICTVonline=202112428</v>
      </c>
    </row>
    <row r="6115" spans="1:21" x14ac:dyDescent="0.2">
      <c r="A6115" s="3">
        <v>6114</v>
      </c>
      <c r="B6115" s="1" t="s">
        <v>4226</v>
      </c>
      <c r="D6115" s="1" t="s">
        <v>5412</v>
      </c>
      <c r="F6115" s="1" t="s">
        <v>5466</v>
      </c>
      <c r="H6115" s="1" t="s">
        <v>5469</v>
      </c>
      <c r="J6115" s="1" t="s">
        <v>5470</v>
      </c>
      <c r="L6115" s="1" t="s">
        <v>5471</v>
      </c>
      <c r="N6115" s="1" t="s">
        <v>12862</v>
      </c>
      <c r="P6115" s="1" t="s">
        <v>12889</v>
      </c>
      <c r="Q6115" s="30" t="s">
        <v>2567</v>
      </c>
      <c r="R6115" s="33" t="s">
        <v>3472</v>
      </c>
      <c r="S6115">
        <v>37</v>
      </c>
      <c r="T6115" s="1" t="s">
        <v>14003</v>
      </c>
      <c r="U6115" s="1" t="str">
        <f>HYPERLINK("http://ictvonline.org/taxonomy/p/taxonomy-history?taxnode_id=202112429","ICTVonline=202112429")</f>
        <v>ICTVonline=202112429</v>
      </c>
    </row>
    <row r="6116" spans="1:21" x14ac:dyDescent="0.2">
      <c r="A6116" s="3">
        <v>6115</v>
      </c>
      <c r="B6116" s="1" t="s">
        <v>4226</v>
      </c>
      <c r="D6116" s="1" t="s">
        <v>5412</v>
      </c>
      <c r="F6116" s="1" t="s">
        <v>5466</v>
      </c>
      <c r="H6116" s="1" t="s">
        <v>5469</v>
      </c>
      <c r="J6116" s="1" t="s">
        <v>5470</v>
      </c>
      <c r="L6116" s="1" t="s">
        <v>5471</v>
      </c>
      <c r="N6116" s="1" t="s">
        <v>12862</v>
      </c>
      <c r="P6116" s="1" t="s">
        <v>12890</v>
      </c>
      <c r="Q6116" s="30" t="s">
        <v>2567</v>
      </c>
      <c r="R6116" s="33" t="s">
        <v>3472</v>
      </c>
      <c r="S6116">
        <v>37</v>
      </c>
      <c r="T6116" s="1" t="s">
        <v>14003</v>
      </c>
      <c r="U6116" s="1" t="str">
        <f>HYPERLINK("http://ictvonline.org/taxonomy/p/taxonomy-history?taxnode_id=202112430","ICTVonline=202112430")</f>
        <v>ICTVonline=202112430</v>
      </c>
    </row>
    <row r="6117" spans="1:21" x14ac:dyDescent="0.2">
      <c r="A6117" s="3">
        <v>6116</v>
      </c>
      <c r="B6117" s="1" t="s">
        <v>4226</v>
      </c>
      <c r="D6117" s="1" t="s">
        <v>5412</v>
      </c>
      <c r="F6117" s="1" t="s">
        <v>5466</v>
      </c>
      <c r="H6117" s="1" t="s">
        <v>5469</v>
      </c>
      <c r="J6117" s="1" t="s">
        <v>5470</v>
      </c>
      <c r="L6117" s="1" t="s">
        <v>5471</v>
      </c>
      <c r="N6117" s="1" t="s">
        <v>12862</v>
      </c>
      <c r="P6117" s="1" t="s">
        <v>12891</v>
      </c>
      <c r="Q6117" s="30" t="s">
        <v>2567</v>
      </c>
      <c r="R6117" s="33" t="s">
        <v>3472</v>
      </c>
      <c r="S6117">
        <v>37</v>
      </c>
      <c r="T6117" s="1" t="s">
        <v>14003</v>
      </c>
      <c r="U6117" s="1" t="str">
        <f>HYPERLINK("http://ictvonline.org/taxonomy/p/taxonomy-history?taxnode_id=202112431","ICTVonline=202112431")</f>
        <v>ICTVonline=202112431</v>
      </c>
    </row>
    <row r="6118" spans="1:21" x14ac:dyDescent="0.2">
      <c r="A6118" s="3">
        <v>6117</v>
      </c>
      <c r="B6118" s="1" t="s">
        <v>4226</v>
      </c>
      <c r="D6118" s="1" t="s">
        <v>5412</v>
      </c>
      <c r="F6118" s="1" t="s">
        <v>5466</v>
      </c>
      <c r="H6118" s="1" t="s">
        <v>5469</v>
      </c>
      <c r="J6118" s="1" t="s">
        <v>5470</v>
      </c>
      <c r="L6118" s="1" t="s">
        <v>5471</v>
      </c>
      <c r="N6118" s="1" t="s">
        <v>12862</v>
      </c>
      <c r="P6118" s="1" t="s">
        <v>12892</v>
      </c>
      <c r="Q6118" s="30" t="s">
        <v>2567</v>
      </c>
      <c r="R6118" s="33" t="s">
        <v>3472</v>
      </c>
      <c r="S6118">
        <v>37</v>
      </c>
      <c r="T6118" s="1" t="s">
        <v>14003</v>
      </c>
      <c r="U6118" s="1" t="str">
        <f>HYPERLINK("http://ictvonline.org/taxonomy/p/taxonomy-history?taxnode_id=202112432","ICTVonline=202112432")</f>
        <v>ICTVonline=202112432</v>
      </c>
    </row>
    <row r="6119" spans="1:21" x14ac:dyDescent="0.2">
      <c r="A6119" s="3">
        <v>6118</v>
      </c>
      <c r="B6119" s="1" t="s">
        <v>4226</v>
      </c>
      <c r="D6119" s="1" t="s">
        <v>5412</v>
      </c>
      <c r="F6119" s="1" t="s">
        <v>5466</v>
      </c>
      <c r="H6119" s="1" t="s">
        <v>5469</v>
      </c>
      <c r="J6119" s="1" t="s">
        <v>5470</v>
      </c>
      <c r="L6119" s="1" t="s">
        <v>5471</v>
      </c>
      <c r="N6119" s="1" t="s">
        <v>12862</v>
      </c>
      <c r="P6119" s="1" t="s">
        <v>12893</v>
      </c>
      <c r="Q6119" s="30" t="s">
        <v>2567</v>
      </c>
      <c r="R6119" s="33" t="s">
        <v>3473</v>
      </c>
      <c r="S6119">
        <v>37</v>
      </c>
      <c r="T6119" s="1" t="s">
        <v>14003</v>
      </c>
      <c r="U6119" s="1" t="str">
        <f>HYPERLINK("http://ictvonline.org/taxonomy/p/taxonomy-history?taxnode_id=202103915","ICTVonline=202103915")</f>
        <v>ICTVonline=202103915</v>
      </c>
    </row>
    <row r="6120" spans="1:21" x14ac:dyDescent="0.2">
      <c r="A6120" s="3">
        <v>6119</v>
      </c>
      <c r="B6120" s="1" t="s">
        <v>4226</v>
      </c>
      <c r="D6120" s="1" t="s">
        <v>5412</v>
      </c>
      <c r="F6120" s="1" t="s">
        <v>5466</v>
      </c>
      <c r="H6120" s="1" t="s">
        <v>5469</v>
      </c>
      <c r="J6120" s="1" t="s">
        <v>5470</v>
      </c>
      <c r="L6120" s="1" t="s">
        <v>5471</v>
      </c>
      <c r="N6120" s="1" t="s">
        <v>12862</v>
      </c>
      <c r="P6120" s="1" t="s">
        <v>12894</v>
      </c>
      <c r="Q6120" s="30" t="s">
        <v>2567</v>
      </c>
      <c r="R6120" s="33" t="s">
        <v>3472</v>
      </c>
      <c r="S6120">
        <v>37</v>
      </c>
      <c r="T6120" s="1" t="s">
        <v>14003</v>
      </c>
      <c r="U6120" s="1" t="str">
        <f>HYPERLINK("http://ictvonline.org/taxonomy/p/taxonomy-history?taxnode_id=202112433","ICTVonline=202112433")</f>
        <v>ICTVonline=202112433</v>
      </c>
    </row>
    <row r="6121" spans="1:21" x14ac:dyDescent="0.2">
      <c r="A6121" s="3">
        <v>6120</v>
      </c>
      <c r="B6121" s="1" t="s">
        <v>4226</v>
      </c>
      <c r="D6121" s="1" t="s">
        <v>5412</v>
      </c>
      <c r="F6121" s="1" t="s">
        <v>5466</v>
      </c>
      <c r="H6121" s="1" t="s">
        <v>5469</v>
      </c>
      <c r="J6121" s="1" t="s">
        <v>5470</v>
      </c>
      <c r="L6121" s="1" t="s">
        <v>5471</v>
      </c>
      <c r="N6121" s="1" t="s">
        <v>12862</v>
      </c>
      <c r="P6121" s="1" t="s">
        <v>12895</v>
      </c>
      <c r="Q6121" s="30" t="s">
        <v>2567</v>
      </c>
      <c r="R6121" s="33" t="s">
        <v>3472</v>
      </c>
      <c r="S6121">
        <v>37</v>
      </c>
      <c r="T6121" s="1" t="s">
        <v>14003</v>
      </c>
      <c r="U6121" s="1" t="str">
        <f>HYPERLINK("http://ictvonline.org/taxonomy/p/taxonomy-history?taxnode_id=202112434","ICTVonline=202112434")</f>
        <v>ICTVonline=202112434</v>
      </c>
    </row>
    <row r="6122" spans="1:21" x14ac:dyDescent="0.2">
      <c r="A6122" s="3">
        <v>6121</v>
      </c>
      <c r="B6122" s="1" t="s">
        <v>4226</v>
      </c>
      <c r="D6122" s="1" t="s">
        <v>5412</v>
      </c>
      <c r="F6122" s="1" t="s">
        <v>5466</v>
      </c>
      <c r="H6122" s="1" t="s">
        <v>5469</v>
      </c>
      <c r="J6122" s="1" t="s">
        <v>5470</v>
      </c>
      <c r="L6122" s="1" t="s">
        <v>5471</v>
      </c>
      <c r="N6122" s="1" t="s">
        <v>12862</v>
      </c>
      <c r="P6122" s="1" t="s">
        <v>12896</v>
      </c>
      <c r="Q6122" s="30" t="s">
        <v>2567</v>
      </c>
      <c r="R6122" s="33" t="s">
        <v>3472</v>
      </c>
      <c r="S6122">
        <v>37</v>
      </c>
      <c r="T6122" s="1" t="s">
        <v>14003</v>
      </c>
      <c r="U6122" s="1" t="str">
        <f>HYPERLINK("http://ictvonline.org/taxonomy/p/taxonomy-history?taxnode_id=202112435","ICTVonline=202112435")</f>
        <v>ICTVonline=202112435</v>
      </c>
    </row>
    <row r="6123" spans="1:21" x14ac:dyDescent="0.2">
      <c r="A6123" s="3">
        <v>6122</v>
      </c>
      <c r="B6123" s="1" t="s">
        <v>4226</v>
      </c>
      <c r="D6123" s="1" t="s">
        <v>5412</v>
      </c>
      <c r="F6123" s="1" t="s">
        <v>5466</v>
      </c>
      <c r="H6123" s="1" t="s">
        <v>5469</v>
      </c>
      <c r="J6123" s="1" t="s">
        <v>5470</v>
      </c>
      <c r="L6123" s="1" t="s">
        <v>5471</v>
      </c>
      <c r="N6123" s="1" t="s">
        <v>12862</v>
      </c>
      <c r="P6123" s="1" t="s">
        <v>12897</v>
      </c>
      <c r="Q6123" s="30" t="s">
        <v>2567</v>
      </c>
      <c r="R6123" s="33" t="s">
        <v>3472</v>
      </c>
      <c r="S6123">
        <v>37</v>
      </c>
      <c r="T6123" s="1" t="s">
        <v>14003</v>
      </c>
      <c r="U6123" s="1" t="str">
        <f>HYPERLINK("http://ictvonline.org/taxonomy/p/taxonomy-history?taxnode_id=202112436","ICTVonline=202112436")</f>
        <v>ICTVonline=202112436</v>
      </c>
    </row>
    <row r="6124" spans="1:21" x14ac:dyDescent="0.2">
      <c r="A6124" s="3">
        <v>6123</v>
      </c>
      <c r="B6124" s="1" t="s">
        <v>4226</v>
      </c>
      <c r="D6124" s="1" t="s">
        <v>5412</v>
      </c>
      <c r="F6124" s="1" t="s">
        <v>5466</v>
      </c>
      <c r="H6124" s="1" t="s">
        <v>5469</v>
      </c>
      <c r="J6124" s="1" t="s">
        <v>5470</v>
      </c>
      <c r="L6124" s="1" t="s">
        <v>5471</v>
      </c>
      <c r="N6124" s="1" t="s">
        <v>12862</v>
      </c>
      <c r="P6124" s="1" t="s">
        <v>12898</v>
      </c>
      <c r="Q6124" s="30" t="s">
        <v>2567</v>
      </c>
      <c r="R6124" s="33" t="s">
        <v>3472</v>
      </c>
      <c r="S6124">
        <v>37</v>
      </c>
      <c r="T6124" s="1" t="s">
        <v>14003</v>
      </c>
      <c r="U6124" s="1" t="str">
        <f>HYPERLINK("http://ictvonline.org/taxonomy/p/taxonomy-history?taxnode_id=202112444","ICTVonline=202112444")</f>
        <v>ICTVonline=202112444</v>
      </c>
    </row>
    <row r="6125" spans="1:21" x14ac:dyDescent="0.2">
      <c r="A6125" s="3">
        <v>6124</v>
      </c>
      <c r="B6125" s="1" t="s">
        <v>4226</v>
      </c>
      <c r="D6125" s="1" t="s">
        <v>5412</v>
      </c>
      <c r="F6125" s="1" t="s">
        <v>5466</v>
      </c>
      <c r="H6125" s="1" t="s">
        <v>5469</v>
      </c>
      <c r="J6125" s="1" t="s">
        <v>5470</v>
      </c>
      <c r="L6125" s="1" t="s">
        <v>5471</v>
      </c>
      <c r="N6125" s="1" t="s">
        <v>12862</v>
      </c>
      <c r="P6125" s="1" t="s">
        <v>12899</v>
      </c>
      <c r="Q6125" s="30" t="s">
        <v>2567</v>
      </c>
      <c r="R6125" s="33" t="s">
        <v>3472</v>
      </c>
      <c r="S6125">
        <v>37</v>
      </c>
      <c r="T6125" s="1" t="s">
        <v>14003</v>
      </c>
      <c r="U6125" s="1" t="str">
        <f>HYPERLINK("http://ictvonline.org/taxonomy/p/taxonomy-history?taxnode_id=202112437","ICTVonline=202112437")</f>
        <v>ICTVonline=202112437</v>
      </c>
    </row>
    <row r="6126" spans="1:21" x14ac:dyDescent="0.2">
      <c r="A6126" s="3">
        <v>6125</v>
      </c>
      <c r="B6126" s="1" t="s">
        <v>4226</v>
      </c>
      <c r="D6126" s="1" t="s">
        <v>5412</v>
      </c>
      <c r="F6126" s="1" t="s">
        <v>5466</v>
      </c>
      <c r="H6126" s="1" t="s">
        <v>5469</v>
      </c>
      <c r="J6126" s="1" t="s">
        <v>5470</v>
      </c>
      <c r="L6126" s="1" t="s">
        <v>5471</v>
      </c>
      <c r="N6126" s="1" t="s">
        <v>12862</v>
      </c>
      <c r="P6126" s="1" t="s">
        <v>12900</v>
      </c>
      <c r="Q6126" s="30" t="s">
        <v>2567</v>
      </c>
      <c r="R6126" s="33" t="s">
        <v>3472</v>
      </c>
      <c r="S6126">
        <v>37</v>
      </c>
      <c r="T6126" s="1" t="s">
        <v>14003</v>
      </c>
      <c r="U6126" s="1" t="str">
        <f>HYPERLINK("http://ictvonline.org/taxonomy/p/taxonomy-history?taxnode_id=202112438","ICTVonline=202112438")</f>
        <v>ICTVonline=202112438</v>
      </c>
    </row>
    <row r="6127" spans="1:21" x14ac:dyDescent="0.2">
      <c r="A6127" s="3">
        <v>6126</v>
      </c>
      <c r="B6127" s="1" t="s">
        <v>4226</v>
      </c>
      <c r="D6127" s="1" t="s">
        <v>5412</v>
      </c>
      <c r="F6127" s="1" t="s">
        <v>5466</v>
      </c>
      <c r="H6127" s="1" t="s">
        <v>5469</v>
      </c>
      <c r="J6127" s="1" t="s">
        <v>5470</v>
      </c>
      <c r="L6127" s="1" t="s">
        <v>5471</v>
      </c>
      <c r="N6127" s="1" t="s">
        <v>12862</v>
      </c>
      <c r="P6127" s="1" t="s">
        <v>12901</v>
      </c>
      <c r="Q6127" s="30" t="s">
        <v>2567</v>
      </c>
      <c r="R6127" s="33" t="s">
        <v>3472</v>
      </c>
      <c r="S6127">
        <v>37</v>
      </c>
      <c r="T6127" s="1" t="s">
        <v>14003</v>
      </c>
      <c r="U6127" s="1" t="str">
        <f>HYPERLINK("http://ictvonline.org/taxonomy/p/taxonomy-history?taxnode_id=202112439","ICTVonline=202112439")</f>
        <v>ICTVonline=202112439</v>
      </c>
    </row>
    <row r="6128" spans="1:21" x14ac:dyDescent="0.2">
      <c r="A6128" s="3">
        <v>6127</v>
      </c>
      <c r="B6128" s="1" t="s">
        <v>4226</v>
      </c>
      <c r="D6128" s="1" t="s">
        <v>5412</v>
      </c>
      <c r="F6128" s="1" t="s">
        <v>5466</v>
      </c>
      <c r="H6128" s="1" t="s">
        <v>5469</v>
      </c>
      <c r="J6128" s="1" t="s">
        <v>5470</v>
      </c>
      <c r="L6128" s="1" t="s">
        <v>5471</v>
      </c>
      <c r="N6128" s="1" t="s">
        <v>12862</v>
      </c>
      <c r="P6128" s="1" t="s">
        <v>12902</v>
      </c>
      <c r="Q6128" s="30" t="s">
        <v>2567</v>
      </c>
      <c r="R6128" s="33" t="s">
        <v>3472</v>
      </c>
      <c r="S6128">
        <v>37</v>
      </c>
      <c r="T6128" s="1" t="s">
        <v>14003</v>
      </c>
      <c r="U6128" s="1" t="str">
        <f>HYPERLINK("http://ictvonline.org/taxonomy/p/taxonomy-history?taxnode_id=202112440","ICTVonline=202112440")</f>
        <v>ICTVonline=202112440</v>
      </c>
    </row>
    <row r="6129" spans="1:21" x14ac:dyDescent="0.2">
      <c r="A6129" s="3">
        <v>6128</v>
      </c>
      <c r="B6129" s="1" t="s">
        <v>4226</v>
      </c>
      <c r="D6129" s="1" t="s">
        <v>5412</v>
      </c>
      <c r="F6129" s="1" t="s">
        <v>5466</v>
      </c>
      <c r="H6129" s="1" t="s">
        <v>5469</v>
      </c>
      <c r="J6129" s="1" t="s">
        <v>5470</v>
      </c>
      <c r="L6129" s="1" t="s">
        <v>5471</v>
      </c>
      <c r="N6129" s="1" t="s">
        <v>12862</v>
      </c>
      <c r="P6129" s="1" t="s">
        <v>12903</v>
      </c>
      <c r="Q6129" s="30" t="s">
        <v>2567</v>
      </c>
      <c r="R6129" s="33" t="s">
        <v>3472</v>
      </c>
      <c r="S6129">
        <v>37</v>
      </c>
      <c r="T6129" s="1" t="s">
        <v>14003</v>
      </c>
      <c r="U6129" s="1" t="str">
        <f>HYPERLINK("http://ictvonline.org/taxonomy/p/taxonomy-history?taxnode_id=202112441","ICTVonline=202112441")</f>
        <v>ICTVonline=202112441</v>
      </c>
    </row>
    <row r="6130" spans="1:21" x14ac:dyDescent="0.2">
      <c r="A6130" s="3">
        <v>6129</v>
      </c>
      <c r="B6130" s="1" t="s">
        <v>4226</v>
      </c>
      <c r="D6130" s="1" t="s">
        <v>5412</v>
      </c>
      <c r="F6130" s="1" t="s">
        <v>5466</v>
      </c>
      <c r="H6130" s="1" t="s">
        <v>5469</v>
      </c>
      <c r="J6130" s="1" t="s">
        <v>5470</v>
      </c>
      <c r="L6130" s="1" t="s">
        <v>5471</v>
      </c>
      <c r="N6130" s="1" t="s">
        <v>12862</v>
      </c>
      <c r="P6130" s="1" t="s">
        <v>12904</v>
      </c>
      <c r="Q6130" s="30" t="s">
        <v>2567</v>
      </c>
      <c r="R6130" s="33" t="s">
        <v>3472</v>
      </c>
      <c r="S6130">
        <v>37</v>
      </c>
      <c r="T6130" s="1" t="s">
        <v>14003</v>
      </c>
      <c r="U6130" s="1" t="str">
        <f>HYPERLINK("http://ictvonline.org/taxonomy/p/taxonomy-history?taxnode_id=202112442","ICTVonline=202112442")</f>
        <v>ICTVonline=202112442</v>
      </c>
    </row>
    <row r="6131" spans="1:21" x14ac:dyDescent="0.2">
      <c r="A6131" s="3">
        <v>6130</v>
      </c>
      <c r="B6131" s="1" t="s">
        <v>4226</v>
      </c>
      <c r="D6131" s="1" t="s">
        <v>5412</v>
      </c>
      <c r="F6131" s="1" t="s">
        <v>5466</v>
      </c>
      <c r="H6131" s="1" t="s">
        <v>5469</v>
      </c>
      <c r="J6131" s="1" t="s">
        <v>5470</v>
      </c>
      <c r="L6131" s="1" t="s">
        <v>5471</v>
      </c>
      <c r="N6131" s="1" t="s">
        <v>12862</v>
      </c>
      <c r="P6131" s="1" t="s">
        <v>12905</v>
      </c>
      <c r="Q6131" s="30" t="s">
        <v>2567</v>
      </c>
      <c r="R6131" s="33" t="s">
        <v>3472</v>
      </c>
      <c r="S6131">
        <v>37</v>
      </c>
      <c r="T6131" s="1" t="s">
        <v>14003</v>
      </c>
      <c r="U6131" s="1" t="str">
        <f>HYPERLINK("http://ictvonline.org/taxonomy/p/taxonomy-history?taxnode_id=202112443","ICTVonline=202112443")</f>
        <v>ICTVonline=202112443</v>
      </c>
    </row>
    <row r="6132" spans="1:21" x14ac:dyDescent="0.2">
      <c r="A6132" s="3">
        <v>6131</v>
      </c>
      <c r="B6132" s="1" t="s">
        <v>4226</v>
      </c>
      <c r="D6132" s="1" t="s">
        <v>5412</v>
      </c>
      <c r="F6132" s="1" t="s">
        <v>5466</v>
      </c>
      <c r="H6132" s="1" t="s">
        <v>5469</v>
      </c>
      <c r="J6132" s="1" t="s">
        <v>5470</v>
      </c>
      <c r="L6132" s="1" t="s">
        <v>5471</v>
      </c>
      <c r="N6132" s="1" t="s">
        <v>12862</v>
      </c>
      <c r="P6132" s="1" t="s">
        <v>12906</v>
      </c>
      <c r="Q6132" s="30" t="s">
        <v>2567</v>
      </c>
      <c r="R6132" s="33" t="s">
        <v>3472</v>
      </c>
      <c r="S6132">
        <v>37</v>
      </c>
      <c r="T6132" s="1" t="s">
        <v>14003</v>
      </c>
      <c r="U6132" s="1" t="str">
        <f>HYPERLINK("http://ictvonline.org/taxonomy/p/taxonomy-history?taxnode_id=202112445","ICTVonline=202112445")</f>
        <v>ICTVonline=202112445</v>
      </c>
    </row>
    <row r="6133" spans="1:21" x14ac:dyDescent="0.2">
      <c r="A6133" s="3">
        <v>6132</v>
      </c>
      <c r="B6133" s="1" t="s">
        <v>4226</v>
      </c>
      <c r="D6133" s="1" t="s">
        <v>5412</v>
      </c>
      <c r="F6133" s="1" t="s">
        <v>5466</v>
      </c>
      <c r="H6133" s="1" t="s">
        <v>5469</v>
      </c>
      <c r="J6133" s="1" t="s">
        <v>5470</v>
      </c>
      <c r="L6133" s="1" t="s">
        <v>5471</v>
      </c>
      <c r="N6133" s="1" t="s">
        <v>12862</v>
      </c>
      <c r="P6133" s="1" t="s">
        <v>12907</v>
      </c>
      <c r="Q6133" s="30" t="s">
        <v>2567</v>
      </c>
      <c r="R6133" s="33" t="s">
        <v>3472</v>
      </c>
      <c r="S6133">
        <v>37</v>
      </c>
      <c r="T6133" s="1" t="s">
        <v>14003</v>
      </c>
      <c r="U6133" s="1" t="str">
        <f>HYPERLINK("http://ictvonline.org/taxonomy/p/taxonomy-history?taxnode_id=202112446","ICTVonline=202112446")</f>
        <v>ICTVonline=202112446</v>
      </c>
    </row>
    <row r="6134" spans="1:21" x14ac:dyDescent="0.2">
      <c r="A6134" s="3">
        <v>6133</v>
      </c>
      <c r="B6134" s="1" t="s">
        <v>4226</v>
      </c>
      <c r="D6134" s="1" t="s">
        <v>5412</v>
      </c>
      <c r="F6134" s="1" t="s">
        <v>5466</v>
      </c>
      <c r="H6134" s="1" t="s">
        <v>5469</v>
      </c>
      <c r="J6134" s="1" t="s">
        <v>5470</v>
      </c>
      <c r="L6134" s="1" t="s">
        <v>5471</v>
      </c>
      <c r="N6134" s="1" t="s">
        <v>12862</v>
      </c>
      <c r="P6134" s="1" t="s">
        <v>12908</v>
      </c>
      <c r="Q6134" s="30" t="s">
        <v>2567</v>
      </c>
      <c r="R6134" s="33" t="s">
        <v>3472</v>
      </c>
      <c r="S6134">
        <v>37</v>
      </c>
      <c r="T6134" s="1" t="s">
        <v>14003</v>
      </c>
      <c r="U6134" s="1" t="str">
        <f>HYPERLINK("http://ictvonline.org/taxonomy/p/taxonomy-history?taxnode_id=202112447","ICTVonline=202112447")</f>
        <v>ICTVonline=202112447</v>
      </c>
    </row>
    <row r="6135" spans="1:21" x14ac:dyDescent="0.2">
      <c r="A6135" s="3">
        <v>6134</v>
      </c>
      <c r="B6135" s="1" t="s">
        <v>4226</v>
      </c>
      <c r="D6135" s="1" t="s">
        <v>5412</v>
      </c>
      <c r="F6135" s="1" t="s">
        <v>5466</v>
      </c>
      <c r="H6135" s="1" t="s">
        <v>5469</v>
      </c>
      <c r="J6135" s="1" t="s">
        <v>5470</v>
      </c>
      <c r="L6135" s="1" t="s">
        <v>5471</v>
      </c>
      <c r="N6135" s="1" t="s">
        <v>12862</v>
      </c>
      <c r="P6135" s="1" t="s">
        <v>12909</v>
      </c>
      <c r="Q6135" s="30" t="s">
        <v>2567</v>
      </c>
      <c r="R6135" s="33" t="s">
        <v>3472</v>
      </c>
      <c r="S6135">
        <v>37</v>
      </c>
      <c r="T6135" s="1" t="s">
        <v>14003</v>
      </c>
      <c r="U6135" s="1" t="str">
        <f>HYPERLINK("http://ictvonline.org/taxonomy/p/taxonomy-history?taxnode_id=202112448","ICTVonline=202112448")</f>
        <v>ICTVonline=202112448</v>
      </c>
    </row>
    <row r="6136" spans="1:21" x14ac:dyDescent="0.2">
      <c r="A6136" s="3">
        <v>6135</v>
      </c>
      <c r="B6136" s="1" t="s">
        <v>4226</v>
      </c>
      <c r="D6136" s="1" t="s">
        <v>5412</v>
      </c>
      <c r="F6136" s="1" t="s">
        <v>5466</v>
      </c>
      <c r="H6136" s="1" t="s">
        <v>5469</v>
      </c>
      <c r="J6136" s="1" t="s">
        <v>5470</v>
      </c>
      <c r="L6136" s="1" t="s">
        <v>5471</v>
      </c>
      <c r="N6136" s="1" t="s">
        <v>12862</v>
      </c>
      <c r="P6136" s="1" t="s">
        <v>12910</v>
      </c>
      <c r="Q6136" s="30" t="s">
        <v>2567</v>
      </c>
      <c r="R6136" s="33" t="s">
        <v>3472</v>
      </c>
      <c r="S6136">
        <v>37</v>
      </c>
      <c r="T6136" s="1" t="s">
        <v>14003</v>
      </c>
      <c r="U6136" s="1" t="str">
        <f>HYPERLINK("http://ictvonline.org/taxonomy/p/taxonomy-history?taxnode_id=202112449","ICTVonline=202112449")</f>
        <v>ICTVonline=202112449</v>
      </c>
    </row>
    <row r="6137" spans="1:21" x14ac:dyDescent="0.2">
      <c r="A6137" s="3">
        <v>6136</v>
      </c>
      <c r="B6137" s="1" t="s">
        <v>4226</v>
      </c>
      <c r="D6137" s="1" t="s">
        <v>5412</v>
      </c>
      <c r="F6137" s="1" t="s">
        <v>5466</v>
      </c>
      <c r="H6137" s="1" t="s">
        <v>5469</v>
      </c>
      <c r="J6137" s="1" t="s">
        <v>5470</v>
      </c>
      <c r="L6137" s="1" t="s">
        <v>5471</v>
      </c>
      <c r="N6137" s="1" t="s">
        <v>12862</v>
      </c>
      <c r="P6137" s="1" t="s">
        <v>12911</v>
      </c>
      <c r="Q6137" s="30" t="s">
        <v>2567</v>
      </c>
      <c r="R6137" s="33" t="s">
        <v>3472</v>
      </c>
      <c r="S6137">
        <v>37</v>
      </c>
      <c r="T6137" s="1" t="s">
        <v>14003</v>
      </c>
      <c r="U6137" s="1" t="str">
        <f>HYPERLINK("http://ictvonline.org/taxonomy/p/taxonomy-history?taxnode_id=202112450","ICTVonline=202112450")</f>
        <v>ICTVonline=202112450</v>
      </c>
    </row>
    <row r="6138" spans="1:21" x14ac:dyDescent="0.2">
      <c r="A6138" s="3">
        <v>6137</v>
      </c>
      <c r="B6138" s="1" t="s">
        <v>4226</v>
      </c>
      <c r="D6138" s="1" t="s">
        <v>5412</v>
      </c>
      <c r="F6138" s="1" t="s">
        <v>5466</v>
      </c>
      <c r="H6138" s="1" t="s">
        <v>5469</v>
      </c>
      <c r="J6138" s="1" t="s">
        <v>5470</v>
      </c>
      <c r="L6138" s="1" t="s">
        <v>5471</v>
      </c>
      <c r="N6138" s="1" t="s">
        <v>12912</v>
      </c>
      <c r="P6138" s="1" t="s">
        <v>12913</v>
      </c>
      <c r="Q6138" s="30" t="s">
        <v>2567</v>
      </c>
      <c r="R6138" s="33" t="s">
        <v>3472</v>
      </c>
      <c r="S6138">
        <v>37</v>
      </c>
      <c r="T6138" s="1" t="s">
        <v>14003</v>
      </c>
      <c r="U6138" s="1" t="str">
        <f>HYPERLINK("http://ictvonline.org/taxonomy/p/taxonomy-history?taxnode_id=202112462","ICTVonline=202112462")</f>
        <v>ICTVonline=202112462</v>
      </c>
    </row>
    <row r="6139" spans="1:21" x14ac:dyDescent="0.2">
      <c r="A6139" s="3">
        <v>6138</v>
      </c>
      <c r="B6139" s="1" t="s">
        <v>4226</v>
      </c>
      <c r="D6139" s="1" t="s">
        <v>5412</v>
      </c>
      <c r="F6139" s="1" t="s">
        <v>5466</v>
      </c>
      <c r="H6139" s="1" t="s">
        <v>5469</v>
      </c>
      <c r="J6139" s="1" t="s">
        <v>5470</v>
      </c>
      <c r="L6139" s="1" t="s">
        <v>5471</v>
      </c>
      <c r="N6139" s="1" t="s">
        <v>12914</v>
      </c>
      <c r="P6139" s="1" t="s">
        <v>12915</v>
      </c>
      <c r="Q6139" s="30" t="s">
        <v>2567</v>
      </c>
      <c r="R6139" s="33" t="s">
        <v>3472</v>
      </c>
      <c r="S6139">
        <v>37</v>
      </c>
      <c r="T6139" s="1" t="s">
        <v>14003</v>
      </c>
      <c r="U6139" s="1" t="str">
        <f>HYPERLINK("http://ictvonline.org/taxonomy/p/taxonomy-history?taxnode_id=202112452","ICTVonline=202112452")</f>
        <v>ICTVonline=202112452</v>
      </c>
    </row>
    <row r="6140" spans="1:21" x14ac:dyDescent="0.2">
      <c r="A6140" s="3">
        <v>6139</v>
      </c>
      <c r="B6140" s="1" t="s">
        <v>4226</v>
      </c>
      <c r="D6140" s="1" t="s">
        <v>5412</v>
      </c>
      <c r="F6140" s="1" t="s">
        <v>5466</v>
      </c>
      <c r="H6140" s="1" t="s">
        <v>5469</v>
      </c>
      <c r="J6140" s="1" t="s">
        <v>5470</v>
      </c>
      <c r="L6140" s="1" t="s">
        <v>5471</v>
      </c>
      <c r="N6140" s="1" t="s">
        <v>12914</v>
      </c>
      <c r="P6140" s="1" t="s">
        <v>12916</v>
      </c>
      <c r="Q6140" s="30" t="s">
        <v>2567</v>
      </c>
      <c r="R6140" s="33" t="s">
        <v>3472</v>
      </c>
      <c r="S6140">
        <v>37</v>
      </c>
      <c r="T6140" s="1" t="s">
        <v>14003</v>
      </c>
      <c r="U6140" s="1" t="str">
        <f>HYPERLINK("http://ictvonline.org/taxonomy/p/taxonomy-history?taxnode_id=202112453","ICTVonline=202112453")</f>
        <v>ICTVonline=202112453</v>
      </c>
    </row>
    <row r="6141" spans="1:21" x14ac:dyDescent="0.2">
      <c r="A6141" s="3">
        <v>6140</v>
      </c>
      <c r="B6141" s="1" t="s">
        <v>4226</v>
      </c>
      <c r="D6141" s="1" t="s">
        <v>5412</v>
      </c>
      <c r="F6141" s="1" t="s">
        <v>5466</v>
      </c>
      <c r="H6141" s="1" t="s">
        <v>5469</v>
      </c>
      <c r="J6141" s="1" t="s">
        <v>5470</v>
      </c>
      <c r="L6141" s="1" t="s">
        <v>5471</v>
      </c>
      <c r="N6141" s="1" t="s">
        <v>12914</v>
      </c>
      <c r="P6141" s="1" t="s">
        <v>12917</v>
      </c>
      <c r="Q6141" s="30" t="s">
        <v>2567</v>
      </c>
      <c r="R6141" s="33" t="s">
        <v>3472</v>
      </c>
      <c r="S6141">
        <v>37</v>
      </c>
      <c r="T6141" s="1" t="s">
        <v>14003</v>
      </c>
      <c r="U6141" s="1" t="str">
        <f>HYPERLINK("http://ictvonline.org/taxonomy/p/taxonomy-history?taxnode_id=202112459","ICTVonline=202112459")</f>
        <v>ICTVonline=202112459</v>
      </c>
    </row>
    <row r="6142" spans="1:21" x14ac:dyDescent="0.2">
      <c r="A6142" s="3">
        <v>6141</v>
      </c>
      <c r="B6142" s="1" t="s">
        <v>4226</v>
      </c>
      <c r="D6142" s="1" t="s">
        <v>5412</v>
      </c>
      <c r="F6142" s="1" t="s">
        <v>5466</v>
      </c>
      <c r="H6142" s="1" t="s">
        <v>5469</v>
      </c>
      <c r="J6142" s="1" t="s">
        <v>5470</v>
      </c>
      <c r="L6142" s="1" t="s">
        <v>5471</v>
      </c>
      <c r="N6142" s="1" t="s">
        <v>12914</v>
      </c>
      <c r="P6142" s="1" t="s">
        <v>12918</v>
      </c>
      <c r="Q6142" s="30" t="s">
        <v>2567</v>
      </c>
      <c r="R6142" s="33" t="s">
        <v>3472</v>
      </c>
      <c r="S6142">
        <v>37</v>
      </c>
      <c r="T6142" s="1" t="s">
        <v>14003</v>
      </c>
      <c r="U6142" s="1" t="str">
        <f>HYPERLINK("http://ictvonline.org/taxonomy/p/taxonomy-history?taxnode_id=202112454","ICTVonline=202112454")</f>
        <v>ICTVonline=202112454</v>
      </c>
    </row>
    <row r="6143" spans="1:21" x14ac:dyDescent="0.2">
      <c r="A6143" s="3">
        <v>6142</v>
      </c>
      <c r="B6143" s="1" t="s">
        <v>4226</v>
      </c>
      <c r="D6143" s="1" t="s">
        <v>5412</v>
      </c>
      <c r="F6143" s="1" t="s">
        <v>5466</v>
      </c>
      <c r="H6143" s="1" t="s">
        <v>5469</v>
      </c>
      <c r="J6143" s="1" t="s">
        <v>5470</v>
      </c>
      <c r="L6143" s="1" t="s">
        <v>5471</v>
      </c>
      <c r="N6143" s="1" t="s">
        <v>12914</v>
      </c>
      <c r="P6143" s="1" t="s">
        <v>12919</v>
      </c>
      <c r="Q6143" s="30" t="s">
        <v>2567</v>
      </c>
      <c r="R6143" s="33" t="s">
        <v>3472</v>
      </c>
      <c r="S6143">
        <v>37</v>
      </c>
      <c r="T6143" s="1" t="s">
        <v>14003</v>
      </c>
      <c r="U6143" s="1" t="str">
        <f>HYPERLINK("http://ictvonline.org/taxonomy/p/taxonomy-history?taxnode_id=202112455","ICTVonline=202112455")</f>
        <v>ICTVonline=202112455</v>
      </c>
    </row>
    <row r="6144" spans="1:21" x14ac:dyDescent="0.2">
      <c r="A6144" s="3">
        <v>6143</v>
      </c>
      <c r="B6144" s="1" t="s">
        <v>4226</v>
      </c>
      <c r="D6144" s="1" t="s">
        <v>5412</v>
      </c>
      <c r="F6144" s="1" t="s">
        <v>5466</v>
      </c>
      <c r="H6144" s="1" t="s">
        <v>5469</v>
      </c>
      <c r="J6144" s="1" t="s">
        <v>5470</v>
      </c>
      <c r="L6144" s="1" t="s">
        <v>5471</v>
      </c>
      <c r="N6144" s="1" t="s">
        <v>12914</v>
      </c>
      <c r="P6144" s="1" t="s">
        <v>12920</v>
      </c>
      <c r="Q6144" s="30" t="s">
        <v>2567</v>
      </c>
      <c r="R6144" s="33" t="s">
        <v>3472</v>
      </c>
      <c r="S6144">
        <v>37</v>
      </c>
      <c r="T6144" s="1" t="s">
        <v>14003</v>
      </c>
      <c r="U6144" s="1" t="str">
        <f>HYPERLINK("http://ictvonline.org/taxonomy/p/taxonomy-history?taxnode_id=202112456","ICTVonline=202112456")</f>
        <v>ICTVonline=202112456</v>
      </c>
    </row>
    <row r="6145" spans="1:21" x14ac:dyDescent="0.2">
      <c r="A6145" s="3">
        <v>6144</v>
      </c>
      <c r="B6145" s="1" t="s">
        <v>4226</v>
      </c>
      <c r="D6145" s="1" t="s">
        <v>5412</v>
      </c>
      <c r="F6145" s="1" t="s">
        <v>5466</v>
      </c>
      <c r="H6145" s="1" t="s">
        <v>5469</v>
      </c>
      <c r="J6145" s="1" t="s">
        <v>5470</v>
      </c>
      <c r="L6145" s="1" t="s">
        <v>5471</v>
      </c>
      <c r="N6145" s="1" t="s">
        <v>12914</v>
      </c>
      <c r="P6145" s="1" t="s">
        <v>12921</v>
      </c>
      <c r="Q6145" s="30" t="s">
        <v>2567</v>
      </c>
      <c r="R6145" s="33" t="s">
        <v>3472</v>
      </c>
      <c r="S6145">
        <v>37</v>
      </c>
      <c r="T6145" s="1" t="s">
        <v>14003</v>
      </c>
      <c r="U6145" s="1" t="str">
        <f>HYPERLINK("http://ictvonline.org/taxonomy/p/taxonomy-history?taxnode_id=202112457","ICTVonline=202112457")</f>
        <v>ICTVonline=202112457</v>
      </c>
    </row>
    <row r="6146" spans="1:21" x14ac:dyDescent="0.2">
      <c r="A6146" s="3">
        <v>6145</v>
      </c>
      <c r="B6146" s="1" t="s">
        <v>4226</v>
      </c>
      <c r="D6146" s="1" t="s">
        <v>5412</v>
      </c>
      <c r="F6146" s="1" t="s">
        <v>5466</v>
      </c>
      <c r="H6146" s="1" t="s">
        <v>5469</v>
      </c>
      <c r="J6146" s="1" t="s">
        <v>5470</v>
      </c>
      <c r="L6146" s="1" t="s">
        <v>5471</v>
      </c>
      <c r="N6146" s="1" t="s">
        <v>12914</v>
      </c>
      <c r="P6146" s="1" t="s">
        <v>12922</v>
      </c>
      <c r="Q6146" s="30" t="s">
        <v>2567</v>
      </c>
      <c r="R6146" s="33" t="s">
        <v>3472</v>
      </c>
      <c r="S6146">
        <v>37</v>
      </c>
      <c r="T6146" s="1" t="s">
        <v>14003</v>
      </c>
      <c r="U6146" s="1" t="str">
        <f>HYPERLINK("http://ictvonline.org/taxonomy/p/taxonomy-history?taxnode_id=202112458","ICTVonline=202112458")</f>
        <v>ICTVonline=202112458</v>
      </c>
    </row>
    <row r="6147" spans="1:21" x14ac:dyDescent="0.2">
      <c r="A6147" s="3">
        <v>6146</v>
      </c>
      <c r="B6147" s="1" t="s">
        <v>4226</v>
      </c>
      <c r="D6147" s="1" t="s">
        <v>5412</v>
      </c>
      <c r="F6147" s="1" t="s">
        <v>5466</v>
      </c>
      <c r="H6147" s="1" t="s">
        <v>5469</v>
      </c>
      <c r="J6147" s="1" t="s">
        <v>5470</v>
      </c>
      <c r="L6147" s="1" t="s">
        <v>5471</v>
      </c>
      <c r="N6147" s="1" t="s">
        <v>12914</v>
      </c>
      <c r="P6147" s="1" t="s">
        <v>12923</v>
      </c>
      <c r="Q6147" s="30" t="s">
        <v>2567</v>
      </c>
      <c r="R6147" s="33" t="s">
        <v>3472</v>
      </c>
      <c r="S6147">
        <v>37</v>
      </c>
      <c r="T6147" s="1" t="s">
        <v>14003</v>
      </c>
      <c r="U6147" s="1" t="str">
        <f>HYPERLINK("http://ictvonline.org/taxonomy/p/taxonomy-history?taxnode_id=202112460","ICTVonline=202112460")</f>
        <v>ICTVonline=202112460</v>
      </c>
    </row>
    <row r="6148" spans="1:21" x14ac:dyDescent="0.2">
      <c r="A6148" s="3">
        <v>6147</v>
      </c>
      <c r="B6148" s="1" t="s">
        <v>4226</v>
      </c>
      <c r="D6148" s="1" t="s">
        <v>5412</v>
      </c>
      <c r="F6148" s="1" t="s">
        <v>5466</v>
      </c>
      <c r="H6148" s="1" t="s">
        <v>5469</v>
      </c>
      <c r="J6148" s="1" t="s">
        <v>5470</v>
      </c>
      <c r="L6148" s="1" t="s">
        <v>5471</v>
      </c>
      <c r="N6148" s="1" t="s">
        <v>12924</v>
      </c>
      <c r="P6148" s="1" t="s">
        <v>12925</v>
      </c>
      <c r="Q6148" s="30" t="s">
        <v>2567</v>
      </c>
      <c r="R6148" s="33" t="s">
        <v>3472</v>
      </c>
      <c r="S6148">
        <v>37</v>
      </c>
      <c r="T6148" s="1" t="s">
        <v>14003</v>
      </c>
      <c r="U6148" s="1" t="str">
        <f>HYPERLINK("http://ictvonline.org/taxonomy/p/taxonomy-history?taxnode_id=202113750","ICTVonline=202113750")</f>
        <v>ICTVonline=202113750</v>
      </c>
    </row>
    <row r="6149" spans="1:21" x14ac:dyDescent="0.2">
      <c r="A6149" s="3">
        <v>6148</v>
      </c>
      <c r="B6149" s="1" t="s">
        <v>4226</v>
      </c>
      <c r="D6149" s="1" t="s">
        <v>5412</v>
      </c>
      <c r="F6149" s="1" t="s">
        <v>5466</v>
      </c>
      <c r="H6149" s="1" t="s">
        <v>5469</v>
      </c>
      <c r="J6149" s="1" t="s">
        <v>5470</v>
      </c>
      <c r="L6149" s="1" t="s">
        <v>5471</v>
      </c>
      <c r="N6149" s="1" t="s">
        <v>12924</v>
      </c>
      <c r="P6149" s="1" t="s">
        <v>12926</v>
      </c>
      <c r="Q6149" s="30" t="s">
        <v>2567</v>
      </c>
      <c r="R6149" s="33" t="s">
        <v>3472</v>
      </c>
      <c r="S6149">
        <v>37</v>
      </c>
      <c r="T6149" s="1" t="s">
        <v>14003</v>
      </c>
      <c r="U6149" s="1" t="str">
        <f>HYPERLINK("http://ictvonline.org/taxonomy/p/taxonomy-history?taxnode_id=202113751","ICTVonline=202113751")</f>
        <v>ICTVonline=202113751</v>
      </c>
    </row>
    <row r="6150" spans="1:21" x14ac:dyDescent="0.2">
      <c r="A6150" s="3">
        <v>6149</v>
      </c>
      <c r="B6150" s="1" t="s">
        <v>4226</v>
      </c>
      <c r="D6150" s="1" t="s">
        <v>5412</v>
      </c>
      <c r="F6150" s="1" t="s">
        <v>5466</v>
      </c>
      <c r="H6150" s="1" t="s">
        <v>5469</v>
      </c>
      <c r="J6150" s="1" t="s">
        <v>5470</v>
      </c>
      <c r="L6150" s="1" t="s">
        <v>5471</v>
      </c>
      <c r="N6150" s="1" t="s">
        <v>12924</v>
      </c>
      <c r="P6150" s="1" t="s">
        <v>12927</v>
      </c>
      <c r="Q6150" s="30" t="s">
        <v>2567</v>
      </c>
      <c r="R6150" s="33" t="s">
        <v>3472</v>
      </c>
      <c r="S6150">
        <v>37</v>
      </c>
      <c r="T6150" s="1" t="s">
        <v>14003</v>
      </c>
      <c r="U6150" s="1" t="str">
        <f>HYPERLINK("http://ictvonline.org/taxonomy/p/taxonomy-history?taxnode_id=202113752","ICTVonline=202113752")</f>
        <v>ICTVonline=202113752</v>
      </c>
    </row>
    <row r="6151" spans="1:21" x14ac:dyDescent="0.2">
      <c r="A6151" s="3">
        <v>6150</v>
      </c>
      <c r="B6151" s="1" t="s">
        <v>4226</v>
      </c>
      <c r="D6151" s="1" t="s">
        <v>5412</v>
      </c>
      <c r="F6151" s="1" t="s">
        <v>5466</v>
      </c>
      <c r="H6151" s="1" t="s">
        <v>5469</v>
      </c>
      <c r="J6151" s="1" t="s">
        <v>5470</v>
      </c>
      <c r="L6151" s="1" t="s">
        <v>5471</v>
      </c>
      <c r="N6151" s="1" t="s">
        <v>12924</v>
      </c>
      <c r="P6151" s="1" t="s">
        <v>12928</v>
      </c>
      <c r="Q6151" s="30" t="s">
        <v>2567</v>
      </c>
      <c r="R6151" s="33" t="s">
        <v>3472</v>
      </c>
      <c r="S6151">
        <v>37</v>
      </c>
      <c r="T6151" s="1" t="s">
        <v>14003</v>
      </c>
      <c r="U6151" s="1" t="str">
        <f>HYPERLINK("http://ictvonline.org/taxonomy/p/taxonomy-history?taxnode_id=202113753","ICTVonline=202113753")</f>
        <v>ICTVonline=202113753</v>
      </c>
    </row>
    <row r="6152" spans="1:21" x14ac:dyDescent="0.2">
      <c r="A6152" s="3">
        <v>6151</v>
      </c>
      <c r="B6152" s="1" t="s">
        <v>4226</v>
      </c>
      <c r="D6152" s="1" t="s">
        <v>5412</v>
      </c>
      <c r="F6152" s="1" t="s">
        <v>5466</v>
      </c>
      <c r="H6152" s="1" t="s">
        <v>5469</v>
      </c>
      <c r="J6152" s="1" t="s">
        <v>5470</v>
      </c>
      <c r="L6152" s="1" t="s">
        <v>5471</v>
      </c>
      <c r="N6152" s="1" t="s">
        <v>12924</v>
      </c>
      <c r="P6152" s="1" t="s">
        <v>12929</v>
      </c>
      <c r="Q6152" s="30" t="s">
        <v>2567</v>
      </c>
      <c r="R6152" s="33" t="s">
        <v>3472</v>
      </c>
      <c r="S6152">
        <v>37</v>
      </c>
      <c r="T6152" s="1" t="s">
        <v>14003</v>
      </c>
      <c r="U6152" s="1" t="str">
        <f>HYPERLINK("http://ictvonline.org/taxonomy/p/taxonomy-history?taxnode_id=202113754","ICTVonline=202113754")</f>
        <v>ICTVonline=202113754</v>
      </c>
    </row>
    <row r="6153" spans="1:21" x14ac:dyDescent="0.2">
      <c r="A6153" s="3">
        <v>6152</v>
      </c>
      <c r="B6153" s="1" t="s">
        <v>4226</v>
      </c>
      <c r="D6153" s="1" t="s">
        <v>5412</v>
      </c>
      <c r="F6153" s="1" t="s">
        <v>5466</v>
      </c>
      <c r="H6153" s="1" t="s">
        <v>5469</v>
      </c>
      <c r="J6153" s="1" t="s">
        <v>5470</v>
      </c>
      <c r="L6153" s="1" t="s">
        <v>5471</v>
      </c>
      <c r="N6153" s="1" t="s">
        <v>12924</v>
      </c>
      <c r="P6153" s="1" t="s">
        <v>12930</v>
      </c>
      <c r="Q6153" s="30" t="s">
        <v>2567</v>
      </c>
      <c r="R6153" s="33" t="s">
        <v>3472</v>
      </c>
      <c r="S6153">
        <v>37</v>
      </c>
      <c r="T6153" s="1" t="s">
        <v>14003</v>
      </c>
      <c r="U6153" s="1" t="str">
        <f>HYPERLINK("http://ictvonline.org/taxonomy/p/taxonomy-history?taxnode_id=202113755","ICTVonline=202113755")</f>
        <v>ICTVonline=202113755</v>
      </c>
    </row>
    <row r="6154" spans="1:21" x14ac:dyDescent="0.2">
      <c r="A6154" s="3">
        <v>6153</v>
      </c>
      <c r="B6154" s="1" t="s">
        <v>4226</v>
      </c>
      <c r="D6154" s="1" t="s">
        <v>5412</v>
      </c>
      <c r="F6154" s="1" t="s">
        <v>5466</v>
      </c>
      <c r="H6154" s="1" t="s">
        <v>5469</v>
      </c>
      <c r="J6154" s="1" t="s">
        <v>5470</v>
      </c>
      <c r="L6154" s="1" t="s">
        <v>5471</v>
      </c>
      <c r="N6154" s="1" t="s">
        <v>12924</v>
      </c>
      <c r="P6154" s="1" t="s">
        <v>12931</v>
      </c>
      <c r="Q6154" s="30" t="s">
        <v>2567</v>
      </c>
      <c r="R6154" s="33" t="s">
        <v>3472</v>
      </c>
      <c r="S6154">
        <v>37</v>
      </c>
      <c r="T6154" s="1" t="s">
        <v>14003</v>
      </c>
      <c r="U6154" s="1" t="str">
        <f>HYPERLINK("http://ictvonline.org/taxonomy/p/taxonomy-history?taxnode_id=202113756","ICTVonline=202113756")</f>
        <v>ICTVonline=202113756</v>
      </c>
    </row>
    <row r="6155" spans="1:21" x14ac:dyDescent="0.2">
      <c r="A6155" s="3">
        <v>6154</v>
      </c>
      <c r="B6155" s="1" t="s">
        <v>4226</v>
      </c>
      <c r="D6155" s="1" t="s">
        <v>5412</v>
      </c>
      <c r="F6155" s="1" t="s">
        <v>5466</v>
      </c>
      <c r="H6155" s="1" t="s">
        <v>5469</v>
      </c>
      <c r="J6155" s="1" t="s">
        <v>5470</v>
      </c>
      <c r="L6155" s="1" t="s">
        <v>5471</v>
      </c>
      <c r="N6155" s="1" t="s">
        <v>12924</v>
      </c>
      <c r="P6155" s="1" t="s">
        <v>12932</v>
      </c>
      <c r="Q6155" s="30" t="s">
        <v>2567</v>
      </c>
      <c r="R6155" s="33" t="s">
        <v>3472</v>
      </c>
      <c r="S6155">
        <v>37</v>
      </c>
      <c r="T6155" s="1" t="s">
        <v>14003</v>
      </c>
      <c r="U6155" s="1" t="str">
        <f>HYPERLINK("http://ictvonline.org/taxonomy/p/taxonomy-history?taxnode_id=202113757","ICTVonline=202113757")</f>
        <v>ICTVonline=202113757</v>
      </c>
    </row>
    <row r="6156" spans="1:21" x14ac:dyDescent="0.2">
      <c r="A6156" s="3">
        <v>6155</v>
      </c>
      <c r="B6156" s="1" t="s">
        <v>4226</v>
      </c>
      <c r="D6156" s="1" t="s">
        <v>5412</v>
      </c>
      <c r="F6156" s="1" t="s">
        <v>5466</v>
      </c>
      <c r="H6156" s="1" t="s">
        <v>5469</v>
      </c>
      <c r="J6156" s="1" t="s">
        <v>5470</v>
      </c>
      <c r="L6156" s="1" t="s">
        <v>5471</v>
      </c>
      <c r="N6156" s="1" t="s">
        <v>12924</v>
      </c>
      <c r="P6156" s="1" t="s">
        <v>12933</v>
      </c>
      <c r="Q6156" s="30" t="s">
        <v>2567</v>
      </c>
      <c r="R6156" s="33" t="s">
        <v>3472</v>
      </c>
      <c r="S6156">
        <v>37</v>
      </c>
      <c r="T6156" s="1" t="s">
        <v>14003</v>
      </c>
      <c r="U6156" s="1" t="str">
        <f>HYPERLINK("http://ictvonline.org/taxonomy/p/taxonomy-history?taxnode_id=202113758","ICTVonline=202113758")</f>
        <v>ICTVonline=202113758</v>
      </c>
    </row>
    <row r="6157" spans="1:21" x14ac:dyDescent="0.2">
      <c r="A6157" s="3">
        <v>6156</v>
      </c>
      <c r="B6157" s="1" t="s">
        <v>4226</v>
      </c>
      <c r="D6157" s="1" t="s">
        <v>5412</v>
      </c>
      <c r="F6157" s="1" t="s">
        <v>5466</v>
      </c>
      <c r="H6157" s="1" t="s">
        <v>5469</v>
      </c>
      <c r="J6157" s="1" t="s">
        <v>5470</v>
      </c>
      <c r="L6157" s="1" t="s">
        <v>5471</v>
      </c>
      <c r="N6157" s="1" t="s">
        <v>12924</v>
      </c>
      <c r="P6157" s="1" t="s">
        <v>12934</v>
      </c>
      <c r="Q6157" s="30" t="s">
        <v>2567</v>
      </c>
      <c r="R6157" s="33" t="s">
        <v>3472</v>
      </c>
      <c r="S6157">
        <v>37</v>
      </c>
      <c r="T6157" s="1" t="s">
        <v>14003</v>
      </c>
      <c r="U6157" s="1" t="str">
        <f>HYPERLINK("http://ictvonline.org/taxonomy/p/taxonomy-history?taxnode_id=202113759","ICTVonline=202113759")</f>
        <v>ICTVonline=202113759</v>
      </c>
    </row>
    <row r="6158" spans="1:21" x14ac:dyDescent="0.2">
      <c r="A6158" s="3">
        <v>6157</v>
      </c>
      <c r="B6158" s="1" t="s">
        <v>4226</v>
      </c>
      <c r="D6158" s="1" t="s">
        <v>5412</v>
      </c>
      <c r="F6158" s="1" t="s">
        <v>5466</v>
      </c>
      <c r="H6158" s="1" t="s">
        <v>5469</v>
      </c>
      <c r="J6158" s="1" t="s">
        <v>5470</v>
      </c>
      <c r="L6158" s="1" t="s">
        <v>5471</v>
      </c>
      <c r="N6158" s="1" t="s">
        <v>12924</v>
      </c>
      <c r="P6158" s="1" t="s">
        <v>12935</v>
      </c>
      <c r="Q6158" s="30" t="s">
        <v>2567</v>
      </c>
      <c r="R6158" s="33" t="s">
        <v>3472</v>
      </c>
      <c r="S6158">
        <v>37</v>
      </c>
      <c r="T6158" s="1" t="s">
        <v>14003</v>
      </c>
      <c r="U6158" s="1" t="str">
        <f>HYPERLINK("http://ictvonline.org/taxonomy/p/taxonomy-history?taxnode_id=202113760","ICTVonline=202113760")</f>
        <v>ICTVonline=202113760</v>
      </c>
    </row>
    <row r="6159" spans="1:21" x14ac:dyDescent="0.2">
      <c r="A6159" s="3">
        <v>6158</v>
      </c>
      <c r="B6159" s="1" t="s">
        <v>4226</v>
      </c>
      <c r="D6159" s="1" t="s">
        <v>5412</v>
      </c>
      <c r="F6159" s="1" t="s">
        <v>5466</v>
      </c>
      <c r="H6159" s="1" t="s">
        <v>5469</v>
      </c>
      <c r="J6159" s="1" t="s">
        <v>5470</v>
      </c>
      <c r="L6159" s="1" t="s">
        <v>5471</v>
      </c>
      <c r="N6159" s="1" t="s">
        <v>12924</v>
      </c>
      <c r="P6159" s="1" t="s">
        <v>12936</v>
      </c>
      <c r="Q6159" s="30" t="s">
        <v>2567</v>
      </c>
      <c r="R6159" s="33" t="s">
        <v>3472</v>
      </c>
      <c r="S6159">
        <v>37</v>
      </c>
      <c r="T6159" s="1" t="s">
        <v>14003</v>
      </c>
      <c r="U6159" s="1" t="str">
        <f>HYPERLINK("http://ictvonline.org/taxonomy/p/taxonomy-history?taxnode_id=202113761","ICTVonline=202113761")</f>
        <v>ICTVonline=202113761</v>
      </c>
    </row>
    <row r="6160" spans="1:21" x14ac:dyDescent="0.2">
      <c r="A6160" s="3">
        <v>6159</v>
      </c>
      <c r="B6160" s="1" t="s">
        <v>4226</v>
      </c>
      <c r="D6160" s="1" t="s">
        <v>5412</v>
      </c>
      <c r="F6160" s="1" t="s">
        <v>5466</v>
      </c>
      <c r="H6160" s="1" t="s">
        <v>5469</v>
      </c>
      <c r="J6160" s="1" t="s">
        <v>5470</v>
      </c>
      <c r="L6160" s="1" t="s">
        <v>5471</v>
      </c>
      <c r="N6160" s="1" t="s">
        <v>12924</v>
      </c>
      <c r="P6160" s="1" t="s">
        <v>12937</v>
      </c>
      <c r="Q6160" s="30" t="s">
        <v>2567</v>
      </c>
      <c r="R6160" s="33" t="s">
        <v>3472</v>
      </c>
      <c r="S6160">
        <v>37</v>
      </c>
      <c r="T6160" s="1" t="s">
        <v>14003</v>
      </c>
      <c r="U6160" s="1" t="str">
        <f>HYPERLINK("http://ictvonline.org/taxonomy/p/taxonomy-history?taxnode_id=202113762","ICTVonline=202113762")</f>
        <v>ICTVonline=202113762</v>
      </c>
    </row>
    <row r="6161" spans="1:21" x14ac:dyDescent="0.2">
      <c r="A6161" s="3">
        <v>6160</v>
      </c>
      <c r="B6161" s="1" t="s">
        <v>4226</v>
      </c>
      <c r="D6161" s="1" t="s">
        <v>5412</v>
      </c>
      <c r="F6161" s="1" t="s">
        <v>5466</v>
      </c>
      <c r="H6161" s="1" t="s">
        <v>5469</v>
      </c>
      <c r="J6161" s="1" t="s">
        <v>5470</v>
      </c>
      <c r="L6161" s="1" t="s">
        <v>5471</v>
      </c>
      <c r="N6161" s="1" t="s">
        <v>12924</v>
      </c>
      <c r="P6161" s="1" t="s">
        <v>12938</v>
      </c>
      <c r="Q6161" s="30" t="s">
        <v>2567</v>
      </c>
      <c r="R6161" s="33" t="s">
        <v>3472</v>
      </c>
      <c r="S6161">
        <v>37</v>
      </c>
      <c r="T6161" s="1" t="s">
        <v>14003</v>
      </c>
      <c r="U6161" s="1" t="str">
        <f>HYPERLINK("http://ictvonline.org/taxonomy/p/taxonomy-history?taxnode_id=202113763","ICTVonline=202113763")</f>
        <v>ICTVonline=202113763</v>
      </c>
    </row>
    <row r="6162" spans="1:21" x14ac:dyDescent="0.2">
      <c r="A6162" s="3">
        <v>6161</v>
      </c>
      <c r="B6162" s="1" t="s">
        <v>4226</v>
      </c>
      <c r="D6162" s="1" t="s">
        <v>5412</v>
      </c>
      <c r="F6162" s="1" t="s">
        <v>5466</v>
      </c>
      <c r="H6162" s="1" t="s">
        <v>5469</v>
      </c>
      <c r="J6162" s="1" t="s">
        <v>5470</v>
      </c>
      <c r="L6162" s="1" t="s">
        <v>5471</v>
      </c>
      <c r="N6162" s="1" t="s">
        <v>12924</v>
      </c>
      <c r="P6162" s="1" t="s">
        <v>12939</v>
      </c>
      <c r="Q6162" s="30" t="s">
        <v>2567</v>
      </c>
      <c r="R6162" s="33" t="s">
        <v>3472</v>
      </c>
      <c r="S6162">
        <v>37</v>
      </c>
      <c r="T6162" s="1" t="s">
        <v>14003</v>
      </c>
      <c r="U6162" s="1" t="str">
        <f>HYPERLINK("http://ictvonline.org/taxonomy/p/taxonomy-history?taxnode_id=202113764","ICTVonline=202113764")</f>
        <v>ICTVonline=202113764</v>
      </c>
    </row>
    <row r="6163" spans="1:21" x14ac:dyDescent="0.2">
      <c r="A6163" s="3">
        <v>6162</v>
      </c>
      <c r="B6163" s="1" t="s">
        <v>4226</v>
      </c>
      <c r="D6163" s="1" t="s">
        <v>5412</v>
      </c>
      <c r="F6163" s="1" t="s">
        <v>5466</v>
      </c>
      <c r="H6163" s="1" t="s">
        <v>5469</v>
      </c>
      <c r="J6163" s="1" t="s">
        <v>5470</v>
      </c>
      <c r="L6163" s="1" t="s">
        <v>5471</v>
      </c>
      <c r="N6163" s="1" t="s">
        <v>12924</v>
      </c>
      <c r="P6163" s="1" t="s">
        <v>12940</v>
      </c>
      <c r="Q6163" s="30" t="s">
        <v>2567</v>
      </c>
      <c r="R6163" s="33" t="s">
        <v>3472</v>
      </c>
      <c r="S6163">
        <v>37</v>
      </c>
      <c r="T6163" s="1" t="s">
        <v>14003</v>
      </c>
      <c r="U6163" s="1" t="str">
        <f>HYPERLINK("http://ictvonline.org/taxonomy/p/taxonomy-history?taxnode_id=202113765","ICTVonline=202113765")</f>
        <v>ICTVonline=202113765</v>
      </c>
    </row>
    <row r="6164" spans="1:21" x14ac:dyDescent="0.2">
      <c r="A6164" s="3">
        <v>6163</v>
      </c>
      <c r="B6164" s="1" t="s">
        <v>4226</v>
      </c>
      <c r="D6164" s="1" t="s">
        <v>5412</v>
      </c>
      <c r="F6164" s="1" t="s">
        <v>5466</v>
      </c>
      <c r="H6164" s="1" t="s">
        <v>5469</v>
      </c>
      <c r="J6164" s="1" t="s">
        <v>5470</v>
      </c>
      <c r="L6164" s="1" t="s">
        <v>5471</v>
      </c>
      <c r="N6164" s="1" t="s">
        <v>12924</v>
      </c>
      <c r="P6164" s="1" t="s">
        <v>12941</v>
      </c>
      <c r="Q6164" s="30" t="s">
        <v>2567</v>
      </c>
      <c r="R6164" s="33" t="s">
        <v>3472</v>
      </c>
      <c r="S6164">
        <v>37</v>
      </c>
      <c r="T6164" s="1" t="s">
        <v>14003</v>
      </c>
      <c r="U6164" s="1" t="str">
        <f>HYPERLINK("http://ictvonline.org/taxonomy/p/taxonomy-history?taxnode_id=202113766","ICTVonline=202113766")</f>
        <v>ICTVonline=202113766</v>
      </c>
    </row>
    <row r="6165" spans="1:21" x14ac:dyDescent="0.2">
      <c r="A6165" s="3">
        <v>6164</v>
      </c>
      <c r="B6165" s="1" t="s">
        <v>4226</v>
      </c>
      <c r="D6165" s="1" t="s">
        <v>5412</v>
      </c>
      <c r="F6165" s="1" t="s">
        <v>5466</v>
      </c>
      <c r="H6165" s="1" t="s">
        <v>5469</v>
      </c>
      <c r="J6165" s="1" t="s">
        <v>5470</v>
      </c>
      <c r="L6165" s="1" t="s">
        <v>5471</v>
      </c>
      <c r="N6165" s="1" t="s">
        <v>12924</v>
      </c>
      <c r="P6165" s="1" t="s">
        <v>12942</v>
      </c>
      <c r="Q6165" s="30" t="s">
        <v>2567</v>
      </c>
      <c r="R6165" s="33" t="s">
        <v>3472</v>
      </c>
      <c r="S6165">
        <v>37</v>
      </c>
      <c r="T6165" s="1" t="s">
        <v>14003</v>
      </c>
      <c r="U6165" s="1" t="str">
        <f>HYPERLINK("http://ictvonline.org/taxonomy/p/taxonomy-history?taxnode_id=202113767","ICTVonline=202113767")</f>
        <v>ICTVonline=202113767</v>
      </c>
    </row>
    <row r="6166" spans="1:21" x14ac:dyDescent="0.2">
      <c r="A6166" s="3">
        <v>6165</v>
      </c>
      <c r="B6166" s="1" t="s">
        <v>4226</v>
      </c>
      <c r="D6166" s="1" t="s">
        <v>5412</v>
      </c>
      <c r="F6166" s="1" t="s">
        <v>5466</v>
      </c>
      <c r="H6166" s="1" t="s">
        <v>5469</v>
      </c>
      <c r="J6166" s="1" t="s">
        <v>5470</v>
      </c>
      <c r="L6166" s="1" t="s">
        <v>5471</v>
      </c>
      <c r="N6166" s="1" t="s">
        <v>12924</v>
      </c>
      <c r="P6166" s="1" t="s">
        <v>12943</v>
      </c>
      <c r="Q6166" s="30" t="s">
        <v>2567</v>
      </c>
      <c r="R6166" s="33" t="s">
        <v>3472</v>
      </c>
      <c r="S6166">
        <v>37</v>
      </c>
      <c r="T6166" s="1" t="s">
        <v>14003</v>
      </c>
      <c r="U6166" s="1" t="str">
        <f>HYPERLINK("http://ictvonline.org/taxonomy/p/taxonomy-history?taxnode_id=202113768","ICTVonline=202113768")</f>
        <v>ICTVonline=202113768</v>
      </c>
    </row>
    <row r="6167" spans="1:21" x14ac:dyDescent="0.2">
      <c r="A6167" s="3">
        <v>6166</v>
      </c>
      <c r="B6167" s="1" t="s">
        <v>4226</v>
      </c>
      <c r="D6167" s="1" t="s">
        <v>5412</v>
      </c>
      <c r="F6167" s="1" t="s">
        <v>5466</v>
      </c>
      <c r="H6167" s="1" t="s">
        <v>5469</v>
      </c>
      <c r="J6167" s="1" t="s">
        <v>5470</v>
      </c>
      <c r="L6167" s="1" t="s">
        <v>5471</v>
      </c>
      <c r="N6167" s="1" t="s">
        <v>12924</v>
      </c>
      <c r="P6167" s="1" t="s">
        <v>12944</v>
      </c>
      <c r="Q6167" s="30" t="s">
        <v>2567</v>
      </c>
      <c r="R6167" s="33" t="s">
        <v>3472</v>
      </c>
      <c r="S6167">
        <v>37</v>
      </c>
      <c r="T6167" s="1" t="s">
        <v>14003</v>
      </c>
      <c r="U6167" s="1" t="str">
        <f>HYPERLINK("http://ictvonline.org/taxonomy/p/taxonomy-history?taxnode_id=202113769","ICTVonline=202113769")</f>
        <v>ICTVonline=202113769</v>
      </c>
    </row>
    <row r="6168" spans="1:21" x14ac:dyDescent="0.2">
      <c r="A6168" s="3">
        <v>6167</v>
      </c>
      <c r="B6168" s="1" t="s">
        <v>4226</v>
      </c>
      <c r="D6168" s="1" t="s">
        <v>5412</v>
      </c>
      <c r="F6168" s="1" t="s">
        <v>5466</v>
      </c>
      <c r="H6168" s="1" t="s">
        <v>5469</v>
      </c>
      <c r="J6168" s="1" t="s">
        <v>5470</v>
      </c>
      <c r="L6168" s="1" t="s">
        <v>5471</v>
      </c>
      <c r="N6168" s="1" t="s">
        <v>12924</v>
      </c>
      <c r="P6168" s="1" t="s">
        <v>12945</v>
      </c>
      <c r="Q6168" s="30" t="s">
        <v>2567</v>
      </c>
      <c r="R6168" s="33" t="s">
        <v>3472</v>
      </c>
      <c r="S6168">
        <v>37</v>
      </c>
      <c r="T6168" s="1" t="s">
        <v>14003</v>
      </c>
      <c r="U6168" s="1" t="str">
        <f>HYPERLINK("http://ictvonline.org/taxonomy/p/taxonomy-history?taxnode_id=202113770","ICTVonline=202113770")</f>
        <v>ICTVonline=202113770</v>
      </c>
    </row>
    <row r="6169" spans="1:21" x14ac:dyDescent="0.2">
      <c r="A6169" s="3">
        <v>6168</v>
      </c>
      <c r="B6169" s="1" t="s">
        <v>4226</v>
      </c>
      <c r="D6169" s="1" t="s">
        <v>5412</v>
      </c>
      <c r="F6169" s="1" t="s">
        <v>5466</v>
      </c>
      <c r="H6169" s="1" t="s">
        <v>5469</v>
      </c>
      <c r="J6169" s="1" t="s">
        <v>5470</v>
      </c>
      <c r="L6169" s="1" t="s">
        <v>5471</v>
      </c>
      <c r="N6169" s="1" t="s">
        <v>12924</v>
      </c>
      <c r="P6169" s="1" t="s">
        <v>12946</v>
      </c>
      <c r="Q6169" s="30" t="s">
        <v>2567</v>
      </c>
      <c r="R6169" s="33" t="s">
        <v>3472</v>
      </c>
      <c r="S6169">
        <v>37</v>
      </c>
      <c r="T6169" s="1" t="s">
        <v>14003</v>
      </c>
      <c r="U6169" s="1" t="str">
        <f>HYPERLINK("http://ictvonline.org/taxonomy/p/taxonomy-history?taxnode_id=202113771","ICTVonline=202113771")</f>
        <v>ICTVonline=202113771</v>
      </c>
    </row>
    <row r="6170" spans="1:21" x14ac:dyDescent="0.2">
      <c r="A6170" s="3">
        <v>6169</v>
      </c>
      <c r="B6170" s="1" t="s">
        <v>4226</v>
      </c>
      <c r="D6170" s="1" t="s">
        <v>5412</v>
      </c>
      <c r="F6170" s="1" t="s">
        <v>5466</v>
      </c>
      <c r="H6170" s="1" t="s">
        <v>5469</v>
      </c>
      <c r="J6170" s="1" t="s">
        <v>5470</v>
      </c>
      <c r="L6170" s="1" t="s">
        <v>5471</v>
      </c>
      <c r="N6170" s="1" t="s">
        <v>12924</v>
      </c>
      <c r="P6170" s="1" t="s">
        <v>12947</v>
      </c>
      <c r="Q6170" s="30" t="s">
        <v>2567</v>
      </c>
      <c r="R6170" s="33" t="s">
        <v>3472</v>
      </c>
      <c r="S6170">
        <v>37</v>
      </c>
      <c r="T6170" s="1" t="s">
        <v>14003</v>
      </c>
      <c r="U6170" s="1" t="str">
        <f>HYPERLINK("http://ictvonline.org/taxonomy/p/taxonomy-history?taxnode_id=202113772","ICTVonline=202113772")</f>
        <v>ICTVonline=202113772</v>
      </c>
    </row>
    <row r="6171" spans="1:21" x14ac:dyDescent="0.2">
      <c r="A6171" s="3">
        <v>6170</v>
      </c>
      <c r="B6171" s="1" t="s">
        <v>4226</v>
      </c>
      <c r="D6171" s="1" t="s">
        <v>5412</v>
      </c>
      <c r="F6171" s="1" t="s">
        <v>5466</v>
      </c>
      <c r="H6171" s="1" t="s">
        <v>5469</v>
      </c>
      <c r="J6171" s="1" t="s">
        <v>5470</v>
      </c>
      <c r="L6171" s="1" t="s">
        <v>5471</v>
      </c>
      <c r="N6171" s="1" t="s">
        <v>12924</v>
      </c>
      <c r="P6171" s="1" t="s">
        <v>12948</v>
      </c>
      <c r="Q6171" s="30" t="s">
        <v>2567</v>
      </c>
      <c r="R6171" s="33" t="s">
        <v>3472</v>
      </c>
      <c r="S6171">
        <v>37</v>
      </c>
      <c r="T6171" s="1" t="s">
        <v>14003</v>
      </c>
      <c r="U6171" s="1" t="str">
        <f>HYPERLINK("http://ictvonline.org/taxonomy/p/taxonomy-history?taxnode_id=202113773","ICTVonline=202113773")</f>
        <v>ICTVonline=202113773</v>
      </c>
    </row>
    <row r="6172" spans="1:21" x14ac:dyDescent="0.2">
      <c r="A6172" s="3">
        <v>6171</v>
      </c>
      <c r="B6172" s="1" t="s">
        <v>4226</v>
      </c>
      <c r="D6172" s="1" t="s">
        <v>5412</v>
      </c>
      <c r="F6172" s="1" t="s">
        <v>5466</v>
      </c>
      <c r="H6172" s="1" t="s">
        <v>5469</v>
      </c>
      <c r="J6172" s="1" t="s">
        <v>5470</v>
      </c>
      <c r="L6172" s="1" t="s">
        <v>5471</v>
      </c>
      <c r="N6172" s="1" t="s">
        <v>12924</v>
      </c>
      <c r="P6172" s="1" t="s">
        <v>12949</v>
      </c>
      <c r="Q6172" s="30" t="s">
        <v>2567</v>
      </c>
      <c r="R6172" s="33" t="s">
        <v>3472</v>
      </c>
      <c r="S6172">
        <v>37</v>
      </c>
      <c r="T6172" s="1" t="s">
        <v>14003</v>
      </c>
      <c r="U6172" s="1" t="str">
        <f>HYPERLINK("http://ictvonline.org/taxonomy/p/taxonomy-history?taxnode_id=202113774","ICTVonline=202113774")</f>
        <v>ICTVonline=202113774</v>
      </c>
    </row>
    <row r="6173" spans="1:21" x14ac:dyDescent="0.2">
      <c r="A6173" s="3">
        <v>6172</v>
      </c>
      <c r="B6173" s="1" t="s">
        <v>4226</v>
      </c>
      <c r="D6173" s="1" t="s">
        <v>5412</v>
      </c>
      <c r="F6173" s="1" t="s">
        <v>5466</v>
      </c>
      <c r="H6173" s="1" t="s">
        <v>5469</v>
      </c>
      <c r="J6173" s="1" t="s">
        <v>5470</v>
      </c>
      <c r="L6173" s="1" t="s">
        <v>5471</v>
      </c>
      <c r="N6173" s="1" t="s">
        <v>12924</v>
      </c>
      <c r="P6173" s="1" t="s">
        <v>12950</v>
      </c>
      <c r="Q6173" s="30" t="s">
        <v>2567</v>
      </c>
      <c r="R6173" s="33" t="s">
        <v>3472</v>
      </c>
      <c r="S6173">
        <v>37</v>
      </c>
      <c r="T6173" s="1" t="s">
        <v>14003</v>
      </c>
      <c r="U6173" s="1" t="str">
        <f>HYPERLINK("http://ictvonline.org/taxonomy/p/taxonomy-history?taxnode_id=202113775","ICTVonline=202113775")</f>
        <v>ICTVonline=202113775</v>
      </c>
    </row>
    <row r="6174" spans="1:21" x14ac:dyDescent="0.2">
      <c r="A6174" s="3">
        <v>6173</v>
      </c>
      <c r="B6174" s="1" t="s">
        <v>4226</v>
      </c>
      <c r="D6174" s="1" t="s">
        <v>5412</v>
      </c>
      <c r="F6174" s="1" t="s">
        <v>5466</v>
      </c>
      <c r="H6174" s="1" t="s">
        <v>5469</v>
      </c>
      <c r="J6174" s="1" t="s">
        <v>5470</v>
      </c>
      <c r="L6174" s="1" t="s">
        <v>5471</v>
      </c>
      <c r="N6174" s="1" t="s">
        <v>12924</v>
      </c>
      <c r="P6174" s="1" t="s">
        <v>12951</v>
      </c>
      <c r="Q6174" s="30" t="s">
        <v>2567</v>
      </c>
      <c r="R6174" s="33" t="s">
        <v>3472</v>
      </c>
      <c r="S6174">
        <v>37</v>
      </c>
      <c r="T6174" s="1" t="s">
        <v>14003</v>
      </c>
      <c r="U6174" s="1" t="str">
        <f>HYPERLINK("http://ictvonline.org/taxonomy/p/taxonomy-history?taxnode_id=202113776","ICTVonline=202113776")</f>
        <v>ICTVonline=202113776</v>
      </c>
    </row>
    <row r="6175" spans="1:21" x14ac:dyDescent="0.2">
      <c r="A6175" s="3">
        <v>6174</v>
      </c>
      <c r="B6175" s="1" t="s">
        <v>4226</v>
      </c>
      <c r="D6175" s="1" t="s">
        <v>5412</v>
      </c>
      <c r="F6175" s="1" t="s">
        <v>5466</v>
      </c>
      <c r="H6175" s="1" t="s">
        <v>5469</v>
      </c>
      <c r="J6175" s="1" t="s">
        <v>5470</v>
      </c>
      <c r="L6175" s="1" t="s">
        <v>5471</v>
      </c>
      <c r="N6175" s="1" t="s">
        <v>12924</v>
      </c>
      <c r="P6175" s="1" t="s">
        <v>12952</v>
      </c>
      <c r="Q6175" s="30" t="s">
        <v>2567</v>
      </c>
      <c r="R6175" s="33" t="s">
        <v>3472</v>
      </c>
      <c r="S6175">
        <v>37</v>
      </c>
      <c r="T6175" s="1" t="s">
        <v>14003</v>
      </c>
      <c r="U6175" s="1" t="str">
        <f>HYPERLINK("http://ictvonline.org/taxonomy/p/taxonomy-history?taxnode_id=202113777","ICTVonline=202113777")</f>
        <v>ICTVonline=202113777</v>
      </c>
    </row>
    <row r="6176" spans="1:21" x14ac:dyDescent="0.2">
      <c r="A6176" s="3">
        <v>6175</v>
      </c>
      <c r="B6176" s="1" t="s">
        <v>4226</v>
      </c>
      <c r="D6176" s="1" t="s">
        <v>5412</v>
      </c>
      <c r="F6176" s="1" t="s">
        <v>5466</v>
      </c>
      <c r="H6176" s="1" t="s">
        <v>5469</v>
      </c>
      <c r="J6176" s="1" t="s">
        <v>5470</v>
      </c>
      <c r="L6176" s="1" t="s">
        <v>5471</v>
      </c>
      <c r="N6176" s="1" t="s">
        <v>12924</v>
      </c>
      <c r="P6176" s="1" t="s">
        <v>12953</v>
      </c>
      <c r="Q6176" s="30" t="s">
        <v>2567</v>
      </c>
      <c r="R6176" s="33" t="s">
        <v>3472</v>
      </c>
      <c r="S6176">
        <v>37</v>
      </c>
      <c r="T6176" s="1" t="s">
        <v>14003</v>
      </c>
      <c r="U6176" s="1" t="str">
        <f>HYPERLINK("http://ictvonline.org/taxonomy/p/taxonomy-history?taxnode_id=202113778","ICTVonline=202113778")</f>
        <v>ICTVonline=202113778</v>
      </c>
    </row>
    <row r="6177" spans="1:21" x14ac:dyDescent="0.2">
      <c r="A6177" s="3">
        <v>6176</v>
      </c>
      <c r="B6177" s="1" t="s">
        <v>4226</v>
      </c>
      <c r="D6177" s="1" t="s">
        <v>5412</v>
      </c>
      <c r="F6177" s="1" t="s">
        <v>5466</v>
      </c>
      <c r="H6177" s="1" t="s">
        <v>5469</v>
      </c>
      <c r="J6177" s="1" t="s">
        <v>5470</v>
      </c>
      <c r="L6177" s="1" t="s">
        <v>5471</v>
      </c>
      <c r="N6177" s="1" t="s">
        <v>12924</v>
      </c>
      <c r="P6177" s="1" t="s">
        <v>12954</v>
      </c>
      <c r="Q6177" s="30" t="s">
        <v>2567</v>
      </c>
      <c r="R6177" s="33" t="s">
        <v>3472</v>
      </c>
      <c r="S6177">
        <v>37</v>
      </c>
      <c r="T6177" s="1" t="s">
        <v>14003</v>
      </c>
      <c r="U6177" s="1" t="str">
        <f>HYPERLINK("http://ictvonline.org/taxonomy/p/taxonomy-history?taxnode_id=202113779","ICTVonline=202113779")</f>
        <v>ICTVonline=202113779</v>
      </c>
    </row>
    <row r="6178" spans="1:21" x14ac:dyDescent="0.2">
      <c r="A6178" s="3">
        <v>6177</v>
      </c>
      <c r="B6178" s="1" t="s">
        <v>4226</v>
      </c>
      <c r="D6178" s="1" t="s">
        <v>5412</v>
      </c>
      <c r="F6178" s="1" t="s">
        <v>5466</v>
      </c>
      <c r="H6178" s="1" t="s">
        <v>5469</v>
      </c>
      <c r="J6178" s="1" t="s">
        <v>5470</v>
      </c>
      <c r="L6178" s="1" t="s">
        <v>5471</v>
      </c>
      <c r="N6178" s="1" t="s">
        <v>12924</v>
      </c>
      <c r="P6178" s="1" t="s">
        <v>12955</v>
      </c>
      <c r="Q6178" s="30" t="s">
        <v>2567</v>
      </c>
      <c r="R6178" s="33" t="s">
        <v>3472</v>
      </c>
      <c r="S6178">
        <v>37</v>
      </c>
      <c r="T6178" s="1" t="s">
        <v>14003</v>
      </c>
      <c r="U6178" s="1" t="str">
        <f>HYPERLINK("http://ictvonline.org/taxonomy/p/taxonomy-history?taxnode_id=202113781","ICTVonline=202113781")</f>
        <v>ICTVonline=202113781</v>
      </c>
    </row>
    <row r="6179" spans="1:21" x14ac:dyDescent="0.2">
      <c r="A6179" s="3">
        <v>6178</v>
      </c>
      <c r="B6179" s="1" t="s">
        <v>4226</v>
      </c>
      <c r="D6179" s="1" t="s">
        <v>5412</v>
      </c>
      <c r="F6179" s="1" t="s">
        <v>5466</v>
      </c>
      <c r="H6179" s="1" t="s">
        <v>5469</v>
      </c>
      <c r="J6179" s="1" t="s">
        <v>5470</v>
      </c>
      <c r="L6179" s="1" t="s">
        <v>5471</v>
      </c>
      <c r="N6179" s="1" t="s">
        <v>12924</v>
      </c>
      <c r="P6179" s="1" t="s">
        <v>12956</v>
      </c>
      <c r="Q6179" s="30" t="s">
        <v>2567</v>
      </c>
      <c r="R6179" s="33" t="s">
        <v>3472</v>
      </c>
      <c r="S6179">
        <v>37</v>
      </c>
      <c r="T6179" s="1" t="s">
        <v>14003</v>
      </c>
      <c r="U6179" s="1" t="str">
        <f>HYPERLINK("http://ictvonline.org/taxonomy/p/taxonomy-history?taxnode_id=202113780","ICTVonline=202113780")</f>
        <v>ICTVonline=202113780</v>
      </c>
    </row>
    <row r="6180" spans="1:21" x14ac:dyDescent="0.2">
      <c r="A6180" s="3">
        <v>6179</v>
      </c>
      <c r="B6180" s="1" t="s">
        <v>4226</v>
      </c>
      <c r="D6180" s="1" t="s">
        <v>5412</v>
      </c>
      <c r="F6180" s="1" t="s">
        <v>5466</v>
      </c>
      <c r="H6180" s="1" t="s">
        <v>5469</v>
      </c>
      <c r="J6180" s="1" t="s">
        <v>5470</v>
      </c>
      <c r="L6180" s="1" t="s">
        <v>5471</v>
      </c>
      <c r="N6180" s="1" t="s">
        <v>12924</v>
      </c>
      <c r="P6180" s="1" t="s">
        <v>12957</v>
      </c>
      <c r="Q6180" s="30" t="s">
        <v>2567</v>
      </c>
      <c r="R6180" s="33" t="s">
        <v>3472</v>
      </c>
      <c r="S6180">
        <v>37</v>
      </c>
      <c r="T6180" s="1" t="s">
        <v>14003</v>
      </c>
      <c r="U6180" s="1" t="str">
        <f>HYPERLINK("http://ictvonline.org/taxonomy/p/taxonomy-history?taxnode_id=202113782","ICTVonline=202113782")</f>
        <v>ICTVonline=202113782</v>
      </c>
    </row>
    <row r="6181" spans="1:21" x14ac:dyDescent="0.2">
      <c r="A6181" s="3">
        <v>6180</v>
      </c>
      <c r="B6181" s="1" t="s">
        <v>4226</v>
      </c>
      <c r="D6181" s="1" t="s">
        <v>5412</v>
      </c>
      <c r="F6181" s="1" t="s">
        <v>5466</v>
      </c>
      <c r="H6181" s="1" t="s">
        <v>5469</v>
      </c>
      <c r="J6181" s="1" t="s">
        <v>5470</v>
      </c>
      <c r="L6181" s="1" t="s">
        <v>5471</v>
      </c>
      <c r="N6181" s="1" t="s">
        <v>12924</v>
      </c>
      <c r="P6181" s="1" t="s">
        <v>12958</v>
      </c>
      <c r="Q6181" s="30" t="s">
        <v>2567</v>
      </c>
      <c r="R6181" s="33" t="s">
        <v>3472</v>
      </c>
      <c r="S6181">
        <v>37</v>
      </c>
      <c r="T6181" s="1" t="s">
        <v>14003</v>
      </c>
      <c r="U6181" s="1" t="str">
        <f>HYPERLINK("http://ictvonline.org/taxonomy/p/taxonomy-history?taxnode_id=202113783","ICTVonline=202113783")</f>
        <v>ICTVonline=202113783</v>
      </c>
    </row>
    <row r="6182" spans="1:21" x14ac:dyDescent="0.2">
      <c r="A6182" s="3">
        <v>6181</v>
      </c>
      <c r="B6182" s="1" t="s">
        <v>4226</v>
      </c>
      <c r="D6182" s="1" t="s">
        <v>5412</v>
      </c>
      <c r="F6182" s="1" t="s">
        <v>5466</v>
      </c>
      <c r="H6182" s="1" t="s">
        <v>5469</v>
      </c>
      <c r="J6182" s="1" t="s">
        <v>5470</v>
      </c>
      <c r="L6182" s="1" t="s">
        <v>5471</v>
      </c>
      <c r="N6182" s="1" t="s">
        <v>12924</v>
      </c>
      <c r="P6182" s="1" t="s">
        <v>12959</v>
      </c>
      <c r="Q6182" s="30" t="s">
        <v>2567</v>
      </c>
      <c r="R6182" s="33" t="s">
        <v>3472</v>
      </c>
      <c r="S6182">
        <v>37</v>
      </c>
      <c r="T6182" s="1" t="s">
        <v>14003</v>
      </c>
      <c r="U6182" s="1" t="str">
        <f>HYPERLINK("http://ictvonline.org/taxonomy/p/taxonomy-history?taxnode_id=202113784","ICTVonline=202113784")</f>
        <v>ICTVonline=202113784</v>
      </c>
    </row>
    <row r="6183" spans="1:21" x14ac:dyDescent="0.2">
      <c r="A6183" s="3">
        <v>6182</v>
      </c>
      <c r="B6183" s="1" t="s">
        <v>4226</v>
      </c>
      <c r="D6183" s="1" t="s">
        <v>5412</v>
      </c>
      <c r="F6183" s="1" t="s">
        <v>5466</v>
      </c>
      <c r="H6183" s="1" t="s">
        <v>5469</v>
      </c>
      <c r="J6183" s="1" t="s">
        <v>5470</v>
      </c>
      <c r="L6183" s="1" t="s">
        <v>5471</v>
      </c>
      <c r="N6183" s="1" t="s">
        <v>12924</v>
      </c>
      <c r="P6183" s="1" t="s">
        <v>12960</v>
      </c>
      <c r="Q6183" s="30" t="s">
        <v>2567</v>
      </c>
      <c r="R6183" s="33" t="s">
        <v>3472</v>
      </c>
      <c r="S6183">
        <v>37</v>
      </c>
      <c r="T6183" s="1" t="s">
        <v>14003</v>
      </c>
      <c r="U6183" s="1" t="str">
        <f>HYPERLINK("http://ictvonline.org/taxonomy/p/taxonomy-history?taxnode_id=202113785","ICTVonline=202113785")</f>
        <v>ICTVonline=202113785</v>
      </c>
    </row>
    <row r="6184" spans="1:21" x14ac:dyDescent="0.2">
      <c r="A6184" s="3">
        <v>6183</v>
      </c>
      <c r="B6184" s="1" t="s">
        <v>4226</v>
      </c>
      <c r="D6184" s="1" t="s">
        <v>5412</v>
      </c>
      <c r="F6184" s="1" t="s">
        <v>5466</v>
      </c>
      <c r="H6184" s="1" t="s">
        <v>5469</v>
      </c>
      <c r="J6184" s="1" t="s">
        <v>5470</v>
      </c>
      <c r="L6184" s="1" t="s">
        <v>5471</v>
      </c>
      <c r="N6184" s="1" t="s">
        <v>12924</v>
      </c>
      <c r="P6184" s="1" t="s">
        <v>12961</v>
      </c>
      <c r="Q6184" s="30" t="s">
        <v>2567</v>
      </c>
      <c r="R6184" s="33" t="s">
        <v>3473</v>
      </c>
      <c r="S6184">
        <v>37</v>
      </c>
      <c r="T6184" s="1" t="s">
        <v>14003</v>
      </c>
      <c r="U6184" s="1" t="str">
        <f>HYPERLINK("http://ictvonline.org/taxonomy/p/taxonomy-history?taxnode_id=202103912","ICTVonline=202103912")</f>
        <v>ICTVonline=202103912</v>
      </c>
    </row>
    <row r="6185" spans="1:21" x14ac:dyDescent="0.2">
      <c r="A6185" s="3">
        <v>6184</v>
      </c>
      <c r="B6185" s="1" t="s">
        <v>4226</v>
      </c>
      <c r="D6185" s="1" t="s">
        <v>5412</v>
      </c>
      <c r="F6185" s="1" t="s">
        <v>5466</v>
      </c>
      <c r="H6185" s="1" t="s">
        <v>5469</v>
      </c>
      <c r="J6185" s="1" t="s">
        <v>5470</v>
      </c>
      <c r="L6185" s="1" t="s">
        <v>5471</v>
      </c>
      <c r="N6185" s="1" t="s">
        <v>12924</v>
      </c>
      <c r="P6185" s="1" t="s">
        <v>12962</v>
      </c>
      <c r="Q6185" s="30" t="s">
        <v>2567</v>
      </c>
      <c r="R6185" s="33" t="s">
        <v>3473</v>
      </c>
      <c r="S6185">
        <v>37</v>
      </c>
      <c r="T6185" s="1" t="s">
        <v>14003</v>
      </c>
      <c r="U6185" s="1" t="str">
        <f>HYPERLINK("http://ictvonline.org/taxonomy/p/taxonomy-history?taxnode_id=202103913","ICTVonline=202103913")</f>
        <v>ICTVonline=202103913</v>
      </c>
    </row>
    <row r="6186" spans="1:21" x14ac:dyDescent="0.2">
      <c r="A6186" s="3">
        <v>6185</v>
      </c>
      <c r="B6186" s="1" t="s">
        <v>4226</v>
      </c>
      <c r="D6186" s="1" t="s">
        <v>5412</v>
      </c>
      <c r="F6186" s="1" t="s">
        <v>5466</v>
      </c>
      <c r="H6186" s="1" t="s">
        <v>5469</v>
      </c>
      <c r="J6186" s="1" t="s">
        <v>5470</v>
      </c>
      <c r="L6186" s="1" t="s">
        <v>5471</v>
      </c>
      <c r="N6186" s="1" t="s">
        <v>12924</v>
      </c>
      <c r="P6186" s="1" t="s">
        <v>12963</v>
      </c>
      <c r="Q6186" s="30" t="s">
        <v>2567</v>
      </c>
      <c r="R6186" s="33" t="s">
        <v>3473</v>
      </c>
      <c r="S6186">
        <v>37</v>
      </c>
      <c r="T6186" s="1" t="s">
        <v>14003</v>
      </c>
      <c r="U6186" s="1" t="str">
        <f>HYPERLINK("http://ictvonline.org/taxonomy/p/taxonomy-history?taxnode_id=202103914","ICTVonline=202103914")</f>
        <v>ICTVonline=202103914</v>
      </c>
    </row>
    <row r="6187" spans="1:21" x14ac:dyDescent="0.2">
      <c r="A6187" s="3">
        <v>6186</v>
      </c>
      <c r="B6187" s="1" t="s">
        <v>4226</v>
      </c>
      <c r="D6187" s="1" t="s">
        <v>5412</v>
      </c>
      <c r="F6187" s="1" t="s">
        <v>5466</v>
      </c>
      <c r="H6187" s="1" t="s">
        <v>5469</v>
      </c>
      <c r="J6187" s="1" t="s">
        <v>5470</v>
      </c>
      <c r="L6187" s="1" t="s">
        <v>5471</v>
      </c>
      <c r="N6187" s="1" t="s">
        <v>12924</v>
      </c>
      <c r="P6187" s="1" t="s">
        <v>12964</v>
      </c>
      <c r="Q6187" s="30" t="s">
        <v>2567</v>
      </c>
      <c r="R6187" s="33" t="s">
        <v>3472</v>
      </c>
      <c r="S6187">
        <v>37</v>
      </c>
      <c r="T6187" s="1" t="s">
        <v>14003</v>
      </c>
      <c r="U6187" s="1" t="str">
        <f>HYPERLINK("http://ictvonline.org/taxonomy/p/taxonomy-history?taxnode_id=202113786","ICTVonline=202113786")</f>
        <v>ICTVonline=202113786</v>
      </c>
    </row>
    <row r="6188" spans="1:21" x14ac:dyDescent="0.2">
      <c r="A6188" s="3">
        <v>6187</v>
      </c>
      <c r="B6188" s="1" t="s">
        <v>4226</v>
      </c>
      <c r="D6188" s="1" t="s">
        <v>5412</v>
      </c>
      <c r="F6188" s="1" t="s">
        <v>5466</v>
      </c>
      <c r="H6188" s="1" t="s">
        <v>5469</v>
      </c>
      <c r="J6188" s="1" t="s">
        <v>5470</v>
      </c>
      <c r="L6188" s="1" t="s">
        <v>5471</v>
      </c>
      <c r="N6188" s="1" t="s">
        <v>12924</v>
      </c>
      <c r="P6188" s="1" t="s">
        <v>12965</v>
      </c>
      <c r="Q6188" s="30" t="s">
        <v>2567</v>
      </c>
      <c r="R6188" s="33" t="s">
        <v>3472</v>
      </c>
      <c r="S6188">
        <v>37</v>
      </c>
      <c r="T6188" s="1" t="s">
        <v>14003</v>
      </c>
      <c r="U6188" s="1" t="str">
        <f>HYPERLINK("http://ictvonline.org/taxonomy/p/taxonomy-history?taxnode_id=202113787","ICTVonline=202113787")</f>
        <v>ICTVonline=202113787</v>
      </c>
    </row>
    <row r="6189" spans="1:21" x14ac:dyDescent="0.2">
      <c r="A6189" s="3">
        <v>6188</v>
      </c>
      <c r="B6189" s="1" t="s">
        <v>4226</v>
      </c>
      <c r="D6189" s="1" t="s">
        <v>5412</v>
      </c>
      <c r="F6189" s="1" t="s">
        <v>5466</v>
      </c>
      <c r="H6189" s="1" t="s">
        <v>5469</v>
      </c>
      <c r="J6189" s="1" t="s">
        <v>5470</v>
      </c>
      <c r="L6189" s="1" t="s">
        <v>5471</v>
      </c>
      <c r="N6189" s="1" t="s">
        <v>12924</v>
      </c>
      <c r="P6189" s="1" t="s">
        <v>12966</v>
      </c>
      <c r="Q6189" s="30" t="s">
        <v>2567</v>
      </c>
      <c r="R6189" s="33" t="s">
        <v>3472</v>
      </c>
      <c r="S6189">
        <v>37</v>
      </c>
      <c r="T6189" s="1" t="s">
        <v>14003</v>
      </c>
      <c r="U6189" s="1" t="str">
        <f>HYPERLINK("http://ictvonline.org/taxonomy/p/taxonomy-history?taxnode_id=202113788","ICTVonline=202113788")</f>
        <v>ICTVonline=202113788</v>
      </c>
    </row>
    <row r="6190" spans="1:21" x14ac:dyDescent="0.2">
      <c r="A6190" s="3">
        <v>6189</v>
      </c>
      <c r="B6190" s="1" t="s">
        <v>4226</v>
      </c>
      <c r="D6190" s="1" t="s">
        <v>5412</v>
      </c>
      <c r="F6190" s="1" t="s">
        <v>5466</v>
      </c>
      <c r="H6190" s="1" t="s">
        <v>5469</v>
      </c>
      <c r="J6190" s="1" t="s">
        <v>5470</v>
      </c>
      <c r="L6190" s="1" t="s">
        <v>5471</v>
      </c>
      <c r="N6190" s="1" t="s">
        <v>12924</v>
      </c>
      <c r="P6190" s="1" t="s">
        <v>12967</v>
      </c>
      <c r="Q6190" s="30" t="s">
        <v>2567</v>
      </c>
      <c r="R6190" s="33" t="s">
        <v>3472</v>
      </c>
      <c r="S6190">
        <v>37</v>
      </c>
      <c r="T6190" s="1" t="s">
        <v>14003</v>
      </c>
      <c r="U6190" s="1" t="str">
        <f>HYPERLINK("http://ictvonline.org/taxonomy/p/taxonomy-history?taxnode_id=202113789","ICTVonline=202113789")</f>
        <v>ICTVonline=202113789</v>
      </c>
    </row>
    <row r="6191" spans="1:21" x14ac:dyDescent="0.2">
      <c r="A6191" s="3">
        <v>6190</v>
      </c>
      <c r="B6191" s="1" t="s">
        <v>4226</v>
      </c>
      <c r="D6191" s="1" t="s">
        <v>5412</v>
      </c>
      <c r="F6191" s="1" t="s">
        <v>5466</v>
      </c>
      <c r="H6191" s="1" t="s">
        <v>5469</v>
      </c>
      <c r="J6191" s="1" t="s">
        <v>5470</v>
      </c>
      <c r="L6191" s="1" t="s">
        <v>5471</v>
      </c>
      <c r="N6191" s="1" t="s">
        <v>12924</v>
      </c>
      <c r="P6191" s="1" t="s">
        <v>12968</v>
      </c>
      <c r="Q6191" s="30" t="s">
        <v>2567</v>
      </c>
      <c r="R6191" s="33" t="s">
        <v>3472</v>
      </c>
      <c r="S6191">
        <v>37</v>
      </c>
      <c r="T6191" s="1" t="s">
        <v>14003</v>
      </c>
      <c r="U6191" s="1" t="str">
        <f>HYPERLINK("http://ictvonline.org/taxonomy/p/taxonomy-history?taxnode_id=202113790","ICTVonline=202113790")</f>
        <v>ICTVonline=202113790</v>
      </c>
    </row>
    <row r="6192" spans="1:21" x14ac:dyDescent="0.2">
      <c r="A6192" s="3">
        <v>6191</v>
      </c>
      <c r="B6192" s="1" t="s">
        <v>4226</v>
      </c>
      <c r="D6192" s="1" t="s">
        <v>5412</v>
      </c>
      <c r="F6192" s="1" t="s">
        <v>5466</v>
      </c>
      <c r="H6192" s="1" t="s">
        <v>5469</v>
      </c>
      <c r="J6192" s="1" t="s">
        <v>5470</v>
      </c>
      <c r="L6192" s="1" t="s">
        <v>5471</v>
      </c>
      <c r="N6192" s="1" t="s">
        <v>12924</v>
      </c>
      <c r="P6192" s="1" t="s">
        <v>12969</v>
      </c>
      <c r="Q6192" s="30" t="s">
        <v>2567</v>
      </c>
      <c r="R6192" s="33" t="s">
        <v>3472</v>
      </c>
      <c r="S6192">
        <v>37</v>
      </c>
      <c r="T6192" s="1" t="s">
        <v>14003</v>
      </c>
      <c r="U6192" s="1" t="str">
        <f>HYPERLINK("http://ictvonline.org/taxonomy/p/taxonomy-history?taxnode_id=202113791","ICTVonline=202113791")</f>
        <v>ICTVonline=202113791</v>
      </c>
    </row>
    <row r="6193" spans="1:21" x14ac:dyDescent="0.2">
      <c r="A6193" s="3">
        <v>6192</v>
      </c>
      <c r="B6193" s="1" t="s">
        <v>4226</v>
      </c>
      <c r="D6193" s="1" t="s">
        <v>5412</v>
      </c>
      <c r="F6193" s="1" t="s">
        <v>5466</v>
      </c>
      <c r="H6193" s="1" t="s">
        <v>5469</v>
      </c>
      <c r="J6193" s="1" t="s">
        <v>5470</v>
      </c>
      <c r="L6193" s="1" t="s">
        <v>5471</v>
      </c>
      <c r="N6193" s="1" t="s">
        <v>12924</v>
      </c>
      <c r="P6193" s="1" t="s">
        <v>12970</v>
      </c>
      <c r="Q6193" s="30" t="s">
        <v>2567</v>
      </c>
      <c r="R6193" s="33" t="s">
        <v>3472</v>
      </c>
      <c r="S6193">
        <v>37</v>
      </c>
      <c r="T6193" s="1" t="s">
        <v>14003</v>
      </c>
      <c r="U6193" s="1" t="str">
        <f>HYPERLINK("http://ictvonline.org/taxonomy/p/taxonomy-history?taxnode_id=202113792","ICTVonline=202113792")</f>
        <v>ICTVonline=202113792</v>
      </c>
    </row>
    <row r="6194" spans="1:21" x14ac:dyDescent="0.2">
      <c r="A6194" s="3">
        <v>6193</v>
      </c>
      <c r="B6194" s="1" t="s">
        <v>4226</v>
      </c>
      <c r="D6194" s="1" t="s">
        <v>5412</v>
      </c>
      <c r="F6194" s="1" t="s">
        <v>5466</v>
      </c>
      <c r="H6194" s="1" t="s">
        <v>6729</v>
      </c>
      <c r="J6194" s="1" t="s">
        <v>6730</v>
      </c>
      <c r="L6194" s="1" t="s">
        <v>6731</v>
      </c>
      <c r="N6194" s="1" t="s">
        <v>6732</v>
      </c>
      <c r="P6194" s="1" t="s">
        <v>6733</v>
      </c>
      <c r="Q6194" s="30" t="s">
        <v>2567</v>
      </c>
      <c r="R6194" s="33" t="s">
        <v>3472</v>
      </c>
      <c r="S6194">
        <v>36</v>
      </c>
      <c r="T6194" s="1" t="s">
        <v>12971</v>
      </c>
      <c r="U6194" s="1" t="str">
        <f>HYPERLINK("http://ictvonline.org/taxonomy/p/taxonomy-history?taxnode_id=202110696","ICTVonline=202110696")</f>
        <v>ICTVonline=202110696</v>
      </c>
    </row>
    <row r="6195" spans="1:21" x14ac:dyDescent="0.2">
      <c r="A6195" s="3">
        <v>6194</v>
      </c>
      <c r="B6195" s="1" t="s">
        <v>4226</v>
      </c>
      <c r="D6195" s="1" t="s">
        <v>5412</v>
      </c>
      <c r="F6195" s="1" t="s">
        <v>5466</v>
      </c>
      <c r="H6195" s="1" t="s">
        <v>6729</v>
      </c>
      <c r="J6195" s="1" t="s">
        <v>6730</v>
      </c>
      <c r="L6195" s="1" t="s">
        <v>6731</v>
      </c>
      <c r="N6195" s="1" t="s">
        <v>6734</v>
      </c>
      <c r="P6195" s="1" t="s">
        <v>6735</v>
      </c>
      <c r="Q6195" s="30" t="s">
        <v>2567</v>
      </c>
      <c r="R6195" s="33" t="s">
        <v>3472</v>
      </c>
      <c r="S6195">
        <v>36</v>
      </c>
      <c r="T6195" s="1" t="s">
        <v>12971</v>
      </c>
      <c r="U6195" s="1" t="str">
        <f>HYPERLINK("http://ictvonline.org/taxonomy/p/taxonomy-history?taxnode_id=202110699","ICTVonline=202110699")</f>
        <v>ICTVonline=202110699</v>
      </c>
    </row>
    <row r="6196" spans="1:21" x14ac:dyDescent="0.2">
      <c r="A6196" s="3">
        <v>6195</v>
      </c>
      <c r="B6196" s="1" t="s">
        <v>4226</v>
      </c>
      <c r="D6196" s="1" t="s">
        <v>5412</v>
      </c>
      <c r="F6196" s="1" t="s">
        <v>5466</v>
      </c>
      <c r="H6196" s="1" t="s">
        <v>6729</v>
      </c>
      <c r="J6196" s="1" t="s">
        <v>6730</v>
      </c>
      <c r="L6196" s="1" t="s">
        <v>6731</v>
      </c>
      <c r="N6196" s="1" t="s">
        <v>6734</v>
      </c>
      <c r="P6196" s="1" t="s">
        <v>6736</v>
      </c>
      <c r="Q6196" s="30" t="s">
        <v>2567</v>
      </c>
      <c r="R6196" s="33" t="s">
        <v>3472</v>
      </c>
      <c r="S6196">
        <v>36</v>
      </c>
      <c r="T6196" s="1" t="s">
        <v>12971</v>
      </c>
      <c r="U6196" s="1" t="str">
        <f>HYPERLINK("http://ictvonline.org/taxonomy/p/taxonomy-history?taxnode_id=202110698","ICTVonline=202110698")</f>
        <v>ICTVonline=202110698</v>
      </c>
    </row>
    <row r="6197" spans="1:21" x14ac:dyDescent="0.2">
      <c r="A6197" s="3">
        <v>6196</v>
      </c>
      <c r="B6197" s="1" t="s">
        <v>4226</v>
      </c>
      <c r="D6197" s="1" t="s">
        <v>5412</v>
      </c>
      <c r="F6197" s="1" t="s">
        <v>5466</v>
      </c>
      <c r="H6197" s="1" t="s">
        <v>6729</v>
      </c>
      <c r="J6197" s="1" t="s">
        <v>6730</v>
      </c>
      <c r="L6197" s="1" t="s">
        <v>6731</v>
      </c>
      <c r="N6197" s="1" t="s">
        <v>6737</v>
      </c>
      <c r="P6197" s="1" t="s">
        <v>6738</v>
      </c>
      <c r="Q6197" s="30" t="s">
        <v>2567</v>
      </c>
      <c r="R6197" s="33" t="s">
        <v>3472</v>
      </c>
      <c r="S6197">
        <v>36</v>
      </c>
      <c r="T6197" s="1" t="s">
        <v>12971</v>
      </c>
      <c r="U6197" s="1" t="str">
        <f>HYPERLINK("http://ictvonline.org/taxonomy/p/taxonomy-history?taxnode_id=202110701","ICTVonline=202110701")</f>
        <v>ICTVonline=202110701</v>
      </c>
    </row>
    <row r="6198" spans="1:21" x14ac:dyDescent="0.2">
      <c r="A6198" s="3">
        <v>6197</v>
      </c>
      <c r="B6198" s="1" t="s">
        <v>4226</v>
      </c>
      <c r="D6198" s="1" t="s">
        <v>5412</v>
      </c>
      <c r="F6198" s="1" t="s">
        <v>5466</v>
      </c>
      <c r="H6198" s="1" t="s">
        <v>6729</v>
      </c>
      <c r="J6198" s="1" t="s">
        <v>6730</v>
      </c>
      <c r="L6198" s="1" t="s">
        <v>6731</v>
      </c>
      <c r="N6198" s="1" t="s">
        <v>6739</v>
      </c>
      <c r="P6198" s="1" t="s">
        <v>6740</v>
      </c>
      <c r="Q6198" s="30" t="s">
        <v>2567</v>
      </c>
      <c r="R6198" s="33" t="s">
        <v>3472</v>
      </c>
      <c r="S6198">
        <v>36</v>
      </c>
      <c r="T6198" s="1" t="s">
        <v>12971</v>
      </c>
      <c r="U6198" s="1" t="str">
        <f>HYPERLINK("http://ictvonline.org/taxonomy/p/taxonomy-history?taxnode_id=202110703","ICTVonline=202110703")</f>
        <v>ICTVonline=202110703</v>
      </c>
    </row>
    <row r="6199" spans="1:21" x14ac:dyDescent="0.2">
      <c r="A6199" s="3">
        <v>6198</v>
      </c>
      <c r="B6199" s="1" t="s">
        <v>4226</v>
      </c>
      <c r="D6199" s="1" t="s">
        <v>5412</v>
      </c>
      <c r="F6199" s="1" t="s">
        <v>5466</v>
      </c>
      <c r="H6199" s="1" t="s">
        <v>6729</v>
      </c>
      <c r="J6199" s="1" t="s">
        <v>6730</v>
      </c>
      <c r="L6199" s="1" t="s">
        <v>6731</v>
      </c>
      <c r="N6199" s="1" t="s">
        <v>6739</v>
      </c>
      <c r="P6199" s="1" t="s">
        <v>6741</v>
      </c>
      <c r="Q6199" s="30" t="s">
        <v>2567</v>
      </c>
      <c r="R6199" s="33" t="s">
        <v>3472</v>
      </c>
      <c r="S6199">
        <v>36</v>
      </c>
      <c r="T6199" s="1" t="s">
        <v>12971</v>
      </c>
      <c r="U6199" s="1" t="str">
        <f>HYPERLINK("http://ictvonline.org/taxonomy/p/taxonomy-history?taxnode_id=202110704","ICTVonline=202110704")</f>
        <v>ICTVonline=202110704</v>
      </c>
    </row>
    <row r="6200" spans="1:21" x14ac:dyDescent="0.2">
      <c r="A6200" s="3">
        <v>6199</v>
      </c>
      <c r="B6200" s="1" t="s">
        <v>4226</v>
      </c>
      <c r="D6200" s="1" t="s">
        <v>5412</v>
      </c>
      <c r="F6200" s="1" t="s">
        <v>5466</v>
      </c>
      <c r="H6200" s="1" t="s">
        <v>6729</v>
      </c>
      <c r="J6200" s="1" t="s">
        <v>6730</v>
      </c>
      <c r="L6200" s="1" t="s">
        <v>6731</v>
      </c>
      <c r="N6200" s="1" t="s">
        <v>6742</v>
      </c>
      <c r="P6200" s="1" t="s">
        <v>6743</v>
      </c>
      <c r="Q6200" s="30" t="s">
        <v>2567</v>
      </c>
      <c r="R6200" s="33" t="s">
        <v>3472</v>
      </c>
      <c r="S6200">
        <v>36</v>
      </c>
      <c r="T6200" s="1" t="s">
        <v>12971</v>
      </c>
      <c r="U6200" s="1" t="str">
        <f>HYPERLINK("http://ictvonline.org/taxonomy/p/taxonomy-history?taxnode_id=202110706","ICTVonline=202110706")</f>
        <v>ICTVonline=202110706</v>
      </c>
    </row>
    <row r="6201" spans="1:21" x14ac:dyDescent="0.2">
      <c r="A6201" s="3">
        <v>6200</v>
      </c>
      <c r="B6201" s="1" t="s">
        <v>4226</v>
      </c>
      <c r="D6201" s="1" t="s">
        <v>5412</v>
      </c>
      <c r="F6201" s="1" t="s">
        <v>5466</v>
      </c>
      <c r="H6201" s="1" t="s">
        <v>6729</v>
      </c>
      <c r="J6201" s="1" t="s">
        <v>6730</v>
      </c>
      <c r="L6201" s="1" t="s">
        <v>6731</v>
      </c>
      <c r="N6201" s="1" t="s">
        <v>6744</v>
      </c>
      <c r="P6201" s="1" t="s">
        <v>6745</v>
      </c>
      <c r="Q6201" s="30" t="s">
        <v>2567</v>
      </c>
      <c r="R6201" s="33" t="s">
        <v>3472</v>
      </c>
      <c r="S6201">
        <v>36</v>
      </c>
      <c r="T6201" s="1" t="s">
        <v>12971</v>
      </c>
      <c r="U6201" s="1" t="str">
        <f>HYPERLINK("http://ictvonline.org/taxonomy/p/taxonomy-history?taxnode_id=202110708","ICTVonline=202110708")</f>
        <v>ICTVonline=202110708</v>
      </c>
    </row>
    <row r="6202" spans="1:21" x14ac:dyDescent="0.2">
      <c r="A6202" s="3">
        <v>6201</v>
      </c>
      <c r="B6202" s="1" t="s">
        <v>4226</v>
      </c>
      <c r="D6202" s="1" t="s">
        <v>5412</v>
      </c>
      <c r="F6202" s="1" t="s">
        <v>5466</v>
      </c>
      <c r="H6202" s="1" t="s">
        <v>6729</v>
      </c>
      <c r="J6202" s="1" t="s">
        <v>6730</v>
      </c>
      <c r="L6202" s="1" t="s">
        <v>6731</v>
      </c>
      <c r="N6202" s="1" t="s">
        <v>6744</v>
      </c>
      <c r="P6202" s="1" t="s">
        <v>6746</v>
      </c>
      <c r="Q6202" s="30" t="s">
        <v>2567</v>
      </c>
      <c r="R6202" s="33" t="s">
        <v>3472</v>
      </c>
      <c r="S6202">
        <v>36</v>
      </c>
      <c r="T6202" s="1" t="s">
        <v>12971</v>
      </c>
      <c r="U6202" s="1" t="str">
        <f>HYPERLINK("http://ictvonline.org/taxonomy/p/taxonomy-history?taxnode_id=202110709","ICTVonline=202110709")</f>
        <v>ICTVonline=202110709</v>
      </c>
    </row>
    <row r="6203" spans="1:21" x14ac:dyDescent="0.2">
      <c r="A6203" s="3">
        <v>6202</v>
      </c>
      <c r="B6203" s="1" t="s">
        <v>4226</v>
      </c>
      <c r="D6203" s="1" t="s">
        <v>5412</v>
      </c>
      <c r="F6203" s="1" t="s">
        <v>5466</v>
      </c>
      <c r="H6203" s="1" t="s">
        <v>6729</v>
      </c>
      <c r="J6203" s="1" t="s">
        <v>6730</v>
      </c>
      <c r="L6203" s="1" t="s">
        <v>6731</v>
      </c>
      <c r="N6203" s="1" t="s">
        <v>6747</v>
      </c>
      <c r="P6203" s="1" t="s">
        <v>6748</v>
      </c>
      <c r="Q6203" s="30" t="s">
        <v>2567</v>
      </c>
      <c r="R6203" s="33" t="s">
        <v>3472</v>
      </c>
      <c r="S6203">
        <v>36</v>
      </c>
      <c r="T6203" s="1" t="s">
        <v>12971</v>
      </c>
      <c r="U6203" s="1" t="str">
        <f>HYPERLINK("http://ictvonline.org/taxonomy/p/taxonomy-history?taxnode_id=202110711","ICTVonline=202110711")</f>
        <v>ICTVonline=202110711</v>
      </c>
    </row>
    <row r="6204" spans="1:21" x14ac:dyDescent="0.2">
      <c r="A6204" s="3">
        <v>6203</v>
      </c>
      <c r="B6204" s="1" t="s">
        <v>4226</v>
      </c>
      <c r="D6204" s="1" t="s">
        <v>5412</v>
      </c>
      <c r="F6204" s="1" t="s">
        <v>5466</v>
      </c>
      <c r="H6204" s="1" t="s">
        <v>6729</v>
      </c>
      <c r="J6204" s="1" t="s">
        <v>6730</v>
      </c>
      <c r="L6204" s="1" t="s">
        <v>6731</v>
      </c>
      <c r="N6204" s="1" t="s">
        <v>6749</v>
      </c>
      <c r="P6204" s="1" t="s">
        <v>6750</v>
      </c>
      <c r="Q6204" s="30" t="s">
        <v>2567</v>
      </c>
      <c r="R6204" s="33" t="s">
        <v>3472</v>
      </c>
      <c r="S6204">
        <v>36</v>
      </c>
      <c r="T6204" s="1" t="s">
        <v>12971</v>
      </c>
      <c r="U6204" s="1" t="str">
        <f>HYPERLINK("http://ictvonline.org/taxonomy/p/taxonomy-history?taxnode_id=202110713","ICTVonline=202110713")</f>
        <v>ICTVonline=202110713</v>
      </c>
    </row>
    <row r="6205" spans="1:21" x14ac:dyDescent="0.2">
      <c r="A6205" s="3">
        <v>6204</v>
      </c>
      <c r="B6205" s="1" t="s">
        <v>4226</v>
      </c>
      <c r="D6205" s="1" t="s">
        <v>5412</v>
      </c>
      <c r="F6205" s="1" t="s">
        <v>5466</v>
      </c>
      <c r="H6205" s="1" t="s">
        <v>6729</v>
      </c>
      <c r="J6205" s="1" t="s">
        <v>6730</v>
      </c>
      <c r="L6205" s="1" t="s">
        <v>6731</v>
      </c>
      <c r="N6205" s="1" t="s">
        <v>6751</v>
      </c>
      <c r="P6205" s="1" t="s">
        <v>6752</v>
      </c>
      <c r="Q6205" s="30" t="s">
        <v>2567</v>
      </c>
      <c r="R6205" s="33" t="s">
        <v>3472</v>
      </c>
      <c r="S6205">
        <v>36</v>
      </c>
      <c r="T6205" s="1" t="s">
        <v>12971</v>
      </c>
      <c r="U6205" s="1" t="str">
        <f>HYPERLINK("http://ictvonline.org/taxonomy/p/taxonomy-history?taxnode_id=202110715","ICTVonline=202110715")</f>
        <v>ICTVonline=202110715</v>
      </c>
    </row>
    <row r="6206" spans="1:21" x14ac:dyDescent="0.2">
      <c r="A6206" s="3">
        <v>6205</v>
      </c>
      <c r="B6206" s="1" t="s">
        <v>4226</v>
      </c>
      <c r="D6206" s="1" t="s">
        <v>5412</v>
      </c>
      <c r="F6206" s="1" t="s">
        <v>5466</v>
      </c>
      <c r="H6206" s="1" t="s">
        <v>6729</v>
      </c>
      <c r="J6206" s="1" t="s">
        <v>6730</v>
      </c>
      <c r="L6206" s="1" t="s">
        <v>6731</v>
      </c>
      <c r="N6206" s="1" t="s">
        <v>6753</v>
      </c>
      <c r="P6206" s="1" t="s">
        <v>6754</v>
      </c>
      <c r="Q6206" s="30" t="s">
        <v>2567</v>
      </c>
      <c r="R6206" s="33" t="s">
        <v>3472</v>
      </c>
      <c r="S6206">
        <v>36</v>
      </c>
      <c r="T6206" s="1" t="s">
        <v>12971</v>
      </c>
      <c r="U6206" s="1" t="str">
        <f>HYPERLINK("http://ictvonline.org/taxonomy/p/taxonomy-history?taxnode_id=202110717","ICTVonline=202110717")</f>
        <v>ICTVonline=202110717</v>
      </c>
    </row>
    <row r="6207" spans="1:21" x14ac:dyDescent="0.2">
      <c r="A6207" s="3">
        <v>6206</v>
      </c>
      <c r="B6207" s="1" t="s">
        <v>4226</v>
      </c>
      <c r="D6207" s="1" t="s">
        <v>5412</v>
      </c>
      <c r="F6207" s="1" t="s">
        <v>5466</v>
      </c>
      <c r="H6207" s="1" t="s">
        <v>6729</v>
      </c>
      <c r="J6207" s="1" t="s">
        <v>6730</v>
      </c>
      <c r="L6207" s="1" t="s">
        <v>6731</v>
      </c>
      <c r="N6207" s="1" t="s">
        <v>6755</v>
      </c>
      <c r="P6207" s="1" t="s">
        <v>6756</v>
      </c>
      <c r="Q6207" s="30" t="s">
        <v>2567</v>
      </c>
      <c r="R6207" s="33" t="s">
        <v>3472</v>
      </c>
      <c r="S6207">
        <v>36</v>
      </c>
      <c r="T6207" s="1" t="s">
        <v>12971</v>
      </c>
      <c r="U6207" s="1" t="str">
        <f>HYPERLINK("http://ictvonline.org/taxonomy/p/taxonomy-history?taxnode_id=202110719","ICTVonline=202110719")</f>
        <v>ICTVonline=202110719</v>
      </c>
    </row>
    <row r="6208" spans="1:21" x14ac:dyDescent="0.2">
      <c r="A6208" s="3">
        <v>6207</v>
      </c>
      <c r="B6208" s="1" t="s">
        <v>4226</v>
      </c>
      <c r="D6208" s="1" t="s">
        <v>5412</v>
      </c>
      <c r="F6208" s="1" t="s">
        <v>5466</v>
      </c>
      <c r="H6208" s="1" t="s">
        <v>6729</v>
      </c>
      <c r="J6208" s="1" t="s">
        <v>6730</v>
      </c>
      <c r="L6208" s="1" t="s">
        <v>6731</v>
      </c>
      <c r="N6208" s="1" t="s">
        <v>6757</v>
      </c>
      <c r="P6208" s="1" t="s">
        <v>6758</v>
      </c>
      <c r="Q6208" s="30" t="s">
        <v>2567</v>
      </c>
      <c r="R6208" s="33" t="s">
        <v>3472</v>
      </c>
      <c r="S6208">
        <v>36</v>
      </c>
      <c r="T6208" s="1" t="s">
        <v>12971</v>
      </c>
      <c r="U6208" s="1" t="str">
        <f>HYPERLINK("http://ictvonline.org/taxonomy/p/taxonomy-history?taxnode_id=202110723","ICTVonline=202110723")</f>
        <v>ICTVonline=202110723</v>
      </c>
    </row>
    <row r="6209" spans="1:21" x14ac:dyDescent="0.2">
      <c r="A6209" s="3">
        <v>6208</v>
      </c>
      <c r="B6209" s="1" t="s">
        <v>4226</v>
      </c>
      <c r="D6209" s="1" t="s">
        <v>5412</v>
      </c>
      <c r="F6209" s="1" t="s">
        <v>5466</v>
      </c>
      <c r="H6209" s="1" t="s">
        <v>6729</v>
      </c>
      <c r="J6209" s="1" t="s">
        <v>6730</v>
      </c>
      <c r="L6209" s="1" t="s">
        <v>6731</v>
      </c>
      <c r="N6209" s="1" t="s">
        <v>6757</v>
      </c>
      <c r="P6209" s="1" t="s">
        <v>6759</v>
      </c>
      <c r="Q6209" s="30" t="s">
        <v>2567</v>
      </c>
      <c r="R6209" s="33" t="s">
        <v>3472</v>
      </c>
      <c r="S6209">
        <v>36</v>
      </c>
      <c r="T6209" s="1" t="s">
        <v>12971</v>
      </c>
      <c r="U6209" s="1" t="str">
        <f>HYPERLINK("http://ictvonline.org/taxonomy/p/taxonomy-history?taxnode_id=202110721","ICTVonline=202110721")</f>
        <v>ICTVonline=202110721</v>
      </c>
    </row>
    <row r="6210" spans="1:21" x14ac:dyDescent="0.2">
      <c r="A6210" s="3">
        <v>6209</v>
      </c>
      <c r="B6210" s="1" t="s">
        <v>4226</v>
      </c>
      <c r="D6210" s="1" t="s">
        <v>5412</v>
      </c>
      <c r="F6210" s="1" t="s">
        <v>5466</v>
      </c>
      <c r="H6210" s="1" t="s">
        <v>6729</v>
      </c>
      <c r="J6210" s="1" t="s">
        <v>6730</v>
      </c>
      <c r="L6210" s="1" t="s">
        <v>6731</v>
      </c>
      <c r="N6210" s="1" t="s">
        <v>6757</v>
      </c>
      <c r="P6210" s="1" t="s">
        <v>6760</v>
      </c>
      <c r="Q6210" s="30" t="s">
        <v>2567</v>
      </c>
      <c r="R6210" s="33" t="s">
        <v>3472</v>
      </c>
      <c r="S6210">
        <v>36</v>
      </c>
      <c r="T6210" s="1" t="s">
        <v>12971</v>
      </c>
      <c r="U6210" s="1" t="str">
        <f>HYPERLINK("http://ictvonline.org/taxonomy/p/taxonomy-history?taxnode_id=202110722","ICTVonline=202110722")</f>
        <v>ICTVonline=202110722</v>
      </c>
    </row>
    <row r="6211" spans="1:21" x14ac:dyDescent="0.2">
      <c r="A6211" s="3">
        <v>6210</v>
      </c>
      <c r="B6211" s="1" t="s">
        <v>4226</v>
      </c>
      <c r="D6211" s="1" t="s">
        <v>5412</v>
      </c>
      <c r="F6211" s="1" t="s">
        <v>5466</v>
      </c>
      <c r="H6211" s="1" t="s">
        <v>6729</v>
      </c>
      <c r="J6211" s="1" t="s">
        <v>6730</v>
      </c>
      <c r="L6211" s="1" t="s">
        <v>6731</v>
      </c>
      <c r="N6211" s="1" t="s">
        <v>6761</v>
      </c>
      <c r="P6211" s="1" t="s">
        <v>6762</v>
      </c>
      <c r="Q6211" s="30" t="s">
        <v>2567</v>
      </c>
      <c r="R6211" s="33" t="s">
        <v>3472</v>
      </c>
      <c r="S6211">
        <v>36</v>
      </c>
      <c r="T6211" s="1" t="s">
        <v>12971</v>
      </c>
      <c r="U6211" s="1" t="str">
        <f>HYPERLINK("http://ictvonline.org/taxonomy/p/taxonomy-history?taxnode_id=202110725","ICTVonline=202110725")</f>
        <v>ICTVonline=202110725</v>
      </c>
    </row>
    <row r="6212" spans="1:21" x14ac:dyDescent="0.2">
      <c r="A6212" s="3">
        <v>6211</v>
      </c>
      <c r="B6212" s="1" t="s">
        <v>4226</v>
      </c>
      <c r="D6212" s="1" t="s">
        <v>5412</v>
      </c>
      <c r="F6212" s="1" t="s">
        <v>5466</v>
      </c>
      <c r="H6212" s="1" t="s">
        <v>6729</v>
      </c>
      <c r="J6212" s="1" t="s">
        <v>6730</v>
      </c>
      <c r="L6212" s="1" t="s">
        <v>6731</v>
      </c>
      <c r="N6212" s="1" t="s">
        <v>6763</v>
      </c>
      <c r="P6212" s="1" t="s">
        <v>6764</v>
      </c>
      <c r="Q6212" s="30" t="s">
        <v>2567</v>
      </c>
      <c r="R6212" s="33" t="s">
        <v>3472</v>
      </c>
      <c r="S6212">
        <v>36</v>
      </c>
      <c r="T6212" s="1" t="s">
        <v>12971</v>
      </c>
      <c r="U6212" s="1" t="str">
        <f>HYPERLINK("http://ictvonline.org/taxonomy/p/taxonomy-history?taxnode_id=202110727","ICTVonline=202110727")</f>
        <v>ICTVonline=202110727</v>
      </c>
    </row>
    <row r="6213" spans="1:21" x14ac:dyDescent="0.2">
      <c r="A6213" s="3">
        <v>6212</v>
      </c>
      <c r="B6213" s="1" t="s">
        <v>4226</v>
      </c>
      <c r="D6213" s="1" t="s">
        <v>5412</v>
      </c>
      <c r="F6213" s="1" t="s">
        <v>5466</v>
      </c>
      <c r="H6213" s="1" t="s">
        <v>6729</v>
      </c>
      <c r="J6213" s="1" t="s">
        <v>6730</v>
      </c>
      <c r="L6213" s="1" t="s">
        <v>6731</v>
      </c>
      <c r="N6213" s="1" t="s">
        <v>6765</v>
      </c>
      <c r="P6213" s="1" t="s">
        <v>6766</v>
      </c>
      <c r="Q6213" s="30" t="s">
        <v>2567</v>
      </c>
      <c r="R6213" s="33" t="s">
        <v>3472</v>
      </c>
      <c r="S6213">
        <v>36</v>
      </c>
      <c r="T6213" s="1" t="s">
        <v>12971</v>
      </c>
      <c r="U6213" s="1" t="str">
        <f>HYPERLINK("http://ictvonline.org/taxonomy/p/taxonomy-history?taxnode_id=202110729","ICTVonline=202110729")</f>
        <v>ICTVonline=202110729</v>
      </c>
    </row>
    <row r="6214" spans="1:21" x14ac:dyDescent="0.2">
      <c r="A6214" s="3">
        <v>6213</v>
      </c>
      <c r="B6214" s="1" t="s">
        <v>4226</v>
      </c>
      <c r="D6214" s="1" t="s">
        <v>5412</v>
      </c>
      <c r="F6214" s="1" t="s">
        <v>5466</v>
      </c>
      <c r="H6214" s="1" t="s">
        <v>6729</v>
      </c>
      <c r="J6214" s="1" t="s">
        <v>6730</v>
      </c>
      <c r="L6214" s="1" t="s">
        <v>6731</v>
      </c>
      <c r="N6214" s="1" t="s">
        <v>6767</v>
      </c>
      <c r="P6214" s="1" t="s">
        <v>6768</v>
      </c>
      <c r="Q6214" s="30" t="s">
        <v>2567</v>
      </c>
      <c r="R6214" s="33" t="s">
        <v>3472</v>
      </c>
      <c r="S6214">
        <v>36</v>
      </c>
      <c r="T6214" s="1" t="s">
        <v>12971</v>
      </c>
      <c r="U6214" s="1" t="str">
        <f>HYPERLINK("http://ictvonline.org/taxonomy/p/taxonomy-history?taxnode_id=202110731","ICTVonline=202110731")</f>
        <v>ICTVonline=202110731</v>
      </c>
    </row>
    <row r="6215" spans="1:21" x14ac:dyDescent="0.2">
      <c r="A6215" s="3">
        <v>6214</v>
      </c>
      <c r="B6215" s="1" t="s">
        <v>4226</v>
      </c>
      <c r="D6215" s="1" t="s">
        <v>5412</v>
      </c>
      <c r="F6215" s="1" t="s">
        <v>5466</v>
      </c>
      <c r="H6215" s="1" t="s">
        <v>6729</v>
      </c>
      <c r="J6215" s="1" t="s">
        <v>6730</v>
      </c>
      <c r="L6215" s="1" t="s">
        <v>6731</v>
      </c>
      <c r="N6215" s="1" t="s">
        <v>6769</v>
      </c>
      <c r="P6215" s="1" t="s">
        <v>6770</v>
      </c>
      <c r="Q6215" s="30" t="s">
        <v>2567</v>
      </c>
      <c r="R6215" s="33" t="s">
        <v>3472</v>
      </c>
      <c r="S6215">
        <v>36</v>
      </c>
      <c r="T6215" s="1" t="s">
        <v>12971</v>
      </c>
      <c r="U6215" s="1" t="str">
        <f>HYPERLINK("http://ictvonline.org/taxonomy/p/taxonomy-history?taxnode_id=202110733","ICTVonline=202110733")</f>
        <v>ICTVonline=202110733</v>
      </c>
    </row>
    <row r="6216" spans="1:21" x14ac:dyDescent="0.2">
      <c r="A6216" s="3">
        <v>6215</v>
      </c>
      <c r="B6216" s="1" t="s">
        <v>4226</v>
      </c>
      <c r="D6216" s="1" t="s">
        <v>5412</v>
      </c>
      <c r="F6216" s="1" t="s">
        <v>5466</v>
      </c>
      <c r="H6216" s="1" t="s">
        <v>6729</v>
      </c>
      <c r="J6216" s="1" t="s">
        <v>6730</v>
      </c>
      <c r="L6216" s="1" t="s">
        <v>6731</v>
      </c>
      <c r="N6216" s="1" t="s">
        <v>6771</v>
      </c>
      <c r="P6216" s="1" t="s">
        <v>6772</v>
      </c>
      <c r="Q6216" s="30" t="s">
        <v>2567</v>
      </c>
      <c r="R6216" s="33" t="s">
        <v>3472</v>
      </c>
      <c r="S6216">
        <v>36</v>
      </c>
      <c r="T6216" s="1" t="s">
        <v>12971</v>
      </c>
      <c r="U6216" s="1" t="str">
        <f>HYPERLINK("http://ictvonline.org/taxonomy/p/taxonomy-history?taxnode_id=202110735","ICTVonline=202110735")</f>
        <v>ICTVonline=202110735</v>
      </c>
    </row>
    <row r="6217" spans="1:21" x14ac:dyDescent="0.2">
      <c r="A6217" s="3">
        <v>6216</v>
      </c>
      <c r="B6217" s="1" t="s">
        <v>4226</v>
      </c>
      <c r="D6217" s="1" t="s">
        <v>5412</v>
      </c>
      <c r="F6217" s="1" t="s">
        <v>5466</v>
      </c>
      <c r="H6217" s="1" t="s">
        <v>6729</v>
      </c>
      <c r="J6217" s="1" t="s">
        <v>6730</v>
      </c>
      <c r="L6217" s="1" t="s">
        <v>6731</v>
      </c>
      <c r="N6217" s="1" t="s">
        <v>6773</v>
      </c>
      <c r="P6217" s="1" t="s">
        <v>6774</v>
      </c>
      <c r="Q6217" s="30" t="s">
        <v>2567</v>
      </c>
      <c r="R6217" s="33" t="s">
        <v>3472</v>
      </c>
      <c r="S6217">
        <v>36</v>
      </c>
      <c r="T6217" s="1" t="s">
        <v>12971</v>
      </c>
      <c r="U6217" s="1" t="str">
        <f>HYPERLINK("http://ictvonline.org/taxonomy/p/taxonomy-history?taxnode_id=202110737","ICTVonline=202110737")</f>
        <v>ICTVonline=202110737</v>
      </c>
    </row>
    <row r="6218" spans="1:21" x14ac:dyDescent="0.2">
      <c r="A6218" s="3">
        <v>6217</v>
      </c>
      <c r="B6218" s="1" t="s">
        <v>4226</v>
      </c>
      <c r="D6218" s="1" t="s">
        <v>5412</v>
      </c>
      <c r="F6218" s="1" t="s">
        <v>5466</v>
      </c>
      <c r="H6218" s="1" t="s">
        <v>6729</v>
      </c>
      <c r="J6218" s="1" t="s">
        <v>6730</v>
      </c>
      <c r="L6218" s="1" t="s">
        <v>6731</v>
      </c>
      <c r="N6218" s="1" t="s">
        <v>6775</v>
      </c>
      <c r="P6218" s="1" t="s">
        <v>6776</v>
      </c>
      <c r="Q6218" s="30" t="s">
        <v>2567</v>
      </c>
      <c r="R6218" s="33" t="s">
        <v>3472</v>
      </c>
      <c r="S6218">
        <v>36</v>
      </c>
      <c r="T6218" s="1" t="s">
        <v>12971</v>
      </c>
      <c r="U6218" s="1" t="str">
        <f>HYPERLINK("http://ictvonline.org/taxonomy/p/taxonomy-history?taxnode_id=202110740","ICTVonline=202110740")</f>
        <v>ICTVonline=202110740</v>
      </c>
    </row>
    <row r="6219" spans="1:21" x14ac:dyDescent="0.2">
      <c r="A6219" s="3">
        <v>6218</v>
      </c>
      <c r="B6219" s="1" t="s">
        <v>4226</v>
      </c>
      <c r="D6219" s="1" t="s">
        <v>5412</v>
      </c>
      <c r="F6219" s="1" t="s">
        <v>5466</v>
      </c>
      <c r="H6219" s="1" t="s">
        <v>6729</v>
      </c>
      <c r="J6219" s="1" t="s">
        <v>6730</v>
      </c>
      <c r="L6219" s="1" t="s">
        <v>6731</v>
      </c>
      <c r="N6219" s="1" t="s">
        <v>6775</v>
      </c>
      <c r="P6219" s="1" t="s">
        <v>6777</v>
      </c>
      <c r="Q6219" s="30" t="s">
        <v>2567</v>
      </c>
      <c r="R6219" s="33" t="s">
        <v>3472</v>
      </c>
      <c r="S6219">
        <v>36</v>
      </c>
      <c r="T6219" s="1" t="s">
        <v>12971</v>
      </c>
      <c r="U6219" s="1" t="str">
        <f>HYPERLINK("http://ictvonline.org/taxonomy/p/taxonomy-history?taxnode_id=202110741","ICTVonline=202110741")</f>
        <v>ICTVonline=202110741</v>
      </c>
    </row>
    <row r="6220" spans="1:21" x14ac:dyDescent="0.2">
      <c r="A6220" s="3">
        <v>6219</v>
      </c>
      <c r="B6220" s="1" t="s">
        <v>4226</v>
      </c>
      <c r="D6220" s="1" t="s">
        <v>5412</v>
      </c>
      <c r="F6220" s="1" t="s">
        <v>5466</v>
      </c>
      <c r="H6220" s="1" t="s">
        <v>6729</v>
      </c>
      <c r="J6220" s="1" t="s">
        <v>6730</v>
      </c>
      <c r="L6220" s="1" t="s">
        <v>6731</v>
      </c>
      <c r="N6220" s="1" t="s">
        <v>6775</v>
      </c>
      <c r="P6220" s="1" t="s">
        <v>6778</v>
      </c>
      <c r="Q6220" s="30" t="s">
        <v>2567</v>
      </c>
      <c r="R6220" s="33" t="s">
        <v>3472</v>
      </c>
      <c r="S6220">
        <v>36</v>
      </c>
      <c r="T6220" s="1" t="s">
        <v>12971</v>
      </c>
      <c r="U6220" s="1" t="str">
        <f>HYPERLINK("http://ictvonline.org/taxonomy/p/taxonomy-history?taxnode_id=202110743","ICTVonline=202110743")</f>
        <v>ICTVonline=202110743</v>
      </c>
    </row>
    <row r="6221" spans="1:21" x14ac:dyDescent="0.2">
      <c r="A6221" s="3">
        <v>6220</v>
      </c>
      <c r="B6221" s="1" t="s">
        <v>4226</v>
      </c>
      <c r="D6221" s="1" t="s">
        <v>5412</v>
      </c>
      <c r="F6221" s="1" t="s">
        <v>5466</v>
      </c>
      <c r="H6221" s="1" t="s">
        <v>6729</v>
      </c>
      <c r="J6221" s="1" t="s">
        <v>6730</v>
      </c>
      <c r="L6221" s="1" t="s">
        <v>6731</v>
      </c>
      <c r="N6221" s="1" t="s">
        <v>6775</v>
      </c>
      <c r="P6221" s="1" t="s">
        <v>6779</v>
      </c>
      <c r="Q6221" s="30" t="s">
        <v>2567</v>
      </c>
      <c r="R6221" s="33" t="s">
        <v>3472</v>
      </c>
      <c r="S6221">
        <v>36</v>
      </c>
      <c r="T6221" s="1" t="s">
        <v>12971</v>
      </c>
      <c r="U6221" s="1" t="str">
        <f>HYPERLINK("http://ictvonline.org/taxonomy/p/taxonomy-history?taxnode_id=202110742","ICTVonline=202110742")</f>
        <v>ICTVonline=202110742</v>
      </c>
    </row>
    <row r="6222" spans="1:21" x14ac:dyDescent="0.2">
      <c r="A6222" s="3">
        <v>6221</v>
      </c>
      <c r="B6222" s="1" t="s">
        <v>4226</v>
      </c>
      <c r="D6222" s="1" t="s">
        <v>5412</v>
      </c>
      <c r="F6222" s="1" t="s">
        <v>5466</v>
      </c>
      <c r="H6222" s="1" t="s">
        <v>6729</v>
      </c>
      <c r="J6222" s="1" t="s">
        <v>6730</v>
      </c>
      <c r="L6222" s="1" t="s">
        <v>6731</v>
      </c>
      <c r="N6222" s="1" t="s">
        <v>6775</v>
      </c>
      <c r="P6222" s="1" t="s">
        <v>6780</v>
      </c>
      <c r="Q6222" s="30" t="s">
        <v>2567</v>
      </c>
      <c r="R6222" s="33" t="s">
        <v>3472</v>
      </c>
      <c r="S6222">
        <v>36</v>
      </c>
      <c r="T6222" s="1" t="s">
        <v>12971</v>
      </c>
      <c r="U6222" s="1" t="str">
        <f>HYPERLINK("http://ictvonline.org/taxonomy/p/taxonomy-history?taxnode_id=202110739","ICTVonline=202110739")</f>
        <v>ICTVonline=202110739</v>
      </c>
    </row>
    <row r="6223" spans="1:21" x14ac:dyDescent="0.2">
      <c r="A6223" s="3">
        <v>6222</v>
      </c>
      <c r="B6223" s="1" t="s">
        <v>4226</v>
      </c>
      <c r="D6223" s="1" t="s">
        <v>5412</v>
      </c>
      <c r="F6223" s="1" t="s">
        <v>5466</v>
      </c>
      <c r="H6223" s="1" t="s">
        <v>6729</v>
      </c>
      <c r="J6223" s="1" t="s">
        <v>6730</v>
      </c>
      <c r="L6223" s="1" t="s">
        <v>6731</v>
      </c>
      <c r="N6223" s="1" t="s">
        <v>6775</v>
      </c>
      <c r="P6223" s="1" t="s">
        <v>6781</v>
      </c>
      <c r="Q6223" s="30" t="s">
        <v>2567</v>
      </c>
      <c r="R6223" s="33" t="s">
        <v>3472</v>
      </c>
      <c r="S6223">
        <v>36</v>
      </c>
      <c r="T6223" s="1" t="s">
        <v>12971</v>
      </c>
      <c r="U6223" s="1" t="str">
        <f>HYPERLINK("http://ictvonline.org/taxonomy/p/taxonomy-history?taxnode_id=202110744","ICTVonline=202110744")</f>
        <v>ICTVonline=202110744</v>
      </c>
    </row>
    <row r="6224" spans="1:21" x14ac:dyDescent="0.2">
      <c r="A6224" s="3">
        <v>6223</v>
      </c>
      <c r="B6224" s="1" t="s">
        <v>4226</v>
      </c>
      <c r="D6224" s="1" t="s">
        <v>5412</v>
      </c>
      <c r="F6224" s="1" t="s">
        <v>5466</v>
      </c>
      <c r="H6224" s="1" t="s">
        <v>6729</v>
      </c>
      <c r="J6224" s="1" t="s">
        <v>6730</v>
      </c>
      <c r="L6224" s="1" t="s">
        <v>6731</v>
      </c>
      <c r="N6224" s="1" t="s">
        <v>6782</v>
      </c>
      <c r="P6224" s="1" t="s">
        <v>6783</v>
      </c>
      <c r="Q6224" s="30" t="s">
        <v>2567</v>
      </c>
      <c r="R6224" s="33" t="s">
        <v>3472</v>
      </c>
      <c r="S6224">
        <v>36</v>
      </c>
      <c r="T6224" s="1" t="s">
        <v>12971</v>
      </c>
      <c r="U6224" s="1" t="str">
        <f>HYPERLINK("http://ictvonline.org/taxonomy/p/taxonomy-history?taxnode_id=202110746","ICTVonline=202110746")</f>
        <v>ICTVonline=202110746</v>
      </c>
    </row>
    <row r="6225" spans="1:21" x14ac:dyDescent="0.2">
      <c r="A6225" s="3">
        <v>6224</v>
      </c>
      <c r="B6225" s="1" t="s">
        <v>4226</v>
      </c>
      <c r="D6225" s="1" t="s">
        <v>5412</v>
      </c>
      <c r="F6225" s="1" t="s">
        <v>5466</v>
      </c>
      <c r="H6225" s="1" t="s">
        <v>6729</v>
      </c>
      <c r="J6225" s="1" t="s">
        <v>6730</v>
      </c>
      <c r="L6225" s="1" t="s">
        <v>6731</v>
      </c>
      <c r="N6225" s="1" t="s">
        <v>6784</v>
      </c>
      <c r="P6225" s="1" t="s">
        <v>6785</v>
      </c>
      <c r="Q6225" s="30" t="s">
        <v>2567</v>
      </c>
      <c r="R6225" s="33" t="s">
        <v>3472</v>
      </c>
      <c r="S6225">
        <v>36</v>
      </c>
      <c r="T6225" s="1" t="s">
        <v>12971</v>
      </c>
      <c r="U6225" s="1" t="str">
        <f>HYPERLINK("http://ictvonline.org/taxonomy/p/taxonomy-history?taxnode_id=202110748","ICTVonline=202110748")</f>
        <v>ICTVonline=202110748</v>
      </c>
    </row>
    <row r="6226" spans="1:21" x14ac:dyDescent="0.2">
      <c r="A6226" s="3">
        <v>6225</v>
      </c>
      <c r="B6226" s="1" t="s">
        <v>4226</v>
      </c>
      <c r="D6226" s="1" t="s">
        <v>5412</v>
      </c>
      <c r="F6226" s="1" t="s">
        <v>5466</v>
      </c>
      <c r="H6226" s="1" t="s">
        <v>6729</v>
      </c>
      <c r="J6226" s="1" t="s">
        <v>6730</v>
      </c>
      <c r="L6226" s="1" t="s">
        <v>6731</v>
      </c>
      <c r="N6226" s="1" t="s">
        <v>6786</v>
      </c>
      <c r="P6226" s="1" t="s">
        <v>6787</v>
      </c>
      <c r="Q6226" s="30" t="s">
        <v>2567</v>
      </c>
      <c r="R6226" s="33" t="s">
        <v>3472</v>
      </c>
      <c r="S6226">
        <v>36</v>
      </c>
      <c r="T6226" s="1" t="s">
        <v>12971</v>
      </c>
      <c r="U6226" s="1" t="str">
        <f>HYPERLINK("http://ictvonline.org/taxonomy/p/taxonomy-history?taxnode_id=202110750","ICTVonline=202110750")</f>
        <v>ICTVonline=202110750</v>
      </c>
    </row>
    <row r="6227" spans="1:21" x14ac:dyDescent="0.2">
      <c r="A6227" s="3">
        <v>6226</v>
      </c>
      <c r="B6227" s="1" t="s">
        <v>4226</v>
      </c>
      <c r="D6227" s="1" t="s">
        <v>5412</v>
      </c>
      <c r="F6227" s="1" t="s">
        <v>5466</v>
      </c>
      <c r="H6227" s="1" t="s">
        <v>6729</v>
      </c>
      <c r="J6227" s="1" t="s">
        <v>6730</v>
      </c>
      <c r="L6227" s="1" t="s">
        <v>6731</v>
      </c>
      <c r="N6227" s="1" t="s">
        <v>6788</v>
      </c>
      <c r="P6227" s="1" t="s">
        <v>6789</v>
      </c>
      <c r="Q6227" s="30" t="s">
        <v>2567</v>
      </c>
      <c r="R6227" s="33" t="s">
        <v>3472</v>
      </c>
      <c r="S6227">
        <v>36</v>
      </c>
      <c r="T6227" s="1" t="s">
        <v>12971</v>
      </c>
      <c r="U6227" s="1" t="str">
        <f>HYPERLINK("http://ictvonline.org/taxonomy/p/taxonomy-history?taxnode_id=202110752","ICTVonline=202110752")</f>
        <v>ICTVonline=202110752</v>
      </c>
    </row>
    <row r="6228" spans="1:21" x14ac:dyDescent="0.2">
      <c r="A6228" s="3">
        <v>6227</v>
      </c>
      <c r="B6228" s="1" t="s">
        <v>4226</v>
      </c>
      <c r="D6228" s="1" t="s">
        <v>5412</v>
      </c>
      <c r="F6228" s="1" t="s">
        <v>5466</v>
      </c>
      <c r="H6228" s="1" t="s">
        <v>6729</v>
      </c>
      <c r="J6228" s="1" t="s">
        <v>6730</v>
      </c>
      <c r="L6228" s="1" t="s">
        <v>6731</v>
      </c>
      <c r="N6228" s="1" t="s">
        <v>6790</v>
      </c>
      <c r="P6228" s="1" t="s">
        <v>6791</v>
      </c>
      <c r="Q6228" s="30" t="s">
        <v>2567</v>
      </c>
      <c r="R6228" s="33" t="s">
        <v>3472</v>
      </c>
      <c r="S6228">
        <v>36</v>
      </c>
      <c r="T6228" s="1" t="s">
        <v>12971</v>
      </c>
      <c r="U6228" s="1" t="str">
        <f>HYPERLINK("http://ictvonline.org/taxonomy/p/taxonomy-history?taxnode_id=202110754","ICTVonline=202110754")</f>
        <v>ICTVonline=202110754</v>
      </c>
    </row>
    <row r="6229" spans="1:21" x14ac:dyDescent="0.2">
      <c r="A6229" s="3">
        <v>6228</v>
      </c>
      <c r="B6229" s="1" t="s">
        <v>4226</v>
      </c>
      <c r="D6229" s="1" t="s">
        <v>5412</v>
      </c>
      <c r="F6229" s="1" t="s">
        <v>5466</v>
      </c>
      <c r="H6229" s="1" t="s">
        <v>6729</v>
      </c>
      <c r="J6229" s="1" t="s">
        <v>6730</v>
      </c>
      <c r="L6229" s="1" t="s">
        <v>6731</v>
      </c>
      <c r="N6229" s="1" t="s">
        <v>6792</v>
      </c>
      <c r="P6229" s="1" t="s">
        <v>6793</v>
      </c>
      <c r="Q6229" s="30" t="s">
        <v>2567</v>
      </c>
      <c r="R6229" s="33" t="s">
        <v>3472</v>
      </c>
      <c r="S6229">
        <v>36</v>
      </c>
      <c r="T6229" s="1" t="s">
        <v>12971</v>
      </c>
      <c r="U6229" s="1" t="str">
        <f>HYPERLINK("http://ictvonline.org/taxonomy/p/taxonomy-history?taxnode_id=202110756","ICTVonline=202110756")</f>
        <v>ICTVonline=202110756</v>
      </c>
    </row>
    <row r="6230" spans="1:21" x14ac:dyDescent="0.2">
      <c r="A6230" s="3">
        <v>6229</v>
      </c>
      <c r="B6230" s="1" t="s">
        <v>4226</v>
      </c>
      <c r="D6230" s="1" t="s">
        <v>5412</v>
      </c>
      <c r="F6230" s="1" t="s">
        <v>5466</v>
      </c>
      <c r="H6230" s="1" t="s">
        <v>6729</v>
      </c>
      <c r="J6230" s="1" t="s">
        <v>6730</v>
      </c>
      <c r="L6230" s="1" t="s">
        <v>6731</v>
      </c>
      <c r="N6230" s="1" t="s">
        <v>6794</v>
      </c>
      <c r="P6230" s="1" t="s">
        <v>6795</v>
      </c>
      <c r="Q6230" s="30" t="s">
        <v>2567</v>
      </c>
      <c r="R6230" s="33" t="s">
        <v>3472</v>
      </c>
      <c r="S6230">
        <v>36</v>
      </c>
      <c r="T6230" s="1" t="s">
        <v>12971</v>
      </c>
      <c r="U6230" s="1" t="str">
        <f>HYPERLINK("http://ictvonline.org/taxonomy/p/taxonomy-history?taxnode_id=202110758","ICTVonline=202110758")</f>
        <v>ICTVonline=202110758</v>
      </c>
    </row>
    <row r="6231" spans="1:21" x14ac:dyDescent="0.2">
      <c r="A6231" s="3">
        <v>6230</v>
      </c>
      <c r="B6231" s="1" t="s">
        <v>4226</v>
      </c>
      <c r="D6231" s="1" t="s">
        <v>5412</v>
      </c>
      <c r="F6231" s="1" t="s">
        <v>5466</v>
      </c>
      <c r="H6231" s="1" t="s">
        <v>6729</v>
      </c>
      <c r="J6231" s="1" t="s">
        <v>6730</v>
      </c>
      <c r="L6231" s="1" t="s">
        <v>6731</v>
      </c>
      <c r="N6231" s="1" t="s">
        <v>6796</v>
      </c>
      <c r="P6231" s="1" t="s">
        <v>6797</v>
      </c>
      <c r="Q6231" s="30" t="s">
        <v>2567</v>
      </c>
      <c r="R6231" s="33" t="s">
        <v>3472</v>
      </c>
      <c r="S6231">
        <v>36</v>
      </c>
      <c r="T6231" s="1" t="s">
        <v>12971</v>
      </c>
      <c r="U6231" s="1" t="str">
        <f>HYPERLINK("http://ictvonline.org/taxonomy/p/taxonomy-history?taxnode_id=202110760","ICTVonline=202110760")</f>
        <v>ICTVonline=202110760</v>
      </c>
    </row>
    <row r="6232" spans="1:21" x14ac:dyDescent="0.2">
      <c r="A6232" s="3">
        <v>6231</v>
      </c>
      <c r="B6232" s="1" t="s">
        <v>4226</v>
      </c>
      <c r="D6232" s="1" t="s">
        <v>5412</v>
      </c>
      <c r="F6232" s="1" t="s">
        <v>5466</v>
      </c>
      <c r="H6232" s="1" t="s">
        <v>6729</v>
      </c>
      <c r="J6232" s="1" t="s">
        <v>6730</v>
      </c>
      <c r="L6232" s="1" t="s">
        <v>6731</v>
      </c>
      <c r="N6232" s="1" t="s">
        <v>6798</v>
      </c>
      <c r="P6232" s="1" t="s">
        <v>6799</v>
      </c>
      <c r="Q6232" s="30" t="s">
        <v>2567</v>
      </c>
      <c r="R6232" s="33" t="s">
        <v>3472</v>
      </c>
      <c r="S6232">
        <v>36</v>
      </c>
      <c r="T6232" s="1" t="s">
        <v>12971</v>
      </c>
      <c r="U6232" s="1" t="str">
        <f>HYPERLINK("http://ictvonline.org/taxonomy/p/taxonomy-history?taxnode_id=202110762","ICTVonline=202110762")</f>
        <v>ICTVonline=202110762</v>
      </c>
    </row>
    <row r="6233" spans="1:21" x14ac:dyDescent="0.2">
      <c r="A6233" s="3">
        <v>6232</v>
      </c>
      <c r="B6233" s="1" t="s">
        <v>4226</v>
      </c>
      <c r="D6233" s="1" t="s">
        <v>5412</v>
      </c>
      <c r="F6233" s="1" t="s">
        <v>5466</v>
      </c>
      <c r="H6233" s="1" t="s">
        <v>6729</v>
      </c>
      <c r="J6233" s="1" t="s">
        <v>6730</v>
      </c>
      <c r="L6233" s="1" t="s">
        <v>6731</v>
      </c>
      <c r="N6233" s="1" t="s">
        <v>6800</v>
      </c>
      <c r="P6233" s="1" t="s">
        <v>6801</v>
      </c>
      <c r="Q6233" s="30" t="s">
        <v>2567</v>
      </c>
      <c r="R6233" s="33" t="s">
        <v>3472</v>
      </c>
      <c r="S6233">
        <v>36</v>
      </c>
      <c r="T6233" s="1" t="s">
        <v>12971</v>
      </c>
      <c r="U6233" s="1" t="str">
        <f>HYPERLINK("http://ictvonline.org/taxonomy/p/taxonomy-history?taxnode_id=202110765","ICTVonline=202110765")</f>
        <v>ICTVonline=202110765</v>
      </c>
    </row>
    <row r="6234" spans="1:21" x14ac:dyDescent="0.2">
      <c r="A6234" s="3">
        <v>6233</v>
      </c>
      <c r="B6234" s="1" t="s">
        <v>4226</v>
      </c>
      <c r="D6234" s="1" t="s">
        <v>5412</v>
      </c>
      <c r="F6234" s="1" t="s">
        <v>5466</v>
      </c>
      <c r="H6234" s="1" t="s">
        <v>6729</v>
      </c>
      <c r="J6234" s="1" t="s">
        <v>6730</v>
      </c>
      <c r="L6234" s="1" t="s">
        <v>6731</v>
      </c>
      <c r="N6234" s="1" t="s">
        <v>6800</v>
      </c>
      <c r="P6234" s="1" t="s">
        <v>6802</v>
      </c>
      <c r="Q6234" s="30" t="s">
        <v>2567</v>
      </c>
      <c r="R6234" s="33" t="s">
        <v>3472</v>
      </c>
      <c r="S6234">
        <v>36</v>
      </c>
      <c r="T6234" s="1" t="s">
        <v>12971</v>
      </c>
      <c r="U6234" s="1" t="str">
        <f>HYPERLINK("http://ictvonline.org/taxonomy/p/taxonomy-history?taxnode_id=202110766","ICTVonline=202110766")</f>
        <v>ICTVonline=202110766</v>
      </c>
    </row>
    <row r="6235" spans="1:21" x14ac:dyDescent="0.2">
      <c r="A6235" s="3">
        <v>6234</v>
      </c>
      <c r="B6235" s="1" t="s">
        <v>4226</v>
      </c>
      <c r="D6235" s="1" t="s">
        <v>5412</v>
      </c>
      <c r="F6235" s="1" t="s">
        <v>5466</v>
      </c>
      <c r="H6235" s="1" t="s">
        <v>6729</v>
      </c>
      <c r="J6235" s="1" t="s">
        <v>6730</v>
      </c>
      <c r="L6235" s="1" t="s">
        <v>6731</v>
      </c>
      <c r="N6235" s="1" t="s">
        <v>6800</v>
      </c>
      <c r="P6235" s="1" t="s">
        <v>6803</v>
      </c>
      <c r="Q6235" s="30" t="s">
        <v>2567</v>
      </c>
      <c r="R6235" s="33" t="s">
        <v>3472</v>
      </c>
      <c r="S6235">
        <v>36</v>
      </c>
      <c r="T6235" s="1" t="s">
        <v>12971</v>
      </c>
      <c r="U6235" s="1" t="str">
        <f>HYPERLINK("http://ictvonline.org/taxonomy/p/taxonomy-history?taxnode_id=202110767","ICTVonline=202110767")</f>
        <v>ICTVonline=202110767</v>
      </c>
    </row>
    <row r="6236" spans="1:21" x14ac:dyDescent="0.2">
      <c r="A6236" s="3">
        <v>6235</v>
      </c>
      <c r="B6236" s="1" t="s">
        <v>4226</v>
      </c>
      <c r="D6236" s="1" t="s">
        <v>5412</v>
      </c>
      <c r="F6236" s="1" t="s">
        <v>5466</v>
      </c>
      <c r="H6236" s="1" t="s">
        <v>6729</v>
      </c>
      <c r="J6236" s="1" t="s">
        <v>6730</v>
      </c>
      <c r="L6236" s="1" t="s">
        <v>6731</v>
      </c>
      <c r="N6236" s="1" t="s">
        <v>6800</v>
      </c>
      <c r="P6236" s="1" t="s">
        <v>6804</v>
      </c>
      <c r="Q6236" s="30" t="s">
        <v>2567</v>
      </c>
      <c r="R6236" s="33" t="s">
        <v>3472</v>
      </c>
      <c r="S6236">
        <v>36</v>
      </c>
      <c r="T6236" s="1" t="s">
        <v>12971</v>
      </c>
      <c r="U6236" s="1" t="str">
        <f>HYPERLINK("http://ictvonline.org/taxonomy/p/taxonomy-history?taxnode_id=202110768","ICTVonline=202110768")</f>
        <v>ICTVonline=202110768</v>
      </c>
    </row>
    <row r="6237" spans="1:21" x14ac:dyDescent="0.2">
      <c r="A6237" s="3">
        <v>6236</v>
      </c>
      <c r="B6237" s="1" t="s">
        <v>4226</v>
      </c>
      <c r="D6237" s="1" t="s">
        <v>5412</v>
      </c>
      <c r="F6237" s="1" t="s">
        <v>5466</v>
      </c>
      <c r="H6237" s="1" t="s">
        <v>6729</v>
      </c>
      <c r="J6237" s="1" t="s">
        <v>6730</v>
      </c>
      <c r="L6237" s="1" t="s">
        <v>6731</v>
      </c>
      <c r="N6237" s="1" t="s">
        <v>6800</v>
      </c>
      <c r="P6237" s="1" t="s">
        <v>6805</v>
      </c>
      <c r="Q6237" s="30" t="s">
        <v>2567</v>
      </c>
      <c r="R6237" s="33" t="s">
        <v>3472</v>
      </c>
      <c r="S6237">
        <v>36</v>
      </c>
      <c r="T6237" s="1" t="s">
        <v>12971</v>
      </c>
      <c r="U6237" s="1" t="str">
        <f>HYPERLINK("http://ictvonline.org/taxonomy/p/taxonomy-history?taxnode_id=202110764","ICTVonline=202110764")</f>
        <v>ICTVonline=202110764</v>
      </c>
    </row>
    <row r="6238" spans="1:21" x14ac:dyDescent="0.2">
      <c r="A6238" s="3">
        <v>6237</v>
      </c>
      <c r="B6238" s="1" t="s">
        <v>4226</v>
      </c>
      <c r="D6238" s="1" t="s">
        <v>5412</v>
      </c>
      <c r="F6238" s="1" t="s">
        <v>5466</v>
      </c>
      <c r="H6238" s="1" t="s">
        <v>6729</v>
      </c>
      <c r="J6238" s="1" t="s">
        <v>6730</v>
      </c>
      <c r="L6238" s="1" t="s">
        <v>6731</v>
      </c>
      <c r="N6238" s="1" t="s">
        <v>6806</v>
      </c>
      <c r="P6238" s="1" t="s">
        <v>6807</v>
      </c>
      <c r="Q6238" s="30" t="s">
        <v>2567</v>
      </c>
      <c r="R6238" s="33" t="s">
        <v>3472</v>
      </c>
      <c r="S6238">
        <v>36</v>
      </c>
      <c r="T6238" s="1" t="s">
        <v>12971</v>
      </c>
      <c r="U6238" s="1" t="str">
        <f>HYPERLINK("http://ictvonline.org/taxonomy/p/taxonomy-history?taxnode_id=202110773","ICTVonline=202110773")</f>
        <v>ICTVonline=202110773</v>
      </c>
    </row>
    <row r="6239" spans="1:21" x14ac:dyDescent="0.2">
      <c r="A6239" s="3">
        <v>6238</v>
      </c>
      <c r="B6239" s="1" t="s">
        <v>4226</v>
      </c>
      <c r="D6239" s="1" t="s">
        <v>5412</v>
      </c>
      <c r="F6239" s="1" t="s">
        <v>5466</v>
      </c>
      <c r="H6239" s="1" t="s">
        <v>6729</v>
      </c>
      <c r="J6239" s="1" t="s">
        <v>6730</v>
      </c>
      <c r="L6239" s="1" t="s">
        <v>6731</v>
      </c>
      <c r="N6239" s="1" t="s">
        <v>6806</v>
      </c>
      <c r="P6239" s="1" t="s">
        <v>6808</v>
      </c>
      <c r="Q6239" s="30" t="s">
        <v>2567</v>
      </c>
      <c r="R6239" s="33" t="s">
        <v>3472</v>
      </c>
      <c r="S6239">
        <v>36</v>
      </c>
      <c r="T6239" s="1" t="s">
        <v>12971</v>
      </c>
      <c r="U6239" s="1" t="str">
        <f>HYPERLINK("http://ictvonline.org/taxonomy/p/taxonomy-history?taxnode_id=202110774","ICTVonline=202110774")</f>
        <v>ICTVonline=202110774</v>
      </c>
    </row>
    <row r="6240" spans="1:21" x14ac:dyDescent="0.2">
      <c r="A6240" s="3">
        <v>6239</v>
      </c>
      <c r="B6240" s="1" t="s">
        <v>4226</v>
      </c>
      <c r="D6240" s="1" t="s">
        <v>5412</v>
      </c>
      <c r="F6240" s="1" t="s">
        <v>5466</v>
      </c>
      <c r="H6240" s="1" t="s">
        <v>6729</v>
      </c>
      <c r="J6240" s="1" t="s">
        <v>6730</v>
      </c>
      <c r="L6240" s="1" t="s">
        <v>6731</v>
      </c>
      <c r="N6240" s="1" t="s">
        <v>6806</v>
      </c>
      <c r="P6240" s="1" t="s">
        <v>6809</v>
      </c>
      <c r="Q6240" s="30" t="s">
        <v>2567</v>
      </c>
      <c r="R6240" s="33" t="s">
        <v>3472</v>
      </c>
      <c r="S6240">
        <v>36</v>
      </c>
      <c r="T6240" s="1" t="s">
        <v>12971</v>
      </c>
      <c r="U6240" s="1" t="str">
        <f>HYPERLINK("http://ictvonline.org/taxonomy/p/taxonomy-history?taxnode_id=202110770","ICTVonline=202110770")</f>
        <v>ICTVonline=202110770</v>
      </c>
    </row>
    <row r="6241" spans="1:21" x14ac:dyDescent="0.2">
      <c r="A6241" s="3">
        <v>6240</v>
      </c>
      <c r="B6241" s="1" t="s">
        <v>4226</v>
      </c>
      <c r="D6241" s="1" t="s">
        <v>5412</v>
      </c>
      <c r="F6241" s="1" t="s">
        <v>5466</v>
      </c>
      <c r="H6241" s="1" t="s">
        <v>6729</v>
      </c>
      <c r="J6241" s="1" t="s">
        <v>6730</v>
      </c>
      <c r="L6241" s="1" t="s">
        <v>6731</v>
      </c>
      <c r="N6241" s="1" t="s">
        <v>6806</v>
      </c>
      <c r="P6241" s="1" t="s">
        <v>6810</v>
      </c>
      <c r="Q6241" s="30" t="s">
        <v>2567</v>
      </c>
      <c r="R6241" s="33" t="s">
        <v>3472</v>
      </c>
      <c r="S6241">
        <v>36</v>
      </c>
      <c r="T6241" s="1" t="s">
        <v>12971</v>
      </c>
      <c r="U6241" s="1" t="str">
        <f>HYPERLINK("http://ictvonline.org/taxonomy/p/taxonomy-history?taxnode_id=202110771","ICTVonline=202110771")</f>
        <v>ICTVonline=202110771</v>
      </c>
    </row>
    <row r="6242" spans="1:21" x14ac:dyDescent="0.2">
      <c r="A6242" s="3">
        <v>6241</v>
      </c>
      <c r="B6242" s="1" t="s">
        <v>4226</v>
      </c>
      <c r="D6242" s="1" t="s">
        <v>5412</v>
      </c>
      <c r="F6242" s="1" t="s">
        <v>5466</v>
      </c>
      <c r="H6242" s="1" t="s">
        <v>6729</v>
      </c>
      <c r="J6242" s="1" t="s">
        <v>6730</v>
      </c>
      <c r="L6242" s="1" t="s">
        <v>6731</v>
      </c>
      <c r="N6242" s="1" t="s">
        <v>6806</v>
      </c>
      <c r="P6242" s="1" t="s">
        <v>6811</v>
      </c>
      <c r="Q6242" s="30" t="s">
        <v>2567</v>
      </c>
      <c r="R6242" s="33" t="s">
        <v>3472</v>
      </c>
      <c r="S6242">
        <v>36</v>
      </c>
      <c r="T6242" s="1" t="s">
        <v>12971</v>
      </c>
      <c r="U6242" s="1" t="str">
        <f>HYPERLINK("http://ictvonline.org/taxonomy/p/taxonomy-history?taxnode_id=202110772","ICTVonline=202110772")</f>
        <v>ICTVonline=202110772</v>
      </c>
    </row>
    <row r="6243" spans="1:21" x14ac:dyDescent="0.2">
      <c r="A6243" s="3">
        <v>6242</v>
      </c>
      <c r="B6243" s="1" t="s">
        <v>4226</v>
      </c>
      <c r="D6243" s="1" t="s">
        <v>5412</v>
      </c>
      <c r="F6243" s="1" t="s">
        <v>5466</v>
      </c>
      <c r="H6243" s="1" t="s">
        <v>6729</v>
      </c>
      <c r="J6243" s="1" t="s">
        <v>6730</v>
      </c>
      <c r="L6243" s="1" t="s">
        <v>6731</v>
      </c>
      <c r="N6243" s="1" t="s">
        <v>6812</v>
      </c>
      <c r="P6243" s="1" t="s">
        <v>6813</v>
      </c>
      <c r="Q6243" s="30" t="s">
        <v>2567</v>
      </c>
      <c r="R6243" s="33" t="s">
        <v>3472</v>
      </c>
      <c r="S6243">
        <v>36</v>
      </c>
      <c r="T6243" s="1" t="s">
        <v>12971</v>
      </c>
      <c r="U6243" s="1" t="str">
        <f>HYPERLINK("http://ictvonline.org/taxonomy/p/taxonomy-history?taxnode_id=202110776","ICTVonline=202110776")</f>
        <v>ICTVonline=202110776</v>
      </c>
    </row>
    <row r="6244" spans="1:21" x14ac:dyDescent="0.2">
      <c r="A6244" s="3">
        <v>6243</v>
      </c>
      <c r="B6244" s="1" t="s">
        <v>4226</v>
      </c>
      <c r="D6244" s="1" t="s">
        <v>5412</v>
      </c>
      <c r="F6244" s="1" t="s">
        <v>5466</v>
      </c>
      <c r="H6244" s="1" t="s">
        <v>6729</v>
      </c>
      <c r="J6244" s="1" t="s">
        <v>6730</v>
      </c>
      <c r="L6244" s="1" t="s">
        <v>6731</v>
      </c>
      <c r="N6244" s="1" t="s">
        <v>6814</v>
      </c>
      <c r="P6244" s="1" t="s">
        <v>6815</v>
      </c>
      <c r="Q6244" s="30" t="s">
        <v>2567</v>
      </c>
      <c r="R6244" s="33" t="s">
        <v>3472</v>
      </c>
      <c r="S6244">
        <v>36</v>
      </c>
      <c r="T6244" s="1" t="s">
        <v>12971</v>
      </c>
      <c r="U6244" s="1" t="str">
        <f>HYPERLINK("http://ictvonline.org/taxonomy/p/taxonomy-history?taxnode_id=202110778","ICTVonline=202110778")</f>
        <v>ICTVonline=202110778</v>
      </c>
    </row>
    <row r="6245" spans="1:21" x14ac:dyDescent="0.2">
      <c r="A6245" s="3">
        <v>6244</v>
      </c>
      <c r="B6245" s="1" t="s">
        <v>4226</v>
      </c>
      <c r="D6245" s="1" t="s">
        <v>5412</v>
      </c>
      <c r="F6245" s="1" t="s">
        <v>5466</v>
      </c>
      <c r="H6245" s="1" t="s">
        <v>6729</v>
      </c>
      <c r="J6245" s="1" t="s">
        <v>6730</v>
      </c>
      <c r="L6245" s="1" t="s">
        <v>6731</v>
      </c>
      <c r="N6245" s="1" t="s">
        <v>6816</v>
      </c>
      <c r="P6245" s="1" t="s">
        <v>6817</v>
      </c>
      <c r="Q6245" s="30" t="s">
        <v>2567</v>
      </c>
      <c r="R6245" s="33" t="s">
        <v>3472</v>
      </c>
      <c r="S6245">
        <v>36</v>
      </c>
      <c r="T6245" s="1" t="s">
        <v>12971</v>
      </c>
      <c r="U6245" s="1" t="str">
        <f>HYPERLINK("http://ictvonline.org/taxonomy/p/taxonomy-history?taxnode_id=202110780","ICTVonline=202110780")</f>
        <v>ICTVonline=202110780</v>
      </c>
    </row>
    <row r="6246" spans="1:21" x14ac:dyDescent="0.2">
      <c r="A6246" s="3">
        <v>6245</v>
      </c>
      <c r="B6246" s="1" t="s">
        <v>4226</v>
      </c>
      <c r="D6246" s="1" t="s">
        <v>5412</v>
      </c>
      <c r="F6246" s="1" t="s">
        <v>5466</v>
      </c>
      <c r="H6246" s="1" t="s">
        <v>6729</v>
      </c>
      <c r="J6246" s="1" t="s">
        <v>6730</v>
      </c>
      <c r="L6246" s="1" t="s">
        <v>6731</v>
      </c>
      <c r="N6246" s="1" t="s">
        <v>6818</v>
      </c>
      <c r="P6246" s="1" t="s">
        <v>6819</v>
      </c>
      <c r="Q6246" s="30" t="s">
        <v>2567</v>
      </c>
      <c r="R6246" s="33" t="s">
        <v>3472</v>
      </c>
      <c r="S6246">
        <v>36</v>
      </c>
      <c r="T6246" s="1" t="s">
        <v>12971</v>
      </c>
      <c r="U6246" s="1" t="str">
        <f>HYPERLINK("http://ictvonline.org/taxonomy/p/taxonomy-history?taxnode_id=202110782","ICTVonline=202110782")</f>
        <v>ICTVonline=202110782</v>
      </c>
    </row>
    <row r="6247" spans="1:21" x14ac:dyDescent="0.2">
      <c r="A6247" s="3">
        <v>6246</v>
      </c>
      <c r="B6247" s="1" t="s">
        <v>4226</v>
      </c>
      <c r="D6247" s="1" t="s">
        <v>5412</v>
      </c>
      <c r="F6247" s="1" t="s">
        <v>5466</v>
      </c>
      <c r="H6247" s="1" t="s">
        <v>6729</v>
      </c>
      <c r="J6247" s="1" t="s">
        <v>6730</v>
      </c>
      <c r="L6247" s="1" t="s">
        <v>6731</v>
      </c>
      <c r="N6247" s="1" t="s">
        <v>6820</v>
      </c>
      <c r="P6247" s="1" t="s">
        <v>6821</v>
      </c>
      <c r="Q6247" s="30" t="s">
        <v>2567</v>
      </c>
      <c r="R6247" s="33" t="s">
        <v>3472</v>
      </c>
      <c r="S6247">
        <v>36</v>
      </c>
      <c r="T6247" s="1" t="s">
        <v>12971</v>
      </c>
      <c r="U6247" s="1" t="str">
        <f>HYPERLINK("http://ictvonline.org/taxonomy/p/taxonomy-history?taxnode_id=202110784","ICTVonline=202110784")</f>
        <v>ICTVonline=202110784</v>
      </c>
    </row>
    <row r="6248" spans="1:21" x14ac:dyDescent="0.2">
      <c r="A6248" s="3">
        <v>6247</v>
      </c>
      <c r="B6248" s="1" t="s">
        <v>4226</v>
      </c>
      <c r="D6248" s="1" t="s">
        <v>5412</v>
      </c>
      <c r="F6248" s="1" t="s">
        <v>5466</v>
      </c>
      <c r="H6248" s="1" t="s">
        <v>6729</v>
      </c>
      <c r="J6248" s="1" t="s">
        <v>6730</v>
      </c>
      <c r="L6248" s="1" t="s">
        <v>6731</v>
      </c>
      <c r="N6248" s="1" t="s">
        <v>6822</v>
      </c>
      <c r="P6248" s="1" t="s">
        <v>6823</v>
      </c>
      <c r="Q6248" s="30" t="s">
        <v>2567</v>
      </c>
      <c r="R6248" s="33" t="s">
        <v>3472</v>
      </c>
      <c r="S6248">
        <v>36</v>
      </c>
      <c r="T6248" s="1" t="s">
        <v>12971</v>
      </c>
      <c r="U6248" s="1" t="str">
        <f>HYPERLINK("http://ictvonline.org/taxonomy/p/taxonomy-history?taxnode_id=202110786","ICTVonline=202110786")</f>
        <v>ICTVonline=202110786</v>
      </c>
    </row>
    <row r="6249" spans="1:21" x14ac:dyDescent="0.2">
      <c r="A6249" s="3">
        <v>6248</v>
      </c>
      <c r="B6249" s="1" t="s">
        <v>4226</v>
      </c>
      <c r="D6249" s="1" t="s">
        <v>5412</v>
      </c>
      <c r="F6249" s="1" t="s">
        <v>5466</v>
      </c>
      <c r="H6249" s="1" t="s">
        <v>6729</v>
      </c>
      <c r="J6249" s="1" t="s">
        <v>6730</v>
      </c>
      <c r="L6249" s="1" t="s">
        <v>6731</v>
      </c>
      <c r="N6249" s="1" t="s">
        <v>6824</v>
      </c>
      <c r="P6249" s="1" t="s">
        <v>6825</v>
      </c>
      <c r="Q6249" s="30" t="s">
        <v>2567</v>
      </c>
      <c r="R6249" s="33" t="s">
        <v>3472</v>
      </c>
      <c r="S6249">
        <v>36</v>
      </c>
      <c r="T6249" s="1" t="s">
        <v>12971</v>
      </c>
      <c r="U6249" s="1" t="str">
        <f>HYPERLINK("http://ictvonline.org/taxonomy/p/taxonomy-history?taxnode_id=202110788","ICTVonline=202110788")</f>
        <v>ICTVonline=202110788</v>
      </c>
    </row>
    <row r="6250" spans="1:21" x14ac:dyDescent="0.2">
      <c r="A6250" s="3">
        <v>6249</v>
      </c>
      <c r="B6250" s="1" t="s">
        <v>4226</v>
      </c>
      <c r="D6250" s="1" t="s">
        <v>5412</v>
      </c>
      <c r="F6250" s="1" t="s">
        <v>5466</v>
      </c>
      <c r="H6250" s="1" t="s">
        <v>6729</v>
      </c>
      <c r="J6250" s="1" t="s">
        <v>6730</v>
      </c>
      <c r="L6250" s="1" t="s">
        <v>6731</v>
      </c>
      <c r="N6250" s="1" t="s">
        <v>6826</v>
      </c>
      <c r="P6250" s="1" t="s">
        <v>6827</v>
      </c>
      <c r="Q6250" s="30" t="s">
        <v>2567</v>
      </c>
      <c r="R6250" s="33" t="s">
        <v>3472</v>
      </c>
      <c r="S6250">
        <v>36</v>
      </c>
      <c r="T6250" s="1" t="s">
        <v>12971</v>
      </c>
      <c r="U6250" s="1" t="str">
        <f>HYPERLINK("http://ictvonline.org/taxonomy/p/taxonomy-history?taxnode_id=202110790","ICTVonline=202110790")</f>
        <v>ICTVonline=202110790</v>
      </c>
    </row>
    <row r="6251" spans="1:21" x14ac:dyDescent="0.2">
      <c r="A6251" s="3">
        <v>6250</v>
      </c>
      <c r="B6251" s="1" t="s">
        <v>4226</v>
      </c>
      <c r="D6251" s="1" t="s">
        <v>5412</v>
      </c>
      <c r="F6251" s="1" t="s">
        <v>5466</v>
      </c>
      <c r="H6251" s="1" t="s">
        <v>6729</v>
      </c>
      <c r="J6251" s="1" t="s">
        <v>6730</v>
      </c>
      <c r="L6251" s="1" t="s">
        <v>6731</v>
      </c>
      <c r="N6251" s="1" t="s">
        <v>6828</v>
      </c>
      <c r="P6251" s="1" t="s">
        <v>6829</v>
      </c>
      <c r="Q6251" s="30" t="s">
        <v>2567</v>
      </c>
      <c r="R6251" s="33" t="s">
        <v>3472</v>
      </c>
      <c r="S6251">
        <v>36</v>
      </c>
      <c r="T6251" s="1" t="s">
        <v>12971</v>
      </c>
      <c r="U6251" s="1" t="str">
        <f>HYPERLINK("http://ictvonline.org/taxonomy/p/taxonomy-history?taxnode_id=202110792","ICTVonline=202110792")</f>
        <v>ICTVonline=202110792</v>
      </c>
    </row>
    <row r="6252" spans="1:21" x14ac:dyDescent="0.2">
      <c r="A6252" s="3">
        <v>6251</v>
      </c>
      <c r="B6252" s="1" t="s">
        <v>4226</v>
      </c>
      <c r="D6252" s="1" t="s">
        <v>5412</v>
      </c>
      <c r="F6252" s="1" t="s">
        <v>5466</v>
      </c>
      <c r="H6252" s="1" t="s">
        <v>6729</v>
      </c>
      <c r="J6252" s="1" t="s">
        <v>6730</v>
      </c>
      <c r="L6252" s="1" t="s">
        <v>6731</v>
      </c>
      <c r="N6252" s="1" t="s">
        <v>6828</v>
      </c>
      <c r="P6252" s="1" t="s">
        <v>6830</v>
      </c>
      <c r="Q6252" s="30" t="s">
        <v>2567</v>
      </c>
      <c r="R6252" s="33" t="s">
        <v>3472</v>
      </c>
      <c r="S6252">
        <v>36</v>
      </c>
      <c r="T6252" s="1" t="s">
        <v>12971</v>
      </c>
      <c r="U6252" s="1" t="str">
        <f>HYPERLINK("http://ictvonline.org/taxonomy/p/taxonomy-history?taxnode_id=202110793","ICTVonline=202110793")</f>
        <v>ICTVonline=202110793</v>
      </c>
    </row>
    <row r="6253" spans="1:21" x14ac:dyDescent="0.2">
      <c r="A6253" s="3">
        <v>6252</v>
      </c>
      <c r="B6253" s="1" t="s">
        <v>4226</v>
      </c>
      <c r="D6253" s="1" t="s">
        <v>5412</v>
      </c>
      <c r="F6253" s="1" t="s">
        <v>5466</v>
      </c>
      <c r="H6253" s="1" t="s">
        <v>6729</v>
      </c>
      <c r="J6253" s="1" t="s">
        <v>6730</v>
      </c>
      <c r="L6253" s="1" t="s">
        <v>6731</v>
      </c>
      <c r="N6253" s="1" t="s">
        <v>6828</v>
      </c>
      <c r="P6253" s="1" t="s">
        <v>6831</v>
      </c>
      <c r="Q6253" s="30" t="s">
        <v>2567</v>
      </c>
      <c r="R6253" s="33" t="s">
        <v>3472</v>
      </c>
      <c r="S6253">
        <v>36</v>
      </c>
      <c r="T6253" s="1" t="s">
        <v>12971</v>
      </c>
      <c r="U6253" s="1" t="str">
        <f>HYPERLINK("http://ictvonline.org/taxonomy/p/taxonomy-history?taxnode_id=202110794","ICTVonline=202110794")</f>
        <v>ICTVonline=202110794</v>
      </c>
    </row>
    <row r="6254" spans="1:21" x14ac:dyDescent="0.2">
      <c r="A6254" s="3">
        <v>6253</v>
      </c>
      <c r="B6254" s="1" t="s">
        <v>4226</v>
      </c>
      <c r="D6254" s="1" t="s">
        <v>5412</v>
      </c>
      <c r="F6254" s="1" t="s">
        <v>5466</v>
      </c>
      <c r="H6254" s="1" t="s">
        <v>6729</v>
      </c>
      <c r="J6254" s="1" t="s">
        <v>6730</v>
      </c>
      <c r="L6254" s="1" t="s">
        <v>6731</v>
      </c>
      <c r="N6254" s="1" t="s">
        <v>6832</v>
      </c>
      <c r="P6254" s="1" t="s">
        <v>6833</v>
      </c>
      <c r="Q6254" s="30" t="s">
        <v>2567</v>
      </c>
      <c r="R6254" s="33" t="s">
        <v>3472</v>
      </c>
      <c r="S6254">
        <v>36</v>
      </c>
      <c r="T6254" s="1" t="s">
        <v>12971</v>
      </c>
      <c r="U6254" s="1" t="str">
        <f>HYPERLINK("http://ictvonline.org/taxonomy/p/taxonomy-history?taxnode_id=202110796","ICTVonline=202110796")</f>
        <v>ICTVonline=202110796</v>
      </c>
    </row>
    <row r="6255" spans="1:21" x14ac:dyDescent="0.2">
      <c r="A6255" s="3">
        <v>6254</v>
      </c>
      <c r="B6255" s="1" t="s">
        <v>4226</v>
      </c>
      <c r="D6255" s="1" t="s">
        <v>5412</v>
      </c>
      <c r="F6255" s="1" t="s">
        <v>5466</v>
      </c>
      <c r="H6255" s="1" t="s">
        <v>6729</v>
      </c>
      <c r="J6255" s="1" t="s">
        <v>6730</v>
      </c>
      <c r="L6255" s="1" t="s">
        <v>6731</v>
      </c>
      <c r="N6255" s="1" t="s">
        <v>6832</v>
      </c>
      <c r="P6255" s="1" t="s">
        <v>6834</v>
      </c>
      <c r="Q6255" s="30" t="s">
        <v>2567</v>
      </c>
      <c r="R6255" s="33" t="s">
        <v>3472</v>
      </c>
      <c r="S6255">
        <v>36</v>
      </c>
      <c r="T6255" s="1" t="s">
        <v>12971</v>
      </c>
      <c r="U6255" s="1" t="str">
        <f>HYPERLINK("http://ictvonline.org/taxonomy/p/taxonomy-history?taxnode_id=202110797","ICTVonline=202110797")</f>
        <v>ICTVonline=202110797</v>
      </c>
    </row>
    <row r="6256" spans="1:21" x14ac:dyDescent="0.2">
      <c r="A6256" s="3">
        <v>6255</v>
      </c>
      <c r="B6256" s="1" t="s">
        <v>4226</v>
      </c>
      <c r="D6256" s="1" t="s">
        <v>5412</v>
      </c>
      <c r="F6256" s="1" t="s">
        <v>5466</v>
      </c>
      <c r="H6256" s="1" t="s">
        <v>6729</v>
      </c>
      <c r="J6256" s="1" t="s">
        <v>6730</v>
      </c>
      <c r="L6256" s="1" t="s">
        <v>6731</v>
      </c>
      <c r="N6256" s="1" t="s">
        <v>6835</v>
      </c>
      <c r="P6256" s="1" t="s">
        <v>6836</v>
      </c>
      <c r="Q6256" s="30" t="s">
        <v>2567</v>
      </c>
      <c r="R6256" s="33" t="s">
        <v>3472</v>
      </c>
      <c r="S6256">
        <v>36</v>
      </c>
      <c r="T6256" s="1" t="s">
        <v>12971</v>
      </c>
      <c r="U6256" s="1" t="str">
        <f>HYPERLINK("http://ictvonline.org/taxonomy/p/taxonomy-history?taxnode_id=202110799","ICTVonline=202110799")</f>
        <v>ICTVonline=202110799</v>
      </c>
    </row>
    <row r="6257" spans="1:21" x14ac:dyDescent="0.2">
      <c r="A6257" s="3">
        <v>6256</v>
      </c>
      <c r="B6257" s="1" t="s">
        <v>4226</v>
      </c>
      <c r="D6257" s="1" t="s">
        <v>5412</v>
      </c>
      <c r="F6257" s="1" t="s">
        <v>5466</v>
      </c>
      <c r="H6257" s="1" t="s">
        <v>6729</v>
      </c>
      <c r="J6257" s="1" t="s">
        <v>6730</v>
      </c>
      <c r="L6257" s="1" t="s">
        <v>6731</v>
      </c>
      <c r="N6257" s="1" t="s">
        <v>6837</v>
      </c>
      <c r="P6257" s="1" t="s">
        <v>6838</v>
      </c>
      <c r="Q6257" s="30" t="s">
        <v>2567</v>
      </c>
      <c r="R6257" s="33" t="s">
        <v>3472</v>
      </c>
      <c r="S6257">
        <v>36</v>
      </c>
      <c r="T6257" s="1" t="s">
        <v>12971</v>
      </c>
      <c r="U6257" s="1" t="str">
        <f>HYPERLINK("http://ictvonline.org/taxonomy/p/taxonomy-history?taxnode_id=202110801","ICTVonline=202110801")</f>
        <v>ICTVonline=202110801</v>
      </c>
    </row>
    <row r="6258" spans="1:21" x14ac:dyDescent="0.2">
      <c r="A6258" s="3">
        <v>6257</v>
      </c>
      <c r="B6258" s="1" t="s">
        <v>4226</v>
      </c>
      <c r="D6258" s="1" t="s">
        <v>5412</v>
      </c>
      <c r="F6258" s="1" t="s">
        <v>5466</v>
      </c>
      <c r="H6258" s="1" t="s">
        <v>6729</v>
      </c>
      <c r="J6258" s="1" t="s">
        <v>6730</v>
      </c>
      <c r="L6258" s="1" t="s">
        <v>6731</v>
      </c>
      <c r="N6258" s="1" t="s">
        <v>6837</v>
      </c>
      <c r="P6258" s="1" t="s">
        <v>6839</v>
      </c>
      <c r="Q6258" s="30" t="s">
        <v>2567</v>
      </c>
      <c r="R6258" s="33" t="s">
        <v>3472</v>
      </c>
      <c r="S6258">
        <v>36</v>
      </c>
      <c r="T6258" s="1" t="s">
        <v>12971</v>
      </c>
      <c r="U6258" s="1" t="str">
        <f>HYPERLINK("http://ictvonline.org/taxonomy/p/taxonomy-history?taxnode_id=202110802","ICTVonline=202110802")</f>
        <v>ICTVonline=202110802</v>
      </c>
    </row>
    <row r="6259" spans="1:21" x14ac:dyDescent="0.2">
      <c r="A6259" s="3">
        <v>6258</v>
      </c>
      <c r="B6259" s="1" t="s">
        <v>4226</v>
      </c>
      <c r="D6259" s="1" t="s">
        <v>5412</v>
      </c>
      <c r="F6259" s="1" t="s">
        <v>5466</v>
      </c>
      <c r="H6259" s="1" t="s">
        <v>6729</v>
      </c>
      <c r="J6259" s="1" t="s">
        <v>6730</v>
      </c>
      <c r="L6259" s="1" t="s">
        <v>6731</v>
      </c>
      <c r="N6259" s="1" t="s">
        <v>6837</v>
      </c>
      <c r="P6259" s="1" t="s">
        <v>6840</v>
      </c>
      <c r="Q6259" s="30" t="s">
        <v>2567</v>
      </c>
      <c r="R6259" s="33" t="s">
        <v>3472</v>
      </c>
      <c r="S6259">
        <v>36</v>
      </c>
      <c r="T6259" s="1" t="s">
        <v>12971</v>
      </c>
      <c r="U6259" s="1" t="str">
        <f>HYPERLINK("http://ictvonline.org/taxonomy/p/taxonomy-history?taxnode_id=202110803","ICTVonline=202110803")</f>
        <v>ICTVonline=202110803</v>
      </c>
    </row>
    <row r="6260" spans="1:21" x14ac:dyDescent="0.2">
      <c r="A6260" s="3">
        <v>6259</v>
      </c>
      <c r="B6260" s="1" t="s">
        <v>4226</v>
      </c>
      <c r="D6260" s="1" t="s">
        <v>5412</v>
      </c>
      <c r="F6260" s="1" t="s">
        <v>5466</v>
      </c>
      <c r="H6260" s="1" t="s">
        <v>6729</v>
      </c>
      <c r="J6260" s="1" t="s">
        <v>6730</v>
      </c>
      <c r="L6260" s="1" t="s">
        <v>6731</v>
      </c>
      <c r="N6260" s="1" t="s">
        <v>6837</v>
      </c>
      <c r="P6260" s="1" t="s">
        <v>6841</v>
      </c>
      <c r="Q6260" s="30" t="s">
        <v>2567</v>
      </c>
      <c r="R6260" s="33" t="s">
        <v>3472</v>
      </c>
      <c r="S6260">
        <v>36</v>
      </c>
      <c r="T6260" s="1" t="s">
        <v>12971</v>
      </c>
      <c r="U6260" s="1" t="str">
        <f>HYPERLINK("http://ictvonline.org/taxonomy/p/taxonomy-history?taxnode_id=202110804","ICTVonline=202110804")</f>
        <v>ICTVonline=202110804</v>
      </c>
    </row>
    <row r="6261" spans="1:21" x14ac:dyDescent="0.2">
      <c r="A6261" s="3">
        <v>6260</v>
      </c>
      <c r="B6261" s="1" t="s">
        <v>4226</v>
      </c>
      <c r="D6261" s="1" t="s">
        <v>5412</v>
      </c>
      <c r="F6261" s="1" t="s">
        <v>5466</v>
      </c>
      <c r="H6261" s="1" t="s">
        <v>6729</v>
      </c>
      <c r="J6261" s="1" t="s">
        <v>6730</v>
      </c>
      <c r="L6261" s="1" t="s">
        <v>6731</v>
      </c>
      <c r="N6261" s="1" t="s">
        <v>6837</v>
      </c>
      <c r="P6261" s="1" t="s">
        <v>6842</v>
      </c>
      <c r="Q6261" s="30" t="s">
        <v>2567</v>
      </c>
      <c r="R6261" s="33" t="s">
        <v>3472</v>
      </c>
      <c r="S6261">
        <v>36</v>
      </c>
      <c r="T6261" s="1" t="s">
        <v>12971</v>
      </c>
      <c r="U6261" s="1" t="str">
        <f>HYPERLINK("http://ictvonline.org/taxonomy/p/taxonomy-history?taxnode_id=202110805","ICTVonline=202110805")</f>
        <v>ICTVonline=202110805</v>
      </c>
    </row>
    <row r="6262" spans="1:21" x14ac:dyDescent="0.2">
      <c r="A6262" s="3">
        <v>6261</v>
      </c>
      <c r="B6262" s="1" t="s">
        <v>4226</v>
      </c>
      <c r="D6262" s="1" t="s">
        <v>5412</v>
      </c>
      <c r="F6262" s="1" t="s">
        <v>5466</v>
      </c>
      <c r="H6262" s="1" t="s">
        <v>6729</v>
      </c>
      <c r="J6262" s="1" t="s">
        <v>6730</v>
      </c>
      <c r="L6262" s="1" t="s">
        <v>6731</v>
      </c>
      <c r="N6262" s="1" t="s">
        <v>6837</v>
      </c>
      <c r="P6262" s="1" t="s">
        <v>6843</v>
      </c>
      <c r="Q6262" s="30" t="s">
        <v>2567</v>
      </c>
      <c r="R6262" s="33" t="s">
        <v>3472</v>
      </c>
      <c r="S6262">
        <v>36</v>
      </c>
      <c r="T6262" s="1" t="s">
        <v>12971</v>
      </c>
      <c r="U6262" s="1" t="str">
        <f>HYPERLINK("http://ictvonline.org/taxonomy/p/taxonomy-history?taxnode_id=202110806","ICTVonline=202110806")</f>
        <v>ICTVonline=202110806</v>
      </c>
    </row>
    <row r="6263" spans="1:21" x14ac:dyDescent="0.2">
      <c r="A6263" s="3">
        <v>6262</v>
      </c>
      <c r="B6263" s="1" t="s">
        <v>4226</v>
      </c>
      <c r="D6263" s="1" t="s">
        <v>5412</v>
      </c>
      <c r="F6263" s="1" t="s">
        <v>5466</v>
      </c>
      <c r="H6263" s="1" t="s">
        <v>6729</v>
      </c>
      <c r="J6263" s="1" t="s">
        <v>6730</v>
      </c>
      <c r="L6263" s="1" t="s">
        <v>6731</v>
      </c>
      <c r="N6263" s="1" t="s">
        <v>6844</v>
      </c>
      <c r="P6263" s="1" t="s">
        <v>6845</v>
      </c>
      <c r="Q6263" s="30" t="s">
        <v>2567</v>
      </c>
      <c r="R6263" s="33" t="s">
        <v>3472</v>
      </c>
      <c r="S6263">
        <v>36</v>
      </c>
      <c r="T6263" s="1" t="s">
        <v>12971</v>
      </c>
      <c r="U6263" s="1" t="str">
        <f>HYPERLINK("http://ictvonline.org/taxonomy/p/taxonomy-history?taxnode_id=202110808","ICTVonline=202110808")</f>
        <v>ICTVonline=202110808</v>
      </c>
    </row>
    <row r="6264" spans="1:21" x14ac:dyDescent="0.2">
      <c r="A6264" s="3">
        <v>6263</v>
      </c>
      <c r="B6264" s="1" t="s">
        <v>4226</v>
      </c>
      <c r="D6264" s="1" t="s">
        <v>5412</v>
      </c>
      <c r="F6264" s="1" t="s">
        <v>5466</v>
      </c>
      <c r="H6264" s="1" t="s">
        <v>6729</v>
      </c>
      <c r="J6264" s="1" t="s">
        <v>6730</v>
      </c>
      <c r="L6264" s="1" t="s">
        <v>6731</v>
      </c>
      <c r="N6264" s="1" t="s">
        <v>6844</v>
      </c>
      <c r="P6264" s="1" t="s">
        <v>6846</v>
      </c>
      <c r="Q6264" s="30" t="s">
        <v>2567</v>
      </c>
      <c r="R6264" s="33" t="s">
        <v>3472</v>
      </c>
      <c r="S6264">
        <v>36</v>
      </c>
      <c r="T6264" s="1" t="s">
        <v>12971</v>
      </c>
      <c r="U6264" s="1" t="str">
        <f>HYPERLINK("http://ictvonline.org/taxonomy/p/taxonomy-history?taxnode_id=202110811","ICTVonline=202110811")</f>
        <v>ICTVonline=202110811</v>
      </c>
    </row>
    <row r="6265" spans="1:21" x14ac:dyDescent="0.2">
      <c r="A6265" s="3">
        <v>6264</v>
      </c>
      <c r="B6265" s="1" t="s">
        <v>4226</v>
      </c>
      <c r="D6265" s="1" t="s">
        <v>5412</v>
      </c>
      <c r="F6265" s="1" t="s">
        <v>5466</v>
      </c>
      <c r="H6265" s="1" t="s">
        <v>6729</v>
      </c>
      <c r="J6265" s="1" t="s">
        <v>6730</v>
      </c>
      <c r="L6265" s="1" t="s">
        <v>6731</v>
      </c>
      <c r="N6265" s="1" t="s">
        <v>6844</v>
      </c>
      <c r="P6265" s="1" t="s">
        <v>6847</v>
      </c>
      <c r="Q6265" s="30" t="s">
        <v>2567</v>
      </c>
      <c r="R6265" s="33" t="s">
        <v>3472</v>
      </c>
      <c r="S6265">
        <v>36</v>
      </c>
      <c r="T6265" s="1" t="s">
        <v>12971</v>
      </c>
      <c r="U6265" s="1" t="str">
        <f>HYPERLINK("http://ictvonline.org/taxonomy/p/taxonomy-history?taxnode_id=202110812","ICTVonline=202110812")</f>
        <v>ICTVonline=202110812</v>
      </c>
    </row>
    <row r="6266" spans="1:21" x14ac:dyDescent="0.2">
      <c r="A6266" s="3">
        <v>6265</v>
      </c>
      <c r="B6266" s="1" t="s">
        <v>4226</v>
      </c>
      <c r="D6266" s="1" t="s">
        <v>5412</v>
      </c>
      <c r="F6266" s="1" t="s">
        <v>5466</v>
      </c>
      <c r="H6266" s="1" t="s">
        <v>6729</v>
      </c>
      <c r="J6266" s="1" t="s">
        <v>6730</v>
      </c>
      <c r="L6266" s="1" t="s">
        <v>6731</v>
      </c>
      <c r="N6266" s="1" t="s">
        <v>6844</v>
      </c>
      <c r="P6266" s="1" t="s">
        <v>6848</v>
      </c>
      <c r="Q6266" s="30" t="s">
        <v>2567</v>
      </c>
      <c r="R6266" s="33" t="s">
        <v>3472</v>
      </c>
      <c r="S6266">
        <v>36</v>
      </c>
      <c r="T6266" s="1" t="s">
        <v>12971</v>
      </c>
      <c r="U6266" s="1" t="str">
        <f>HYPERLINK("http://ictvonline.org/taxonomy/p/taxonomy-history?taxnode_id=202110813","ICTVonline=202110813")</f>
        <v>ICTVonline=202110813</v>
      </c>
    </row>
    <row r="6267" spans="1:21" x14ac:dyDescent="0.2">
      <c r="A6267" s="3">
        <v>6266</v>
      </c>
      <c r="B6267" s="1" t="s">
        <v>4226</v>
      </c>
      <c r="D6267" s="1" t="s">
        <v>5412</v>
      </c>
      <c r="F6267" s="1" t="s">
        <v>5466</v>
      </c>
      <c r="H6267" s="1" t="s">
        <v>6729</v>
      </c>
      <c r="J6267" s="1" t="s">
        <v>6730</v>
      </c>
      <c r="L6267" s="1" t="s">
        <v>6731</v>
      </c>
      <c r="N6267" s="1" t="s">
        <v>6844</v>
      </c>
      <c r="P6267" s="1" t="s">
        <v>6849</v>
      </c>
      <c r="Q6267" s="30" t="s">
        <v>2567</v>
      </c>
      <c r="R6267" s="33" t="s">
        <v>3472</v>
      </c>
      <c r="S6267">
        <v>36</v>
      </c>
      <c r="T6267" s="1" t="s">
        <v>12971</v>
      </c>
      <c r="U6267" s="1" t="str">
        <f>HYPERLINK("http://ictvonline.org/taxonomy/p/taxonomy-history?taxnode_id=202110809","ICTVonline=202110809")</f>
        <v>ICTVonline=202110809</v>
      </c>
    </row>
    <row r="6268" spans="1:21" x14ac:dyDescent="0.2">
      <c r="A6268" s="3">
        <v>6267</v>
      </c>
      <c r="B6268" s="1" t="s">
        <v>4226</v>
      </c>
      <c r="D6268" s="1" t="s">
        <v>5412</v>
      </c>
      <c r="F6268" s="1" t="s">
        <v>5466</v>
      </c>
      <c r="H6268" s="1" t="s">
        <v>6729</v>
      </c>
      <c r="J6268" s="1" t="s">
        <v>6730</v>
      </c>
      <c r="L6268" s="1" t="s">
        <v>6731</v>
      </c>
      <c r="N6268" s="1" t="s">
        <v>6844</v>
      </c>
      <c r="P6268" s="1" t="s">
        <v>6850</v>
      </c>
      <c r="Q6268" s="30" t="s">
        <v>2567</v>
      </c>
      <c r="R6268" s="33" t="s">
        <v>3472</v>
      </c>
      <c r="S6268">
        <v>36</v>
      </c>
      <c r="T6268" s="1" t="s">
        <v>12971</v>
      </c>
      <c r="U6268" s="1" t="str">
        <f>HYPERLINK("http://ictvonline.org/taxonomy/p/taxonomy-history?taxnode_id=202110810","ICTVonline=202110810")</f>
        <v>ICTVonline=202110810</v>
      </c>
    </row>
    <row r="6269" spans="1:21" x14ac:dyDescent="0.2">
      <c r="A6269" s="3">
        <v>6268</v>
      </c>
      <c r="B6269" s="1" t="s">
        <v>4226</v>
      </c>
      <c r="D6269" s="1" t="s">
        <v>5412</v>
      </c>
      <c r="F6269" s="1" t="s">
        <v>5466</v>
      </c>
      <c r="H6269" s="1" t="s">
        <v>6729</v>
      </c>
      <c r="J6269" s="1" t="s">
        <v>6730</v>
      </c>
      <c r="L6269" s="1" t="s">
        <v>6731</v>
      </c>
      <c r="N6269" s="1" t="s">
        <v>6844</v>
      </c>
      <c r="P6269" s="1" t="s">
        <v>6851</v>
      </c>
      <c r="Q6269" s="30" t="s">
        <v>2567</v>
      </c>
      <c r="R6269" s="33" t="s">
        <v>3472</v>
      </c>
      <c r="S6269">
        <v>36</v>
      </c>
      <c r="T6269" s="1" t="s">
        <v>12971</v>
      </c>
      <c r="U6269" s="1" t="str">
        <f>HYPERLINK("http://ictvonline.org/taxonomy/p/taxonomy-history?taxnode_id=202110814","ICTVonline=202110814")</f>
        <v>ICTVonline=202110814</v>
      </c>
    </row>
    <row r="6270" spans="1:21" x14ac:dyDescent="0.2">
      <c r="A6270" s="3">
        <v>6269</v>
      </c>
      <c r="B6270" s="1" t="s">
        <v>4226</v>
      </c>
      <c r="D6270" s="1" t="s">
        <v>5412</v>
      </c>
      <c r="F6270" s="1" t="s">
        <v>5466</v>
      </c>
      <c r="H6270" s="1" t="s">
        <v>6729</v>
      </c>
      <c r="J6270" s="1" t="s">
        <v>6730</v>
      </c>
      <c r="L6270" s="1" t="s">
        <v>6731</v>
      </c>
      <c r="N6270" s="1" t="s">
        <v>6844</v>
      </c>
      <c r="P6270" s="1" t="s">
        <v>6852</v>
      </c>
      <c r="Q6270" s="30" t="s">
        <v>2567</v>
      </c>
      <c r="R6270" s="33" t="s">
        <v>3472</v>
      </c>
      <c r="S6270">
        <v>36</v>
      </c>
      <c r="T6270" s="1" t="s">
        <v>12971</v>
      </c>
      <c r="U6270" s="1" t="str">
        <f>HYPERLINK("http://ictvonline.org/taxonomy/p/taxonomy-history?taxnode_id=202110815","ICTVonline=202110815")</f>
        <v>ICTVonline=202110815</v>
      </c>
    </row>
    <row r="6271" spans="1:21" x14ac:dyDescent="0.2">
      <c r="A6271" s="3">
        <v>6270</v>
      </c>
      <c r="B6271" s="1" t="s">
        <v>4226</v>
      </c>
      <c r="D6271" s="1" t="s">
        <v>5412</v>
      </c>
      <c r="F6271" s="1" t="s">
        <v>5466</v>
      </c>
      <c r="H6271" s="1" t="s">
        <v>6729</v>
      </c>
      <c r="J6271" s="1" t="s">
        <v>6730</v>
      </c>
      <c r="L6271" s="1" t="s">
        <v>6731</v>
      </c>
      <c r="N6271" s="1" t="s">
        <v>6853</v>
      </c>
      <c r="P6271" s="1" t="s">
        <v>6854</v>
      </c>
      <c r="Q6271" s="30" t="s">
        <v>2567</v>
      </c>
      <c r="R6271" s="33" t="s">
        <v>3472</v>
      </c>
      <c r="S6271">
        <v>36</v>
      </c>
      <c r="T6271" s="1" t="s">
        <v>12971</v>
      </c>
      <c r="U6271" s="1" t="str">
        <f>HYPERLINK("http://ictvonline.org/taxonomy/p/taxonomy-history?taxnode_id=202110817","ICTVonline=202110817")</f>
        <v>ICTVonline=202110817</v>
      </c>
    </row>
    <row r="6272" spans="1:21" x14ac:dyDescent="0.2">
      <c r="A6272" s="3">
        <v>6271</v>
      </c>
      <c r="B6272" s="1" t="s">
        <v>4226</v>
      </c>
      <c r="D6272" s="1" t="s">
        <v>5412</v>
      </c>
      <c r="F6272" s="1" t="s">
        <v>5466</v>
      </c>
      <c r="H6272" s="1" t="s">
        <v>6729</v>
      </c>
      <c r="J6272" s="1" t="s">
        <v>6730</v>
      </c>
      <c r="L6272" s="1" t="s">
        <v>6731</v>
      </c>
      <c r="N6272" s="1" t="s">
        <v>6855</v>
      </c>
      <c r="P6272" s="1" t="s">
        <v>6856</v>
      </c>
      <c r="Q6272" s="30" t="s">
        <v>2567</v>
      </c>
      <c r="R6272" s="33" t="s">
        <v>3472</v>
      </c>
      <c r="S6272">
        <v>36</v>
      </c>
      <c r="T6272" s="1" t="s">
        <v>12971</v>
      </c>
      <c r="U6272" s="1" t="str">
        <f>HYPERLINK("http://ictvonline.org/taxonomy/p/taxonomy-history?taxnode_id=202110819","ICTVonline=202110819")</f>
        <v>ICTVonline=202110819</v>
      </c>
    </row>
    <row r="6273" spans="1:21" x14ac:dyDescent="0.2">
      <c r="A6273" s="3">
        <v>6272</v>
      </c>
      <c r="B6273" s="1" t="s">
        <v>4226</v>
      </c>
      <c r="D6273" s="1" t="s">
        <v>5412</v>
      </c>
      <c r="F6273" s="1" t="s">
        <v>5466</v>
      </c>
      <c r="H6273" s="1" t="s">
        <v>6729</v>
      </c>
      <c r="J6273" s="1" t="s">
        <v>6730</v>
      </c>
      <c r="L6273" s="1" t="s">
        <v>6731</v>
      </c>
      <c r="N6273" s="1" t="s">
        <v>6857</v>
      </c>
      <c r="P6273" s="1" t="s">
        <v>6858</v>
      </c>
      <c r="Q6273" s="30" t="s">
        <v>2567</v>
      </c>
      <c r="R6273" s="33" t="s">
        <v>3472</v>
      </c>
      <c r="S6273">
        <v>36</v>
      </c>
      <c r="T6273" s="1" t="s">
        <v>12971</v>
      </c>
      <c r="U6273" s="1" t="str">
        <f>HYPERLINK("http://ictvonline.org/taxonomy/p/taxonomy-history?taxnode_id=202110821","ICTVonline=202110821")</f>
        <v>ICTVonline=202110821</v>
      </c>
    </row>
    <row r="6274" spans="1:21" x14ac:dyDescent="0.2">
      <c r="A6274" s="3">
        <v>6273</v>
      </c>
      <c r="B6274" s="1" t="s">
        <v>4226</v>
      </c>
      <c r="D6274" s="1" t="s">
        <v>5412</v>
      </c>
      <c r="F6274" s="1" t="s">
        <v>5466</v>
      </c>
      <c r="H6274" s="1" t="s">
        <v>6729</v>
      </c>
      <c r="J6274" s="1" t="s">
        <v>6730</v>
      </c>
      <c r="L6274" s="1" t="s">
        <v>6731</v>
      </c>
      <c r="N6274" s="1" t="s">
        <v>6859</v>
      </c>
      <c r="P6274" s="1" t="s">
        <v>6860</v>
      </c>
      <c r="Q6274" s="30" t="s">
        <v>2567</v>
      </c>
      <c r="R6274" s="33" t="s">
        <v>3472</v>
      </c>
      <c r="S6274">
        <v>36</v>
      </c>
      <c r="T6274" s="1" t="s">
        <v>12971</v>
      </c>
      <c r="U6274" s="1" t="str">
        <f>HYPERLINK("http://ictvonline.org/taxonomy/p/taxonomy-history?taxnode_id=202110823","ICTVonline=202110823")</f>
        <v>ICTVonline=202110823</v>
      </c>
    </row>
    <row r="6275" spans="1:21" x14ac:dyDescent="0.2">
      <c r="A6275" s="3">
        <v>6274</v>
      </c>
      <c r="B6275" s="1" t="s">
        <v>4226</v>
      </c>
      <c r="D6275" s="1" t="s">
        <v>5412</v>
      </c>
      <c r="F6275" s="1" t="s">
        <v>5466</v>
      </c>
      <c r="H6275" s="1" t="s">
        <v>6729</v>
      </c>
      <c r="J6275" s="1" t="s">
        <v>6730</v>
      </c>
      <c r="L6275" s="1" t="s">
        <v>6731</v>
      </c>
      <c r="N6275" s="1" t="s">
        <v>6861</v>
      </c>
      <c r="P6275" s="1" t="s">
        <v>6862</v>
      </c>
      <c r="Q6275" s="30" t="s">
        <v>2567</v>
      </c>
      <c r="R6275" s="33" t="s">
        <v>3472</v>
      </c>
      <c r="S6275">
        <v>36</v>
      </c>
      <c r="T6275" s="1" t="s">
        <v>12971</v>
      </c>
      <c r="U6275" s="1" t="str">
        <f>HYPERLINK("http://ictvonline.org/taxonomy/p/taxonomy-history?taxnode_id=202110826","ICTVonline=202110826")</f>
        <v>ICTVonline=202110826</v>
      </c>
    </row>
    <row r="6276" spans="1:21" x14ac:dyDescent="0.2">
      <c r="A6276" s="3">
        <v>6275</v>
      </c>
      <c r="B6276" s="1" t="s">
        <v>4226</v>
      </c>
      <c r="D6276" s="1" t="s">
        <v>5412</v>
      </c>
      <c r="F6276" s="1" t="s">
        <v>5466</v>
      </c>
      <c r="H6276" s="1" t="s">
        <v>6729</v>
      </c>
      <c r="J6276" s="1" t="s">
        <v>6730</v>
      </c>
      <c r="L6276" s="1" t="s">
        <v>6731</v>
      </c>
      <c r="N6276" s="1" t="s">
        <v>6861</v>
      </c>
      <c r="P6276" s="1" t="s">
        <v>6863</v>
      </c>
      <c r="Q6276" s="30" t="s">
        <v>2567</v>
      </c>
      <c r="R6276" s="33" t="s">
        <v>3472</v>
      </c>
      <c r="S6276">
        <v>36</v>
      </c>
      <c r="T6276" s="1" t="s">
        <v>12971</v>
      </c>
      <c r="U6276" s="1" t="str">
        <f>HYPERLINK("http://ictvonline.org/taxonomy/p/taxonomy-history?taxnode_id=202110825","ICTVonline=202110825")</f>
        <v>ICTVonline=202110825</v>
      </c>
    </row>
    <row r="6277" spans="1:21" x14ac:dyDescent="0.2">
      <c r="A6277" s="3">
        <v>6276</v>
      </c>
      <c r="B6277" s="1" t="s">
        <v>4226</v>
      </c>
      <c r="D6277" s="1" t="s">
        <v>5412</v>
      </c>
      <c r="F6277" s="1" t="s">
        <v>5466</v>
      </c>
      <c r="H6277" s="1" t="s">
        <v>6729</v>
      </c>
      <c r="J6277" s="1" t="s">
        <v>6730</v>
      </c>
      <c r="L6277" s="1" t="s">
        <v>6731</v>
      </c>
      <c r="N6277" s="1" t="s">
        <v>6864</v>
      </c>
      <c r="P6277" s="1" t="s">
        <v>6865</v>
      </c>
      <c r="Q6277" s="30" t="s">
        <v>2567</v>
      </c>
      <c r="R6277" s="33" t="s">
        <v>3472</v>
      </c>
      <c r="S6277">
        <v>36</v>
      </c>
      <c r="T6277" s="1" t="s">
        <v>12971</v>
      </c>
      <c r="U6277" s="1" t="str">
        <f>HYPERLINK("http://ictvonline.org/taxonomy/p/taxonomy-history?taxnode_id=202110828","ICTVonline=202110828")</f>
        <v>ICTVonline=202110828</v>
      </c>
    </row>
    <row r="6278" spans="1:21" x14ac:dyDescent="0.2">
      <c r="A6278" s="3">
        <v>6277</v>
      </c>
      <c r="B6278" s="1" t="s">
        <v>4226</v>
      </c>
      <c r="D6278" s="1" t="s">
        <v>5412</v>
      </c>
      <c r="F6278" s="1" t="s">
        <v>5466</v>
      </c>
      <c r="H6278" s="1" t="s">
        <v>6729</v>
      </c>
      <c r="J6278" s="1" t="s">
        <v>6730</v>
      </c>
      <c r="L6278" s="1" t="s">
        <v>6731</v>
      </c>
      <c r="N6278" s="1" t="s">
        <v>6866</v>
      </c>
      <c r="P6278" s="1" t="s">
        <v>6867</v>
      </c>
      <c r="Q6278" s="30" t="s">
        <v>2567</v>
      </c>
      <c r="R6278" s="33" t="s">
        <v>3472</v>
      </c>
      <c r="S6278">
        <v>36</v>
      </c>
      <c r="T6278" s="1" t="s">
        <v>12971</v>
      </c>
      <c r="U6278" s="1" t="str">
        <f>HYPERLINK("http://ictvonline.org/taxonomy/p/taxonomy-history?taxnode_id=202110830","ICTVonline=202110830")</f>
        <v>ICTVonline=202110830</v>
      </c>
    </row>
    <row r="6279" spans="1:21" x14ac:dyDescent="0.2">
      <c r="A6279" s="3">
        <v>6278</v>
      </c>
      <c r="B6279" s="1" t="s">
        <v>4226</v>
      </c>
      <c r="D6279" s="1" t="s">
        <v>5412</v>
      </c>
      <c r="F6279" s="1" t="s">
        <v>5466</v>
      </c>
      <c r="H6279" s="1" t="s">
        <v>6729</v>
      </c>
      <c r="J6279" s="1" t="s">
        <v>6730</v>
      </c>
      <c r="L6279" s="1" t="s">
        <v>6731</v>
      </c>
      <c r="N6279" s="1" t="s">
        <v>6868</v>
      </c>
      <c r="P6279" s="1" t="s">
        <v>6869</v>
      </c>
      <c r="Q6279" s="30" t="s">
        <v>2567</v>
      </c>
      <c r="R6279" s="33" t="s">
        <v>3472</v>
      </c>
      <c r="S6279">
        <v>36</v>
      </c>
      <c r="T6279" s="1" t="s">
        <v>12971</v>
      </c>
      <c r="U6279" s="1" t="str">
        <f>HYPERLINK("http://ictvonline.org/taxonomy/p/taxonomy-history?taxnode_id=202110832","ICTVonline=202110832")</f>
        <v>ICTVonline=202110832</v>
      </c>
    </row>
    <row r="6280" spans="1:21" x14ac:dyDescent="0.2">
      <c r="A6280" s="3">
        <v>6279</v>
      </c>
      <c r="B6280" s="1" t="s">
        <v>4226</v>
      </c>
      <c r="D6280" s="1" t="s">
        <v>5412</v>
      </c>
      <c r="F6280" s="1" t="s">
        <v>5466</v>
      </c>
      <c r="H6280" s="1" t="s">
        <v>6729</v>
      </c>
      <c r="J6280" s="1" t="s">
        <v>6730</v>
      </c>
      <c r="L6280" s="1" t="s">
        <v>6731</v>
      </c>
      <c r="N6280" s="1" t="s">
        <v>6870</v>
      </c>
      <c r="P6280" s="1" t="s">
        <v>6871</v>
      </c>
      <c r="Q6280" s="30" t="s">
        <v>2567</v>
      </c>
      <c r="R6280" s="33" t="s">
        <v>3472</v>
      </c>
      <c r="S6280">
        <v>36</v>
      </c>
      <c r="T6280" s="1" t="s">
        <v>12971</v>
      </c>
      <c r="U6280" s="1" t="str">
        <f>HYPERLINK("http://ictvonline.org/taxonomy/p/taxonomy-history?taxnode_id=202110834","ICTVonline=202110834")</f>
        <v>ICTVonline=202110834</v>
      </c>
    </row>
    <row r="6281" spans="1:21" x14ac:dyDescent="0.2">
      <c r="A6281" s="3">
        <v>6280</v>
      </c>
      <c r="B6281" s="1" t="s">
        <v>4226</v>
      </c>
      <c r="D6281" s="1" t="s">
        <v>5412</v>
      </c>
      <c r="F6281" s="1" t="s">
        <v>5466</v>
      </c>
      <c r="H6281" s="1" t="s">
        <v>6729</v>
      </c>
      <c r="J6281" s="1" t="s">
        <v>6730</v>
      </c>
      <c r="L6281" s="1" t="s">
        <v>6731</v>
      </c>
      <c r="N6281" s="1" t="s">
        <v>6872</v>
      </c>
      <c r="P6281" s="1" t="s">
        <v>6873</v>
      </c>
      <c r="Q6281" s="30" t="s">
        <v>2567</v>
      </c>
      <c r="R6281" s="33" t="s">
        <v>3472</v>
      </c>
      <c r="S6281">
        <v>36</v>
      </c>
      <c r="T6281" s="1" t="s">
        <v>12971</v>
      </c>
      <c r="U6281" s="1" t="str">
        <f>HYPERLINK("http://ictvonline.org/taxonomy/p/taxonomy-history?taxnode_id=202110836","ICTVonline=202110836")</f>
        <v>ICTVonline=202110836</v>
      </c>
    </row>
    <row r="6282" spans="1:21" x14ac:dyDescent="0.2">
      <c r="A6282" s="3">
        <v>6281</v>
      </c>
      <c r="B6282" s="1" t="s">
        <v>4226</v>
      </c>
      <c r="D6282" s="1" t="s">
        <v>5412</v>
      </c>
      <c r="F6282" s="1" t="s">
        <v>5466</v>
      </c>
      <c r="H6282" s="1" t="s">
        <v>6729</v>
      </c>
      <c r="J6282" s="1" t="s">
        <v>6730</v>
      </c>
      <c r="L6282" s="1" t="s">
        <v>6731</v>
      </c>
      <c r="N6282" s="1" t="s">
        <v>6874</v>
      </c>
      <c r="P6282" s="1" t="s">
        <v>6875</v>
      </c>
      <c r="Q6282" s="30" t="s">
        <v>2567</v>
      </c>
      <c r="R6282" s="33" t="s">
        <v>3472</v>
      </c>
      <c r="S6282">
        <v>36</v>
      </c>
      <c r="T6282" s="1" t="s">
        <v>12971</v>
      </c>
      <c r="U6282" s="1" t="str">
        <f>HYPERLINK("http://ictvonline.org/taxonomy/p/taxonomy-history?taxnode_id=202110838","ICTVonline=202110838")</f>
        <v>ICTVonline=202110838</v>
      </c>
    </row>
    <row r="6283" spans="1:21" x14ac:dyDescent="0.2">
      <c r="A6283" s="3">
        <v>6282</v>
      </c>
      <c r="B6283" s="1" t="s">
        <v>4226</v>
      </c>
      <c r="D6283" s="1" t="s">
        <v>5412</v>
      </c>
      <c r="F6283" s="1" t="s">
        <v>5466</v>
      </c>
      <c r="H6283" s="1" t="s">
        <v>6729</v>
      </c>
      <c r="J6283" s="1" t="s">
        <v>6730</v>
      </c>
      <c r="L6283" s="1" t="s">
        <v>6731</v>
      </c>
      <c r="N6283" s="1" t="s">
        <v>6876</v>
      </c>
      <c r="P6283" s="1" t="s">
        <v>6877</v>
      </c>
      <c r="Q6283" s="30" t="s">
        <v>2567</v>
      </c>
      <c r="R6283" s="33" t="s">
        <v>3472</v>
      </c>
      <c r="S6283">
        <v>36</v>
      </c>
      <c r="T6283" s="1" t="s">
        <v>12971</v>
      </c>
      <c r="U6283" s="1" t="str">
        <f>HYPERLINK("http://ictvonline.org/taxonomy/p/taxonomy-history?taxnode_id=202110840","ICTVonline=202110840")</f>
        <v>ICTVonline=202110840</v>
      </c>
    </row>
    <row r="6284" spans="1:21" x14ac:dyDescent="0.2">
      <c r="A6284" s="3">
        <v>6283</v>
      </c>
      <c r="B6284" s="1" t="s">
        <v>4226</v>
      </c>
      <c r="D6284" s="1" t="s">
        <v>5412</v>
      </c>
      <c r="F6284" s="1" t="s">
        <v>5466</v>
      </c>
      <c r="H6284" s="1" t="s">
        <v>6729</v>
      </c>
      <c r="J6284" s="1" t="s">
        <v>6730</v>
      </c>
      <c r="L6284" s="1" t="s">
        <v>6731</v>
      </c>
      <c r="N6284" s="1" t="s">
        <v>6876</v>
      </c>
      <c r="P6284" s="1" t="s">
        <v>6878</v>
      </c>
      <c r="Q6284" s="30" t="s">
        <v>2567</v>
      </c>
      <c r="R6284" s="33" t="s">
        <v>3472</v>
      </c>
      <c r="S6284">
        <v>36</v>
      </c>
      <c r="T6284" s="1" t="s">
        <v>12971</v>
      </c>
      <c r="U6284" s="1" t="str">
        <f>HYPERLINK("http://ictvonline.org/taxonomy/p/taxonomy-history?taxnode_id=202110841","ICTVonline=202110841")</f>
        <v>ICTVonline=202110841</v>
      </c>
    </row>
    <row r="6285" spans="1:21" x14ac:dyDescent="0.2">
      <c r="A6285" s="3">
        <v>6284</v>
      </c>
      <c r="B6285" s="1" t="s">
        <v>4226</v>
      </c>
      <c r="D6285" s="1" t="s">
        <v>5412</v>
      </c>
      <c r="F6285" s="1" t="s">
        <v>5466</v>
      </c>
      <c r="H6285" s="1" t="s">
        <v>6729</v>
      </c>
      <c r="J6285" s="1" t="s">
        <v>6730</v>
      </c>
      <c r="L6285" s="1" t="s">
        <v>6879</v>
      </c>
      <c r="N6285" s="1" t="s">
        <v>6880</v>
      </c>
      <c r="P6285" s="1" t="s">
        <v>6881</v>
      </c>
      <c r="Q6285" s="30" t="s">
        <v>2567</v>
      </c>
      <c r="R6285" s="33" t="s">
        <v>3472</v>
      </c>
      <c r="S6285">
        <v>36</v>
      </c>
      <c r="T6285" s="1" t="s">
        <v>12971</v>
      </c>
      <c r="U6285" s="1" t="str">
        <f>HYPERLINK("http://ictvonline.org/taxonomy/p/taxonomy-history?taxnode_id=202110844","ICTVonline=202110844")</f>
        <v>ICTVonline=202110844</v>
      </c>
    </row>
    <row r="6286" spans="1:21" x14ac:dyDescent="0.2">
      <c r="A6286" s="3">
        <v>6285</v>
      </c>
      <c r="B6286" s="1" t="s">
        <v>4226</v>
      </c>
      <c r="D6286" s="1" t="s">
        <v>5412</v>
      </c>
      <c r="F6286" s="1" t="s">
        <v>5466</v>
      </c>
      <c r="H6286" s="1" t="s">
        <v>6729</v>
      </c>
      <c r="J6286" s="1" t="s">
        <v>6730</v>
      </c>
      <c r="L6286" s="1" t="s">
        <v>6879</v>
      </c>
      <c r="N6286" s="1" t="s">
        <v>6882</v>
      </c>
      <c r="P6286" s="1" t="s">
        <v>6883</v>
      </c>
      <c r="Q6286" s="30" t="s">
        <v>2567</v>
      </c>
      <c r="R6286" s="33" t="s">
        <v>3472</v>
      </c>
      <c r="S6286">
        <v>36</v>
      </c>
      <c r="T6286" s="1" t="s">
        <v>12971</v>
      </c>
      <c r="U6286" s="1" t="str">
        <f>HYPERLINK("http://ictvonline.org/taxonomy/p/taxonomy-history?taxnode_id=202110846","ICTVonline=202110846")</f>
        <v>ICTVonline=202110846</v>
      </c>
    </row>
    <row r="6287" spans="1:21" x14ac:dyDescent="0.2">
      <c r="A6287" s="3">
        <v>6286</v>
      </c>
      <c r="B6287" s="1" t="s">
        <v>4226</v>
      </c>
      <c r="D6287" s="1" t="s">
        <v>5412</v>
      </c>
      <c r="F6287" s="1" t="s">
        <v>5466</v>
      </c>
      <c r="H6287" s="1" t="s">
        <v>6729</v>
      </c>
      <c r="J6287" s="1" t="s">
        <v>6730</v>
      </c>
      <c r="L6287" s="1" t="s">
        <v>6879</v>
      </c>
      <c r="N6287" s="1" t="s">
        <v>6884</v>
      </c>
      <c r="P6287" s="1" t="s">
        <v>6885</v>
      </c>
      <c r="Q6287" s="30" t="s">
        <v>2567</v>
      </c>
      <c r="R6287" s="33" t="s">
        <v>3472</v>
      </c>
      <c r="S6287">
        <v>36</v>
      </c>
      <c r="T6287" s="1" t="s">
        <v>12971</v>
      </c>
      <c r="U6287" s="1" t="str">
        <f>HYPERLINK("http://ictvonline.org/taxonomy/p/taxonomy-history?taxnode_id=202110848","ICTVonline=202110848")</f>
        <v>ICTVonline=202110848</v>
      </c>
    </row>
    <row r="6288" spans="1:21" x14ac:dyDescent="0.2">
      <c r="A6288" s="3">
        <v>6287</v>
      </c>
      <c r="B6288" s="1" t="s">
        <v>4226</v>
      </c>
      <c r="D6288" s="1" t="s">
        <v>5412</v>
      </c>
      <c r="F6288" s="1" t="s">
        <v>5466</v>
      </c>
      <c r="H6288" s="1" t="s">
        <v>6729</v>
      </c>
      <c r="J6288" s="1" t="s">
        <v>6730</v>
      </c>
      <c r="L6288" s="1" t="s">
        <v>6879</v>
      </c>
      <c r="N6288" s="1" t="s">
        <v>6886</v>
      </c>
      <c r="P6288" s="1" t="s">
        <v>6887</v>
      </c>
      <c r="Q6288" s="30" t="s">
        <v>2567</v>
      </c>
      <c r="R6288" s="33" t="s">
        <v>3472</v>
      </c>
      <c r="S6288">
        <v>36</v>
      </c>
      <c r="T6288" s="1" t="s">
        <v>12971</v>
      </c>
      <c r="U6288" s="1" t="str">
        <f>HYPERLINK("http://ictvonline.org/taxonomy/p/taxonomy-history?taxnode_id=202110850","ICTVonline=202110850")</f>
        <v>ICTVonline=202110850</v>
      </c>
    </row>
    <row r="6289" spans="1:21" x14ac:dyDescent="0.2">
      <c r="A6289" s="3">
        <v>6288</v>
      </c>
      <c r="B6289" s="1" t="s">
        <v>4226</v>
      </c>
      <c r="D6289" s="1" t="s">
        <v>5412</v>
      </c>
      <c r="F6289" s="1" t="s">
        <v>5466</v>
      </c>
      <c r="H6289" s="1" t="s">
        <v>6729</v>
      </c>
      <c r="J6289" s="1" t="s">
        <v>6730</v>
      </c>
      <c r="L6289" s="1" t="s">
        <v>6879</v>
      </c>
      <c r="N6289" s="1" t="s">
        <v>6888</v>
      </c>
      <c r="P6289" s="1" t="s">
        <v>6889</v>
      </c>
      <c r="Q6289" s="30" t="s">
        <v>2567</v>
      </c>
      <c r="R6289" s="33" t="s">
        <v>3472</v>
      </c>
      <c r="S6289">
        <v>36</v>
      </c>
      <c r="T6289" s="1" t="s">
        <v>12971</v>
      </c>
      <c r="U6289" s="1" t="str">
        <f>HYPERLINK("http://ictvonline.org/taxonomy/p/taxonomy-history?taxnode_id=202110852","ICTVonline=202110852")</f>
        <v>ICTVonline=202110852</v>
      </c>
    </row>
    <row r="6290" spans="1:21" x14ac:dyDescent="0.2">
      <c r="A6290" s="3">
        <v>6289</v>
      </c>
      <c r="B6290" s="1" t="s">
        <v>4226</v>
      </c>
      <c r="D6290" s="1" t="s">
        <v>5412</v>
      </c>
      <c r="F6290" s="1" t="s">
        <v>5466</v>
      </c>
      <c r="H6290" s="1" t="s">
        <v>6729</v>
      </c>
      <c r="J6290" s="1" t="s">
        <v>6730</v>
      </c>
      <c r="L6290" s="1" t="s">
        <v>6879</v>
      </c>
      <c r="N6290" s="1" t="s">
        <v>6890</v>
      </c>
      <c r="P6290" s="1" t="s">
        <v>6891</v>
      </c>
      <c r="Q6290" s="30" t="s">
        <v>2567</v>
      </c>
      <c r="R6290" s="33" t="s">
        <v>3472</v>
      </c>
      <c r="S6290">
        <v>36</v>
      </c>
      <c r="T6290" s="1" t="s">
        <v>12971</v>
      </c>
      <c r="U6290" s="1" t="str">
        <f>HYPERLINK("http://ictvonline.org/taxonomy/p/taxonomy-history?taxnode_id=202110854","ICTVonline=202110854")</f>
        <v>ICTVonline=202110854</v>
      </c>
    </row>
    <row r="6291" spans="1:21" x14ac:dyDescent="0.2">
      <c r="A6291" s="3">
        <v>6290</v>
      </c>
      <c r="B6291" s="1" t="s">
        <v>4226</v>
      </c>
      <c r="D6291" s="1" t="s">
        <v>5412</v>
      </c>
      <c r="F6291" s="1" t="s">
        <v>5466</v>
      </c>
      <c r="H6291" s="1" t="s">
        <v>6729</v>
      </c>
      <c r="J6291" s="1" t="s">
        <v>6730</v>
      </c>
      <c r="L6291" s="1" t="s">
        <v>6892</v>
      </c>
      <c r="N6291" s="1" t="s">
        <v>6893</v>
      </c>
      <c r="P6291" s="1" t="s">
        <v>6894</v>
      </c>
      <c r="Q6291" s="30" t="s">
        <v>2567</v>
      </c>
      <c r="R6291" s="33" t="s">
        <v>3472</v>
      </c>
      <c r="S6291">
        <v>36</v>
      </c>
      <c r="T6291" s="1" t="s">
        <v>12971</v>
      </c>
      <c r="U6291" s="1" t="str">
        <f>HYPERLINK("http://ictvonline.org/taxonomy/p/taxonomy-history?taxnode_id=202110219","ICTVonline=202110219")</f>
        <v>ICTVonline=202110219</v>
      </c>
    </row>
    <row r="6292" spans="1:21" x14ac:dyDescent="0.2">
      <c r="A6292" s="3">
        <v>6291</v>
      </c>
      <c r="B6292" s="1" t="s">
        <v>4226</v>
      </c>
      <c r="D6292" s="1" t="s">
        <v>5412</v>
      </c>
      <c r="F6292" s="1" t="s">
        <v>5466</v>
      </c>
      <c r="H6292" s="1" t="s">
        <v>6729</v>
      </c>
      <c r="J6292" s="1" t="s">
        <v>6730</v>
      </c>
      <c r="L6292" s="1" t="s">
        <v>6892</v>
      </c>
      <c r="N6292" s="1" t="s">
        <v>6895</v>
      </c>
      <c r="P6292" s="1" t="s">
        <v>6896</v>
      </c>
      <c r="Q6292" s="30" t="s">
        <v>2567</v>
      </c>
      <c r="R6292" s="33" t="s">
        <v>3472</v>
      </c>
      <c r="S6292">
        <v>36</v>
      </c>
      <c r="T6292" s="1" t="s">
        <v>12971</v>
      </c>
      <c r="U6292" s="1" t="str">
        <f>HYPERLINK("http://ictvonline.org/taxonomy/p/taxonomy-history?taxnode_id=202110221","ICTVonline=202110221")</f>
        <v>ICTVonline=202110221</v>
      </c>
    </row>
    <row r="6293" spans="1:21" x14ac:dyDescent="0.2">
      <c r="A6293" s="3">
        <v>6292</v>
      </c>
      <c r="B6293" s="1" t="s">
        <v>4226</v>
      </c>
      <c r="D6293" s="1" t="s">
        <v>5412</v>
      </c>
      <c r="F6293" s="1" t="s">
        <v>5466</v>
      </c>
      <c r="H6293" s="1" t="s">
        <v>6729</v>
      </c>
      <c r="J6293" s="1" t="s">
        <v>6730</v>
      </c>
      <c r="L6293" s="1" t="s">
        <v>6892</v>
      </c>
      <c r="N6293" s="1" t="s">
        <v>6897</v>
      </c>
      <c r="P6293" s="1" t="s">
        <v>6898</v>
      </c>
      <c r="Q6293" s="30" t="s">
        <v>2567</v>
      </c>
      <c r="R6293" s="33" t="s">
        <v>3472</v>
      </c>
      <c r="S6293">
        <v>36</v>
      </c>
      <c r="T6293" s="1" t="s">
        <v>12971</v>
      </c>
      <c r="U6293" s="1" t="str">
        <f>HYPERLINK("http://ictvonline.org/taxonomy/p/taxonomy-history?taxnode_id=202110223","ICTVonline=202110223")</f>
        <v>ICTVonline=202110223</v>
      </c>
    </row>
    <row r="6294" spans="1:21" x14ac:dyDescent="0.2">
      <c r="A6294" s="3">
        <v>6293</v>
      </c>
      <c r="B6294" s="1" t="s">
        <v>4226</v>
      </c>
      <c r="D6294" s="1" t="s">
        <v>5412</v>
      </c>
      <c r="F6294" s="1" t="s">
        <v>5466</v>
      </c>
      <c r="H6294" s="1" t="s">
        <v>6729</v>
      </c>
      <c r="J6294" s="1" t="s">
        <v>6730</v>
      </c>
      <c r="L6294" s="1" t="s">
        <v>6892</v>
      </c>
      <c r="N6294" s="1" t="s">
        <v>6899</v>
      </c>
      <c r="P6294" s="1" t="s">
        <v>6900</v>
      </c>
      <c r="Q6294" s="30" t="s">
        <v>2567</v>
      </c>
      <c r="R6294" s="33" t="s">
        <v>3472</v>
      </c>
      <c r="S6294">
        <v>36</v>
      </c>
      <c r="T6294" s="1" t="s">
        <v>12971</v>
      </c>
      <c r="U6294" s="1" t="str">
        <f>HYPERLINK("http://ictvonline.org/taxonomy/p/taxonomy-history?taxnode_id=202110225","ICTVonline=202110225")</f>
        <v>ICTVonline=202110225</v>
      </c>
    </row>
    <row r="6295" spans="1:21" x14ac:dyDescent="0.2">
      <c r="A6295" s="3">
        <v>6294</v>
      </c>
      <c r="B6295" s="1" t="s">
        <v>4226</v>
      </c>
      <c r="D6295" s="1" t="s">
        <v>5412</v>
      </c>
      <c r="F6295" s="1" t="s">
        <v>5466</v>
      </c>
      <c r="H6295" s="1" t="s">
        <v>6729</v>
      </c>
      <c r="J6295" s="1" t="s">
        <v>6730</v>
      </c>
      <c r="L6295" s="1" t="s">
        <v>6892</v>
      </c>
      <c r="N6295" s="1" t="s">
        <v>6899</v>
      </c>
      <c r="P6295" s="1" t="s">
        <v>6901</v>
      </c>
      <c r="Q6295" s="30" t="s">
        <v>2567</v>
      </c>
      <c r="R6295" s="33" t="s">
        <v>3472</v>
      </c>
      <c r="S6295">
        <v>36</v>
      </c>
      <c r="T6295" s="1" t="s">
        <v>12971</v>
      </c>
      <c r="U6295" s="1" t="str">
        <f>HYPERLINK("http://ictvonline.org/taxonomy/p/taxonomy-history?taxnode_id=202110226","ICTVonline=202110226")</f>
        <v>ICTVonline=202110226</v>
      </c>
    </row>
    <row r="6296" spans="1:21" x14ac:dyDescent="0.2">
      <c r="A6296" s="3">
        <v>6295</v>
      </c>
      <c r="B6296" s="1" t="s">
        <v>4226</v>
      </c>
      <c r="D6296" s="1" t="s">
        <v>5412</v>
      </c>
      <c r="F6296" s="1" t="s">
        <v>5466</v>
      </c>
      <c r="H6296" s="1" t="s">
        <v>6729</v>
      </c>
      <c r="J6296" s="1" t="s">
        <v>6730</v>
      </c>
      <c r="L6296" s="1" t="s">
        <v>6892</v>
      </c>
      <c r="N6296" s="1" t="s">
        <v>6902</v>
      </c>
      <c r="P6296" s="1" t="s">
        <v>6903</v>
      </c>
      <c r="Q6296" s="30" t="s">
        <v>2567</v>
      </c>
      <c r="R6296" s="33" t="s">
        <v>3472</v>
      </c>
      <c r="S6296">
        <v>36</v>
      </c>
      <c r="T6296" s="1" t="s">
        <v>12971</v>
      </c>
      <c r="U6296" s="1" t="str">
        <f>HYPERLINK("http://ictvonline.org/taxonomy/p/taxonomy-history?taxnode_id=202110229","ICTVonline=202110229")</f>
        <v>ICTVonline=202110229</v>
      </c>
    </row>
    <row r="6297" spans="1:21" x14ac:dyDescent="0.2">
      <c r="A6297" s="3">
        <v>6296</v>
      </c>
      <c r="B6297" s="1" t="s">
        <v>4226</v>
      </c>
      <c r="D6297" s="1" t="s">
        <v>5412</v>
      </c>
      <c r="F6297" s="1" t="s">
        <v>5466</v>
      </c>
      <c r="H6297" s="1" t="s">
        <v>6729</v>
      </c>
      <c r="J6297" s="1" t="s">
        <v>6730</v>
      </c>
      <c r="L6297" s="1" t="s">
        <v>6892</v>
      </c>
      <c r="N6297" s="1" t="s">
        <v>6902</v>
      </c>
      <c r="P6297" s="1" t="s">
        <v>6904</v>
      </c>
      <c r="Q6297" s="30" t="s">
        <v>2567</v>
      </c>
      <c r="R6297" s="33" t="s">
        <v>3472</v>
      </c>
      <c r="S6297">
        <v>36</v>
      </c>
      <c r="T6297" s="1" t="s">
        <v>12971</v>
      </c>
      <c r="U6297" s="1" t="str">
        <f>HYPERLINK("http://ictvonline.org/taxonomy/p/taxonomy-history?taxnode_id=202110228","ICTVonline=202110228")</f>
        <v>ICTVonline=202110228</v>
      </c>
    </row>
    <row r="6298" spans="1:21" x14ac:dyDescent="0.2">
      <c r="A6298" s="3">
        <v>6297</v>
      </c>
      <c r="B6298" s="1" t="s">
        <v>4226</v>
      </c>
      <c r="D6298" s="1" t="s">
        <v>5412</v>
      </c>
      <c r="F6298" s="1" t="s">
        <v>5466</v>
      </c>
      <c r="H6298" s="1" t="s">
        <v>6729</v>
      </c>
      <c r="J6298" s="1" t="s">
        <v>6730</v>
      </c>
      <c r="L6298" s="1" t="s">
        <v>6892</v>
      </c>
      <c r="N6298" s="1" t="s">
        <v>6902</v>
      </c>
      <c r="P6298" s="1" t="s">
        <v>6905</v>
      </c>
      <c r="Q6298" s="30" t="s">
        <v>2567</v>
      </c>
      <c r="R6298" s="33" t="s">
        <v>3472</v>
      </c>
      <c r="S6298">
        <v>36</v>
      </c>
      <c r="T6298" s="1" t="s">
        <v>12971</v>
      </c>
      <c r="U6298" s="1" t="str">
        <f>HYPERLINK("http://ictvonline.org/taxonomy/p/taxonomy-history?taxnode_id=202110230","ICTVonline=202110230")</f>
        <v>ICTVonline=202110230</v>
      </c>
    </row>
    <row r="6299" spans="1:21" x14ac:dyDescent="0.2">
      <c r="A6299" s="3">
        <v>6298</v>
      </c>
      <c r="B6299" s="1" t="s">
        <v>4226</v>
      </c>
      <c r="D6299" s="1" t="s">
        <v>5412</v>
      </c>
      <c r="F6299" s="1" t="s">
        <v>5466</v>
      </c>
      <c r="H6299" s="1" t="s">
        <v>6729</v>
      </c>
      <c r="J6299" s="1" t="s">
        <v>6730</v>
      </c>
      <c r="L6299" s="1" t="s">
        <v>6892</v>
      </c>
      <c r="N6299" s="1" t="s">
        <v>6906</v>
      </c>
      <c r="P6299" s="1" t="s">
        <v>6907</v>
      </c>
      <c r="Q6299" s="30" t="s">
        <v>2567</v>
      </c>
      <c r="R6299" s="33" t="s">
        <v>3472</v>
      </c>
      <c r="S6299">
        <v>36</v>
      </c>
      <c r="T6299" s="1" t="s">
        <v>12971</v>
      </c>
      <c r="U6299" s="1" t="str">
        <f>HYPERLINK("http://ictvonline.org/taxonomy/p/taxonomy-history?taxnode_id=202110232","ICTVonline=202110232")</f>
        <v>ICTVonline=202110232</v>
      </c>
    </row>
    <row r="6300" spans="1:21" x14ac:dyDescent="0.2">
      <c r="A6300" s="3">
        <v>6299</v>
      </c>
      <c r="B6300" s="1" t="s">
        <v>4226</v>
      </c>
      <c r="D6300" s="1" t="s">
        <v>5412</v>
      </c>
      <c r="F6300" s="1" t="s">
        <v>5466</v>
      </c>
      <c r="H6300" s="1" t="s">
        <v>6729</v>
      </c>
      <c r="J6300" s="1" t="s">
        <v>6730</v>
      </c>
      <c r="L6300" s="1" t="s">
        <v>6892</v>
      </c>
      <c r="N6300" s="1" t="s">
        <v>6908</v>
      </c>
      <c r="P6300" s="1" t="s">
        <v>6909</v>
      </c>
      <c r="Q6300" s="30" t="s">
        <v>2567</v>
      </c>
      <c r="R6300" s="33" t="s">
        <v>3472</v>
      </c>
      <c r="S6300">
        <v>36</v>
      </c>
      <c r="T6300" s="1" t="s">
        <v>12971</v>
      </c>
      <c r="U6300" s="1" t="str">
        <f>HYPERLINK("http://ictvonline.org/taxonomy/p/taxonomy-history?taxnode_id=202110234","ICTVonline=202110234")</f>
        <v>ICTVonline=202110234</v>
      </c>
    </row>
    <row r="6301" spans="1:21" x14ac:dyDescent="0.2">
      <c r="A6301" s="3">
        <v>6300</v>
      </c>
      <c r="B6301" s="1" t="s">
        <v>4226</v>
      </c>
      <c r="D6301" s="1" t="s">
        <v>5412</v>
      </c>
      <c r="F6301" s="1" t="s">
        <v>5466</v>
      </c>
      <c r="H6301" s="1" t="s">
        <v>6729</v>
      </c>
      <c r="J6301" s="1" t="s">
        <v>6730</v>
      </c>
      <c r="L6301" s="1" t="s">
        <v>6892</v>
      </c>
      <c r="N6301" s="1" t="s">
        <v>6910</v>
      </c>
      <c r="P6301" s="1" t="s">
        <v>6911</v>
      </c>
      <c r="Q6301" s="30" t="s">
        <v>2567</v>
      </c>
      <c r="R6301" s="33" t="s">
        <v>3472</v>
      </c>
      <c r="S6301">
        <v>36</v>
      </c>
      <c r="T6301" s="1" t="s">
        <v>12971</v>
      </c>
      <c r="U6301" s="1" t="str">
        <f>HYPERLINK("http://ictvonline.org/taxonomy/p/taxonomy-history?taxnode_id=202110237","ICTVonline=202110237")</f>
        <v>ICTVonline=202110237</v>
      </c>
    </row>
    <row r="6302" spans="1:21" x14ac:dyDescent="0.2">
      <c r="A6302" s="3">
        <v>6301</v>
      </c>
      <c r="B6302" s="1" t="s">
        <v>4226</v>
      </c>
      <c r="D6302" s="1" t="s">
        <v>5412</v>
      </c>
      <c r="F6302" s="1" t="s">
        <v>5466</v>
      </c>
      <c r="H6302" s="1" t="s">
        <v>6729</v>
      </c>
      <c r="J6302" s="1" t="s">
        <v>6730</v>
      </c>
      <c r="L6302" s="1" t="s">
        <v>6892</v>
      </c>
      <c r="N6302" s="1" t="s">
        <v>6910</v>
      </c>
      <c r="P6302" s="1" t="s">
        <v>6912</v>
      </c>
      <c r="Q6302" s="30" t="s">
        <v>2567</v>
      </c>
      <c r="R6302" s="33" t="s">
        <v>3472</v>
      </c>
      <c r="S6302">
        <v>36</v>
      </c>
      <c r="T6302" s="1" t="s">
        <v>12971</v>
      </c>
      <c r="U6302" s="1" t="str">
        <f>HYPERLINK("http://ictvonline.org/taxonomy/p/taxonomy-history?taxnode_id=202110238","ICTVonline=202110238")</f>
        <v>ICTVonline=202110238</v>
      </c>
    </row>
    <row r="6303" spans="1:21" x14ac:dyDescent="0.2">
      <c r="A6303" s="3">
        <v>6302</v>
      </c>
      <c r="B6303" s="1" t="s">
        <v>4226</v>
      </c>
      <c r="D6303" s="1" t="s">
        <v>5412</v>
      </c>
      <c r="F6303" s="1" t="s">
        <v>5466</v>
      </c>
      <c r="H6303" s="1" t="s">
        <v>6729</v>
      </c>
      <c r="J6303" s="1" t="s">
        <v>6730</v>
      </c>
      <c r="L6303" s="1" t="s">
        <v>6892</v>
      </c>
      <c r="N6303" s="1" t="s">
        <v>6910</v>
      </c>
      <c r="P6303" s="1" t="s">
        <v>6913</v>
      </c>
      <c r="Q6303" s="30" t="s">
        <v>2567</v>
      </c>
      <c r="R6303" s="33" t="s">
        <v>3472</v>
      </c>
      <c r="S6303">
        <v>36</v>
      </c>
      <c r="T6303" s="1" t="s">
        <v>12971</v>
      </c>
      <c r="U6303" s="1" t="str">
        <f>HYPERLINK("http://ictvonline.org/taxonomy/p/taxonomy-history?taxnode_id=202110236","ICTVonline=202110236")</f>
        <v>ICTVonline=202110236</v>
      </c>
    </row>
    <row r="6304" spans="1:21" x14ac:dyDescent="0.2">
      <c r="A6304" s="3">
        <v>6303</v>
      </c>
      <c r="B6304" s="1" t="s">
        <v>4226</v>
      </c>
      <c r="D6304" s="1" t="s">
        <v>5412</v>
      </c>
      <c r="F6304" s="1" t="s">
        <v>5466</v>
      </c>
      <c r="H6304" s="1" t="s">
        <v>6729</v>
      </c>
      <c r="J6304" s="1" t="s">
        <v>6730</v>
      </c>
      <c r="L6304" s="1" t="s">
        <v>6892</v>
      </c>
      <c r="N6304" s="1" t="s">
        <v>6914</v>
      </c>
      <c r="P6304" s="1" t="s">
        <v>6915</v>
      </c>
      <c r="Q6304" s="30" t="s">
        <v>2567</v>
      </c>
      <c r="R6304" s="33" t="s">
        <v>3472</v>
      </c>
      <c r="S6304">
        <v>36</v>
      </c>
      <c r="T6304" s="1" t="s">
        <v>12971</v>
      </c>
      <c r="U6304" s="1" t="str">
        <f>HYPERLINK("http://ictvonline.org/taxonomy/p/taxonomy-history?taxnode_id=202110240","ICTVonline=202110240")</f>
        <v>ICTVonline=202110240</v>
      </c>
    </row>
    <row r="6305" spans="1:21" x14ac:dyDescent="0.2">
      <c r="A6305" s="3">
        <v>6304</v>
      </c>
      <c r="B6305" s="1" t="s">
        <v>4226</v>
      </c>
      <c r="D6305" s="1" t="s">
        <v>5412</v>
      </c>
      <c r="F6305" s="1" t="s">
        <v>5466</v>
      </c>
      <c r="H6305" s="1" t="s">
        <v>6729</v>
      </c>
      <c r="J6305" s="1" t="s">
        <v>6730</v>
      </c>
      <c r="L6305" s="1" t="s">
        <v>6892</v>
      </c>
      <c r="N6305" s="1" t="s">
        <v>6916</v>
      </c>
      <c r="P6305" s="1" t="s">
        <v>6917</v>
      </c>
      <c r="Q6305" s="30" t="s">
        <v>2567</v>
      </c>
      <c r="R6305" s="33" t="s">
        <v>3472</v>
      </c>
      <c r="S6305">
        <v>36</v>
      </c>
      <c r="T6305" s="1" t="s">
        <v>12971</v>
      </c>
      <c r="U6305" s="1" t="str">
        <f>HYPERLINK("http://ictvonline.org/taxonomy/p/taxonomy-history?taxnode_id=202110242","ICTVonline=202110242")</f>
        <v>ICTVonline=202110242</v>
      </c>
    </row>
    <row r="6306" spans="1:21" x14ac:dyDescent="0.2">
      <c r="A6306" s="3">
        <v>6305</v>
      </c>
      <c r="B6306" s="1" t="s">
        <v>4226</v>
      </c>
      <c r="D6306" s="1" t="s">
        <v>5412</v>
      </c>
      <c r="F6306" s="1" t="s">
        <v>5466</v>
      </c>
      <c r="H6306" s="1" t="s">
        <v>6729</v>
      </c>
      <c r="J6306" s="1" t="s">
        <v>6730</v>
      </c>
      <c r="L6306" s="1" t="s">
        <v>6892</v>
      </c>
      <c r="N6306" s="1" t="s">
        <v>6918</v>
      </c>
      <c r="P6306" s="1" t="s">
        <v>6919</v>
      </c>
      <c r="Q6306" s="30" t="s">
        <v>2567</v>
      </c>
      <c r="R6306" s="33" t="s">
        <v>3472</v>
      </c>
      <c r="S6306">
        <v>36</v>
      </c>
      <c r="T6306" s="1" t="s">
        <v>12971</v>
      </c>
      <c r="U6306" s="1" t="str">
        <f>HYPERLINK("http://ictvonline.org/taxonomy/p/taxonomy-history?taxnode_id=202110244","ICTVonline=202110244")</f>
        <v>ICTVonline=202110244</v>
      </c>
    </row>
    <row r="6307" spans="1:21" x14ac:dyDescent="0.2">
      <c r="A6307" s="3">
        <v>6306</v>
      </c>
      <c r="B6307" s="1" t="s">
        <v>4226</v>
      </c>
      <c r="D6307" s="1" t="s">
        <v>5412</v>
      </c>
      <c r="F6307" s="1" t="s">
        <v>5466</v>
      </c>
      <c r="H6307" s="1" t="s">
        <v>6729</v>
      </c>
      <c r="J6307" s="1" t="s">
        <v>6730</v>
      </c>
      <c r="L6307" s="1" t="s">
        <v>6892</v>
      </c>
      <c r="N6307" s="1" t="s">
        <v>6920</v>
      </c>
      <c r="P6307" s="1" t="s">
        <v>6921</v>
      </c>
      <c r="Q6307" s="30" t="s">
        <v>2567</v>
      </c>
      <c r="R6307" s="33" t="s">
        <v>3472</v>
      </c>
      <c r="S6307">
        <v>36</v>
      </c>
      <c r="T6307" s="1" t="s">
        <v>12971</v>
      </c>
      <c r="U6307" s="1" t="str">
        <f>HYPERLINK("http://ictvonline.org/taxonomy/p/taxonomy-history?taxnode_id=202110246","ICTVonline=202110246")</f>
        <v>ICTVonline=202110246</v>
      </c>
    </row>
    <row r="6308" spans="1:21" x14ac:dyDescent="0.2">
      <c r="A6308" s="3">
        <v>6307</v>
      </c>
      <c r="B6308" s="1" t="s">
        <v>4226</v>
      </c>
      <c r="D6308" s="1" t="s">
        <v>5412</v>
      </c>
      <c r="F6308" s="1" t="s">
        <v>5466</v>
      </c>
      <c r="H6308" s="1" t="s">
        <v>6729</v>
      </c>
      <c r="J6308" s="1" t="s">
        <v>6730</v>
      </c>
      <c r="L6308" s="1" t="s">
        <v>6892</v>
      </c>
      <c r="N6308" s="1" t="s">
        <v>6922</v>
      </c>
      <c r="P6308" s="1" t="s">
        <v>6923</v>
      </c>
      <c r="Q6308" s="30" t="s">
        <v>2567</v>
      </c>
      <c r="R6308" s="33" t="s">
        <v>3472</v>
      </c>
      <c r="S6308">
        <v>36</v>
      </c>
      <c r="T6308" s="1" t="s">
        <v>12971</v>
      </c>
      <c r="U6308" s="1" t="str">
        <f>HYPERLINK("http://ictvonline.org/taxonomy/p/taxonomy-history?taxnode_id=202110248","ICTVonline=202110248")</f>
        <v>ICTVonline=202110248</v>
      </c>
    </row>
    <row r="6309" spans="1:21" x14ac:dyDescent="0.2">
      <c r="A6309" s="3">
        <v>6308</v>
      </c>
      <c r="B6309" s="1" t="s">
        <v>4226</v>
      </c>
      <c r="D6309" s="1" t="s">
        <v>5412</v>
      </c>
      <c r="F6309" s="1" t="s">
        <v>5466</v>
      </c>
      <c r="H6309" s="1" t="s">
        <v>6729</v>
      </c>
      <c r="J6309" s="1" t="s">
        <v>6730</v>
      </c>
      <c r="L6309" s="1" t="s">
        <v>6892</v>
      </c>
      <c r="N6309" s="1" t="s">
        <v>6924</v>
      </c>
      <c r="P6309" s="1" t="s">
        <v>6925</v>
      </c>
      <c r="Q6309" s="30" t="s">
        <v>2567</v>
      </c>
      <c r="R6309" s="33" t="s">
        <v>3472</v>
      </c>
      <c r="S6309">
        <v>36</v>
      </c>
      <c r="T6309" s="1" t="s">
        <v>12971</v>
      </c>
      <c r="U6309" s="1" t="str">
        <f>HYPERLINK("http://ictvonline.org/taxonomy/p/taxonomy-history?taxnode_id=202110250","ICTVonline=202110250")</f>
        <v>ICTVonline=202110250</v>
      </c>
    </row>
    <row r="6310" spans="1:21" x14ac:dyDescent="0.2">
      <c r="A6310" s="3">
        <v>6309</v>
      </c>
      <c r="B6310" s="1" t="s">
        <v>4226</v>
      </c>
      <c r="D6310" s="1" t="s">
        <v>5412</v>
      </c>
      <c r="F6310" s="1" t="s">
        <v>5466</v>
      </c>
      <c r="H6310" s="1" t="s">
        <v>6729</v>
      </c>
      <c r="J6310" s="1" t="s">
        <v>6730</v>
      </c>
      <c r="L6310" s="1" t="s">
        <v>6892</v>
      </c>
      <c r="N6310" s="1" t="s">
        <v>6926</v>
      </c>
      <c r="P6310" s="1" t="s">
        <v>6927</v>
      </c>
      <c r="Q6310" s="30" t="s">
        <v>2567</v>
      </c>
      <c r="R6310" s="33" t="s">
        <v>3472</v>
      </c>
      <c r="S6310">
        <v>36</v>
      </c>
      <c r="T6310" s="1" t="s">
        <v>12971</v>
      </c>
      <c r="U6310" s="1" t="str">
        <f>HYPERLINK("http://ictvonline.org/taxonomy/p/taxonomy-history?taxnode_id=202110252","ICTVonline=202110252")</f>
        <v>ICTVonline=202110252</v>
      </c>
    </row>
    <row r="6311" spans="1:21" x14ac:dyDescent="0.2">
      <c r="A6311" s="3">
        <v>6310</v>
      </c>
      <c r="B6311" s="1" t="s">
        <v>4226</v>
      </c>
      <c r="D6311" s="1" t="s">
        <v>5412</v>
      </c>
      <c r="F6311" s="1" t="s">
        <v>5466</v>
      </c>
      <c r="H6311" s="1" t="s">
        <v>6729</v>
      </c>
      <c r="J6311" s="1" t="s">
        <v>6730</v>
      </c>
      <c r="L6311" s="1" t="s">
        <v>6892</v>
      </c>
      <c r="N6311" s="1" t="s">
        <v>6928</v>
      </c>
      <c r="P6311" s="1" t="s">
        <v>6929</v>
      </c>
      <c r="Q6311" s="30" t="s">
        <v>2567</v>
      </c>
      <c r="R6311" s="33" t="s">
        <v>3472</v>
      </c>
      <c r="S6311">
        <v>36</v>
      </c>
      <c r="T6311" s="1" t="s">
        <v>12971</v>
      </c>
      <c r="U6311" s="1" t="str">
        <f>HYPERLINK("http://ictvonline.org/taxonomy/p/taxonomy-history?taxnode_id=202110254","ICTVonline=202110254")</f>
        <v>ICTVonline=202110254</v>
      </c>
    </row>
    <row r="6312" spans="1:21" x14ac:dyDescent="0.2">
      <c r="A6312" s="3">
        <v>6311</v>
      </c>
      <c r="B6312" s="1" t="s">
        <v>4226</v>
      </c>
      <c r="D6312" s="1" t="s">
        <v>5412</v>
      </c>
      <c r="F6312" s="1" t="s">
        <v>5466</v>
      </c>
      <c r="H6312" s="1" t="s">
        <v>6729</v>
      </c>
      <c r="J6312" s="1" t="s">
        <v>6730</v>
      </c>
      <c r="L6312" s="1" t="s">
        <v>6892</v>
      </c>
      <c r="N6312" s="1" t="s">
        <v>6930</v>
      </c>
      <c r="P6312" s="1" t="s">
        <v>6931</v>
      </c>
      <c r="Q6312" s="30" t="s">
        <v>2567</v>
      </c>
      <c r="R6312" s="33" t="s">
        <v>3472</v>
      </c>
      <c r="S6312">
        <v>36</v>
      </c>
      <c r="T6312" s="1" t="s">
        <v>12971</v>
      </c>
      <c r="U6312" s="1" t="str">
        <f>HYPERLINK("http://ictvonline.org/taxonomy/p/taxonomy-history?taxnode_id=202110256","ICTVonline=202110256")</f>
        <v>ICTVonline=202110256</v>
      </c>
    </row>
    <row r="6313" spans="1:21" x14ac:dyDescent="0.2">
      <c r="A6313" s="3">
        <v>6312</v>
      </c>
      <c r="B6313" s="1" t="s">
        <v>4226</v>
      </c>
      <c r="D6313" s="1" t="s">
        <v>5412</v>
      </c>
      <c r="F6313" s="1" t="s">
        <v>5466</v>
      </c>
      <c r="H6313" s="1" t="s">
        <v>6729</v>
      </c>
      <c r="J6313" s="1" t="s">
        <v>6730</v>
      </c>
      <c r="L6313" s="1" t="s">
        <v>6892</v>
      </c>
      <c r="N6313" s="1" t="s">
        <v>6932</v>
      </c>
      <c r="P6313" s="1" t="s">
        <v>6933</v>
      </c>
      <c r="Q6313" s="30" t="s">
        <v>2567</v>
      </c>
      <c r="R6313" s="33" t="s">
        <v>3472</v>
      </c>
      <c r="S6313">
        <v>36</v>
      </c>
      <c r="T6313" s="1" t="s">
        <v>12971</v>
      </c>
      <c r="U6313" s="1" t="str">
        <f>HYPERLINK("http://ictvonline.org/taxonomy/p/taxonomy-history?taxnode_id=202110258","ICTVonline=202110258")</f>
        <v>ICTVonline=202110258</v>
      </c>
    </row>
    <row r="6314" spans="1:21" x14ac:dyDescent="0.2">
      <c r="A6314" s="3">
        <v>6313</v>
      </c>
      <c r="B6314" s="1" t="s">
        <v>4226</v>
      </c>
      <c r="D6314" s="1" t="s">
        <v>5412</v>
      </c>
      <c r="F6314" s="1" t="s">
        <v>5466</v>
      </c>
      <c r="H6314" s="1" t="s">
        <v>6729</v>
      </c>
      <c r="J6314" s="1" t="s">
        <v>6730</v>
      </c>
      <c r="L6314" s="1" t="s">
        <v>6892</v>
      </c>
      <c r="N6314" s="1" t="s">
        <v>6934</v>
      </c>
      <c r="P6314" s="1" t="s">
        <v>6935</v>
      </c>
      <c r="Q6314" s="30" t="s">
        <v>2567</v>
      </c>
      <c r="R6314" s="33" t="s">
        <v>3472</v>
      </c>
      <c r="S6314">
        <v>36</v>
      </c>
      <c r="T6314" s="1" t="s">
        <v>12971</v>
      </c>
      <c r="U6314" s="1" t="str">
        <f>HYPERLINK("http://ictvonline.org/taxonomy/p/taxonomy-history?taxnode_id=202110261","ICTVonline=202110261")</f>
        <v>ICTVonline=202110261</v>
      </c>
    </row>
    <row r="6315" spans="1:21" x14ac:dyDescent="0.2">
      <c r="A6315" s="3">
        <v>6314</v>
      </c>
      <c r="B6315" s="1" t="s">
        <v>4226</v>
      </c>
      <c r="D6315" s="1" t="s">
        <v>5412</v>
      </c>
      <c r="F6315" s="1" t="s">
        <v>5466</v>
      </c>
      <c r="H6315" s="1" t="s">
        <v>6729</v>
      </c>
      <c r="J6315" s="1" t="s">
        <v>6730</v>
      </c>
      <c r="L6315" s="1" t="s">
        <v>6892</v>
      </c>
      <c r="N6315" s="1" t="s">
        <v>6934</v>
      </c>
      <c r="P6315" s="1" t="s">
        <v>6936</v>
      </c>
      <c r="Q6315" s="30" t="s">
        <v>2567</v>
      </c>
      <c r="R6315" s="33" t="s">
        <v>3472</v>
      </c>
      <c r="S6315">
        <v>36</v>
      </c>
      <c r="T6315" s="1" t="s">
        <v>12971</v>
      </c>
      <c r="U6315" s="1" t="str">
        <f>HYPERLINK("http://ictvonline.org/taxonomy/p/taxonomy-history?taxnode_id=202110262","ICTVonline=202110262")</f>
        <v>ICTVonline=202110262</v>
      </c>
    </row>
    <row r="6316" spans="1:21" x14ac:dyDescent="0.2">
      <c r="A6316" s="3">
        <v>6315</v>
      </c>
      <c r="B6316" s="1" t="s">
        <v>4226</v>
      </c>
      <c r="D6316" s="1" t="s">
        <v>5412</v>
      </c>
      <c r="F6316" s="1" t="s">
        <v>5466</v>
      </c>
      <c r="H6316" s="1" t="s">
        <v>6729</v>
      </c>
      <c r="J6316" s="1" t="s">
        <v>6730</v>
      </c>
      <c r="L6316" s="1" t="s">
        <v>6892</v>
      </c>
      <c r="N6316" s="1" t="s">
        <v>6934</v>
      </c>
      <c r="P6316" s="1" t="s">
        <v>6937</v>
      </c>
      <c r="Q6316" s="30" t="s">
        <v>2567</v>
      </c>
      <c r="R6316" s="33" t="s">
        <v>3472</v>
      </c>
      <c r="S6316">
        <v>36</v>
      </c>
      <c r="T6316" s="1" t="s">
        <v>12971</v>
      </c>
      <c r="U6316" s="1" t="str">
        <f>HYPERLINK("http://ictvonline.org/taxonomy/p/taxonomy-history?taxnode_id=202110260","ICTVonline=202110260")</f>
        <v>ICTVonline=202110260</v>
      </c>
    </row>
    <row r="6317" spans="1:21" x14ac:dyDescent="0.2">
      <c r="A6317" s="3">
        <v>6316</v>
      </c>
      <c r="B6317" s="1" t="s">
        <v>4226</v>
      </c>
      <c r="D6317" s="1" t="s">
        <v>5412</v>
      </c>
      <c r="F6317" s="1" t="s">
        <v>5466</v>
      </c>
      <c r="H6317" s="1" t="s">
        <v>6729</v>
      </c>
      <c r="J6317" s="1" t="s">
        <v>6730</v>
      </c>
      <c r="L6317" s="1" t="s">
        <v>6892</v>
      </c>
      <c r="N6317" s="1" t="s">
        <v>6934</v>
      </c>
      <c r="P6317" s="1" t="s">
        <v>6938</v>
      </c>
      <c r="Q6317" s="30" t="s">
        <v>2567</v>
      </c>
      <c r="R6317" s="33" t="s">
        <v>3472</v>
      </c>
      <c r="S6317">
        <v>36</v>
      </c>
      <c r="T6317" s="1" t="s">
        <v>12971</v>
      </c>
      <c r="U6317" s="1" t="str">
        <f>HYPERLINK("http://ictvonline.org/taxonomy/p/taxonomy-history?taxnode_id=202110263","ICTVonline=202110263")</f>
        <v>ICTVonline=202110263</v>
      </c>
    </row>
    <row r="6318" spans="1:21" x14ac:dyDescent="0.2">
      <c r="A6318" s="3">
        <v>6317</v>
      </c>
      <c r="B6318" s="1" t="s">
        <v>4226</v>
      </c>
      <c r="D6318" s="1" t="s">
        <v>5412</v>
      </c>
      <c r="F6318" s="1" t="s">
        <v>5466</v>
      </c>
      <c r="H6318" s="1" t="s">
        <v>6729</v>
      </c>
      <c r="J6318" s="1" t="s">
        <v>6730</v>
      </c>
      <c r="L6318" s="1" t="s">
        <v>6892</v>
      </c>
      <c r="N6318" s="1" t="s">
        <v>6939</v>
      </c>
      <c r="P6318" s="1" t="s">
        <v>6940</v>
      </c>
      <c r="Q6318" s="30" t="s">
        <v>2567</v>
      </c>
      <c r="R6318" s="33" t="s">
        <v>3472</v>
      </c>
      <c r="S6318">
        <v>36</v>
      </c>
      <c r="T6318" s="1" t="s">
        <v>12971</v>
      </c>
      <c r="U6318" s="1" t="str">
        <f>HYPERLINK("http://ictvonline.org/taxonomy/p/taxonomy-history?taxnode_id=202110265","ICTVonline=202110265")</f>
        <v>ICTVonline=202110265</v>
      </c>
    </row>
    <row r="6319" spans="1:21" x14ac:dyDescent="0.2">
      <c r="A6319" s="3">
        <v>6318</v>
      </c>
      <c r="B6319" s="1" t="s">
        <v>4226</v>
      </c>
      <c r="D6319" s="1" t="s">
        <v>5412</v>
      </c>
      <c r="F6319" s="1" t="s">
        <v>5466</v>
      </c>
      <c r="H6319" s="1" t="s">
        <v>6729</v>
      </c>
      <c r="J6319" s="1" t="s">
        <v>6730</v>
      </c>
      <c r="L6319" s="1" t="s">
        <v>6892</v>
      </c>
      <c r="N6319" s="1" t="s">
        <v>6941</v>
      </c>
      <c r="P6319" s="1" t="s">
        <v>6942</v>
      </c>
      <c r="Q6319" s="30" t="s">
        <v>2567</v>
      </c>
      <c r="R6319" s="33" t="s">
        <v>3472</v>
      </c>
      <c r="S6319">
        <v>36</v>
      </c>
      <c r="T6319" s="1" t="s">
        <v>12971</v>
      </c>
      <c r="U6319" s="1" t="str">
        <f>HYPERLINK("http://ictvonline.org/taxonomy/p/taxonomy-history?taxnode_id=202110267","ICTVonline=202110267")</f>
        <v>ICTVonline=202110267</v>
      </c>
    </row>
    <row r="6320" spans="1:21" x14ac:dyDescent="0.2">
      <c r="A6320" s="3">
        <v>6319</v>
      </c>
      <c r="B6320" s="1" t="s">
        <v>4226</v>
      </c>
      <c r="D6320" s="1" t="s">
        <v>5412</v>
      </c>
      <c r="F6320" s="1" t="s">
        <v>5466</v>
      </c>
      <c r="H6320" s="1" t="s">
        <v>6729</v>
      </c>
      <c r="J6320" s="1" t="s">
        <v>6730</v>
      </c>
      <c r="L6320" s="1" t="s">
        <v>6892</v>
      </c>
      <c r="N6320" s="1" t="s">
        <v>6943</v>
      </c>
      <c r="P6320" s="1" t="s">
        <v>6944</v>
      </c>
      <c r="Q6320" s="30" t="s">
        <v>2567</v>
      </c>
      <c r="R6320" s="33" t="s">
        <v>3472</v>
      </c>
      <c r="S6320">
        <v>36</v>
      </c>
      <c r="T6320" s="1" t="s">
        <v>12971</v>
      </c>
      <c r="U6320" s="1" t="str">
        <f>HYPERLINK("http://ictvonline.org/taxonomy/p/taxonomy-history?taxnode_id=202110271","ICTVonline=202110271")</f>
        <v>ICTVonline=202110271</v>
      </c>
    </row>
    <row r="6321" spans="1:21" x14ac:dyDescent="0.2">
      <c r="A6321" s="3">
        <v>6320</v>
      </c>
      <c r="B6321" s="1" t="s">
        <v>4226</v>
      </c>
      <c r="D6321" s="1" t="s">
        <v>5412</v>
      </c>
      <c r="F6321" s="1" t="s">
        <v>5466</v>
      </c>
      <c r="H6321" s="1" t="s">
        <v>6729</v>
      </c>
      <c r="J6321" s="1" t="s">
        <v>6730</v>
      </c>
      <c r="L6321" s="1" t="s">
        <v>6892</v>
      </c>
      <c r="N6321" s="1" t="s">
        <v>6943</v>
      </c>
      <c r="P6321" s="1" t="s">
        <v>6945</v>
      </c>
      <c r="Q6321" s="30" t="s">
        <v>2567</v>
      </c>
      <c r="R6321" s="33" t="s">
        <v>3472</v>
      </c>
      <c r="S6321">
        <v>36</v>
      </c>
      <c r="T6321" s="1" t="s">
        <v>12971</v>
      </c>
      <c r="U6321" s="1" t="str">
        <f>HYPERLINK("http://ictvonline.org/taxonomy/p/taxonomy-history?taxnode_id=202110272","ICTVonline=202110272")</f>
        <v>ICTVonline=202110272</v>
      </c>
    </row>
    <row r="6322" spans="1:21" x14ac:dyDescent="0.2">
      <c r="A6322" s="3">
        <v>6321</v>
      </c>
      <c r="B6322" s="1" t="s">
        <v>4226</v>
      </c>
      <c r="D6322" s="1" t="s">
        <v>5412</v>
      </c>
      <c r="F6322" s="1" t="s">
        <v>5466</v>
      </c>
      <c r="H6322" s="1" t="s">
        <v>6729</v>
      </c>
      <c r="J6322" s="1" t="s">
        <v>6730</v>
      </c>
      <c r="L6322" s="1" t="s">
        <v>6892</v>
      </c>
      <c r="N6322" s="1" t="s">
        <v>6943</v>
      </c>
      <c r="P6322" s="1" t="s">
        <v>6946</v>
      </c>
      <c r="Q6322" s="30" t="s">
        <v>2567</v>
      </c>
      <c r="R6322" s="33" t="s">
        <v>3472</v>
      </c>
      <c r="S6322">
        <v>36</v>
      </c>
      <c r="T6322" s="1" t="s">
        <v>12971</v>
      </c>
      <c r="U6322" s="1" t="str">
        <f>HYPERLINK("http://ictvonline.org/taxonomy/p/taxonomy-history?taxnode_id=202110273","ICTVonline=202110273")</f>
        <v>ICTVonline=202110273</v>
      </c>
    </row>
    <row r="6323" spans="1:21" x14ac:dyDescent="0.2">
      <c r="A6323" s="3">
        <v>6322</v>
      </c>
      <c r="B6323" s="1" t="s">
        <v>4226</v>
      </c>
      <c r="D6323" s="1" t="s">
        <v>5412</v>
      </c>
      <c r="F6323" s="1" t="s">
        <v>5466</v>
      </c>
      <c r="H6323" s="1" t="s">
        <v>6729</v>
      </c>
      <c r="J6323" s="1" t="s">
        <v>6730</v>
      </c>
      <c r="L6323" s="1" t="s">
        <v>6892</v>
      </c>
      <c r="N6323" s="1" t="s">
        <v>6943</v>
      </c>
      <c r="P6323" s="1" t="s">
        <v>6947</v>
      </c>
      <c r="Q6323" s="30" t="s">
        <v>2567</v>
      </c>
      <c r="R6323" s="33" t="s">
        <v>3472</v>
      </c>
      <c r="S6323">
        <v>36</v>
      </c>
      <c r="T6323" s="1" t="s">
        <v>12971</v>
      </c>
      <c r="U6323" s="1" t="str">
        <f>HYPERLINK("http://ictvonline.org/taxonomy/p/taxonomy-history?taxnode_id=202110274","ICTVonline=202110274")</f>
        <v>ICTVonline=202110274</v>
      </c>
    </row>
    <row r="6324" spans="1:21" x14ac:dyDescent="0.2">
      <c r="A6324" s="3">
        <v>6323</v>
      </c>
      <c r="B6324" s="1" t="s">
        <v>4226</v>
      </c>
      <c r="D6324" s="1" t="s">
        <v>5412</v>
      </c>
      <c r="F6324" s="1" t="s">
        <v>5466</v>
      </c>
      <c r="H6324" s="1" t="s">
        <v>6729</v>
      </c>
      <c r="J6324" s="1" t="s">
        <v>6730</v>
      </c>
      <c r="L6324" s="1" t="s">
        <v>6892</v>
      </c>
      <c r="N6324" s="1" t="s">
        <v>6943</v>
      </c>
      <c r="P6324" s="1" t="s">
        <v>6948</v>
      </c>
      <c r="Q6324" s="30" t="s">
        <v>2567</v>
      </c>
      <c r="R6324" s="33" t="s">
        <v>3472</v>
      </c>
      <c r="S6324">
        <v>36</v>
      </c>
      <c r="T6324" s="1" t="s">
        <v>12971</v>
      </c>
      <c r="U6324" s="1" t="str">
        <f>HYPERLINK("http://ictvonline.org/taxonomy/p/taxonomy-history?taxnode_id=202110275","ICTVonline=202110275")</f>
        <v>ICTVonline=202110275</v>
      </c>
    </row>
    <row r="6325" spans="1:21" x14ac:dyDescent="0.2">
      <c r="A6325" s="3">
        <v>6324</v>
      </c>
      <c r="B6325" s="1" t="s">
        <v>4226</v>
      </c>
      <c r="D6325" s="1" t="s">
        <v>5412</v>
      </c>
      <c r="F6325" s="1" t="s">
        <v>5466</v>
      </c>
      <c r="H6325" s="1" t="s">
        <v>6729</v>
      </c>
      <c r="J6325" s="1" t="s">
        <v>6730</v>
      </c>
      <c r="L6325" s="1" t="s">
        <v>6892</v>
      </c>
      <c r="N6325" s="1" t="s">
        <v>6943</v>
      </c>
      <c r="P6325" s="1" t="s">
        <v>6949</v>
      </c>
      <c r="Q6325" s="30" t="s">
        <v>2567</v>
      </c>
      <c r="R6325" s="33" t="s">
        <v>3472</v>
      </c>
      <c r="S6325">
        <v>36</v>
      </c>
      <c r="T6325" s="1" t="s">
        <v>12971</v>
      </c>
      <c r="U6325" s="1" t="str">
        <f>HYPERLINK("http://ictvonline.org/taxonomy/p/taxonomy-history?taxnode_id=202110269","ICTVonline=202110269")</f>
        <v>ICTVonline=202110269</v>
      </c>
    </row>
    <row r="6326" spans="1:21" x14ac:dyDescent="0.2">
      <c r="A6326" s="3">
        <v>6325</v>
      </c>
      <c r="B6326" s="1" t="s">
        <v>4226</v>
      </c>
      <c r="D6326" s="1" t="s">
        <v>5412</v>
      </c>
      <c r="F6326" s="1" t="s">
        <v>5466</v>
      </c>
      <c r="H6326" s="1" t="s">
        <v>6729</v>
      </c>
      <c r="J6326" s="1" t="s">
        <v>6730</v>
      </c>
      <c r="L6326" s="1" t="s">
        <v>6892</v>
      </c>
      <c r="N6326" s="1" t="s">
        <v>6943</v>
      </c>
      <c r="P6326" s="1" t="s">
        <v>6950</v>
      </c>
      <c r="Q6326" s="30" t="s">
        <v>2567</v>
      </c>
      <c r="R6326" s="33" t="s">
        <v>3472</v>
      </c>
      <c r="S6326">
        <v>36</v>
      </c>
      <c r="T6326" s="1" t="s">
        <v>12971</v>
      </c>
      <c r="U6326" s="1" t="str">
        <f>HYPERLINK("http://ictvonline.org/taxonomy/p/taxonomy-history?taxnode_id=202110276","ICTVonline=202110276")</f>
        <v>ICTVonline=202110276</v>
      </c>
    </row>
    <row r="6327" spans="1:21" x14ac:dyDescent="0.2">
      <c r="A6327" s="3">
        <v>6326</v>
      </c>
      <c r="B6327" s="1" t="s">
        <v>4226</v>
      </c>
      <c r="D6327" s="1" t="s">
        <v>5412</v>
      </c>
      <c r="F6327" s="1" t="s">
        <v>5466</v>
      </c>
      <c r="H6327" s="1" t="s">
        <v>6729</v>
      </c>
      <c r="J6327" s="1" t="s">
        <v>6730</v>
      </c>
      <c r="L6327" s="1" t="s">
        <v>6892</v>
      </c>
      <c r="N6327" s="1" t="s">
        <v>6943</v>
      </c>
      <c r="P6327" s="1" t="s">
        <v>6951</v>
      </c>
      <c r="Q6327" s="30" t="s">
        <v>2567</v>
      </c>
      <c r="R6327" s="33" t="s">
        <v>3472</v>
      </c>
      <c r="S6327">
        <v>36</v>
      </c>
      <c r="T6327" s="1" t="s">
        <v>12971</v>
      </c>
      <c r="U6327" s="1" t="str">
        <f>HYPERLINK("http://ictvonline.org/taxonomy/p/taxonomy-history?taxnode_id=202110270","ICTVonline=202110270")</f>
        <v>ICTVonline=202110270</v>
      </c>
    </row>
    <row r="6328" spans="1:21" x14ac:dyDescent="0.2">
      <c r="A6328" s="3">
        <v>6327</v>
      </c>
      <c r="B6328" s="1" t="s">
        <v>4226</v>
      </c>
      <c r="D6328" s="1" t="s">
        <v>5412</v>
      </c>
      <c r="F6328" s="1" t="s">
        <v>5466</v>
      </c>
      <c r="H6328" s="1" t="s">
        <v>6729</v>
      </c>
      <c r="J6328" s="1" t="s">
        <v>6730</v>
      </c>
      <c r="L6328" s="1" t="s">
        <v>6892</v>
      </c>
      <c r="N6328" s="1" t="s">
        <v>6952</v>
      </c>
      <c r="P6328" s="1" t="s">
        <v>6953</v>
      </c>
      <c r="Q6328" s="30" t="s">
        <v>2567</v>
      </c>
      <c r="R6328" s="33" t="s">
        <v>3472</v>
      </c>
      <c r="S6328">
        <v>36</v>
      </c>
      <c r="T6328" s="1" t="s">
        <v>12971</v>
      </c>
      <c r="U6328" s="1" t="str">
        <f>HYPERLINK("http://ictvonline.org/taxonomy/p/taxonomy-history?taxnode_id=202110278","ICTVonline=202110278")</f>
        <v>ICTVonline=202110278</v>
      </c>
    </row>
    <row r="6329" spans="1:21" x14ac:dyDescent="0.2">
      <c r="A6329" s="3">
        <v>6328</v>
      </c>
      <c r="B6329" s="1" t="s">
        <v>4226</v>
      </c>
      <c r="D6329" s="1" t="s">
        <v>5412</v>
      </c>
      <c r="F6329" s="1" t="s">
        <v>5466</v>
      </c>
      <c r="H6329" s="1" t="s">
        <v>6729</v>
      </c>
      <c r="J6329" s="1" t="s">
        <v>6730</v>
      </c>
      <c r="L6329" s="1" t="s">
        <v>6892</v>
      </c>
      <c r="N6329" s="1" t="s">
        <v>6954</v>
      </c>
      <c r="P6329" s="1" t="s">
        <v>6955</v>
      </c>
      <c r="Q6329" s="30" t="s">
        <v>2567</v>
      </c>
      <c r="R6329" s="33" t="s">
        <v>3472</v>
      </c>
      <c r="S6329">
        <v>36</v>
      </c>
      <c r="T6329" s="1" t="s">
        <v>12971</v>
      </c>
      <c r="U6329" s="1" t="str">
        <f>HYPERLINK("http://ictvonline.org/taxonomy/p/taxonomy-history?taxnode_id=202110280","ICTVonline=202110280")</f>
        <v>ICTVonline=202110280</v>
      </c>
    </row>
    <row r="6330" spans="1:21" x14ac:dyDescent="0.2">
      <c r="A6330" s="3">
        <v>6329</v>
      </c>
      <c r="B6330" s="1" t="s">
        <v>4226</v>
      </c>
      <c r="D6330" s="1" t="s">
        <v>5412</v>
      </c>
      <c r="F6330" s="1" t="s">
        <v>5466</v>
      </c>
      <c r="H6330" s="1" t="s">
        <v>6729</v>
      </c>
      <c r="J6330" s="1" t="s">
        <v>6730</v>
      </c>
      <c r="L6330" s="1" t="s">
        <v>6892</v>
      </c>
      <c r="N6330" s="1" t="s">
        <v>6956</v>
      </c>
      <c r="P6330" s="1" t="s">
        <v>6957</v>
      </c>
      <c r="Q6330" s="30" t="s">
        <v>2567</v>
      </c>
      <c r="R6330" s="33" t="s">
        <v>3472</v>
      </c>
      <c r="S6330">
        <v>36</v>
      </c>
      <c r="T6330" s="1" t="s">
        <v>12971</v>
      </c>
      <c r="U6330" s="1" t="str">
        <f>HYPERLINK("http://ictvonline.org/taxonomy/p/taxonomy-history?taxnode_id=202110282","ICTVonline=202110282")</f>
        <v>ICTVonline=202110282</v>
      </c>
    </row>
    <row r="6331" spans="1:21" x14ac:dyDescent="0.2">
      <c r="A6331" s="3">
        <v>6330</v>
      </c>
      <c r="B6331" s="1" t="s">
        <v>4226</v>
      </c>
      <c r="D6331" s="1" t="s">
        <v>5412</v>
      </c>
      <c r="F6331" s="1" t="s">
        <v>5466</v>
      </c>
      <c r="H6331" s="1" t="s">
        <v>6729</v>
      </c>
      <c r="J6331" s="1" t="s">
        <v>6730</v>
      </c>
      <c r="L6331" s="1" t="s">
        <v>6892</v>
      </c>
      <c r="N6331" s="1" t="s">
        <v>6956</v>
      </c>
      <c r="P6331" s="1" t="s">
        <v>6958</v>
      </c>
      <c r="Q6331" s="30" t="s">
        <v>2567</v>
      </c>
      <c r="R6331" s="33" t="s">
        <v>3472</v>
      </c>
      <c r="S6331">
        <v>36</v>
      </c>
      <c r="T6331" s="1" t="s">
        <v>12971</v>
      </c>
      <c r="U6331" s="1" t="str">
        <f>HYPERLINK("http://ictvonline.org/taxonomy/p/taxonomy-history?taxnode_id=202110283","ICTVonline=202110283")</f>
        <v>ICTVonline=202110283</v>
      </c>
    </row>
    <row r="6332" spans="1:21" x14ac:dyDescent="0.2">
      <c r="A6332" s="3">
        <v>6331</v>
      </c>
      <c r="B6332" s="1" t="s">
        <v>4226</v>
      </c>
      <c r="D6332" s="1" t="s">
        <v>5412</v>
      </c>
      <c r="F6332" s="1" t="s">
        <v>5466</v>
      </c>
      <c r="H6332" s="1" t="s">
        <v>6729</v>
      </c>
      <c r="J6332" s="1" t="s">
        <v>6730</v>
      </c>
      <c r="L6332" s="1" t="s">
        <v>6892</v>
      </c>
      <c r="N6332" s="1" t="s">
        <v>6959</v>
      </c>
      <c r="P6332" s="1" t="s">
        <v>6960</v>
      </c>
      <c r="Q6332" s="30" t="s">
        <v>2567</v>
      </c>
      <c r="R6332" s="33" t="s">
        <v>3472</v>
      </c>
      <c r="S6332">
        <v>36</v>
      </c>
      <c r="T6332" s="1" t="s">
        <v>12971</v>
      </c>
      <c r="U6332" s="1" t="str">
        <f>HYPERLINK("http://ictvonline.org/taxonomy/p/taxonomy-history?taxnode_id=202110286","ICTVonline=202110286")</f>
        <v>ICTVonline=202110286</v>
      </c>
    </row>
    <row r="6333" spans="1:21" x14ac:dyDescent="0.2">
      <c r="A6333" s="3">
        <v>6332</v>
      </c>
      <c r="B6333" s="1" t="s">
        <v>4226</v>
      </c>
      <c r="D6333" s="1" t="s">
        <v>5412</v>
      </c>
      <c r="F6333" s="1" t="s">
        <v>5466</v>
      </c>
      <c r="H6333" s="1" t="s">
        <v>6729</v>
      </c>
      <c r="J6333" s="1" t="s">
        <v>6730</v>
      </c>
      <c r="L6333" s="1" t="s">
        <v>6892</v>
      </c>
      <c r="N6333" s="1" t="s">
        <v>6959</v>
      </c>
      <c r="P6333" s="1" t="s">
        <v>6961</v>
      </c>
      <c r="Q6333" s="30" t="s">
        <v>2567</v>
      </c>
      <c r="R6333" s="33" t="s">
        <v>3472</v>
      </c>
      <c r="S6333">
        <v>36</v>
      </c>
      <c r="T6333" s="1" t="s">
        <v>12971</v>
      </c>
      <c r="U6333" s="1" t="str">
        <f>HYPERLINK("http://ictvonline.org/taxonomy/p/taxonomy-history?taxnode_id=202110285","ICTVonline=202110285")</f>
        <v>ICTVonline=202110285</v>
      </c>
    </row>
    <row r="6334" spans="1:21" x14ac:dyDescent="0.2">
      <c r="A6334" s="3">
        <v>6333</v>
      </c>
      <c r="B6334" s="1" t="s">
        <v>4226</v>
      </c>
      <c r="D6334" s="1" t="s">
        <v>5412</v>
      </c>
      <c r="F6334" s="1" t="s">
        <v>5466</v>
      </c>
      <c r="H6334" s="1" t="s">
        <v>6729</v>
      </c>
      <c r="J6334" s="1" t="s">
        <v>6730</v>
      </c>
      <c r="L6334" s="1" t="s">
        <v>6892</v>
      </c>
      <c r="N6334" s="1" t="s">
        <v>6962</v>
      </c>
      <c r="P6334" s="1" t="s">
        <v>6963</v>
      </c>
      <c r="Q6334" s="30" t="s">
        <v>2567</v>
      </c>
      <c r="R6334" s="33" t="s">
        <v>3472</v>
      </c>
      <c r="S6334">
        <v>36</v>
      </c>
      <c r="T6334" s="1" t="s">
        <v>12971</v>
      </c>
      <c r="U6334" s="1" t="str">
        <f>HYPERLINK("http://ictvonline.org/taxonomy/p/taxonomy-history?taxnode_id=202110289","ICTVonline=202110289")</f>
        <v>ICTVonline=202110289</v>
      </c>
    </row>
    <row r="6335" spans="1:21" x14ac:dyDescent="0.2">
      <c r="A6335" s="3">
        <v>6334</v>
      </c>
      <c r="B6335" s="1" t="s">
        <v>4226</v>
      </c>
      <c r="D6335" s="1" t="s">
        <v>5412</v>
      </c>
      <c r="F6335" s="1" t="s">
        <v>5466</v>
      </c>
      <c r="H6335" s="1" t="s">
        <v>6729</v>
      </c>
      <c r="J6335" s="1" t="s">
        <v>6730</v>
      </c>
      <c r="L6335" s="1" t="s">
        <v>6892</v>
      </c>
      <c r="N6335" s="1" t="s">
        <v>6962</v>
      </c>
      <c r="P6335" s="1" t="s">
        <v>6964</v>
      </c>
      <c r="Q6335" s="30" t="s">
        <v>2567</v>
      </c>
      <c r="R6335" s="33" t="s">
        <v>3472</v>
      </c>
      <c r="S6335">
        <v>36</v>
      </c>
      <c r="T6335" s="1" t="s">
        <v>12971</v>
      </c>
      <c r="U6335" s="1" t="str">
        <f>HYPERLINK("http://ictvonline.org/taxonomy/p/taxonomy-history?taxnode_id=202110288","ICTVonline=202110288")</f>
        <v>ICTVonline=202110288</v>
      </c>
    </row>
    <row r="6336" spans="1:21" x14ac:dyDescent="0.2">
      <c r="A6336" s="3">
        <v>6335</v>
      </c>
      <c r="B6336" s="1" t="s">
        <v>4226</v>
      </c>
      <c r="D6336" s="1" t="s">
        <v>5412</v>
      </c>
      <c r="F6336" s="1" t="s">
        <v>5466</v>
      </c>
      <c r="H6336" s="1" t="s">
        <v>6729</v>
      </c>
      <c r="J6336" s="1" t="s">
        <v>6730</v>
      </c>
      <c r="L6336" s="1" t="s">
        <v>6892</v>
      </c>
      <c r="N6336" s="1" t="s">
        <v>6962</v>
      </c>
      <c r="P6336" s="1" t="s">
        <v>6965</v>
      </c>
      <c r="Q6336" s="30" t="s">
        <v>2567</v>
      </c>
      <c r="R6336" s="33" t="s">
        <v>3472</v>
      </c>
      <c r="S6336">
        <v>36</v>
      </c>
      <c r="T6336" s="1" t="s">
        <v>12971</v>
      </c>
      <c r="U6336" s="1" t="str">
        <f>HYPERLINK("http://ictvonline.org/taxonomy/p/taxonomy-history?taxnode_id=202110290","ICTVonline=202110290")</f>
        <v>ICTVonline=202110290</v>
      </c>
    </row>
    <row r="6337" spans="1:21" x14ac:dyDescent="0.2">
      <c r="A6337" s="3">
        <v>6336</v>
      </c>
      <c r="B6337" s="1" t="s">
        <v>4226</v>
      </c>
      <c r="D6337" s="1" t="s">
        <v>5412</v>
      </c>
      <c r="F6337" s="1" t="s">
        <v>5466</v>
      </c>
      <c r="H6337" s="1" t="s">
        <v>6729</v>
      </c>
      <c r="J6337" s="1" t="s">
        <v>6730</v>
      </c>
      <c r="L6337" s="1" t="s">
        <v>6892</v>
      </c>
      <c r="N6337" s="1" t="s">
        <v>6966</v>
      </c>
      <c r="P6337" s="1" t="s">
        <v>6967</v>
      </c>
      <c r="Q6337" s="30" t="s">
        <v>2567</v>
      </c>
      <c r="R6337" s="33" t="s">
        <v>3472</v>
      </c>
      <c r="S6337">
        <v>36</v>
      </c>
      <c r="T6337" s="1" t="s">
        <v>12971</v>
      </c>
      <c r="U6337" s="1" t="str">
        <f>HYPERLINK("http://ictvonline.org/taxonomy/p/taxonomy-history?taxnode_id=202110292","ICTVonline=202110292")</f>
        <v>ICTVonline=202110292</v>
      </c>
    </row>
    <row r="6338" spans="1:21" x14ac:dyDescent="0.2">
      <c r="A6338" s="3">
        <v>6337</v>
      </c>
      <c r="B6338" s="1" t="s">
        <v>4226</v>
      </c>
      <c r="D6338" s="1" t="s">
        <v>5412</v>
      </c>
      <c r="F6338" s="1" t="s">
        <v>5466</v>
      </c>
      <c r="H6338" s="1" t="s">
        <v>6729</v>
      </c>
      <c r="J6338" s="1" t="s">
        <v>6730</v>
      </c>
      <c r="L6338" s="1" t="s">
        <v>6892</v>
      </c>
      <c r="N6338" s="1" t="s">
        <v>6968</v>
      </c>
      <c r="P6338" s="1" t="s">
        <v>6969</v>
      </c>
      <c r="Q6338" s="30" t="s">
        <v>2567</v>
      </c>
      <c r="R6338" s="33" t="s">
        <v>3472</v>
      </c>
      <c r="S6338">
        <v>36</v>
      </c>
      <c r="T6338" s="1" t="s">
        <v>12971</v>
      </c>
      <c r="U6338" s="1" t="str">
        <f>HYPERLINK("http://ictvonline.org/taxonomy/p/taxonomy-history?taxnode_id=202110294","ICTVonline=202110294")</f>
        <v>ICTVonline=202110294</v>
      </c>
    </row>
    <row r="6339" spans="1:21" x14ac:dyDescent="0.2">
      <c r="A6339" s="3">
        <v>6338</v>
      </c>
      <c r="B6339" s="1" t="s">
        <v>4226</v>
      </c>
      <c r="D6339" s="1" t="s">
        <v>5412</v>
      </c>
      <c r="F6339" s="1" t="s">
        <v>5466</v>
      </c>
      <c r="H6339" s="1" t="s">
        <v>6729</v>
      </c>
      <c r="J6339" s="1" t="s">
        <v>6730</v>
      </c>
      <c r="L6339" s="1" t="s">
        <v>6892</v>
      </c>
      <c r="N6339" s="1" t="s">
        <v>6970</v>
      </c>
      <c r="P6339" s="1" t="s">
        <v>6971</v>
      </c>
      <c r="Q6339" s="30" t="s">
        <v>2567</v>
      </c>
      <c r="R6339" s="33" t="s">
        <v>3472</v>
      </c>
      <c r="S6339">
        <v>36</v>
      </c>
      <c r="T6339" s="1" t="s">
        <v>12971</v>
      </c>
      <c r="U6339" s="1" t="str">
        <f>HYPERLINK("http://ictvonline.org/taxonomy/p/taxonomy-history?taxnode_id=202110296","ICTVonline=202110296")</f>
        <v>ICTVonline=202110296</v>
      </c>
    </row>
    <row r="6340" spans="1:21" x14ac:dyDescent="0.2">
      <c r="A6340" s="3">
        <v>6339</v>
      </c>
      <c r="B6340" s="1" t="s">
        <v>4226</v>
      </c>
      <c r="D6340" s="1" t="s">
        <v>5412</v>
      </c>
      <c r="F6340" s="1" t="s">
        <v>5466</v>
      </c>
      <c r="H6340" s="1" t="s">
        <v>6729</v>
      </c>
      <c r="J6340" s="1" t="s">
        <v>6730</v>
      </c>
      <c r="L6340" s="1" t="s">
        <v>6892</v>
      </c>
      <c r="N6340" s="1" t="s">
        <v>6970</v>
      </c>
      <c r="P6340" s="1" t="s">
        <v>6972</v>
      </c>
      <c r="Q6340" s="30" t="s">
        <v>2567</v>
      </c>
      <c r="R6340" s="33" t="s">
        <v>3472</v>
      </c>
      <c r="S6340">
        <v>36</v>
      </c>
      <c r="T6340" s="1" t="s">
        <v>12971</v>
      </c>
      <c r="U6340" s="1" t="str">
        <f>HYPERLINK("http://ictvonline.org/taxonomy/p/taxonomy-history?taxnode_id=202110297","ICTVonline=202110297")</f>
        <v>ICTVonline=202110297</v>
      </c>
    </row>
    <row r="6341" spans="1:21" x14ac:dyDescent="0.2">
      <c r="A6341" s="3">
        <v>6340</v>
      </c>
      <c r="B6341" s="1" t="s">
        <v>4226</v>
      </c>
      <c r="D6341" s="1" t="s">
        <v>5412</v>
      </c>
      <c r="F6341" s="1" t="s">
        <v>5466</v>
      </c>
      <c r="H6341" s="1" t="s">
        <v>6729</v>
      </c>
      <c r="J6341" s="1" t="s">
        <v>6730</v>
      </c>
      <c r="L6341" s="1" t="s">
        <v>6892</v>
      </c>
      <c r="N6341" s="1" t="s">
        <v>6970</v>
      </c>
      <c r="P6341" s="1" t="s">
        <v>6973</v>
      </c>
      <c r="Q6341" s="30" t="s">
        <v>2567</v>
      </c>
      <c r="R6341" s="33" t="s">
        <v>3472</v>
      </c>
      <c r="S6341">
        <v>36</v>
      </c>
      <c r="T6341" s="1" t="s">
        <v>12971</v>
      </c>
      <c r="U6341" s="1" t="str">
        <f>HYPERLINK("http://ictvonline.org/taxonomy/p/taxonomy-history?taxnode_id=202110298","ICTVonline=202110298")</f>
        <v>ICTVonline=202110298</v>
      </c>
    </row>
    <row r="6342" spans="1:21" x14ac:dyDescent="0.2">
      <c r="A6342" s="3">
        <v>6341</v>
      </c>
      <c r="B6342" s="1" t="s">
        <v>4226</v>
      </c>
      <c r="D6342" s="1" t="s">
        <v>5412</v>
      </c>
      <c r="F6342" s="1" t="s">
        <v>5466</v>
      </c>
      <c r="H6342" s="1" t="s">
        <v>6729</v>
      </c>
      <c r="J6342" s="1" t="s">
        <v>6730</v>
      </c>
      <c r="L6342" s="1" t="s">
        <v>6892</v>
      </c>
      <c r="N6342" s="1" t="s">
        <v>6970</v>
      </c>
      <c r="P6342" s="1" t="s">
        <v>6974</v>
      </c>
      <c r="Q6342" s="30" t="s">
        <v>2567</v>
      </c>
      <c r="R6342" s="33" t="s">
        <v>3472</v>
      </c>
      <c r="S6342">
        <v>36</v>
      </c>
      <c r="T6342" s="1" t="s">
        <v>12971</v>
      </c>
      <c r="U6342" s="1" t="str">
        <f>HYPERLINK("http://ictvonline.org/taxonomy/p/taxonomy-history?taxnode_id=202110299","ICTVonline=202110299")</f>
        <v>ICTVonline=202110299</v>
      </c>
    </row>
    <row r="6343" spans="1:21" x14ac:dyDescent="0.2">
      <c r="A6343" s="3">
        <v>6342</v>
      </c>
      <c r="B6343" s="1" t="s">
        <v>4226</v>
      </c>
      <c r="D6343" s="1" t="s">
        <v>5412</v>
      </c>
      <c r="F6343" s="1" t="s">
        <v>5466</v>
      </c>
      <c r="H6343" s="1" t="s">
        <v>6729</v>
      </c>
      <c r="J6343" s="1" t="s">
        <v>6730</v>
      </c>
      <c r="L6343" s="1" t="s">
        <v>6892</v>
      </c>
      <c r="N6343" s="1" t="s">
        <v>6970</v>
      </c>
      <c r="P6343" s="1" t="s">
        <v>6975</v>
      </c>
      <c r="Q6343" s="30" t="s">
        <v>2567</v>
      </c>
      <c r="R6343" s="33" t="s">
        <v>3472</v>
      </c>
      <c r="S6343">
        <v>36</v>
      </c>
      <c r="T6343" s="1" t="s">
        <v>12971</v>
      </c>
      <c r="U6343" s="1" t="str">
        <f>HYPERLINK("http://ictvonline.org/taxonomy/p/taxonomy-history?taxnode_id=202110300","ICTVonline=202110300")</f>
        <v>ICTVonline=202110300</v>
      </c>
    </row>
    <row r="6344" spans="1:21" x14ac:dyDescent="0.2">
      <c r="A6344" s="3">
        <v>6343</v>
      </c>
      <c r="B6344" s="1" t="s">
        <v>4226</v>
      </c>
      <c r="D6344" s="1" t="s">
        <v>5412</v>
      </c>
      <c r="F6344" s="1" t="s">
        <v>5466</v>
      </c>
      <c r="H6344" s="1" t="s">
        <v>6729</v>
      </c>
      <c r="J6344" s="1" t="s">
        <v>6730</v>
      </c>
      <c r="L6344" s="1" t="s">
        <v>6892</v>
      </c>
      <c r="N6344" s="1" t="s">
        <v>6970</v>
      </c>
      <c r="P6344" s="1" t="s">
        <v>6976</v>
      </c>
      <c r="Q6344" s="30" t="s">
        <v>2567</v>
      </c>
      <c r="R6344" s="33" t="s">
        <v>3472</v>
      </c>
      <c r="S6344">
        <v>36</v>
      </c>
      <c r="T6344" s="1" t="s">
        <v>12971</v>
      </c>
      <c r="U6344" s="1" t="str">
        <f>HYPERLINK("http://ictvonline.org/taxonomy/p/taxonomy-history?taxnode_id=202110301","ICTVonline=202110301")</f>
        <v>ICTVonline=202110301</v>
      </c>
    </row>
    <row r="6345" spans="1:21" x14ac:dyDescent="0.2">
      <c r="A6345" s="3">
        <v>6344</v>
      </c>
      <c r="B6345" s="1" t="s">
        <v>4226</v>
      </c>
      <c r="D6345" s="1" t="s">
        <v>5412</v>
      </c>
      <c r="F6345" s="1" t="s">
        <v>5466</v>
      </c>
      <c r="H6345" s="1" t="s">
        <v>6729</v>
      </c>
      <c r="J6345" s="1" t="s">
        <v>6730</v>
      </c>
      <c r="L6345" s="1" t="s">
        <v>6892</v>
      </c>
      <c r="N6345" s="1" t="s">
        <v>6977</v>
      </c>
      <c r="P6345" s="1" t="s">
        <v>6978</v>
      </c>
      <c r="Q6345" s="30" t="s">
        <v>2567</v>
      </c>
      <c r="R6345" s="33" t="s">
        <v>3472</v>
      </c>
      <c r="S6345">
        <v>36</v>
      </c>
      <c r="T6345" s="1" t="s">
        <v>12971</v>
      </c>
      <c r="U6345" s="1" t="str">
        <f>HYPERLINK("http://ictvonline.org/taxonomy/p/taxonomy-history?taxnode_id=202110303","ICTVonline=202110303")</f>
        <v>ICTVonline=202110303</v>
      </c>
    </row>
    <row r="6346" spans="1:21" x14ac:dyDescent="0.2">
      <c r="A6346" s="3">
        <v>6345</v>
      </c>
      <c r="B6346" s="1" t="s">
        <v>4226</v>
      </c>
      <c r="D6346" s="1" t="s">
        <v>5412</v>
      </c>
      <c r="F6346" s="1" t="s">
        <v>5466</v>
      </c>
      <c r="H6346" s="1" t="s">
        <v>6729</v>
      </c>
      <c r="J6346" s="1" t="s">
        <v>6730</v>
      </c>
      <c r="L6346" s="1" t="s">
        <v>6892</v>
      </c>
      <c r="N6346" s="1" t="s">
        <v>6979</v>
      </c>
      <c r="P6346" s="1" t="s">
        <v>6980</v>
      </c>
      <c r="Q6346" s="30" t="s">
        <v>2567</v>
      </c>
      <c r="R6346" s="33" t="s">
        <v>3472</v>
      </c>
      <c r="S6346">
        <v>36</v>
      </c>
      <c r="T6346" s="1" t="s">
        <v>12971</v>
      </c>
      <c r="U6346" s="1" t="str">
        <f>HYPERLINK("http://ictvonline.org/taxonomy/p/taxonomy-history?taxnode_id=202110305","ICTVonline=202110305")</f>
        <v>ICTVonline=202110305</v>
      </c>
    </row>
    <row r="6347" spans="1:21" x14ac:dyDescent="0.2">
      <c r="A6347" s="3">
        <v>6346</v>
      </c>
      <c r="B6347" s="1" t="s">
        <v>4226</v>
      </c>
      <c r="D6347" s="1" t="s">
        <v>5412</v>
      </c>
      <c r="F6347" s="1" t="s">
        <v>5466</v>
      </c>
      <c r="H6347" s="1" t="s">
        <v>6729</v>
      </c>
      <c r="J6347" s="1" t="s">
        <v>6730</v>
      </c>
      <c r="L6347" s="1" t="s">
        <v>6892</v>
      </c>
      <c r="N6347" s="1" t="s">
        <v>6981</v>
      </c>
      <c r="P6347" s="1" t="s">
        <v>6982</v>
      </c>
      <c r="Q6347" s="30" t="s">
        <v>2567</v>
      </c>
      <c r="R6347" s="33" t="s">
        <v>3472</v>
      </c>
      <c r="S6347">
        <v>36</v>
      </c>
      <c r="T6347" s="1" t="s">
        <v>12971</v>
      </c>
      <c r="U6347" s="1" t="str">
        <f>HYPERLINK("http://ictvonline.org/taxonomy/p/taxonomy-history?taxnode_id=202110307","ICTVonline=202110307")</f>
        <v>ICTVonline=202110307</v>
      </c>
    </row>
    <row r="6348" spans="1:21" x14ac:dyDescent="0.2">
      <c r="A6348" s="3">
        <v>6347</v>
      </c>
      <c r="B6348" s="1" t="s">
        <v>4226</v>
      </c>
      <c r="D6348" s="1" t="s">
        <v>5412</v>
      </c>
      <c r="F6348" s="1" t="s">
        <v>5466</v>
      </c>
      <c r="H6348" s="1" t="s">
        <v>6729</v>
      </c>
      <c r="J6348" s="1" t="s">
        <v>6730</v>
      </c>
      <c r="L6348" s="1" t="s">
        <v>6892</v>
      </c>
      <c r="N6348" s="1" t="s">
        <v>6983</v>
      </c>
      <c r="P6348" s="1" t="s">
        <v>6984</v>
      </c>
      <c r="Q6348" s="30" t="s">
        <v>2567</v>
      </c>
      <c r="R6348" s="33" t="s">
        <v>3472</v>
      </c>
      <c r="S6348">
        <v>36</v>
      </c>
      <c r="T6348" s="1" t="s">
        <v>12971</v>
      </c>
      <c r="U6348" s="1" t="str">
        <f>HYPERLINK("http://ictvonline.org/taxonomy/p/taxonomy-history?taxnode_id=202110309","ICTVonline=202110309")</f>
        <v>ICTVonline=202110309</v>
      </c>
    </row>
    <row r="6349" spans="1:21" x14ac:dyDescent="0.2">
      <c r="A6349" s="3">
        <v>6348</v>
      </c>
      <c r="B6349" s="1" t="s">
        <v>4226</v>
      </c>
      <c r="D6349" s="1" t="s">
        <v>5412</v>
      </c>
      <c r="F6349" s="1" t="s">
        <v>5466</v>
      </c>
      <c r="H6349" s="1" t="s">
        <v>6729</v>
      </c>
      <c r="J6349" s="1" t="s">
        <v>6730</v>
      </c>
      <c r="L6349" s="1" t="s">
        <v>6892</v>
      </c>
      <c r="N6349" s="1" t="s">
        <v>6985</v>
      </c>
      <c r="P6349" s="1" t="s">
        <v>6986</v>
      </c>
      <c r="Q6349" s="30" t="s">
        <v>2567</v>
      </c>
      <c r="R6349" s="33" t="s">
        <v>3472</v>
      </c>
      <c r="S6349">
        <v>36</v>
      </c>
      <c r="T6349" s="1" t="s">
        <v>12971</v>
      </c>
      <c r="U6349" s="1" t="str">
        <f>HYPERLINK("http://ictvonline.org/taxonomy/p/taxonomy-history?taxnode_id=202110313","ICTVonline=202110313")</f>
        <v>ICTVonline=202110313</v>
      </c>
    </row>
    <row r="6350" spans="1:21" x14ac:dyDescent="0.2">
      <c r="A6350" s="3">
        <v>6349</v>
      </c>
      <c r="B6350" s="1" t="s">
        <v>4226</v>
      </c>
      <c r="D6350" s="1" t="s">
        <v>5412</v>
      </c>
      <c r="F6350" s="1" t="s">
        <v>5466</v>
      </c>
      <c r="H6350" s="1" t="s">
        <v>6729</v>
      </c>
      <c r="J6350" s="1" t="s">
        <v>6730</v>
      </c>
      <c r="L6350" s="1" t="s">
        <v>6892</v>
      </c>
      <c r="N6350" s="1" t="s">
        <v>6985</v>
      </c>
      <c r="P6350" s="1" t="s">
        <v>6987</v>
      </c>
      <c r="Q6350" s="30" t="s">
        <v>2567</v>
      </c>
      <c r="R6350" s="33" t="s">
        <v>3472</v>
      </c>
      <c r="S6350">
        <v>36</v>
      </c>
      <c r="T6350" s="1" t="s">
        <v>12971</v>
      </c>
      <c r="U6350" s="1" t="str">
        <f>HYPERLINK("http://ictvonline.org/taxonomy/p/taxonomy-history?taxnode_id=202110312","ICTVonline=202110312")</f>
        <v>ICTVonline=202110312</v>
      </c>
    </row>
    <row r="6351" spans="1:21" x14ac:dyDescent="0.2">
      <c r="A6351" s="3">
        <v>6350</v>
      </c>
      <c r="B6351" s="1" t="s">
        <v>4226</v>
      </c>
      <c r="D6351" s="1" t="s">
        <v>5412</v>
      </c>
      <c r="F6351" s="1" t="s">
        <v>5466</v>
      </c>
      <c r="H6351" s="1" t="s">
        <v>6729</v>
      </c>
      <c r="J6351" s="1" t="s">
        <v>6730</v>
      </c>
      <c r="L6351" s="1" t="s">
        <v>6892</v>
      </c>
      <c r="N6351" s="1" t="s">
        <v>6985</v>
      </c>
      <c r="P6351" s="1" t="s">
        <v>6988</v>
      </c>
      <c r="Q6351" s="30" t="s">
        <v>2567</v>
      </c>
      <c r="R6351" s="33" t="s">
        <v>3472</v>
      </c>
      <c r="S6351">
        <v>36</v>
      </c>
      <c r="T6351" s="1" t="s">
        <v>12971</v>
      </c>
      <c r="U6351" s="1" t="str">
        <f>HYPERLINK("http://ictvonline.org/taxonomy/p/taxonomy-history?taxnode_id=202110314","ICTVonline=202110314")</f>
        <v>ICTVonline=202110314</v>
      </c>
    </row>
    <row r="6352" spans="1:21" x14ac:dyDescent="0.2">
      <c r="A6352" s="3">
        <v>6351</v>
      </c>
      <c r="B6352" s="1" t="s">
        <v>4226</v>
      </c>
      <c r="D6352" s="1" t="s">
        <v>5412</v>
      </c>
      <c r="F6352" s="1" t="s">
        <v>5466</v>
      </c>
      <c r="H6352" s="1" t="s">
        <v>6729</v>
      </c>
      <c r="J6352" s="1" t="s">
        <v>6730</v>
      </c>
      <c r="L6352" s="1" t="s">
        <v>6892</v>
      </c>
      <c r="N6352" s="1" t="s">
        <v>6985</v>
      </c>
      <c r="P6352" s="1" t="s">
        <v>6989</v>
      </c>
      <c r="Q6352" s="30" t="s">
        <v>2567</v>
      </c>
      <c r="R6352" s="33" t="s">
        <v>3472</v>
      </c>
      <c r="S6352">
        <v>36</v>
      </c>
      <c r="T6352" s="1" t="s">
        <v>12971</v>
      </c>
      <c r="U6352" s="1" t="str">
        <f>HYPERLINK("http://ictvonline.org/taxonomy/p/taxonomy-history?taxnode_id=202110315","ICTVonline=202110315")</f>
        <v>ICTVonline=202110315</v>
      </c>
    </row>
    <row r="6353" spans="1:21" x14ac:dyDescent="0.2">
      <c r="A6353" s="3">
        <v>6352</v>
      </c>
      <c r="B6353" s="1" t="s">
        <v>4226</v>
      </c>
      <c r="D6353" s="1" t="s">
        <v>5412</v>
      </c>
      <c r="F6353" s="1" t="s">
        <v>5466</v>
      </c>
      <c r="H6353" s="1" t="s">
        <v>6729</v>
      </c>
      <c r="J6353" s="1" t="s">
        <v>6730</v>
      </c>
      <c r="L6353" s="1" t="s">
        <v>6892</v>
      </c>
      <c r="N6353" s="1" t="s">
        <v>6985</v>
      </c>
      <c r="P6353" s="1" t="s">
        <v>6990</v>
      </c>
      <c r="Q6353" s="30" t="s">
        <v>2567</v>
      </c>
      <c r="R6353" s="33" t="s">
        <v>3472</v>
      </c>
      <c r="S6353">
        <v>36</v>
      </c>
      <c r="T6353" s="1" t="s">
        <v>12971</v>
      </c>
      <c r="U6353" s="1" t="str">
        <f>HYPERLINK("http://ictvonline.org/taxonomy/p/taxonomy-history?taxnode_id=202110316","ICTVonline=202110316")</f>
        <v>ICTVonline=202110316</v>
      </c>
    </row>
    <row r="6354" spans="1:21" x14ac:dyDescent="0.2">
      <c r="A6354" s="3">
        <v>6353</v>
      </c>
      <c r="B6354" s="1" t="s">
        <v>4226</v>
      </c>
      <c r="D6354" s="1" t="s">
        <v>5412</v>
      </c>
      <c r="F6354" s="1" t="s">
        <v>5466</v>
      </c>
      <c r="H6354" s="1" t="s">
        <v>6729</v>
      </c>
      <c r="J6354" s="1" t="s">
        <v>6730</v>
      </c>
      <c r="L6354" s="1" t="s">
        <v>6892</v>
      </c>
      <c r="N6354" s="1" t="s">
        <v>6985</v>
      </c>
      <c r="P6354" s="1" t="s">
        <v>6991</v>
      </c>
      <c r="Q6354" s="30" t="s">
        <v>2567</v>
      </c>
      <c r="R6354" s="33" t="s">
        <v>3472</v>
      </c>
      <c r="S6354">
        <v>36</v>
      </c>
      <c r="T6354" s="1" t="s">
        <v>12971</v>
      </c>
      <c r="U6354" s="1" t="str">
        <f>HYPERLINK("http://ictvonline.org/taxonomy/p/taxonomy-history?taxnode_id=202110311","ICTVonline=202110311")</f>
        <v>ICTVonline=202110311</v>
      </c>
    </row>
    <row r="6355" spans="1:21" x14ac:dyDescent="0.2">
      <c r="A6355" s="3">
        <v>6354</v>
      </c>
      <c r="B6355" s="1" t="s">
        <v>4226</v>
      </c>
      <c r="D6355" s="1" t="s">
        <v>5412</v>
      </c>
      <c r="F6355" s="1" t="s">
        <v>5466</v>
      </c>
      <c r="H6355" s="1" t="s">
        <v>6729</v>
      </c>
      <c r="J6355" s="1" t="s">
        <v>6730</v>
      </c>
      <c r="L6355" s="1" t="s">
        <v>6892</v>
      </c>
      <c r="N6355" s="1" t="s">
        <v>6985</v>
      </c>
      <c r="P6355" s="1" t="s">
        <v>6992</v>
      </c>
      <c r="Q6355" s="30" t="s">
        <v>2567</v>
      </c>
      <c r="R6355" s="33" t="s">
        <v>3472</v>
      </c>
      <c r="S6355">
        <v>36</v>
      </c>
      <c r="T6355" s="1" t="s">
        <v>12971</v>
      </c>
      <c r="U6355" s="1" t="str">
        <f>HYPERLINK("http://ictvonline.org/taxonomy/p/taxonomy-history?taxnode_id=202110318","ICTVonline=202110318")</f>
        <v>ICTVonline=202110318</v>
      </c>
    </row>
    <row r="6356" spans="1:21" x14ac:dyDescent="0.2">
      <c r="A6356" s="3">
        <v>6355</v>
      </c>
      <c r="B6356" s="1" t="s">
        <v>4226</v>
      </c>
      <c r="D6356" s="1" t="s">
        <v>5412</v>
      </c>
      <c r="F6356" s="1" t="s">
        <v>5466</v>
      </c>
      <c r="H6356" s="1" t="s">
        <v>6729</v>
      </c>
      <c r="J6356" s="1" t="s">
        <v>6730</v>
      </c>
      <c r="L6356" s="1" t="s">
        <v>6892</v>
      </c>
      <c r="N6356" s="1" t="s">
        <v>6985</v>
      </c>
      <c r="P6356" s="1" t="s">
        <v>6993</v>
      </c>
      <c r="Q6356" s="30" t="s">
        <v>2567</v>
      </c>
      <c r="R6356" s="33" t="s">
        <v>3472</v>
      </c>
      <c r="S6356">
        <v>36</v>
      </c>
      <c r="T6356" s="1" t="s">
        <v>12971</v>
      </c>
      <c r="U6356" s="1" t="str">
        <f>HYPERLINK("http://ictvonline.org/taxonomy/p/taxonomy-history?taxnode_id=202110317","ICTVonline=202110317")</f>
        <v>ICTVonline=202110317</v>
      </c>
    </row>
    <row r="6357" spans="1:21" x14ac:dyDescent="0.2">
      <c r="A6357" s="3">
        <v>6356</v>
      </c>
      <c r="B6357" s="1" t="s">
        <v>4226</v>
      </c>
      <c r="D6357" s="1" t="s">
        <v>5412</v>
      </c>
      <c r="F6357" s="1" t="s">
        <v>5466</v>
      </c>
      <c r="H6357" s="1" t="s">
        <v>6729</v>
      </c>
      <c r="J6357" s="1" t="s">
        <v>6730</v>
      </c>
      <c r="L6357" s="1" t="s">
        <v>6892</v>
      </c>
      <c r="N6357" s="1" t="s">
        <v>6985</v>
      </c>
      <c r="P6357" s="1" t="s">
        <v>6994</v>
      </c>
      <c r="Q6357" s="30" t="s">
        <v>2567</v>
      </c>
      <c r="R6357" s="33" t="s">
        <v>3472</v>
      </c>
      <c r="S6357">
        <v>36</v>
      </c>
      <c r="T6357" s="1" t="s">
        <v>12971</v>
      </c>
      <c r="U6357" s="1" t="str">
        <f>HYPERLINK("http://ictvonline.org/taxonomy/p/taxonomy-history?taxnode_id=202110319","ICTVonline=202110319")</f>
        <v>ICTVonline=202110319</v>
      </c>
    </row>
    <row r="6358" spans="1:21" x14ac:dyDescent="0.2">
      <c r="A6358" s="3">
        <v>6357</v>
      </c>
      <c r="B6358" s="1" t="s">
        <v>4226</v>
      </c>
      <c r="D6358" s="1" t="s">
        <v>5412</v>
      </c>
      <c r="F6358" s="1" t="s">
        <v>5466</v>
      </c>
      <c r="H6358" s="1" t="s">
        <v>6729</v>
      </c>
      <c r="J6358" s="1" t="s">
        <v>6730</v>
      </c>
      <c r="L6358" s="1" t="s">
        <v>6892</v>
      </c>
      <c r="N6358" s="1" t="s">
        <v>6985</v>
      </c>
      <c r="P6358" s="1" t="s">
        <v>6995</v>
      </c>
      <c r="Q6358" s="30" t="s">
        <v>2567</v>
      </c>
      <c r="R6358" s="33" t="s">
        <v>3472</v>
      </c>
      <c r="S6358">
        <v>36</v>
      </c>
      <c r="T6358" s="1" t="s">
        <v>12971</v>
      </c>
      <c r="U6358" s="1" t="str">
        <f>HYPERLINK("http://ictvonline.org/taxonomy/p/taxonomy-history?taxnode_id=202110320","ICTVonline=202110320")</f>
        <v>ICTVonline=202110320</v>
      </c>
    </row>
    <row r="6359" spans="1:21" x14ac:dyDescent="0.2">
      <c r="A6359" s="3">
        <v>6358</v>
      </c>
      <c r="B6359" s="1" t="s">
        <v>4226</v>
      </c>
      <c r="D6359" s="1" t="s">
        <v>5412</v>
      </c>
      <c r="F6359" s="1" t="s">
        <v>5466</v>
      </c>
      <c r="H6359" s="1" t="s">
        <v>6729</v>
      </c>
      <c r="J6359" s="1" t="s">
        <v>6730</v>
      </c>
      <c r="L6359" s="1" t="s">
        <v>6892</v>
      </c>
      <c r="N6359" s="1" t="s">
        <v>6996</v>
      </c>
      <c r="P6359" s="1" t="s">
        <v>6997</v>
      </c>
      <c r="Q6359" s="30" t="s">
        <v>2567</v>
      </c>
      <c r="R6359" s="33" t="s">
        <v>3472</v>
      </c>
      <c r="S6359">
        <v>36</v>
      </c>
      <c r="T6359" s="1" t="s">
        <v>12971</v>
      </c>
      <c r="U6359" s="1" t="str">
        <f>HYPERLINK("http://ictvonline.org/taxonomy/p/taxonomy-history?taxnode_id=202110322","ICTVonline=202110322")</f>
        <v>ICTVonline=202110322</v>
      </c>
    </row>
    <row r="6360" spans="1:21" x14ac:dyDescent="0.2">
      <c r="A6360" s="3">
        <v>6359</v>
      </c>
      <c r="B6360" s="1" t="s">
        <v>4226</v>
      </c>
      <c r="D6360" s="1" t="s">
        <v>5412</v>
      </c>
      <c r="F6360" s="1" t="s">
        <v>5466</v>
      </c>
      <c r="H6360" s="1" t="s">
        <v>6729</v>
      </c>
      <c r="J6360" s="1" t="s">
        <v>6730</v>
      </c>
      <c r="L6360" s="1" t="s">
        <v>6892</v>
      </c>
      <c r="N6360" s="1" t="s">
        <v>6996</v>
      </c>
      <c r="P6360" s="1" t="s">
        <v>6998</v>
      </c>
      <c r="Q6360" s="30" t="s">
        <v>2567</v>
      </c>
      <c r="R6360" s="33" t="s">
        <v>3472</v>
      </c>
      <c r="S6360">
        <v>36</v>
      </c>
      <c r="T6360" s="1" t="s">
        <v>12971</v>
      </c>
      <c r="U6360" s="1" t="str">
        <f>HYPERLINK("http://ictvonline.org/taxonomy/p/taxonomy-history?taxnode_id=202110323","ICTVonline=202110323")</f>
        <v>ICTVonline=202110323</v>
      </c>
    </row>
    <row r="6361" spans="1:21" x14ac:dyDescent="0.2">
      <c r="A6361" s="3">
        <v>6360</v>
      </c>
      <c r="B6361" s="1" t="s">
        <v>4226</v>
      </c>
      <c r="D6361" s="1" t="s">
        <v>5412</v>
      </c>
      <c r="F6361" s="1" t="s">
        <v>5466</v>
      </c>
      <c r="H6361" s="1" t="s">
        <v>6729</v>
      </c>
      <c r="J6361" s="1" t="s">
        <v>6730</v>
      </c>
      <c r="L6361" s="1" t="s">
        <v>6892</v>
      </c>
      <c r="N6361" s="1" t="s">
        <v>6999</v>
      </c>
      <c r="P6361" s="1" t="s">
        <v>7000</v>
      </c>
      <c r="Q6361" s="30" t="s">
        <v>2567</v>
      </c>
      <c r="R6361" s="33" t="s">
        <v>3472</v>
      </c>
      <c r="S6361">
        <v>36</v>
      </c>
      <c r="T6361" s="1" t="s">
        <v>12971</v>
      </c>
      <c r="U6361" s="1" t="str">
        <f>HYPERLINK("http://ictvonline.org/taxonomy/p/taxonomy-history?taxnode_id=202110325","ICTVonline=202110325")</f>
        <v>ICTVonline=202110325</v>
      </c>
    </row>
    <row r="6362" spans="1:21" x14ac:dyDescent="0.2">
      <c r="A6362" s="3">
        <v>6361</v>
      </c>
      <c r="B6362" s="1" t="s">
        <v>4226</v>
      </c>
      <c r="D6362" s="1" t="s">
        <v>5412</v>
      </c>
      <c r="F6362" s="1" t="s">
        <v>5466</v>
      </c>
      <c r="H6362" s="1" t="s">
        <v>6729</v>
      </c>
      <c r="J6362" s="1" t="s">
        <v>6730</v>
      </c>
      <c r="L6362" s="1" t="s">
        <v>6892</v>
      </c>
      <c r="N6362" s="1" t="s">
        <v>7001</v>
      </c>
      <c r="P6362" s="1" t="s">
        <v>7002</v>
      </c>
      <c r="Q6362" s="30" t="s">
        <v>2567</v>
      </c>
      <c r="R6362" s="33" t="s">
        <v>3472</v>
      </c>
      <c r="S6362">
        <v>36</v>
      </c>
      <c r="T6362" s="1" t="s">
        <v>12971</v>
      </c>
      <c r="U6362" s="1" t="str">
        <f>HYPERLINK("http://ictvonline.org/taxonomy/p/taxonomy-history?taxnode_id=202110327","ICTVonline=202110327")</f>
        <v>ICTVonline=202110327</v>
      </c>
    </row>
    <row r="6363" spans="1:21" x14ac:dyDescent="0.2">
      <c r="A6363" s="3">
        <v>6362</v>
      </c>
      <c r="B6363" s="1" t="s">
        <v>4226</v>
      </c>
      <c r="D6363" s="1" t="s">
        <v>5412</v>
      </c>
      <c r="F6363" s="1" t="s">
        <v>5466</v>
      </c>
      <c r="H6363" s="1" t="s">
        <v>6729</v>
      </c>
      <c r="J6363" s="1" t="s">
        <v>6730</v>
      </c>
      <c r="L6363" s="1" t="s">
        <v>6892</v>
      </c>
      <c r="N6363" s="1" t="s">
        <v>7003</v>
      </c>
      <c r="P6363" s="1" t="s">
        <v>7004</v>
      </c>
      <c r="Q6363" s="30" t="s">
        <v>2567</v>
      </c>
      <c r="R6363" s="33" t="s">
        <v>3472</v>
      </c>
      <c r="S6363">
        <v>36</v>
      </c>
      <c r="T6363" s="1" t="s">
        <v>12971</v>
      </c>
      <c r="U6363" s="1" t="str">
        <f>HYPERLINK("http://ictvonline.org/taxonomy/p/taxonomy-history?taxnode_id=202110329","ICTVonline=202110329")</f>
        <v>ICTVonline=202110329</v>
      </c>
    </row>
    <row r="6364" spans="1:21" x14ac:dyDescent="0.2">
      <c r="A6364" s="3">
        <v>6363</v>
      </c>
      <c r="B6364" s="1" t="s">
        <v>4226</v>
      </c>
      <c r="D6364" s="1" t="s">
        <v>5412</v>
      </c>
      <c r="F6364" s="1" t="s">
        <v>5466</v>
      </c>
      <c r="H6364" s="1" t="s">
        <v>6729</v>
      </c>
      <c r="J6364" s="1" t="s">
        <v>6730</v>
      </c>
      <c r="L6364" s="1" t="s">
        <v>6892</v>
      </c>
      <c r="N6364" s="1" t="s">
        <v>7005</v>
      </c>
      <c r="P6364" s="1" t="s">
        <v>7006</v>
      </c>
      <c r="Q6364" s="30" t="s">
        <v>2567</v>
      </c>
      <c r="R6364" s="33" t="s">
        <v>3472</v>
      </c>
      <c r="S6364">
        <v>36</v>
      </c>
      <c r="T6364" s="1" t="s">
        <v>12971</v>
      </c>
      <c r="U6364" s="1" t="str">
        <f>HYPERLINK("http://ictvonline.org/taxonomy/p/taxonomy-history?taxnode_id=202110331","ICTVonline=202110331")</f>
        <v>ICTVonline=202110331</v>
      </c>
    </row>
    <row r="6365" spans="1:21" x14ac:dyDescent="0.2">
      <c r="A6365" s="3">
        <v>6364</v>
      </c>
      <c r="B6365" s="1" t="s">
        <v>4226</v>
      </c>
      <c r="D6365" s="1" t="s">
        <v>5412</v>
      </c>
      <c r="F6365" s="1" t="s">
        <v>5466</v>
      </c>
      <c r="H6365" s="1" t="s">
        <v>6729</v>
      </c>
      <c r="J6365" s="1" t="s">
        <v>6730</v>
      </c>
      <c r="L6365" s="1" t="s">
        <v>6892</v>
      </c>
      <c r="N6365" s="1" t="s">
        <v>7005</v>
      </c>
      <c r="P6365" s="1" t="s">
        <v>7007</v>
      </c>
      <c r="Q6365" s="30" t="s">
        <v>2567</v>
      </c>
      <c r="R6365" s="33" t="s">
        <v>3472</v>
      </c>
      <c r="S6365">
        <v>36</v>
      </c>
      <c r="T6365" s="1" t="s">
        <v>12971</v>
      </c>
      <c r="U6365" s="1" t="str">
        <f>HYPERLINK("http://ictvonline.org/taxonomy/p/taxonomy-history?taxnode_id=202110332","ICTVonline=202110332")</f>
        <v>ICTVonline=202110332</v>
      </c>
    </row>
    <row r="6366" spans="1:21" x14ac:dyDescent="0.2">
      <c r="A6366" s="3">
        <v>6365</v>
      </c>
      <c r="B6366" s="1" t="s">
        <v>4226</v>
      </c>
      <c r="D6366" s="1" t="s">
        <v>5412</v>
      </c>
      <c r="F6366" s="1" t="s">
        <v>5466</v>
      </c>
      <c r="H6366" s="1" t="s">
        <v>6729</v>
      </c>
      <c r="J6366" s="1" t="s">
        <v>6730</v>
      </c>
      <c r="L6366" s="1" t="s">
        <v>6892</v>
      </c>
      <c r="N6366" s="1" t="s">
        <v>7008</v>
      </c>
      <c r="P6366" s="1" t="s">
        <v>7009</v>
      </c>
      <c r="Q6366" s="30" t="s">
        <v>2567</v>
      </c>
      <c r="R6366" s="33" t="s">
        <v>3472</v>
      </c>
      <c r="S6366">
        <v>36</v>
      </c>
      <c r="T6366" s="1" t="s">
        <v>12971</v>
      </c>
      <c r="U6366" s="1" t="str">
        <f>HYPERLINK("http://ictvonline.org/taxonomy/p/taxonomy-history?taxnode_id=202110334","ICTVonline=202110334")</f>
        <v>ICTVonline=202110334</v>
      </c>
    </row>
    <row r="6367" spans="1:21" x14ac:dyDescent="0.2">
      <c r="A6367" s="3">
        <v>6366</v>
      </c>
      <c r="B6367" s="1" t="s">
        <v>4226</v>
      </c>
      <c r="D6367" s="1" t="s">
        <v>5412</v>
      </c>
      <c r="F6367" s="1" t="s">
        <v>5466</v>
      </c>
      <c r="H6367" s="1" t="s">
        <v>6729</v>
      </c>
      <c r="J6367" s="1" t="s">
        <v>6730</v>
      </c>
      <c r="L6367" s="1" t="s">
        <v>6892</v>
      </c>
      <c r="N6367" s="1" t="s">
        <v>7008</v>
      </c>
      <c r="P6367" s="1" t="s">
        <v>7010</v>
      </c>
      <c r="Q6367" s="30" t="s">
        <v>2567</v>
      </c>
      <c r="R6367" s="33" t="s">
        <v>3472</v>
      </c>
      <c r="S6367">
        <v>36</v>
      </c>
      <c r="T6367" s="1" t="s">
        <v>12971</v>
      </c>
      <c r="U6367" s="1" t="str">
        <f>HYPERLINK("http://ictvonline.org/taxonomy/p/taxonomy-history?taxnode_id=202110336","ICTVonline=202110336")</f>
        <v>ICTVonline=202110336</v>
      </c>
    </row>
    <row r="6368" spans="1:21" x14ac:dyDescent="0.2">
      <c r="A6368" s="3">
        <v>6367</v>
      </c>
      <c r="B6368" s="1" t="s">
        <v>4226</v>
      </c>
      <c r="D6368" s="1" t="s">
        <v>5412</v>
      </c>
      <c r="F6368" s="1" t="s">
        <v>5466</v>
      </c>
      <c r="H6368" s="1" t="s">
        <v>6729</v>
      </c>
      <c r="J6368" s="1" t="s">
        <v>6730</v>
      </c>
      <c r="L6368" s="1" t="s">
        <v>6892</v>
      </c>
      <c r="N6368" s="1" t="s">
        <v>7008</v>
      </c>
      <c r="P6368" s="1" t="s">
        <v>7011</v>
      </c>
      <c r="Q6368" s="30" t="s">
        <v>2567</v>
      </c>
      <c r="R6368" s="33" t="s">
        <v>3472</v>
      </c>
      <c r="S6368">
        <v>36</v>
      </c>
      <c r="T6368" s="1" t="s">
        <v>12971</v>
      </c>
      <c r="U6368" s="1" t="str">
        <f>HYPERLINK("http://ictvonline.org/taxonomy/p/taxonomy-history?taxnode_id=202110335","ICTVonline=202110335")</f>
        <v>ICTVonline=202110335</v>
      </c>
    </row>
    <row r="6369" spans="1:21" x14ac:dyDescent="0.2">
      <c r="A6369" s="3">
        <v>6368</v>
      </c>
      <c r="B6369" s="1" t="s">
        <v>4226</v>
      </c>
      <c r="D6369" s="1" t="s">
        <v>5412</v>
      </c>
      <c r="F6369" s="1" t="s">
        <v>5466</v>
      </c>
      <c r="H6369" s="1" t="s">
        <v>6729</v>
      </c>
      <c r="J6369" s="1" t="s">
        <v>6730</v>
      </c>
      <c r="L6369" s="1" t="s">
        <v>6892</v>
      </c>
      <c r="N6369" s="1" t="s">
        <v>7012</v>
      </c>
      <c r="P6369" s="1" t="s">
        <v>7013</v>
      </c>
      <c r="Q6369" s="30" t="s">
        <v>2567</v>
      </c>
      <c r="R6369" s="33" t="s">
        <v>3472</v>
      </c>
      <c r="S6369">
        <v>36</v>
      </c>
      <c r="T6369" s="1" t="s">
        <v>12971</v>
      </c>
      <c r="U6369" s="1" t="str">
        <f>HYPERLINK("http://ictvonline.org/taxonomy/p/taxonomy-history?taxnode_id=202110338","ICTVonline=202110338")</f>
        <v>ICTVonline=202110338</v>
      </c>
    </row>
    <row r="6370" spans="1:21" x14ac:dyDescent="0.2">
      <c r="A6370" s="3">
        <v>6369</v>
      </c>
      <c r="B6370" s="1" t="s">
        <v>4226</v>
      </c>
      <c r="D6370" s="1" t="s">
        <v>5412</v>
      </c>
      <c r="F6370" s="1" t="s">
        <v>5466</v>
      </c>
      <c r="H6370" s="1" t="s">
        <v>6729</v>
      </c>
      <c r="J6370" s="1" t="s">
        <v>6730</v>
      </c>
      <c r="L6370" s="1" t="s">
        <v>6892</v>
      </c>
      <c r="N6370" s="1" t="s">
        <v>7014</v>
      </c>
      <c r="P6370" s="1" t="s">
        <v>7015</v>
      </c>
      <c r="Q6370" s="30" t="s">
        <v>2567</v>
      </c>
      <c r="R6370" s="33" t="s">
        <v>3472</v>
      </c>
      <c r="S6370">
        <v>36</v>
      </c>
      <c r="T6370" s="1" t="s">
        <v>12971</v>
      </c>
      <c r="U6370" s="1" t="str">
        <f>HYPERLINK("http://ictvonline.org/taxonomy/p/taxonomy-history?taxnode_id=202110340","ICTVonline=202110340")</f>
        <v>ICTVonline=202110340</v>
      </c>
    </row>
    <row r="6371" spans="1:21" x14ac:dyDescent="0.2">
      <c r="A6371" s="3">
        <v>6370</v>
      </c>
      <c r="B6371" s="1" t="s">
        <v>4226</v>
      </c>
      <c r="D6371" s="1" t="s">
        <v>5412</v>
      </c>
      <c r="F6371" s="1" t="s">
        <v>5466</v>
      </c>
      <c r="H6371" s="1" t="s">
        <v>6729</v>
      </c>
      <c r="J6371" s="1" t="s">
        <v>6730</v>
      </c>
      <c r="L6371" s="1" t="s">
        <v>6892</v>
      </c>
      <c r="N6371" s="1" t="s">
        <v>7016</v>
      </c>
      <c r="P6371" s="1" t="s">
        <v>7017</v>
      </c>
      <c r="Q6371" s="30" t="s">
        <v>2567</v>
      </c>
      <c r="R6371" s="33" t="s">
        <v>3472</v>
      </c>
      <c r="S6371">
        <v>36</v>
      </c>
      <c r="T6371" s="1" t="s">
        <v>12971</v>
      </c>
      <c r="U6371" s="1" t="str">
        <f>HYPERLINK("http://ictvonline.org/taxonomy/p/taxonomy-history?taxnode_id=202110342","ICTVonline=202110342")</f>
        <v>ICTVonline=202110342</v>
      </c>
    </row>
    <row r="6372" spans="1:21" x14ac:dyDescent="0.2">
      <c r="A6372" s="3">
        <v>6371</v>
      </c>
      <c r="B6372" s="1" t="s">
        <v>4226</v>
      </c>
      <c r="D6372" s="1" t="s">
        <v>5412</v>
      </c>
      <c r="F6372" s="1" t="s">
        <v>5466</v>
      </c>
      <c r="H6372" s="1" t="s">
        <v>6729</v>
      </c>
      <c r="J6372" s="1" t="s">
        <v>6730</v>
      </c>
      <c r="L6372" s="1" t="s">
        <v>6892</v>
      </c>
      <c r="N6372" s="1" t="s">
        <v>7018</v>
      </c>
      <c r="P6372" s="1" t="s">
        <v>7019</v>
      </c>
      <c r="Q6372" s="30" t="s">
        <v>2567</v>
      </c>
      <c r="R6372" s="33" t="s">
        <v>3472</v>
      </c>
      <c r="S6372">
        <v>36</v>
      </c>
      <c r="T6372" s="1" t="s">
        <v>12971</v>
      </c>
      <c r="U6372" s="1" t="str">
        <f>HYPERLINK("http://ictvonline.org/taxonomy/p/taxonomy-history?taxnode_id=202110344","ICTVonline=202110344")</f>
        <v>ICTVonline=202110344</v>
      </c>
    </row>
    <row r="6373" spans="1:21" x14ac:dyDescent="0.2">
      <c r="A6373" s="3">
        <v>6372</v>
      </c>
      <c r="B6373" s="1" t="s">
        <v>4226</v>
      </c>
      <c r="D6373" s="1" t="s">
        <v>5412</v>
      </c>
      <c r="F6373" s="1" t="s">
        <v>5466</v>
      </c>
      <c r="H6373" s="1" t="s">
        <v>6729</v>
      </c>
      <c r="J6373" s="1" t="s">
        <v>6730</v>
      </c>
      <c r="L6373" s="1" t="s">
        <v>6892</v>
      </c>
      <c r="N6373" s="1" t="s">
        <v>7020</v>
      </c>
      <c r="P6373" s="1" t="s">
        <v>7021</v>
      </c>
      <c r="Q6373" s="30" t="s">
        <v>2567</v>
      </c>
      <c r="R6373" s="33" t="s">
        <v>3472</v>
      </c>
      <c r="S6373">
        <v>36</v>
      </c>
      <c r="T6373" s="1" t="s">
        <v>12971</v>
      </c>
      <c r="U6373" s="1" t="str">
        <f>HYPERLINK("http://ictvonline.org/taxonomy/p/taxonomy-history?taxnode_id=202110346","ICTVonline=202110346")</f>
        <v>ICTVonline=202110346</v>
      </c>
    </row>
    <row r="6374" spans="1:21" x14ac:dyDescent="0.2">
      <c r="A6374" s="3">
        <v>6373</v>
      </c>
      <c r="B6374" s="1" t="s">
        <v>4226</v>
      </c>
      <c r="D6374" s="1" t="s">
        <v>5412</v>
      </c>
      <c r="F6374" s="1" t="s">
        <v>5466</v>
      </c>
      <c r="H6374" s="1" t="s">
        <v>6729</v>
      </c>
      <c r="J6374" s="1" t="s">
        <v>6730</v>
      </c>
      <c r="L6374" s="1" t="s">
        <v>6892</v>
      </c>
      <c r="N6374" s="1" t="s">
        <v>7022</v>
      </c>
      <c r="P6374" s="1" t="s">
        <v>7023</v>
      </c>
      <c r="Q6374" s="30" t="s">
        <v>2567</v>
      </c>
      <c r="R6374" s="33" t="s">
        <v>3472</v>
      </c>
      <c r="S6374">
        <v>36</v>
      </c>
      <c r="T6374" s="1" t="s">
        <v>12971</v>
      </c>
      <c r="U6374" s="1" t="str">
        <f>HYPERLINK("http://ictvonline.org/taxonomy/p/taxonomy-history?taxnode_id=202110348","ICTVonline=202110348")</f>
        <v>ICTVonline=202110348</v>
      </c>
    </row>
    <row r="6375" spans="1:21" x14ac:dyDescent="0.2">
      <c r="A6375" s="3">
        <v>6374</v>
      </c>
      <c r="B6375" s="1" t="s">
        <v>4226</v>
      </c>
      <c r="D6375" s="1" t="s">
        <v>5412</v>
      </c>
      <c r="F6375" s="1" t="s">
        <v>5466</v>
      </c>
      <c r="H6375" s="1" t="s">
        <v>6729</v>
      </c>
      <c r="J6375" s="1" t="s">
        <v>6730</v>
      </c>
      <c r="L6375" s="1" t="s">
        <v>6892</v>
      </c>
      <c r="N6375" s="1" t="s">
        <v>7024</v>
      </c>
      <c r="P6375" s="1" t="s">
        <v>7025</v>
      </c>
      <c r="Q6375" s="30" t="s">
        <v>2567</v>
      </c>
      <c r="R6375" s="33" t="s">
        <v>3473</v>
      </c>
      <c r="S6375">
        <v>36</v>
      </c>
      <c r="T6375" s="1" t="s">
        <v>12971</v>
      </c>
      <c r="U6375" s="1" t="str">
        <f>HYPERLINK("http://ictvonline.org/taxonomy/p/taxonomy-history?taxnode_id=202103757","ICTVonline=202103757")</f>
        <v>ICTVonline=202103757</v>
      </c>
    </row>
    <row r="6376" spans="1:21" x14ac:dyDescent="0.2">
      <c r="A6376" s="3">
        <v>6375</v>
      </c>
      <c r="B6376" s="1" t="s">
        <v>4226</v>
      </c>
      <c r="D6376" s="1" t="s">
        <v>5412</v>
      </c>
      <c r="F6376" s="1" t="s">
        <v>5466</v>
      </c>
      <c r="H6376" s="1" t="s">
        <v>6729</v>
      </c>
      <c r="J6376" s="1" t="s">
        <v>6730</v>
      </c>
      <c r="L6376" s="1" t="s">
        <v>6892</v>
      </c>
      <c r="N6376" s="1" t="s">
        <v>7024</v>
      </c>
      <c r="P6376" s="1" t="s">
        <v>7026</v>
      </c>
      <c r="Q6376" s="30" t="s">
        <v>2567</v>
      </c>
      <c r="R6376" s="33" t="s">
        <v>3472</v>
      </c>
      <c r="S6376">
        <v>36</v>
      </c>
      <c r="T6376" s="1" t="s">
        <v>12971</v>
      </c>
      <c r="U6376" s="1" t="str">
        <f>HYPERLINK("http://ictvonline.org/taxonomy/p/taxonomy-history?taxnode_id=202110217","ICTVonline=202110217")</f>
        <v>ICTVonline=202110217</v>
      </c>
    </row>
    <row r="6377" spans="1:21" x14ac:dyDescent="0.2">
      <c r="A6377" s="3">
        <v>6376</v>
      </c>
      <c r="B6377" s="1" t="s">
        <v>4226</v>
      </c>
      <c r="D6377" s="1" t="s">
        <v>5412</v>
      </c>
      <c r="F6377" s="1" t="s">
        <v>5466</v>
      </c>
      <c r="H6377" s="1" t="s">
        <v>6729</v>
      </c>
      <c r="J6377" s="1" t="s">
        <v>6730</v>
      </c>
      <c r="L6377" s="1" t="s">
        <v>6892</v>
      </c>
      <c r="N6377" s="1" t="s">
        <v>7024</v>
      </c>
      <c r="P6377" s="1" t="s">
        <v>7027</v>
      </c>
      <c r="Q6377" s="30" t="s">
        <v>2567</v>
      </c>
      <c r="R6377" s="33" t="s">
        <v>8662</v>
      </c>
      <c r="S6377">
        <v>36</v>
      </c>
      <c r="T6377" s="1" t="s">
        <v>12972</v>
      </c>
      <c r="U6377" s="1" t="str">
        <f>HYPERLINK("http://ictvonline.org/taxonomy/p/taxonomy-history?taxnode_id=202103758","ICTVonline=202103758")</f>
        <v>ICTVonline=202103758</v>
      </c>
    </row>
    <row r="6378" spans="1:21" x14ac:dyDescent="0.2">
      <c r="A6378" s="3">
        <v>6377</v>
      </c>
      <c r="B6378" s="1" t="s">
        <v>4226</v>
      </c>
      <c r="D6378" s="1" t="s">
        <v>5412</v>
      </c>
      <c r="F6378" s="1" t="s">
        <v>5466</v>
      </c>
      <c r="H6378" s="1" t="s">
        <v>6729</v>
      </c>
      <c r="J6378" s="1" t="s">
        <v>6730</v>
      </c>
      <c r="L6378" s="1" t="s">
        <v>6892</v>
      </c>
      <c r="N6378" s="1" t="s">
        <v>7028</v>
      </c>
      <c r="P6378" s="1" t="s">
        <v>7029</v>
      </c>
      <c r="Q6378" s="30" t="s">
        <v>2567</v>
      </c>
      <c r="R6378" s="33" t="s">
        <v>3472</v>
      </c>
      <c r="S6378">
        <v>36</v>
      </c>
      <c r="T6378" s="1" t="s">
        <v>12971</v>
      </c>
      <c r="U6378" s="1" t="str">
        <f>HYPERLINK("http://ictvonline.org/taxonomy/p/taxonomy-history?taxnode_id=202110350","ICTVonline=202110350")</f>
        <v>ICTVonline=202110350</v>
      </c>
    </row>
    <row r="6379" spans="1:21" x14ac:dyDescent="0.2">
      <c r="A6379" s="3">
        <v>6378</v>
      </c>
      <c r="B6379" s="1" t="s">
        <v>4226</v>
      </c>
      <c r="D6379" s="1" t="s">
        <v>5412</v>
      </c>
      <c r="F6379" s="1" t="s">
        <v>5466</v>
      </c>
      <c r="H6379" s="1" t="s">
        <v>6729</v>
      </c>
      <c r="J6379" s="1" t="s">
        <v>6730</v>
      </c>
      <c r="L6379" s="1" t="s">
        <v>6892</v>
      </c>
      <c r="N6379" s="1" t="s">
        <v>7030</v>
      </c>
      <c r="P6379" s="1" t="s">
        <v>7031</v>
      </c>
      <c r="Q6379" s="30" t="s">
        <v>2567</v>
      </c>
      <c r="R6379" s="33" t="s">
        <v>3472</v>
      </c>
      <c r="S6379">
        <v>36</v>
      </c>
      <c r="T6379" s="1" t="s">
        <v>12971</v>
      </c>
      <c r="U6379" s="1" t="str">
        <f>HYPERLINK("http://ictvonline.org/taxonomy/p/taxonomy-history?taxnode_id=202110352","ICTVonline=202110352")</f>
        <v>ICTVonline=202110352</v>
      </c>
    </row>
    <row r="6380" spans="1:21" x14ac:dyDescent="0.2">
      <c r="A6380" s="3">
        <v>6379</v>
      </c>
      <c r="B6380" s="1" t="s">
        <v>4226</v>
      </c>
      <c r="D6380" s="1" t="s">
        <v>5412</v>
      </c>
      <c r="F6380" s="1" t="s">
        <v>5466</v>
      </c>
      <c r="H6380" s="1" t="s">
        <v>6729</v>
      </c>
      <c r="J6380" s="1" t="s">
        <v>6730</v>
      </c>
      <c r="L6380" s="1" t="s">
        <v>6892</v>
      </c>
      <c r="N6380" s="1" t="s">
        <v>7032</v>
      </c>
      <c r="P6380" s="1" t="s">
        <v>7033</v>
      </c>
      <c r="Q6380" s="30" t="s">
        <v>2567</v>
      </c>
      <c r="R6380" s="33" t="s">
        <v>3472</v>
      </c>
      <c r="S6380">
        <v>36</v>
      </c>
      <c r="T6380" s="1" t="s">
        <v>12971</v>
      </c>
      <c r="U6380" s="1" t="str">
        <f>HYPERLINK("http://ictvonline.org/taxonomy/p/taxonomy-history?taxnode_id=202110354","ICTVonline=202110354")</f>
        <v>ICTVonline=202110354</v>
      </c>
    </row>
    <row r="6381" spans="1:21" x14ac:dyDescent="0.2">
      <c r="A6381" s="3">
        <v>6380</v>
      </c>
      <c r="B6381" s="1" t="s">
        <v>4226</v>
      </c>
      <c r="D6381" s="1" t="s">
        <v>5412</v>
      </c>
      <c r="F6381" s="1" t="s">
        <v>5466</v>
      </c>
      <c r="H6381" s="1" t="s">
        <v>6729</v>
      </c>
      <c r="J6381" s="1" t="s">
        <v>6730</v>
      </c>
      <c r="L6381" s="1" t="s">
        <v>6892</v>
      </c>
      <c r="N6381" s="1" t="s">
        <v>7034</v>
      </c>
      <c r="P6381" s="1" t="s">
        <v>7035</v>
      </c>
      <c r="Q6381" s="30" t="s">
        <v>2567</v>
      </c>
      <c r="R6381" s="33" t="s">
        <v>3472</v>
      </c>
      <c r="S6381">
        <v>36</v>
      </c>
      <c r="T6381" s="1" t="s">
        <v>12971</v>
      </c>
      <c r="U6381" s="1" t="str">
        <f>HYPERLINK("http://ictvonline.org/taxonomy/p/taxonomy-history?taxnode_id=202110356","ICTVonline=202110356")</f>
        <v>ICTVonline=202110356</v>
      </c>
    </row>
    <row r="6382" spans="1:21" x14ac:dyDescent="0.2">
      <c r="A6382" s="3">
        <v>6381</v>
      </c>
      <c r="B6382" s="1" t="s">
        <v>4226</v>
      </c>
      <c r="D6382" s="1" t="s">
        <v>5412</v>
      </c>
      <c r="F6382" s="1" t="s">
        <v>5466</v>
      </c>
      <c r="H6382" s="1" t="s">
        <v>6729</v>
      </c>
      <c r="J6382" s="1" t="s">
        <v>6730</v>
      </c>
      <c r="L6382" s="1" t="s">
        <v>6892</v>
      </c>
      <c r="N6382" s="1" t="s">
        <v>7036</v>
      </c>
      <c r="P6382" s="1" t="s">
        <v>7037</v>
      </c>
      <c r="Q6382" s="30" t="s">
        <v>2567</v>
      </c>
      <c r="R6382" s="33" t="s">
        <v>3472</v>
      </c>
      <c r="S6382">
        <v>36</v>
      </c>
      <c r="T6382" s="1" t="s">
        <v>12971</v>
      </c>
      <c r="U6382" s="1" t="str">
        <f>HYPERLINK("http://ictvonline.org/taxonomy/p/taxonomy-history?taxnode_id=202110358","ICTVonline=202110358")</f>
        <v>ICTVonline=202110358</v>
      </c>
    </row>
    <row r="6383" spans="1:21" x14ac:dyDescent="0.2">
      <c r="A6383" s="3">
        <v>6382</v>
      </c>
      <c r="B6383" s="1" t="s">
        <v>4226</v>
      </c>
      <c r="D6383" s="1" t="s">
        <v>5412</v>
      </c>
      <c r="F6383" s="1" t="s">
        <v>5466</v>
      </c>
      <c r="H6383" s="1" t="s">
        <v>6729</v>
      </c>
      <c r="J6383" s="1" t="s">
        <v>6730</v>
      </c>
      <c r="L6383" s="1" t="s">
        <v>6892</v>
      </c>
      <c r="N6383" s="1" t="s">
        <v>7038</v>
      </c>
      <c r="P6383" s="1" t="s">
        <v>7039</v>
      </c>
      <c r="Q6383" s="30" t="s">
        <v>2567</v>
      </c>
      <c r="R6383" s="33" t="s">
        <v>3472</v>
      </c>
      <c r="S6383">
        <v>36</v>
      </c>
      <c r="T6383" s="1" t="s">
        <v>12971</v>
      </c>
      <c r="U6383" s="1" t="str">
        <f>HYPERLINK("http://ictvonline.org/taxonomy/p/taxonomy-history?taxnode_id=202110360","ICTVonline=202110360")</f>
        <v>ICTVonline=202110360</v>
      </c>
    </row>
    <row r="6384" spans="1:21" x14ac:dyDescent="0.2">
      <c r="A6384" s="3">
        <v>6383</v>
      </c>
      <c r="B6384" s="1" t="s">
        <v>4226</v>
      </c>
      <c r="D6384" s="1" t="s">
        <v>5412</v>
      </c>
      <c r="F6384" s="1" t="s">
        <v>5466</v>
      </c>
      <c r="H6384" s="1" t="s">
        <v>6729</v>
      </c>
      <c r="J6384" s="1" t="s">
        <v>6730</v>
      </c>
      <c r="L6384" s="1" t="s">
        <v>6892</v>
      </c>
      <c r="N6384" s="1" t="s">
        <v>7040</v>
      </c>
      <c r="P6384" s="1" t="s">
        <v>7041</v>
      </c>
      <c r="Q6384" s="30" t="s">
        <v>2567</v>
      </c>
      <c r="R6384" s="33" t="s">
        <v>3472</v>
      </c>
      <c r="S6384">
        <v>36</v>
      </c>
      <c r="T6384" s="1" t="s">
        <v>12971</v>
      </c>
      <c r="U6384" s="1" t="str">
        <f>HYPERLINK("http://ictvonline.org/taxonomy/p/taxonomy-history?taxnode_id=202110362","ICTVonline=202110362")</f>
        <v>ICTVonline=202110362</v>
      </c>
    </row>
    <row r="6385" spans="1:21" x14ac:dyDescent="0.2">
      <c r="A6385" s="3">
        <v>6384</v>
      </c>
      <c r="B6385" s="1" t="s">
        <v>4226</v>
      </c>
      <c r="D6385" s="1" t="s">
        <v>5412</v>
      </c>
      <c r="F6385" s="1" t="s">
        <v>5466</v>
      </c>
      <c r="H6385" s="1" t="s">
        <v>6729</v>
      </c>
      <c r="J6385" s="1" t="s">
        <v>6730</v>
      </c>
      <c r="L6385" s="1" t="s">
        <v>6892</v>
      </c>
      <c r="N6385" s="1" t="s">
        <v>7042</v>
      </c>
      <c r="P6385" s="1" t="s">
        <v>7043</v>
      </c>
      <c r="Q6385" s="30" t="s">
        <v>2567</v>
      </c>
      <c r="R6385" s="33" t="s">
        <v>3472</v>
      </c>
      <c r="S6385">
        <v>36</v>
      </c>
      <c r="T6385" s="1" t="s">
        <v>12971</v>
      </c>
      <c r="U6385" s="1" t="str">
        <f>HYPERLINK("http://ictvonline.org/taxonomy/p/taxonomy-history?taxnode_id=202110364","ICTVonline=202110364")</f>
        <v>ICTVonline=202110364</v>
      </c>
    </row>
    <row r="6386" spans="1:21" x14ac:dyDescent="0.2">
      <c r="A6386" s="3">
        <v>6385</v>
      </c>
      <c r="B6386" s="1" t="s">
        <v>4226</v>
      </c>
      <c r="D6386" s="1" t="s">
        <v>5412</v>
      </c>
      <c r="F6386" s="1" t="s">
        <v>5466</v>
      </c>
      <c r="H6386" s="1" t="s">
        <v>6729</v>
      </c>
      <c r="J6386" s="1" t="s">
        <v>6730</v>
      </c>
      <c r="L6386" s="1" t="s">
        <v>6892</v>
      </c>
      <c r="N6386" s="1" t="s">
        <v>7044</v>
      </c>
      <c r="P6386" s="1" t="s">
        <v>7045</v>
      </c>
      <c r="Q6386" s="30" t="s">
        <v>2567</v>
      </c>
      <c r="R6386" s="33" t="s">
        <v>3472</v>
      </c>
      <c r="S6386">
        <v>36</v>
      </c>
      <c r="T6386" s="1" t="s">
        <v>12971</v>
      </c>
      <c r="U6386" s="1" t="str">
        <f>HYPERLINK("http://ictvonline.org/taxonomy/p/taxonomy-history?taxnode_id=202110366","ICTVonline=202110366")</f>
        <v>ICTVonline=202110366</v>
      </c>
    </row>
    <row r="6387" spans="1:21" x14ac:dyDescent="0.2">
      <c r="A6387" s="3">
        <v>6386</v>
      </c>
      <c r="B6387" s="1" t="s">
        <v>4226</v>
      </c>
      <c r="D6387" s="1" t="s">
        <v>5412</v>
      </c>
      <c r="F6387" s="1" t="s">
        <v>5466</v>
      </c>
      <c r="H6387" s="1" t="s">
        <v>6729</v>
      </c>
      <c r="J6387" s="1" t="s">
        <v>6730</v>
      </c>
      <c r="L6387" s="1" t="s">
        <v>6892</v>
      </c>
      <c r="N6387" s="1" t="s">
        <v>7046</v>
      </c>
      <c r="P6387" s="1" t="s">
        <v>7047</v>
      </c>
      <c r="Q6387" s="30" t="s">
        <v>2567</v>
      </c>
      <c r="R6387" s="33" t="s">
        <v>3472</v>
      </c>
      <c r="S6387">
        <v>36</v>
      </c>
      <c r="T6387" s="1" t="s">
        <v>12971</v>
      </c>
      <c r="U6387" s="1" t="str">
        <f>HYPERLINK("http://ictvonline.org/taxonomy/p/taxonomy-history?taxnode_id=202110369","ICTVonline=202110369")</f>
        <v>ICTVonline=202110369</v>
      </c>
    </row>
    <row r="6388" spans="1:21" x14ac:dyDescent="0.2">
      <c r="A6388" s="3">
        <v>6387</v>
      </c>
      <c r="B6388" s="1" t="s">
        <v>4226</v>
      </c>
      <c r="D6388" s="1" t="s">
        <v>5412</v>
      </c>
      <c r="F6388" s="1" t="s">
        <v>5466</v>
      </c>
      <c r="H6388" s="1" t="s">
        <v>6729</v>
      </c>
      <c r="J6388" s="1" t="s">
        <v>6730</v>
      </c>
      <c r="L6388" s="1" t="s">
        <v>6892</v>
      </c>
      <c r="N6388" s="1" t="s">
        <v>7046</v>
      </c>
      <c r="P6388" s="1" t="s">
        <v>7048</v>
      </c>
      <c r="Q6388" s="30" t="s">
        <v>2567</v>
      </c>
      <c r="R6388" s="33" t="s">
        <v>3472</v>
      </c>
      <c r="S6388">
        <v>36</v>
      </c>
      <c r="T6388" s="1" t="s">
        <v>12971</v>
      </c>
      <c r="U6388" s="1" t="str">
        <f>HYPERLINK("http://ictvonline.org/taxonomy/p/taxonomy-history?taxnode_id=202110368","ICTVonline=202110368")</f>
        <v>ICTVonline=202110368</v>
      </c>
    </row>
    <row r="6389" spans="1:21" x14ac:dyDescent="0.2">
      <c r="A6389" s="3">
        <v>6388</v>
      </c>
      <c r="B6389" s="1" t="s">
        <v>4226</v>
      </c>
      <c r="D6389" s="1" t="s">
        <v>5412</v>
      </c>
      <c r="F6389" s="1" t="s">
        <v>5466</v>
      </c>
      <c r="H6389" s="1" t="s">
        <v>6729</v>
      </c>
      <c r="J6389" s="1" t="s">
        <v>6730</v>
      </c>
      <c r="L6389" s="1" t="s">
        <v>6892</v>
      </c>
      <c r="N6389" s="1" t="s">
        <v>7049</v>
      </c>
      <c r="P6389" s="1" t="s">
        <v>7050</v>
      </c>
      <c r="Q6389" s="30" t="s">
        <v>2567</v>
      </c>
      <c r="R6389" s="33" t="s">
        <v>3472</v>
      </c>
      <c r="S6389">
        <v>36</v>
      </c>
      <c r="T6389" s="1" t="s">
        <v>12971</v>
      </c>
      <c r="U6389" s="1" t="str">
        <f>HYPERLINK("http://ictvonline.org/taxonomy/p/taxonomy-history?taxnode_id=202110371","ICTVonline=202110371")</f>
        <v>ICTVonline=202110371</v>
      </c>
    </row>
    <row r="6390" spans="1:21" x14ac:dyDescent="0.2">
      <c r="A6390" s="3">
        <v>6389</v>
      </c>
      <c r="B6390" s="1" t="s">
        <v>4226</v>
      </c>
      <c r="D6390" s="1" t="s">
        <v>5412</v>
      </c>
      <c r="F6390" s="1" t="s">
        <v>5466</v>
      </c>
      <c r="H6390" s="1" t="s">
        <v>6729</v>
      </c>
      <c r="J6390" s="1" t="s">
        <v>6730</v>
      </c>
      <c r="L6390" s="1" t="s">
        <v>6892</v>
      </c>
      <c r="N6390" s="1" t="s">
        <v>7051</v>
      </c>
      <c r="P6390" s="1" t="s">
        <v>7052</v>
      </c>
      <c r="Q6390" s="30" t="s">
        <v>2567</v>
      </c>
      <c r="R6390" s="33" t="s">
        <v>3472</v>
      </c>
      <c r="S6390">
        <v>36</v>
      </c>
      <c r="T6390" s="1" t="s">
        <v>12971</v>
      </c>
      <c r="U6390" s="1" t="str">
        <f>HYPERLINK("http://ictvonline.org/taxonomy/p/taxonomy-history?taxnode_id=202110373","ICTVonline=202110373")</f>
        <v>ICTVonline=202110373</v>
      </c>
    </row>
    <row r="6391" spans="1:21" x14ac:dyDescent="0.2">
      <c r="A6391" s="3">
        <v>6390</v>
      </c>
      <c r="B6391" s="1" t="s">
        <v>4226</v>
      </c>
      <c r="D6391" s="1" t="s">
        <v>5412</v>
      </c>
      <c r="F6391" s="1" t="s">
        <v>5466</v>
      </c>
      <c r="H6391" s="1" t="s">
        <v>6729</v>
      </c>
      <c r="J6391" s="1" t="s">
        <v>6730</v>
      </c>
      <c r="L6391" s="1" t="s">
        <v>6892</v>
      </c>
      <c r="N6391" s="1" t="s">
        <v>7053</v>
      </c>
      <c r="P6391" s="1" t="s">
        <v>7054</v>
      </c>
      <c r="Q6391" s="30" t="s">
        <v>2567</v>
      </c>
      <c r="R6391" s="33" t="s">
        <v>3472</v>
      </c>
      <c r="S6391">
        <v>36</v>
      </c>
      <c r="T6391" s="1" t="s">
        <v>12971</v>
      </c>
      <c r="U6391" s="1" t="str">
        <f>HYPERLINK("http://ictvonline.org/taxonomy/p/taxonomy-history?taxnode_id=202110375","ICTVonline=202110375")</f>
        <v>ICTVonline=202110375</v>
      </c>
    </row>
    <row r="6392" spans="1:21" x14ac:dyDescent="0.2">
      <c r="A6392" s="3">
        <v>6391</v>
      </c>
      <c r="B6392" s="1" t="s">
        <v>4226</v>
      </c>
      <c r="D6392" s="1" t="s">
        <v>5412</v>
      </c>
      <c r="F6392" s="1" t="s">
        <v>5466</v>
      </c>
      <c r="H6392" s="1" t="s">
        <v>6729</v>
      </c>
      <c r="J6392" s="1" t="s">
        <v>6730</v>
      </c>
      <c r="L6392" s="1" t="s">
        <v>6892</v>
      </c>
      <c r="N6392" s="1" t="s">
        <v>7055</v>
      </c>
      <c r="P6392" s="1" t="s">
        <v>7056</v>
      </c>
      <c r="Q6392" s="30" t="s">
        <v>2567</v>
      </c>
      <c r="R6392" s="33" t="s">
        <v>3472</v>
      </c>
      <c r="S6392">
        <v>36</v>
      </c>
      <c r="T6392" s="1" t="s">
        <v>12971</v>
      </c>
      <c r="U6392" s="1" t="str">
        <f>HYPERLINK("http://ictvonline.org/taxonomy/p/taxonomy-history?taxnode_id=202110377","ICTVonline=202110377")</f>
        <v>ICTVonline=202110377</v>
      </c>
    </row>
    <row r="6393" spans="1:21" x14ac:dyDescent="0.2">
      <c r="A6393" s="3">
        <v>6392</v>
      </c>
      <c r="B6393" s="1" t="s">
        <v>4226</v>
      </c>
      <c r="D6393" s="1" t="s">
        <v>5412</v>
      </c>
      <c r="F6393" s="1" t="s">
        <v>5466</v>
      </c>
      <c r="H6393" s="1" t="s">
        <v>6729</v>
      </c>
      <c r="J6393" s="1" t="s">
        <v>6730</v>
      </c>
      <c r="L6393" s="1" t="s">
        <v>6892</v>
      </c>
      <c r="N6393" s="1" t="s">
        <v>7057</v>
      </c>
      <c r="P6393" s="1" t="s">
        <v>7058</v>
      </c>
      <c r="Q6393" s="30" t="s">
        <v>2567</v>
      </c>
      <c r="R6393" s="33" t="s">
        <v>3472</v>
      </c>
      <c r="S6393">
        <v>36</v>
      </c>
      <c r="T6393" s="1" t="s">
        <v>12971</v>
      </c>
      <c r="U6393" s="1" t="str">
        <f>HYPERLINK("http://ictvonline.org/taxonomy/p/taxonomy-history?taxnode_id=202110379","ICTVonline=202110379")</f>
        <v>ICTVonline=202110379</v>
      </c>
    </row>
    <row r="6394" spans="1:21" x14ac:dyDescent="0.2">
      <c r="A6394" s="3">
        <v>6393</v>
      </c>
      <c r="B6394" s="1" t="s">
        <v>4226</v>
      </c>
      <c r="D6394" s="1" t="s">
        <v>5412</v>
      </c>
      <c r="F6394" s="1" t="s">
        <v>5466</v>
      </c>
      <c r="H6394" s="1" t="s">
        <v>6729</v>
      </c>
      <c r="J6394" s="1" t="s">
        <v>6730</v>
      </c>
      <c r="L6394" s="1" t="s">
        <v>6892</v>
      </c>
      <c r="N6394" s="1" t="s">
        <v>7059</v>
      </c>
      <c r="P6394" s="1" t="s">
        <v>7060</v>
      </c>
      <c r="Q6394" s="30" t="s">
        <v>2567</v>
      </c>
      <c r="R6394" s="33" t="s">
        <v>3472</v>
      </c>
      <c r="S6394">
        <v>36</v>
      </c>
      <c r="T6394" s="1" t="s">
        <v>12971</v>
      </c>
      <c r="U6394" s="1" t="str">
        <f>HYPERLINK("http://ictvonline.org/taxonomy/p/taxonomy-history?taxnode_id=202110381","ICTVonline=202110381")</f>
        <v>ICTVonline=202110381</v>
      </c>
    </row>
    <row r="6395" spans="1:21" x14ac:dyDescent="0.2">
      <c r="A6395" s="3">
        <v>6394</v>
      </c>
      <c r="B6395" s="1" t="s">
        <v>4226</v>
      </c>
      <c r="D6395" s="1" t="s">
        <v>5412</v>
      </c>
      <c r="F6395" s="1" t="s">
        <v>5466</v>
      </c>
      <c r="H6395" s="1" t="s">
        <v>6729</v>
      </c>
      <c r="J6395" s="1" t="s">
        <v>6730</v>
      </c>
      <c r="L6395" s="1" t="s">
        <v>6892</v>
      </c>
      <c r="N6395" s="1" t="s">
        <v>7061</v>
      </c>
      <c r="P6395" s="1" t="s">
        <v>7062</v>
      </c>
      <c r="Q6395" s="30" t="s">
        <v>2567</v>
      </c>
      <c r="R6395" s="33" t="s">
        <v>3472</v>
      </c>
      <c r="S6395">
        <v>36</v>
      </c>
      <c r="T6395" s="1" t="s">
        <v>12971</v>
      </c>
      <c r="U6395" s="1" t="str">
        <f>HYPERLINK("http://ictvonline.org/taxonomy/p/taxonomy-history?taxnode_id=202110383","ICTVonline=202110383")</f>
        <v>ICTVonline=202110383</v>
      </c>
    </row>
    <row r="6396" spans="1:21" x14ac:dyDescent="0.2">
      <c r="A6396" s="3">
        <v>6395</v>
      </c>
      <c r="B6396" s="1" t="s">
        <v>4226</v>
      </c>
      <c r="D6396" s="1" t="s">
        <v>5412</v>
      </c>
      <c r="F6396" s="1" t="s">
        <v>5466</v>
      </c>
      <c r="H6396" s="1" t="s">
        <v>6729</v>
      </c>
      <c r="J6396" s="1" t="s">
        <v>6730</v>
      </c>
      <c r="L6396" s="1" t="s">
        <v>6892</v>
      </c>
      <c r="N6396" s="1" t="s">
        <v>7063</v>
      </c>
      <c r="P6396" s="1" t="s">
        <v>7064</v>
      </c>
      <c r="Q6396" s="30" t="s">
        <v>2567</v>
      </c>
      <c r="R6396" s="33" t="s">
        <v>3472</v>
      </c>
      <c r="S6396">
        <v>36</v>
      </c>
      <c r="T6396" s="1" t="s">
        <v>12971</v>
      </c>
      <c r="U6396" s="1" t="str">
        <f>HYPERLINK("http://ictvonline.org/taxonomy/p/taxonomy-history?taxnode_id=202110386","ICTVonline=202110386")</f>
        <v>ICTVonline=202110386</v>
      </c>
    </row>
    <row r="6397" spans="1:21" x14ac:dyDescent="0.2">
      <c r="A6397" s="3">
        <v>6396</v>
      </c>
      <c r="B6397" s="1" t="s">
        <v>4226</v>
      </c>
      <c r="D6397" s="1" t="s">
        <v>5412</v>
      </c>
      <c r="F6397" s="1" t="s">
        <v>5466</v>
      </c>
      <c r="H6397" s="1" t="s">
        <v>6729</v>
      </c>
      <c r="J6397" s="1" t="s">
        <v>6730</v>
      </c>
      <c r="L6397" s="1" t="s">
        <v>6892</v>
      </c>
      <c r="N6397" s="1" t="s">
        <v>7063</v>
      </c>
      <c r="P6397" s="1" t="s">
        <v>7065</v>
      </c>
      <c r="Q6397" s="30" t="s">
        <v>2567</v>
      </c>
      <c r="R6397" s="33" t="s">
        <v>3472</v>
      </c>
      <c r="S6397">
        <v>36</v>
      </c>
      <c r="T6397" s="1" t="s">
        <v>12971</v>
      </c>
      <c r="U6397" s="1" t="str">
        <f>HYPERLINK("http://ictvonline.org/taxonomy/p/taxonomy-history?taxnode_id=202110385","ICTVonline=202110385")</f>
        <v>ICTVonline=202110385</v>
      </c>
    </row>
    <row r="6398" spans="1:21" x14ac:dyDescent="0.2">
      <c r="A6398" s="3">
        <v>6397</v>
      </c>
      <c r="B6398" s="1" t="s">
        <v>4226</v>
      </c>
      <c r="D6398" s="1" t="s">
        <v>5412</v>
      </c>
      <c r="F6398" s="1" t="s">
        <v>5466</v>
      </c>
      <c r="H6398" s="1" t="s">
        <v>6729</v>
      </c>
      <c r="J6398" s="1" t="s">
        <v>6730</v>
      </c>
      <c r="L6398" s="1" t="s">
        <v>6892</v>
      </c>
      <c r="N6398" s="1" t="s">
        <v>7066</v>
      </c>
      <c r="P6398" s="1" t="s">
        <v>7067</v>
      </c>
      <c r="Q6398" s="30" t="s">
        <v>2567</v>
      </c>
      <c r="R6398" s="33" t="s">
        <v>3472</v>
      </c>
      <c r="S6398">
        <v>36</v>
      </c>
      <c r="T6398" s="1" t="s">
        <v>12971</v>
      </c>
      <c r="U6398" s="1" t="str">
        <f>HYPERLINK("http://ictvonline.org/taxonomy/p/taxonomy-history?taxnode_id=202110388","ICTVonline=202110388")</f>
        <v>ICTVonline=202110388</v>
      </c>
    </row>
    <row r="6399" spans="1:21" x14ac:dyDescent="0.2">
      <c r="A6399" s="3">
        <v>6398</v>
      </c>
      <c r="B6399" s="1" t="s">
        <v>4226</v>
      </c>
      <c r="D6399" s="1" t="s">
        <v>5412</v>
      </c>
      <c r="F6399" s="1" t="s">
        <v>5466</v>
      </c>
      <c r="H6399" s="1" t="s">
        <v>6729</v>
      </c>
      <c r="J6399" s="1" t="s">
        <v>6730</v>
      </c>
      <c r="L6399" s="1" t="s">
        <v>6892</v>
      </c>
      <c r="N6399" s="1" t="s">
        <v>7068</v>
      </c>
      <c r="P6399" s="1" t="s">
        <v>7069</v>
      </c>
      <c r="Q6399" s="30" t="s">
        <v>2567</v>
      </c>
      <c r="R6399" s="33" t="s">
        <v>3472</v>
      </c>
      <c r="S6399">
        <v>36</v>
      </c>
      <c r="T6399" s="1" t="s">
        <v>12971</v>
      </c>
      <c r="U6399" s="1" t="str">
        <f>HYPERLINK("http://ictvonline.org/taxonomy/p/taxonomy-history?taxnode_id=202110390","ICTVonline=202110390")</f>
        <v>ICTVonline=202110390</v>
      </c>
    </row>
    <row r="6400" spans="1:21" x14ac:dyDescent="0.2">
      <c r="A6400" s="3">
        <v>6399</v>
      </c>
      <c r="B6400" s="1" t="s">
        <v>4226</v>
      </c>
      <c r="D6400" s="1" t="s">
        <v>5412</v>
      </c>
      <c r="F6400" s="1" t="s">
        <v>5466</v>
      </c>
      <c r="H6400" s="1" t="s">
        <v>6729</v>
      </c>
      <c r="J6400" s="1" t="s">
        <v>6730</v>
      </c>
      <c r="L6400" s="1" t="s">
        <v>6892</v>
      </c>
      <c r="N6400" s="1" t="s">
        <v>7070</v>
      </c>
      <c r="P6400" s="1" t="s">
        <v>7071</v>
      </c>
      <c r="Q6400" s="30" t="s">
        <v>2567</v>
      </c>
      <c r="R6400" s="33" t="s">
        <v>3472</v>
      </c>
      <c r="S6400">
        <v>36</v>
      </c>
      <c r="T6400" s="1" t="s">
        <v>12971</v>
      </c>
      <c r="U6400" s="1" t="str">
        <f>HYPERLINK("http://ictvonline.org/taxonomy/p/taxonomy-history?taxnode_id=202110392","ICTVonline=202110392")</f>
        <v>ICTVonline=202110392</v>
      </c>
    </row>
    <row r="6401" spans="1:21" x14ac:dyDescent="0.2">
      <c r="A6401" s="3">
        <v>6400</v>
      </c>
      <c r="B6401" s="1" t="s">
        <v>4226</v>
      </c>
      <c r="D6401" s="1" t="s">
        <v>5412</v>
      </c>
      <c r="F6401" s="1" t="s">
        <v>5466</v>
      </c>
      <c r="H6401" s="1" t="s">
        <v>6729</v>
      </c>
      <c r="J6401" s="1" t="s">
        <v>6730</v>
      </c>
      <c r="L6401" s="1" t="s">
        <v>6892</v>
      </c>
      <c r="N6401" s="1" t="s">
        <v>7072</v>
      </c>
      <c r="P6401" s="1" t="s">
        <v>7073</v>
      </c>
      <c r="Q6401" s="30" t="s">
        <v>2567</v>
      </c>
      <c r="R6401" s="33" t="s">
        <v>3472</v>
      </c>
      <c r="S6401">
        <v>36</v>
      </c>
      <c r="T6401" s="1" t="s">
        <v>12971</v>
      </c>
      <c r="U6401" s="1" t="str">
        <f>HYPERLINK("http://ictvonline.org/taxonomy/p/taxonomy-history?taxnode_id=202110395","ICTVonline=202110395")</f>
        <v>ICTVonline=202110395</v>
      </c>
    </row>
    <row r="6402" spans="1:21" x14ac:dyDescent="0.2">
      <c r="A6402" s="3">
        <v>6401</v>
      </c>
      <c r="B6402" s="1" t="s">
        <v>4226</v>
      </c>
      <c r="D6402" s="1" t="s">
        <v>5412</v>
      </c>
      <c r="F6402" s="1" t="s">
        <v>5466</v>
      </c>
      <c r="H6402" s="1" t="s">
        <v>6729</v>
      </c>
      <c r="J6402" s="1" t="s">
        <v>6730</v>
      </c>
      <c r="L6402" s="1" t="s">
        <v>6892</v>
      </c>
      <c r="N6402" s="1" t="s">
        <v>7072</v>
      </c>
      <c r="P6402" s="1" t="s">
        <v>7074</v>
      </c>
      <c r="Q6402" s="30" t="s">
        <v>2567</v>
      </c>
      <c r="R6402" s="33" t="s">
        <v>3472</v>
      </c>
      <c r="S6402">
        <v>36</v>
      </c>
      <c r="T6402" s="1" t="s">
        <v>12971</v>
      </c>
      <c r="U6402" s="1" t="str">
        <f>HYPERLINK("http://ictvonline.org/taxonomy/p/taxonomy-history?taxnode_id=202110394","ICTVonline=202110394")</f>
        <v>ICTVonline=202110394</v>
      </c>
    </row>
    <row r="6403" spans="1:21" x14ac:dyDescent="0.2">
      <c r="A6403" s="3">
        <v>6402</v>
      </c>
      <c r="B6403" s="1" t="s">
        <v>4226</v>
      </c>
      <c r="D6403" s="1" t="s">
        <v>5412</v>
      </c>
      <c r="F6403" s="1" t="s">
        <v>5466</v>
      </c>
      <c r="H6403" s="1" t="s">
        <v>6729</v>
      </c>
      <c r="J6403" s="1" t="s">
        <v>6730</v>
      </c>
      <c r="L6403" s="1" t="s">
        <v>6892</v>
      </c>
      <c r="N6403" s="1" t="s">
        <v>7075</v>
      </c>
      <c r="P6403" s="1" t="s">
        <v>7076</v>
      </c>
      <c r="Q6403" s="30" t="s">
        <v>2567</v>
      </c>
      <c r="R6403" s="33" t="s">
        <v>3472</v>
      </c>
      <c r="S6403">
        <v>36</v>
      </c>
      <c r="T6403" s="1" t="s">
        <v>12971</v>
      </c>
      <c r="U6403" s="1" t="str">
        <f>HYPERLINK("http://ictvonline.org/taxonomy/p/taxonomy-history?taxnode_id=202110398","ICTVonline=202110398")</f>
        <v>ICTVonline=202110398</v>
      </c>
    </row>
    <row r="6404" spans="1:21" x14ac:dyDescent="0.2">
      <c r="A6404" s="3">
        <v>6403</v>
      </c>
      <c r="B6404" s="1" t="s">
        <v>4226</v>
      </c>
      <c r="D6404" s="1" t="s">
        <v>5412</v>
      </c>
      <c r="F6404" s="1" t="s">
        <v>5466</v>
      </c>
      <c r="H6404" s="1" t="s">
        <v>6729</v>
      </c>
      <c r="J6404" s="1" t="s">
        <v>6730</v>
      </c>
      <c r="L6404" s="1" t="s">
        <v>6892</v>
      </c>
      <c r="N6404" s="1" t="s">
        <v>7075</v>
      </c>
      <c r="P6404" s="1" t="s">
        <v>7077</v>
      </c>
      <c r="Q6404" s="30" t="s">
        <v>2567</v>
      </c>
      <c r="R6404" s="33" t="s">
        <v>3472</v>
      </c>
      <c r="S6404">
        <v>36</v>
      </c>
      <c r="T6404" s="1" t="s">
        <v>12971</v>
      </c>
      <c r="U6404" s="1" t="str">
        <f>HYPERLINK("http://ictvonline.org/taxonomy/p/taxonomy-history?taxnode_id=202110397","ICTVonline=202110397")</f>
        <v>ICTVonline=202110397</v>
      </c>
    </row>
    <row r="6405" spans="1:21" x14ac:dyDescent="0.2">
      <c r="A6405" s="3">
        <v>6404</v>
      </c>
      <c r="B6405" s="1" t="s">
        <v>4226</v>
      </c>
      <c r="D6405" s="1" t="s">
        <v>5412</v>
      </c>
      <c r="F6405" s="1" t="s">
        <v>5466</v>
      </c>
      <c r="H6405" s="1" t="s">
        <v>6729</v>
      </c>
      <c r="J6405" s="1" t="s">
        <v>6730</v>
      </c>
      <c r="L6405" s="1" t="s">
        <v>6892</v>
      </c>
      <c r="N6405" s="1" t="s">
        <v>7078</v>
      </c>
      <c r="P6405" s="1" t="s">
        <v>7079</v>
      </c>
      <c r="Q6405" s="30" t="s">
        <v>2567</v>
      </c>
      <c r="R6405" s="33" t="s">
        <v>3472</v>
      </c>
      <c r="S6405">
        <v>36</v>
      </c>
      <c r="T6405" s="1" t="s">
        <v>12971</v>
      </c>
      <c r="U6405" s="1" t="str">
        <f>HYPERLINK("http://ictvonline.org/taxonomy/p/taxonomy-history?taxnode_id=202110400","ICTVonline=202110400")</f>
        <v>ICTVonline=202110400</v>
      </c>
    </row>
    <row r="6406" spans="1:21" x14ac:dyDescent="0.2">
      <c r="A6406" s="3">
        <v>6405</v>
      </c>
      <c r="B6406" s="1" t="s">
        <v>4226</v>
      </c>
      <c r="D6406" s="1" t="s">
        <v>5412</v>
      </c>
      <c r="F6406" s="1" t="s">
        <v>5466</v>
      </c>
      <c r="H6406" s="1" t="s">
        <v>6729</v>
      </c>
      <c r="J6406" s="1" t="s">
        <v>6730</v>
      </c>
      <c r="L6406" s="1" t="s">
        <v>6892</v>
      </c>
      <c r="N6406" s="1" t="s">
        <v>7080</v>
      </c>
      <c r="P6406" s="1" t="s">
        <v>7081</v>
      </c>
      <c r="Q6406" s="30" t="s">
        <v>2567</v>
      </c>
      <c r="R6406" s="33" t="s">
        <v>3472</v>
      </c>
      <c r="S6406">
        <v>36</v>
      </c>
      <c r="T6406" s="1" t="s">
        <v>12971</v>
      </c>
      <c r="U6406" s="1" t="str">
        <f>HYPERLINK("http://ictvonline.org/taxonomy/p/taxonomy-history?taxnode_id=202110402","ICTVonline=202110402")</f>
        <v>ICTVonline=202110402</v>
      </c>
    </row>
    <row r="6407" spans="1:21" x14ac:dyDescent="0.2">
      <c r="A6407" s="3">
        <v>6406</v>
      </c>
      <c r="B6407" s="1" t="s">
        <v>4226</v>
      </c>
      <c r="D6407" s="1" t="s">
        <v>5412</v>
      </c>
      <c r="F6407" s="1" t="s">
        <v>5466</v>
      </c>
      <c r="H6407" s="1" t="s">
        <v>6729</v>
      </c>
      <c r="J6407" s="1" t="s">
        <v>6730</v>
      </c>
      <c r="L6407" s="1" t="s">
        <v>6892</v>
      </c>
      <c r="N6407" s="1" t="s">
        <v>7082</v>
      </c>
      <c r="P6407" s="1" t="s">
        <v>7083</v>
      </c>
      <c r="Q6407" s="30" t="s">
        <v>2567</v>
      </c>
      <c r="R6407" s="33" t="s">
        <v>3472</v>
      </c>
      <c r="S6407">
        <v>36</v>
      </c>
      <c r="T6407" s="1" t="s">
        <v>12971</v>
      </c>
      <c r="U6407" s="1" t="str">
        <f>HYPERLINK("http://ictvonline.org/taxonomy/p/taxonomy-history?taxnode_id=202110404","ICTVonline=202110404")</f>
        <v>ICTVonline=202110404</v>
      </c>
    </row>
    <row r="6408" spans="1:21" x14ac:dyDescent="0.2">
      <c r="A6408" s="3">
        <v>6407</v>
      </c>
      <c r="B6408" s="1" t="s">
        <v>4226</v>
      </c>
      <c r="D6408" s="1" t="s">
        <v>5412</v>
      </c>
      <c r="F6408" s="1" t="s">
        <v>5466</v>
      </c>
      <c r="H6408" s="1" t="s">
        <v>6729</v>
      </c>
      <c r="J6408" s="1" t="s">
        <v>6730</v>
      </c>
      <c r="L6408" s="1" t="s">
        <v>6892</v>
      </c>
      <c r="N6408" s="1" t="s">
        <v>7084</v>
      </c>
      <c r="P6408" s="1" t="s">
        <v>7085</v>
      </c>
      <c r="Q6408" s="30" t="s">
        <v>2567</v>
      </c>
      <c r="R6408" s="33" t="s">
        <v>3472</v>
      </c>
      <c r="S6408">
        <v>36</v>
      </c>
      <c r="T6408" s="1" t="s">
        <v>12971</v>
      </c>
      <c r="U6408" s="1" t="str">
        <f>HYPERLINK("http://ictvonline.org/taxonomy/p/taxonomy-history?taxnode_id=202110406","ICTVonline=202110406")</f>
        <v>ICTVonline=202110406</v>
      </c>
    </row>
    <row r="6409" spans="1:21" x14ac:dyDescent="0.2">
      <c r="A6409" s="3">
        <v>6408</v>
      </c>
      <c r="B6409" s="1" t="s">
        <v>4226</v>
      </c>
      <c r="D6409" s="1" t="s">
        <v>5412</v>
      </c>
      <c r="F6409" s="1" t="s">
        <v>5466</v>
      </c>
      <c r="H6409" s="1" t="s">
        <v>6729</v>
      </c>
      <c r="J6409" s="1" t="s">
        <v>6730</v>
      </c>
      <c r="L6409" s="1" t="s">
        <v>6892</v>
      </c>
      <c r="N6409" s="1" t="s">
        <v>7086</v>
      </c>
      <c r="P6409" s="1" t="s">
        <v>7087</v>
      </c>
      <c r="Q6409" s="30" t="s">
        <v>2567</v>
      </c>
      <c r="R6409" s="33" t="s">
        <v>3472</v>
      </c>
      <c r="S6409">
        <v>36</v>
      </c>
      <c r="T6409" s="1" t="s">
        <v>12971</v>
      </c>
      <c r="U6409" s="1" t="str">
        <f>HYPERLINK("http://ictvonline.org/taxonomy/p/taxonomy-history?taxnode_id=202110408","ICTVonline=202110408")</f>
        <v>ICTVonline=202110408</v>
      </c>
    </row>
    <row r="6410" spans="1:21" x14ac:dyDescent="0.2">
      <c r="A6410" s="3">
        <v>6409</v>
      </c>
      <c r="B6410" s="1" t="s">
        <v>4226</v>
      </c>
      <c r="D6410" s="1" t="s">
        <v>5412</v>
      </c>
      <c r="F6410" s="1" t="s">
        <v>5466</v>
      </c>
      <c r="H6410" s="1" t="s">
        <v>6729</v>
      </c>
      <c r="J6410" s="1" t="s">
        <v>6730</v>
      </c>
      <c r="L6410" s="1" t="s">
        <v>6892</v>
      </c>
      <c r="N6410" s="1" t="s">
        <v>7086</v>
      </c>
      <c r="P6410" s="1" t="s">
        <v>7088</v>
      </c>
      <c r="Q6410" s="30" t="s">
        <v>2567</v>
      </c>
      <c r="R6410" s="33" t="s">
        <v>3472</v>
      </c>
      <c r="S6410">
        <v>36</v>
      </c>
      <c r="T6410" s="1" t="s">
        <v>12971</v>
      </c>
      <c r="U6410" s="1" t="str">
        <f>HYPERLINK("http://ictvonline.org/taxonomy/p/taxonomy-history?taxnode_id=202110409","ICTVonline=202110409")</f>
        <v>ICTVonline=202110409</v>
      </c>
    </row>
    <row r="6411" spans="1:21" x14ac:dyDescent="0.2">
      <c r="A6411" s="3">
        <v>6410</v>
      </c>
      <c r="B6411" s="1" t="s">
        <v>4226</v>
      </c>
      <c r="D6411" s="1" t="s">
        <v>5412</v>
      </c>
      <c r="F6411" s="1" t="s">
        <v>5466</v>
      </c>
      <c r="H6411" s="1" t="s">
        <v>6729</v>
      </c>
      <c r="J6411" s="1" t="s">
        <v>6730</v>
      </c>
      <c r="L6411" s="1" t="s">
        <v>6892</v>
      </c>
      <c r="N6411" s="1" t="s">
        <v>7089</v>
      </c>
      <c r="P6411" s="1" t="s">
        <v>7090</v>
      </c>
      <c r="Q6411" s="30" t="s">
        <v>2567</v>
      </c>
      <c r="R6411" s="33" t="s">
        <v>3472</v>
      </c>
      <c r="S6411">
        <v>36</v>
      </c>
      <c r="T6411" s="1" t="s">
        <v>12971</v>
      </c>
      <c r="U6411" s="1" t="str">
        <f>HYPERLINK("http://ictvonline.org/taxonomy/p/taxonomy-history?taxnode_id=202110411","ICTVonline=202110411")</f>
        <v>ICTVonline=202110411</v>
      </c>
    </row>
    <row r="6412" spans="1:21" x14ac:dyDescent="0.2">
      <c r="A6412" s="3">
        <v>6411</v>
      </c>
      <c r="B6412" s="1" t="s">
        <v>4226</v>
      </c>
      <c r="D6412" s="1" t="s">
        <v>5412</v>
      </c>
      <c r="F6412" s="1" t="s">
        <v>5466</v>
      </c>
      <c r="H6412" s="1" t="s">
        <v>6729</v>
      </c>
      <c r="J6412" s="1" t="s">
        <v>6730</v>
      </c>
      <c r="L6412" s="1" t="s">
        <v>6892</v>
      </c>
      <c r="N6412" s="1" t="s">
        <v>7091</v>
      </c>
      <c r="P6412" s="1" t="s">
        <v>7092</v>
      </c>
      <c r="Q6412" s="30" t="s">
        <v>2567</v>
      </c>
      <c r="R6412" s="33" t="s">
        <v>3472</v>
      </c>
      <c r="S6412">
        <v>36</v>
      </c>
      <c r="T6412" s="1" t="s">
        <v>12971</v>
      </c>
      <c r="U6412" s="1" t="str">
        <f>HYPERLINK("http://ictvonline.org/taxonomy/p/taxonomy-history?taxnode_id=202110413","ICTVonline=202110413")</f>
        <v>ICTVonline=202110413</v>
      </c>
    </row>
    <row r="6413" spans="1:21" x14ac:dyDescent="0.2">
      <c r="A6413" s="3">
        <v>6412</v>
      </c>
      <c r="B6413" s="1" t="s">
        <v>4226</v>
      </c>
      <c r="D6413" s="1" t="s">
        <v>5412</v>
      </c>
      <c r="F6413" s="1" t="s">
        <v>5466</v>
      </c>
      <c r="H6413" s="1" t="s">
        <v>6729</v>
      </c>
      <c r="J6413" s="1" t="s">
        <v>6730</v>
      </c>
      <c r="L6413" s="1" t="s">
        <v>6892</v>
      </c>
      <c r="N6413" s="1" t="s">
        <v>7091</v>
      </c>
      <c r="P6413" s="1" t="s">
        <v>7093</v>
      </c>
      <c r="Q6413" s="30" t="s">
        <v>2567</v>
      </c>
      <c r="R6413" s="33" t="s">
        <v>3472</v>
      </c>
      <c r="S6413">
        <v>36</v>
      </c>
      <c r="T6413" s="1" t="s">
        <v>12971</v>
      </c>
      <c r="U6413" s="1" t="str">
        <f>HYPERLINK("http://ictvonline.org/taxonomy/p/taxonomy-history?taxnode_id=202110414","ICTVonline=202110414")</f>
        <v>ICTVonline=202110414</v>
      </c>
    </row>
    <row r="6414" spans="1:21" x14ac:dyDescent="0.2">
      <c r="A6414" s="3">
        <v>6413</v>
      </c>
      <c r="B6414" s="1" t="s">
        <v>4226</v>
      </c>
      <c r="D6414" s="1" t="s">
        <v>5412</v>
      </c>
      <c r="F6414" s="1" t="s">
        <v>5466</v>
      </c>
      <c r="H6414" s="1" t="s">
        <v>6729</v>
      </c>
      <c r="J6414" s="1" t="s">
        <v>6730</v>
      </c>
      <c r="L6414" s="1" t="s">
        <v>6892</v>
      </c>
      <c r="N6414" s="1" t="s">
        <v>7094</v>
      </c>
      <c r="P6414" s="1" t="s">
        <v>7095</v>
      </c>
      <c r="Q6414" s="30" t="s">
        <v>2567</v>
      </c>
      <c r="R6414" s="33" t="s">
        <v>3472</v>
      </c>
      <c r="S6414">
        <v>36</v>
      </c>
      <c r="T6414" s="1" t="s">
        <v>12971</v>
      </c>
      <c r="U6414" s="1" t="str">
        <f>HYPERLINK("http://ictvonline.org/taxonomy/p/taxonomy-history?taxnode_id=202110416","ICTVonline=202110416")</f>
        <v>ICTVonline=202110416</v>
      </c>
    </row>
    <row r="6415" spans="1:21" x14ac:dyDescent="0.2">
      <c r="A6415" s="3">
        <v>6414</v>
      </c>
      <c r="B6415" s="1" t="s">
        <v>4226</v>
      </c>
      <c r="D6415" s="1" t="s">
        <v>5412</v>
      </c>
      <c r="F6415" s="1" t="s">
        <v>5466</v>
      </c>
      <c r="H6415" s="1" t="s">
        <v>6729</v>
      </c>
      <c r="J6415" s="1" t="s">
        <v>6730</v>
      </c>
      <c r="L6415" s="1" t="s">
        <v>6892</v>
      </c>
      <c r="N6415" s="1" t="s">
        <v>7096</v>
      </c>
      <c r="P6415" s="1" t="s">
        <v>7097</v>
      </c>
      <c r="Q6415" s="30" t="s">
        <v>2567</v>
      </c>
      <c r="R6415" s="33" t="s">
        <v>3472</v>
      </c>
      <c r="S6415">
        <v>36</v>
      </c>
      <c r="T6415" s="1" t="s">
        <v>12971</v>
      </c>
      <c r="U6415" s="1" t="str">
        <f>HYPERLINK("http://ictvonline.org/taxonomy/p/taxonomy-history?taxnode_id=202110419","ICTVonline=202110419")</f>
        <v>ICTVonline=202110419</v>
      </c>
    </row>
    <row r="6416" spans="1:21" x14ac:dyDescent="0.2">
      <c r="A6416" s="3">
        <v>6415</v>
      </c>
      <c r="B6416" s="1" t="s">
        <v>4226</v>
      </c>
      <c r="D6416" s="1" t="s">
        <v>5412</v>
      </c>
      <c r="F6416" s="1" t="s">
        <v>5466</v>
      </c>
      <c r="H6416" s="1" t="s">
        <v>6729</v>
      </c>
      <c r="J6416" s="1" t="s">
        <v>6730</v>
      </c>
      <c r="L6416" s="1" t="s">
        <v>6892</v>
      </c>
      <c r="N6416" s="1" t="s">
        <v>7096</v>
      </c>
      <c r="P6416" s="1" t="s">
        <v>7098</v>
      </c>
      <c r="Q6416" s="30" t="s">
        <v>2567</v>
      </c>
      <c r="R6416" s="33" t="s">
        <v>3472</v>
      </c>
      <c r="S6416">
        <v>36</v>
      </c>
      <c r="T6416" s="1" t="s">
        <v>12971</v>
      </c>
      <c r="U6416" s="1" t="str">
        <f>HYPERLINK("http://ictvonline.org/taxonomy/p/taxonomy-history?taxnode_id=202110418","ICTVonline=202110418")</f>
        <v>ICTVonline=202110418</v>
      </c>
    </row>
    <row r="6417" spans="1:21" x14ac:dyDescent="0.2">
      <c r="A6417" s="3">
        <v>6416</v>
      </c>
      <c r="B6417" s="1" t="s">
        <v>4226</v>
      </c>
      <c r="D6417" s="1" t="s">
        <v>5412</v>
      </c>
      <c r="F6417" s="1" t="s">
        <v>5466</v>
      </c>
      <c r="H6417" s="1" t="s">
        <v>6729</v>
      </c>
      <c r="J6417" s="1" t="s">
        <v>6730</v>
      </c>
      <c r="L6417" s="1" t="s">
        <v>6892</v>
      </c>
      <c r="N6417" s="1" t="s">
        <v>7099</v>
      </c>
      <c r="P6417" s="1" t="s">
        <v>7100</v>
      </c>
      <c r="Q6417" s="30" t="s">
        <v>2567</v>
      </c>
      <c r="R6417" s="33" t="s">
        <v>3472</v>
      </c>
      <c r="S6417">
        <v>36</v>
      </c>
      <c r="T6417" s="1" t="s">
        <v>12971</v>
      </c>
      <c r="U6417" s="1" t="str">
        <f>HYPERLINK("http://ictvonline.org/taxonomy/p/taxonomy-history?taxnode_id=202110421","ICTVonline=202110421")</f>
        <v>ICTVonline=202110421</v>
      </c>
    </row>
    <row r="6418" spans="1:21" x14ac:dyDescent="0.2">
      <c r="A6418" s="3">
        <v>6417</v>
      </c>
      <c r="B6418" s="1" t="s">
        <v>4226</v>
      </c>
      <c r="D6418" s="1" t="s">
        <v>5412</v>
      </c>
      <c r="F6418" s="1" t="s">
        <v>5466</v>
      </c>
      <c r="H6418" s="1" t="s">
        <v>6729</v>
      </c>
      <c r="J6418" s="1" t="s">
        <v>6730</v>
      </c>
      <c r="L6418" s="1" t="s">
        <v>6892</v>
      </c>
      <c r="N6418" s="1" t="s">
        <v>7101</v>
      </c>
      <c r="P6418" s="1" t="s">
        <v>7102</v>
      </c>
      <c r="Q6418" s="30" t="s">
        <v>2567</v>
      </c>
      <c r="R6418" s="33" t="s">
        <v>3472</v>
      </c>
      <c r="S6418">
        <v>36</v>
      </c>
      <c r="T6418" s="1" t="s">
        <v>12971</v>
      </c>
      <c r="U6418" s="1" t="str">
        <f>HYPERLINK("http://ictvonline.org/taxonomy/p/taxonomy-history?taxnode_id=202110423","ICTVonline=202110423")</f>
        <v>ICTVonline=202110423</v>
      </c>
    </row>
    <row r="6419" spans="1:21" x14ac:dyDescent="0.2">
      <c r="A6419" s="3">
        <v>6418</v>
      </c>
      <c r="B6419" s="1" t="s">
        <v>4226</v>
      </c>
      <c r="D6419" s="1" t="s">
        <v>5412</v>
      </c>
      <c r="F6419" s="1" t="s">
        <v>5466</v>
      </c>
      <c r="H6419" s="1" t="s">
        <v>6729</v>
      </c>
      <c r="J6419" s="1" t="s">
        <v>6730</v>
      </c>
      <c r="L6419" s="1" t="s">
        <v>6892</v>
      </c>
      <c r="N6419" s="1" t="s">
        <v>7103</v>
      </c>
      <c r="P6419" s="1" t="s">
        <v>7104</v>
      </c>
      <c r="Q6419" s="30" t="s">
        <v>2567</v>
      </c>
      <c r="R6419" s="33" t="s">
        <v>3472</v>
      </c>
      <c r="S6419">
        <v>36</v>
      </c>
      <c r="T6419" s="1" t="s">
        <v>12971</v>
      </c>
      <c r="U6419" s="1" t="str">
        <f>HYPERLINK("http://ictvonline.org/taxonomy/p/taxonomy-history?taxnode_id=202110425","ICTVonline=202110425")</f>
        <v>ICTVonline=202110425</v>
      </c>
    </row>
    <row r="6420" spans="1:21" x14ac:dyDescent="0.2">
      <c r="A6420" s="3">
        <v>6419</v>
      </c>
      <c r="B6420" s="1" t="s">
        <v>4226</v>
      </c>
      <c r="D6420" s="1" t="s">
        <v>5412</v>
      </c>
      <c r="F6420" s="1" t="s">
        <v>5466</v>
      </c>
      <c r="H6420" s="1" t="s">
        <v>6729</v>
      </c>
      <c r="J6420" s="1" t="s">
        <v>6730</v>
      </c>
      <c r="L6420" s="1" t="s">
        <v>6892</v>
      </c>
      <c r="N6420" s="1" t="s">
        <v>7105</v>
      </c>
      <c r="P6420" s="1" t="s">
        <v>7106</v>
      </c>
      <c r="Q6420" s="30" t="s">
        <v>2567</v>
      </c>
      <c r="R6420" s="33" t="s">
        <v>3472</v>
      </c>
      <c r="S6420">
        <v>36</v>
      </c>
      <c r="T6420" s="1" t="s">
        <v>12971</v>
      </c>
      <c r="U6420" s="1" t="str">
        <f>HYPERLINK("http://ictvonline.org/taxonomy/p/taxonomy-history?taxnode_id=202110427","ICTVonline=202110427")</f>
        <v>ICTVonline=202110427</v>
      </c>
    </row>
    <row r="6421" spans="1:21" x14ac:dyDescent="0.2">
      <c r="A6421" s="3">
        <v>6420</v>
      </c>
      <c r="B6421" s="1" t="s">
        <v>4226</v>
      </c>
      <c r="D6421" s="1" t="s">
        <v>5412</v>
      </c>
      <c r="F6421" s="1" t="s">
        <v>5466</v>
      </c>
      <c r="H6421" s="1" t="s">
        <v>6729</v>
      </c>
      <c r="J6421" s="1" t="s">
        <v>6730</v>
      </c>
      <c r="L6421" s="1" t="s">
        <v>6892</v>
      </c>
      <c r="N6421" s="1" t="s">
        <v>7107</v>
      </c>
      <c r="P6421" s="1" t="s">
        <v>7108</v>
      </c>
      <c r="Q6421" s="30" t="s">
        <v>2567</v>
      </c>
      <c r="R6421" s="33" t="s">
        <v>3472</v>
      </c>
      <c r="S6421">
        <v>36</v>
      </c>
      <c r="T6421" s="1" t="s">
        <v>12971</v>
      </c>
      <c r="U6421" s="1" t="str">
        <f>HYPERLINK("http://ictvonline.org/taxonomy/p/taxonomy-history?taxnode_id=202110429","ICTVonline=202110429")</f>
        <v>ICTVonline=202110429</v>
      </c>
    </row>
    <row r="6422" spans="1:21" x14ac:dyDescent="0.2">
      <c r="A6422" s="3">
        <v>6421</v>
      </c>
      <c r="B6422" s="1" t="s">
        <v>4226</v>
      </c>
      <c r="D6422" s="1" t="s">
        <v>5412</v>
      </c>
      <c r="F6422" s="1" t="s">
        <v>5466</v>
      </c>
      <c r="H6422" s="1" t="s">
        <v>6729</v>
      </c>
      <c r="J6422" s="1" t="s">
        <v>6730</v>
      </c>
      <c r="L6422" s="1" t="s">
        <v>6892</v>
      </c>
      <c r="N6422" s="1" t="s">
        <v>7109</v>
      </c>
      <c r="P6422" s="1" t="s">
        <v>7110</v>
      </c>
      <c r="Q6422" s="30" t="s">
        <v>2567</v>
      </c>
      <c r="R6422" s="33" t="s">
        <v>3472</v>
      </c>
      <c r="S6422">
        <v>36</v>
      </c>
      <c r="T6422" s="1" t="s">
        <v>12971</v>
      </c>
      <c r="U6422" s="1" t="str">
        <f>HYPERLINK("http://ictvonline.org/taxonomy/p/taxonomy-history?taxnode_id=202110431","ICTVonline=202110431")</f>
        <v>ICTVonline=202110431</v>
      </c>
    </row>
    <row r="6423" spans="1:21" x14ac:dyDescent="0.2">
      <c r="A6423" s="3">
        <v>6422</v>
      </c>
      <c r="B6423" s="1" t="s">
        <v>4226</v>
      </c>
      <c r="D6423" s="1" t="s">
        <v>5412</v>
      </c>
      <c r="F6423" s="1" t="s">
        <v>5466</v>
      </c>
      <c r="H6423" s="1" t="s">
        <v>6729</v>
      </c>
      <c r="J6423" s="1" t="s">
        <v>6730</v>
      </c>
      <c r="L6423" s="1" t="s">
        <v>6892</v>
      </c>
      <c r="N6423" s="1" t="s">
        <v>7111</v>
      </c>
      <c r="P6423" s="1" t="s">
        <v>7112</v>
      </c>
      <c r="Q6423" s="30" t="s">
        <v>2567</v>
      </c>
      <c r="R6423" s="33" t="s">
        <v>3472</v>
      </c>
      <c r="S6423">
        <v>36</v>
      </c>
      <c r="T6423" s="1" t="s">
        <v>12971</v>
      </c>
      <c r="U6423" s="1" t="str">
        <f>HYPERLINK("http://ictvonline.org/taxonomy/p/taxonomy-history?taxnode_id=202110433","ICTVonline=202110433")</f>
        <v>ICTVonline=202110433</v>
      </c>
    </row>
    <row r="6424" spans="1:21" x14ac:dyDescent="0.2">
      <c r="A6424" s="3">
        <v>6423</v>
      </c>
      <c r="B6424" s="1" t="s">
        <v>4226</v>
      </c>
      <c r="D6424" s="1" t="s">
        <v>5412</v>
      </c>
      <c r="F6424" s="1" t="s">
        <v>5466</v>
      </c>
      <c r="H6424" s="1" t="s">
        <v>6729</v>
      </c>
      <c r="J6424" s="1" t="s">
        <v>6730</v>
      </c>
      <c r="L6424" s="1" t="s">
        <v>6892</v>
      </c>
      <c r="N6424" s="1" t="s">
        <v>7113</v>
      </c>
      <c r="P6424" s="1" t="s">
        <v>7114</v>
      </c>
      <c r="Q6424" s="30" t="s">
        <v>2567</v>
      </c>
      <c r="R6424" s="33" t="s">
        <v>3472</v>
      </c>
      <c r="S6424">
        <v>36</v>
      </c>
      <c r="T6424" s="1" t="s">
        <v>12971</v>
      </c>
      <c r="U6424" s="1" t="str">
        <f>HYPERLINK("http://ictvonline.org/taxonomy/p/taxonomy-history?taxnode_id=202110435","ICTVonline=202110435")</f>
        <v>ICTVonline=202110435</v>
      </c>
    </row>
    <row r="6425" spans="1:21" x14ac:dyDescent="0.2">
      <c r="A6425" s="3">
        <v>6424</v>
      </c>
      <c r="B6425" s="1" t="s">
        <v>4226</v>
      </c>
      <c r="D6425" s="1" t="s">
        <v>5412</v>
      </c>
      <c r="F6425" s="1" t="s">
        <v>5466</v>
      </c>
      <c r="H6425" s="1" t="s">
        <v>6729</v>
      </c>
      <c r="J6425" s="1" t="s">
        <v>6730</v>
      </c>
      <c r="L6425" s="1" t="s">
        <v>6892</v>
      </c>
      <c r="N6425" s="1" t="s">
        <v>7115</v>
      </c>
      <c r="P6425" s="1" t="s">
        <v>7116</v>
      </c>
      <c r="Q6425" s="30" t="s">
        <v>2567</v>
      </c>
      <c r="R6425" s="33" t="s">
        <v>3472</v>
      </c>
      <c r="S6425">
        <v>36</v>
      </c>
      <c r="T6425" s="1" t="s">
        <v>12971</v>
      </c>
      <c r="U6425" s="1" t="str">
        <f>HYPERLINK("http://ictvonline.org/taxonomy/p/taxonomy-history?taxnode_id=202110437","ICTVonline=202110437")</f>
        <v>ICTVonline=202110437</v>
      </c>
    </row>
    <row r="6426" spans="1:21" x14ac:dyDescent="0.2">
      <c r="A6426" s="3">
        <v>6425</v>
      </c>
      <c r="B6426" s="1" t="s">
        <v>4226</v>
      </c>
      <c r="D6426" s="1" t="s">
        <v>5412</v>
      </c>
      <c r="F6426" s="1" t="s">
        <v>5466</v>
      </c>
      <c r="H6426" s="1" t="s">
        <v>6729</v>
      </c>
      <c r="J6426" s="1" t="s">
        <v>6730</v>
      </c>
      <c r="L6426" s="1" t="s">
        <v>6892</v>
      </c>
      <c r="N6426" s="1" t="s">
        <v>7117</v>
      </c>
      <c r="P6426" s="1" t="s">
        <v>7118</v>
      </c>
      <c r="Q6426" s="30" t="s">
        <v>2567</v>
      </c>
      <c r="R6426" s="33" t="s">
        <v>3472</v>
      </c>
      <c r="S6426">
        <v>36</v>
      </c>
      <c r="T6426" s="1" t="s">
        <v>12971</v>
      </c>
      <c r="U6426" s="1" t="str">
        <f>HYPERLINK("http://ictvonline.org/taxonomy/p/taxonomy-history?taxnode_id=202110439","ICTVonline=202110439")</f>
        <v>ICTVonline=202110439</v>
      </c>
    </row>
    <row r="6427" spans="1:21" x14ac:dyDescent="0.2">
      <c r="A6427" s="3">
        <v>6426</v>
      </c>
      <c r="B6427" s="1" t="s">
        <v>4226</v>
      </c>
      <c r="D6427" s="1" t="s">
        <v>5412</v>
      </c>
      <c r="F6427" s="1" t="s">
        <v>5466</v>
      </c>
      <c r="H6427" s="1" t="s">
        <v>6729</v>
      </c>
      <c r="J6427" s="1" t="s">
        <v>6730</v>
      </c>
      <c r="L6427" s="1" t="s">
        <v>6892</v>
      </c>
      <c r="N6427" s="1" t="s">
        <v>7119</v>
      </c>
      <c r="P6427" s="1" t="s">
        <v>7120</v>
      </c>
      <c r="Q6427" s="30" t="s">
        <v>2567</v>
      </c>
      <c r="R6427" s="33" t="s">
        <v>3472</v>
      </c>
      <c r="S6427">
        <v>36</v>
      </c>
      <c r="T6427" s="1" t="s">
        <v>12971</v>
      </c>
      <c r="U6427" s="1" t="str">
        <f>HYPERLINK("http://ictvonline.org/taxonomy/p/taxonomy-history?taxnode_id=202110441","ICTVonline=202110441")</f>
        <v>ICTVonline=202110441</v>
      </c>
    </row>
    <row r="6428" spans="1:21" x14ac:dyDescent="0.2">
      <c r="A6428" s="3">
        <v>6427</v>
      </c>
      <c r="B6428" s="1" t="s">
        <v>4226</v>
      </c>
      <c r="D6428" s="1" t="s">
        <v>5412</v>
      </c>
      <c r="F6428" s="1" t="s">
        <v>5466</v>
      </c>
      <c r="H6428" s="1" t="s">
        <v>6729</v>
      </c>
      <c r="J6428" s="1" t="s">
        <v>6730</v>
      </c>
      <c r="L6428" s="1" t="s">
        <v>6892</v>
      </c>
      <c r="N6428" s="1" t="s">
        <v>7119</v>
      </c>
      <c r="P6428" s="1" t="s">
        <v>7121</v>
      </c>
      <c r="Q6428" s="30" t="s">
        <v>2567</v>
      </c>
      <c r="R6428" s="33" t="s">
        <v>3472</v>
      </c>
      <c r="S6428">
        <v>36</v>
      </c>
      <c r="T6428" s="1" t="s">
        <v>12971</v>
      </c>
      <c r="U6428" s="1" t="str">
        <f>HYPERLINK("http://ictvonline.org/taxonomy/p/taxonomy-history?taxnode_id=202110442","ICTVonline=202110442")</f>
        <v>ICTVonline=202110442</v>
      </c>
    </row>
    <row r="6429" spans="1:21" x14ac:dyDescent="0.2">
      <c r="A6429" s="3">
        <v>6428</v>
      </c>
      <c r="B6429" s="1" t="s">
        <v>4226</v>
      </c>
      <c r="D6429" s="1" t="s">
        <v>5412</v>
      </c>
      <c r="F6429" s="1" t="s">
        <v>5466</v>
      </c>
      <c r="H6429" s="1" t="s">
        <v>6729</v>
      </c>
      <c r="J6429" s="1" t="s">
        <v>6730</v>
      </c>
      <c r="L6429" s="1" t="s">
        <v>6892</v>
      </c>
      <c r="N6429" s="1" t="s">
        <v>7119</v>
      </c>
      <c r="P6429" s="1" t="s">
        <v>7122</v>
      </c>
      <c r="Q6429" s="30" t="s">
        <v>2567</v>
      </c>
      <c r="R6429" s="33" t="s">
        <v>3472</v>
      </c>
      <c r="S6429">
        <v>36</v>
      </c>
      <c r="T6429" s="1" t="s">
        <v>12971</v>
      </c>
      <c r="U6429" s="1" t="str">
        <f>HYPERLINK("http://ictvonline.org/taxonomy/p/taxonomy-history?taxnode_id=202110443","ICTVonline=202110443")</f>
        <v>ICTVonline=202110443</v>
      </c>
    </row>
    <row r="6430" spans="1:21" x14ac:dyDescent="0.2">
      <c r="A6430" s="3">
        <v>6429</v>
      </c>
      <c r="B6430" s="1" t="s">
        <v>4226</v>
      </c>
      <c r="D6430" s="1" t="s">
        <v>5412</v>
      </c>
      <c r="F6430" s="1" t="s">
        <v>5466</v>
      </c>
      <c r="H6430" s="1" t="s">
        <v>6729</v>
      </c>
      <c r="J6430" s="1" t="s">
        <v>6730</v>
      </c>
      <c r="L6430" s="1" t="s">
        <v>6892</v>
      </c>
      <c r="N6430" s="1" t="s">
        <v>7123</v>
      </c>
      <c r="P6430" s="1" t="s">
        <v>7124</v>
      </c>
      <c r="Q6430" s="30" t="s">
        <v>2567</v>
      </c>
      <c r="R6430" s="33" t="s">
        <v>3472</v>
      </c>
      <c r="S6430">
        <v>36</v>
      </c>
      <c r="T6430" s="1" t="s">
        <v>12971</v>
      </c>
      <c r="U6430" s="1" t="str">
        <f>HYPERLINK("http://ictvonline.org/taxonomy/p/taxonomy-history?taxnode_id=202110445","ICTVonline=202110445")</f>
        <v>ICTVonline=202110445</v>
      </c>
    </row>
    <row r="6431" spans="1:21" x14ac:dyDescent="0.2">
      <c r="A6431" s="3">
        <v>6430</v>
      </c>
      <c r="B6431" s="1" t="s">
        <v>4226</v>
      </c>
      <c r="D6431" s="1" t="s">
        <v>5412</v>
      </c>
      <c r="F6431" s="1" t="s">
        <v>5466</v>
      </c>
      <c r="H6431" s="1" t="s">
        <v>6729</v>
      </c>
      <c r="J6431" s="1" t="s">
        <v>6730</v>
      </c>
      <c r="L6431" s="1" t="s">
        <v>6892</v>
      </c>
      <c r="N6431" s="1" t="s">
        <v>7123</v>
      </c>
      <c r="P6431" s="1" t="s">
        <v>7125</v>
      </c>
      <c r="Q6431" s="30" t="s">
        <v>2567</v>
      </c>
      <c r="R6431" s="33" t="s">
        <v>3472</v>
      </c>
      <c r="S6431">
        <v>36</v>
      </c>
      <c r="T6431" s="1" t="s">
        <v>12971</v>
      </c>
      <c r="U6431" s="1" t="str">
        <f>HYPERLINK("http://ictvonline.org/taxonomy/p/taxonomy-history?taxnode_id=202110446","ICTVonline=202110446")</f>
        <v>ICTVonline=202110446</v>
      </c>
    </row>
    <row r="6432" spans="1:21" x14ac:dyDescent="0.2">
      <c r="A6432" s="3">
        <v>6431</v>
      </c>
      <c r="B6432" s="1" t="s">
        <v>4226</v>
      </c>
      <c r="D6432" s="1" t="s">
        <v>5412</v>
      </c>
      <c r="F6432" s="1" t="s">
        <v>5466</v>
      </c>
      <c r="H6432" s="1" t="s">
        <v>6729</v>
      </c>
      <c r="J6432" s="1" t="s">
        <v>6730</v>
      </c>
      <c r="L6432" s="1" t="s">
        <v>6892</v>
      </c>
      <c r="N6432" s="1" t="s">
        <v>7126</v>
      </c>
      <c r="P6432" s="1" t="s">
        <v>7127</v>
      </c>
      <c r="Q6432" s="30" t="s">
        <v>2567</v>
      </c>
      <c r="R6432" s="33" t="s">
        <v>3472</v>
      </c>
      <c r="S6432">
        <v>36</v>
      </c>
      <c r="T6432" s="1" t="s">
        <v>12971</v>
      </c>
      <c r="U6432" s="1" t="str">
        <f>HYPERLINK("http://ictvonline.org/taxonomy/p/taxonomy-history?taxnode_id=202110448","ICTVonline=202110448")</f>
        <v>ICTVonline=202110448</v>
      </c>
    </row>
    <row r="6433" spans="1:21" x14ac:dyDescent="0.2">
      <c r="A6433" s="3">
        <v>6432</v>
      </c>
      <c r="B6433" s="1" t="s">
        <v>4226</v>
      </c>
      <c r="D6433" s="1" t="s">
        <v>5412</v>
      </c>
      <c r="F6433" s="1" t="s">
        <v>5466</v>
      </c>
      <c r="H6433" s="1" t="s">
        <v>6729</v>
      </c>
      <c r="J6433" s="1" t="s">
        <v>6730</v>
      </c>
      <c r="L6433" s="1" t="s">
        <v>6892</v>
      </c>
      <c r="N6433" s="1" t="s">
        <v>7128</v>
      </c>
      <c r="P6433" s="1" t="s">
        <v>7129</v>
      </c>
      <c r="Q6433" s="30" t="s">
        <v>2567</v>
      </c>
      <c r="R6433" s="33" t="s">
        <v>3472</v>
      </c>
      <c r="S6433">
        <v>36</v>
      </c>
      <c r="T6433" s="1" t="s">
        <v>12971</v>
      </c>
      <c r="U6433" s="1" t="str">
        <f>HYPERLINK("http://ictvonline.org/taxonomy/p/taxonomy-history?taxnode_id=202110450","ICTVonline=202110450")</f>
        <v>ICTVonline=202110450</v>
      </c>
    </row>
    <row r="6434" spans="1:21" x14ac:dyDescent="0.2">
      <c r="A6434" s="3">
        <v>6433</v>
      </c>
      <c r="B6434" s="1" t="s">
        <v>4226</v>
      </c>
      <c r="D6434" s="1" t="s">
        <v>5412</v>
      </c>
      <c r="F6434" s="1" t="s">
        <v>5466</v>
      </c>
      <c r="H6434" s="1" t="s">
        <v>6729</v>
      </c>
      <c r="J6434" s="1" t="s">
        <v>6730</v>
      </c>
      <c r="L6434" s="1" t="s">
        <v>6892</v>
      </c>
      <c r="N6434" s="1" t="s">
        <v>7130</v>
      </c>
      <c r="P6434" s="1" t="s">
        <v>7131</v>
      </c>
      <c r="Q6434" s="30" t="s">
        <v>2567</v>
      </c>
      <c r="R6434" s="33" t="s">
        <v>3472</v>
      </c>
      <c r="S6434">
        <v>36</v>
      </c>
      <c r="T6434" s="1" t="s">
        <v>12971</v>
      </c>
      <c r="U6434" s="1" t="str">
        <f>HYPERLINK("http://ictvonline.org/taxonomy/p/taxonomy-history?taxnode_id=202110452","ICTVonline=202110452")</f>
        <v>ICTVonline=202110452</v>
      </c>
    </row>
    <row r="6435" spans="1:21" x14ac:dyDescent="0.2">
      <c r="A6435" s="3">
        <v>6434</v>
      </c>
      <c r="B6435" s="1" t="s">
        <v>4226</v>
      </c>
      <c r="D6435" s="1" t="s">
        <v>5412</v>
      </c>
      <c r="F6435" s="1" t="s">
        <v>5466</v>
      </c>
      <c r="H6435" s="1" t="s">
        <v>6729</v>
      </c>
      <c r="J6435" s="1" t="s">
        <v>6730</v>
      </c>
      <c r="L6435" s="1" t="s">
        <v>6892</v>
      </c>
      <c r="N6435" s="1" t="s">
        <v>7132</v>
      </c>
      <c r="P6435" s="1" t="s">
        <v>7133</v>
      </c>
      <c r="Q6435" s="30" t="s">
        <v>2567</v>
      </c>
      <c r="R6435" s="33" t="s">
        <v>3472</v>
      </c>
      <c r="S6435">
        <v>36</v>
      </c>
      <c r="T6435" s="1" t="s">
        <v>12971</v>
      </c>
      <c r="U6435" s="1" t="str">
        <f>HYPERLINK("http://ictvonline.org/taxonomy/p/taxonomy-history?taxnode_id=202110454","ICTVonline=202110454")</f>
        <v>ICTVonline=202110454</v>
      </c>
    </row>
    <row r="6436" spans="1:21" x14ac:dyDescent="0.2">
      <c r="A6436" s="3">
        <v>6435</v>
      </c>
      <c r="B6436" s="1" t="s">
        <v>4226</v>
      </c>
      <c r="D6436" s="1" t="s">
        <v>5412</v>
      </c>
      <c r="F6436" s="1" t="s">
        <v>5466</v>
      </c>
      <c r="H6436" s="1" t="s">
        <v>6729</v>
      </c>
      <c r="J6436" s="1" t="s">
        <v>6730</v>
      </c>
      <c r="L6436" s="1" t="s">
        <v>6892</v>
      </c>
      <c r="N6436" s="1" t="s">
        <v>7134</v>
      </c>
      <c r="P6436" s="1" t="s">
        <v>7135</v>
      </c>
      <c r="Q6436" s="30" t="s">
        <v>2567</v>
      </c>
      <c r="R6436" s="33" t="s">
        <v>3472</v>
      </c>
      <c r="S6436">
        <v>36</v>
      </c>
      <c r="T6436" s="1" t="s">
        <v>12971</v>
      </c>
      <c r="U6436" s="1" t="str">
        <f>HYPERLINK("http://ictvonline.org/taxonomy/p/taxonomy-history?taxnode_id=202110456","ICTVonline=202110456")</f>
        <v>ICTVonline=202110456</v>
      </c>
    </row>
    <row r="6437" spans="1:21" x14ac:dyDescent="0.2">
      <c r="A6437" s="3">
        <v>6436</v>
      </c>
      <c r="B6437" s="1" t="s">
        <v>4226</v>
      </c>
      <c r="D6437" s="1" t="s">
        <v>5412</v>
      </c>
      <c r="F6437" s="1" t="s">
        <v>5466</v>
      </c>
      <c r="H6437" s="1" t="s">
        <v>6729</v>
      </c>
      <c r="J6437" s="1" t="s">
        <v>6730</v>
      </c>
      <c r="L6437" s="1" t="s">
        <v>6892</v>
      </c>
      <c r="N6437" s="1" t="s">
        <v>7136</v>
      </c>
      <c r="P6437" s="1" t="s">
        <v>7137</v>
      </c>
      <c r="Q6437" s="30" t="s">
        <v>2567</v>
      </c>
      <c r="R6437" s="33" t="s">
        <v>3472</v>
      </c>
      <c r="S6437">
        <v>36</v>
      </c>
      <c r="T6437" s="1" t="s">
        <v>12971</v>
      </c>
      <c r="U6437" s="1" t="str">
        <f>HYPERLINK("http://ictvonline.org/taxonomy/p/taxonomy-history?taxnode_id=202110458","ICTVonline=202110458")</f>
        <v>ICTVonline=202110458</v>
      </c>
    </row>
    <row r="6438" spans="1:21" x14ac:dyDescent="0.2">
      <c r="A6438" s="3">
        <v>6437</v>
      </c>
      <c r="B6438" s="1" t="s">
        <v>4226</v>
      </c>
      <c r="D6438" s="1" t="s">
        <v>5412</v>
      </c>
      <c r="F6438" s="1" t="s">
        <v>5466</v>
      </c>
      <c r="H6438" s="1" t="s">
        <v>6729</v>
      </c>
      <c r="J6438" s="1" t="s">
        <v>6730</v>
      </c>
      <c r="L6438" s="1" t="s">
        <v>6892</v>
      </c>
      <c r="N6438" s="1" t="s">
        <v>7138</v>
      </c>
      <c r="P6438" s="1" t="s">
        <v>7139</v>
      </c>
      <c r="Q6438" s="30" t="s">
        <v>2567</v>
      </c>
      <c r="R6438" s="33" t="s">
        <v>3472</v>
      </c>
      <c r="S6438">
        <v>36</v>
      </c>
      <c r="T6438" s="1" t="s">
        <v>12971</v>
      </c>
      <c r="U6438" s="1" t="str">
        <f>HYPERLINK("http://ictvonline.org/taxonomy/p/taxonomy-history?taxnode_id=202110460","ICTVonline=202110460")</f>
        <v>ICTVonline=202110460</v>
      </c>
    </row>
    <row r="6439" spans="1:21" x14ac:dyDescent="0.2">
      <c r="A6439" s="3">
        <v>6438</v>
      </c>
      <c r="B6439" s="1" t="s">
        <v>4226</v>
      </c>
      <c r="D6439" s="1" t="s">
        <v>5412</v>
      </c>
      <c r="F6439" s="1" t="s">
        <v>5466</v>
      </c>
      <c r="H6439" s="1" t="s">
        <v>6729</v>
      </c>
      <c r="J6439" s="1" t="s">
        <v>6730</v>
      </c>
      <c r="L6439" s="1" t="s">
        <v>6892</v>
      </c>
      <c r="N6439" s="1" t="s">
        <v>7140</v>
      </c>
      <c r="P6439" s="1" t="s">
        <v>7141</v>
      </c>
      <c r="Q6439" s="30" t="s">
        <v>2567</v>
      </c>
      <c r="R6439" s="33" t="s">
        <v>3472</v>
      </c>
      <c r="S6439">
        <v>36</v>
      </c>
      <c r="T6439" s="1" t="s">
        <v>12971</v>
      </c>
      <c r="U6439" s="1" t="str">
        <f>HYPERLINK("http://ictvonline.org/taxonomy/p/taxonomy-history?taxnode_id=202110462","ICTVonline=202110462")</f>
        <v>ICTVonline=202110462</v>
      </c>
    </row>
    <row r="6440" spans="1:21" x14ac:dyDescent="0.2">
      <c r="A6440" s="3">
        <v>6439</v>
      </c>
      <c r="B6440" s="1" t="s">
        <v>4226</v>
      </c>
      <c r="D6440" s="1" t="s">
        <v>5412</v>
      </c>
      <c r="F6440" s="1" t="s">
        <v>5466</v>
      </c>
      <c r="H6440" s="1" t="s">
        <v>6729</v>
      </c>
      <c r="J6440" s="1" t="s">
        <v>6730</v>
      </c>
      <c r="L6440" s="1" t="s">
        <v>6892</v>
      </c>
      <c r="N6440" s="1" t="s">
        <v>7142</v>
      </c>
      <c r="P6440" s="1" t="s">
        <v>7143</v>
      </c>
      <c r="Q6440" s="30" t="s">
        <v>2567</v>
      </c>
      <c r="R6440" s="33" t="s">
        <v>3472</v>
      </c>
      <c r="S6440">
        <v>36</v>
      </c>
      <c r="T6440" s="1" t="s">
        <v>12971</v>
      </c>
      <c r="U6440" s="1" t="str">
        <f>HYPERLINK("http://ictvonline.org/taxonomy/p/taxonomy-history?taxnode_id=202110465","ICTVonline=202110465")</f>
        <v>ICTVonline=202110465</v>
      </c>
    </row>
    <row r="6441" spans="1:21" x14ac:dyDescent="0.2">
      <c r="A6441" s="3">
        <v>6440</v>
      </c>
      <c r="B6441" s="1" t="s">
        <v>4226</v>
      </c>
      <c r="D6441" s="1" t="s">
        <v>5412</v>
      </c>
      <c r="F6441" s="1" t="s">
        <v>5466</v>
      </c>
      <c r="H6441" s="1" t="s">
        <v>6729</v>
      </c>
      <c r="J6441" s="1" t="s">
        <v>6730</v>
      </c>
      <c r="L6441" s="1" t="s">
        <v>6892</v>
      </c>
      <c r="N6441" s="1" t="s">
        <v>7142</v>
      </c>
      <c r="P6441" s="1" t="s">
        <v>7144</v>
      </c>
      <c r="Q6441" s="30" t="s">
        <v>2567</v>
      </c>
      <c r="R6441" s="33" t="s">
        <v>3472</v>
      </c>
      <c r="S6441">
        <v>36</v>
      </c>
      <c r="T6441" s="1" t="s">
        <v>12971</v>
      </c>
      <c r="U6441" s="1" t="str">
        <f>HYPERLINK("http://ictvonline.org/taxonomy/p/taxonomy-history?taxnode_id=202110466","ICTVonline=202110466")</f>
        <v>ICTVonline=202110466</v>
      </c>
    </row>
    <row r="6442" spans="1:21" x14ac:dyDescent="0.2">
      <c r="A6442" s="3">
        <v>6441</v>
      </c>
      <c r="B6442" s="1" t="s">
        <v>4226</v>
      </c>
      <c r="D6442" s="1" t="s">
        <v>5412</v>
      </c>
      <c r="F6442" s="1" t="s">
        <v>5466</v>
      </c>
      <c r="H6442" s="1" t="s">
        <v>6729</v>
      </c>
      <c r="J6442" s="1" t="s">
        <v>6730</v>
      </c>
      <c r="L6442" s="1" t="s">
        <v>6892</v>
      </c>
      <c r="N6442" s="1" t="s">
        <v>7142</v>
      </c>
      <c r="P6442" s="1" t="s">
        <v>7145</v>
      </c>
      <c r="Q6442" s="30" t="s">
        <v>2567</v>
      </c>
      <c r="R6442" s="33" t="s">
        <v>3472</v>
      </c>
      <c r="S6442">
        <v>36</v>
      </c>
      <c r="T6442" s="1" t="s">
        <v>12971</v>
      </c>
      <c r="U6442" s="1" t="str">
        <f>HYPERLINK("http://ictvonline.org/taxonomy/p/taxonomy-history?taxnode_id=202110468","ICTVonline=202110468")</f>
        <v>ICTVonline=202110468</v>
      </c>
    </row>
    <row r="6443" spans="1:21" x14ac:dyDescent="0.2">
      <c r="A6443" s="3">
        <v>6442</v>
      </c>
      <c r="B6443" s="1" t="s">
        <v>4226</v>
      </c>
      <c r="D6443" s="1" t="s">
        <v>5412</v>
      </c>
      <c r="F6443" s="1" t="s">
        <v>5466</v>
      </c>
      <c r="H6443" s="1" t="s">
        <v>6729</v>
      </c>
      <c r="J6443" s="1" t="s">
        <v>6730</v>
      </c>
      <c r="L6443" s="1" t="s">
        <v>6892</v>
      </c>
      <c r="N6443" s="1" t="s">
        <v>7142</v>
      </c>
      <c r="P6443" s="1" t="s">
        <v>7146</v>
      </c>
      <c r="Q6443" s="30" t="s">
        <v>2567</v>
      </c>
      <c r="R6443" s="33" t="s">
        <v>3472</v>
      </c>
      <c r="S6443">
        <v>36</v>
      </c>
      <c r="T6443" s="1" t="s">
        <v>12971</v>
      </c>
      <c r="U6443" s="1" t="str">
        <f>HYPERLINK("http://ictvonline.org/taxonomy/p/taxonomy-history?taxnode_id=202110469","ICTVonline=202110469")</f>
        <v>ICTVonline=202110469</v>
      </c>
    </row>
    <row r="6444" spans="1:21" x14ac:dyDescent="0.2">
      <c r="A6444" s="3">
        <v>6443</v>
      </c>
      <c r="B6444" s="1" t="s">
        <v>4226</v>
      </c>
      <c r="D6444" s="1" t="s">
        <v>5412</v>
      </c>
      <c r="F6444" s="1" t="s">
        <v>5466</v>
      </c>
      <c r="H6444" s="1" t="s">
        <v>6729</v>
      </c>
      <c r="J6444" s="1" t="s">
        <v>6730</v>
      </c>
      <c r="L6444" s="1" t="s">
        <v>6892</v>
      </c>
      <c r="N6444" s="1" t="s">
        <v>7142</v>
      </c>
      <c r="P6444" s="1" t="s">
        <v>7147</v>
      </c>
      <c r="Q6444" s="30" t="s">
        <v>2567</v>
      </c>
      <c r="R6444" s="33" t="s">
        <v>3472</v>
      </c>
      <c r="S6444">
        <v>36</v>
      </c>
      <c r="T6444" s="1" t="s">
        <v>12971</v>
      </c>
      <c r="U6444" s="1" t="str">
        <f>HYPERLINK("http://ictvonline.org/taxonomy/p/taxonomy-history?taxnode_id=202110470","ICTVonline=202110470")</f>
        <v>ICTVonline=202110470</v>
      </c>
    </row>
    <row r="6445" spans="1:21" x14ac:dyDescent="0.2">
      <c r="A6445" s="3">
        <v>6444</v>
      </c>
      <c r="B6445" s="1" t="s">
        <v>4226</v>
      </c>
      <c r="D6445" s="1" t="s">
        <v>5412</v>
      </c>
      <c r="F6445" s="1" t="s">
        <v>5466</v>
      </c>
      <c r="H6445" s="1" t="s">
        <v>6729</v>
      </c>
      <c r="J6445" s="1" t="s">
        <v>6730</v>
      </c>
      <c r="L6445" s="1" t="s">
        <v>6892</v>
      </c>
      <c r="N6445" s="1" t="s">
        <v>7142</v>
      </c>
      <c r="P6445" s="1" t="s">
        <v>7148</v>
      </c>
      <c r="Q6445" s="30" t="s">
        <v>2567</v>
      </c>
      <c r="R6445" s="33" t="s">
        <v>3472</v>
      </c>
      <c r="S6445">
        <v>36</v>
      </c>
      <c r="T6445" s="1" t="s">
        <v>12971</v>
      </c>
      <c r="U6445" s="1" t="str">
        <f>HYPERLINK("http://ictvonline.org/taxonomy/p/taxonomy-history?taxnode_id=202110464","ICTVonline=202110464")</f>
        <v>ICTVonline=202110464</v>
      </c>
    </row>
    <row r="6446" spans="1:21" x14ac:dyDescent="0.2">
      <c r="A6446" s="3">
        <v>6445</v>
      </c>
      <c r="B6446" s="1" t="s">
        <v>4226</v>
      </c>
      <c r="D6446" s="1" t="s">
        <v>5412</v>
      </c>
      <c r="F6446" s="1" t="s">
        <v>5466</v>
      </c>
      <c r="H6446" s="1" t="s">
        <v>6729</v>
      </c>
      <c r="J6446" s="1" t="s">
        <v>6730</v>
      </c>
      <c r="L6446" s="1" t="s">
        <v>6892</v>
      </c>
      <c r="N6446" s="1" t="s">
        <v>7142</v>
      </c>
      <c r="P6446" s="1" t="s">
        <v>7149</v>
      </c>
      <c r="Q6446" s="30" t="s">
        <v>2567</v>
      </c>
      <c r="R6446" s="33" t="s">
        <v>3472</v>
      </c>
      <c r="S6446">
        <v>36</v>
      </c>
      <c r="T6446" s="1" t="s">
        <v>12971</v>
      </c>
      <c r="U6446" s="1" t="str">
        <f>HYPERLINK("http://ictvonline.org/taxonomy/p/taxonomy-history?taxnode_id=202110471","ICTVonline=202110471")</f>
        <v>ICTVonline=202110471</v>
      </c>
    </row>
    <row r="6447" spans="1:21" x14ac:dyDescent="0.2">
      <c r="A6447" s="3">
        <v>6446</v>
      </c>
      <c r="B6447" s="1" t="s">
        <v>4226</v>
      </c>
      <c r="D6447" s="1" t="s">
        <v>5412</v>
      </c>
      <c r="F6447" s="1" t="s">
        <v>5466</v>
      </c>
      <c r="H6447" s="1" t="s">
        <v>6729</v>
      </c>
      <c r="J6447" s="1" t="s">
        <v>6730</v>
      </c>
      <c r="L6447" s="1" t="s">
        <v>6892</v>
      </c>
      <c r="N6447" s="1" t="s">
        <v>7142</v>
      </c>
      <c r="P6447" s="1" t="s">
        <v>7150</v>
      </c>
      <c r="Q6447" s="30" t="s">
        <v>2567</v>
      </c>
      <c r="R6447" s="33" t="s">
        <v>3472</v>
      </c>
      <c r="S6447">
        <v>36</v>
      </c>
      <c r="T6447" s="1" t="s">
        <v>12971</v>
      </c>
      <c r="U6447" s="1" t="str">
        <f>HYPERLINK("http://ictvonline.org/taxonomy/p/taxonomy-history?taxnode_id=202110467","ICTVonline=202110467")</f>
        <v>ICTVonline=202110467</v>
      </c>
    </row>
    <row r="6448" spans="1:21" x14ac:dyDescent="0.2">
      <c r="A6448" s="3">
        <v>6447</v>
      </c>
      <c r="B6448" s="1" t="s">
        <v>4226</v>
      </c>
      <c r="D6448" s="1" t="s">
        <v>5412</v>
      </c>
      <c r="F6448" s="1" t="s">
        <v>5466</v>
      </c>
      <c r="H6448" s="1" t="s">
        <v>6729</v>
      </c>
      <c r="J6448" s="1" t="s">
        <v>6730</v>
      </c>
      <c r="L6448" s="1" t="s">
        <v>6892</v>
      </c>
      <c r="N6448" s="1" t="s">
        <v>7151</v>
      </c>
      <c r="P6448" s="1" t="s">
        <v>7152</v>
      </c>
      <c r="Q6448" s="30" t="s">
        <v>2567</v>
      </c>
      <c r="R6448" s="33" t="s">
        <v>3472</v>
      </c>
      <c r="S6448">
        <v>36</v>
      </c>
      <c r="T6448" s="1" t="s">
        <v>12971</v>
      </c>
      <c r="U6448" s="1" t="str">
        <f>HYPERLINK("http://ictvonline.org/taxonomy/p/taxonomy-history?taxnode_id=202110473","ICTVonline=202110473")</f>
        <v>ICTVonline=202110473</v>
      </c>
    </row>
    <row r="6449" spans="1:21" x14ac:dyDescent="0.2">
      <c r="A6449" s="3">
        <v>6448</v>
      </c>
      <c r="B6449" s="1" t="s">
        <v>4226</v>
      </c>
      <c r="D6449" s="1" t="s">
        <v>5412</v>
      </c>
      <c r="F6449" s="1" t="s">
        <v>5466</v>
      </c>
      <c r="H6449" s="1" t="s">
        <v>6729</v>
      </c>
      <c r="J6449" s="1" t="s">
        <v>6730</v>
      </c>
      <c r="L6449" s="1" t="s">
        <v>6892</v>
      </c>
      <c r="N6449" s="1" t="s">
        <v>7151</v>
      </c>
      <c r="P6449" s="1" t="s">
        <v>7153</v>
      </c>
      <c r="Q6449" s="30" t="s">
        <v>2567</v>
      </c>
      <c r="R6449" s="33" t="s">
        <v>3472</v>
      </c>
      <c r="S6449">
        <v>36</v>
      </c>
      <c r="T6449" s="1" t="s">
        <v>12971</v>
      </c>
      <c r="U6449" s="1" t="str">
        <f>HYPERLINK("http://ictvonline.org/taxonomy/p/taxonomy-history?taxnode_id=202110475","ICTVonline=202110475")</f>
        <v>ICTVonline=202110475</v>
      </c>
    </row>
    <row r="6450" spans="1:21" x14ac:dyDescent="0.2">
      <c r="A6450" s="3">
        <v>6449</v>
      </c>
      <c r="B6450" s="1" t="s">
        <v>4226</v>
      </c>
      <c r="D6450" s="1" t="s">
        <v>5412</v>
      </c>
      <c r="F6450" s="1" t="s">
        <v>5466</v>
      </c>
      <c r="H6450" s="1" t="s">
        <v>6729</v>
      </c>
      <c r="J6450" s="1" t="s">
        <v>6730</v>
      </c>
      <c r="L6450" s="1" t="s">
        <v>6892</v>
      </c>
      <c r="N6450" s="1" t="s">
        <v>7151</v>
      </c>
      <c r="P6450" s="1" t="s">
        <v>7154</v>
      </c>
      <c r="Q6450" s="30" t="s">
        <v>2567</v>
      </c>
      <c r="R6450" s="33" t="s">
        <v>3472</v>
      </c>
      <c r="S6450">
        <v>36</v>
      </c>
      <c r="T6450" s="1" t="s">
        <v>12971</v>
      </c>
      <c r="U6450" s="1" t="str">
        <f>HYPERLINK("http://ictvonline.org/taxonomy/p/taxonomy-history?taxnode_id=202110474","ICTVonline=202110474")</f>
        <v>ICTVonline=202110474</v>
      </c>
    </row>
    <row r="6451" spans="1:21" x14ac:dyDescent="0.2">
      <c r="A6451" s="3">
        <v>6450</v>
      </c>
      <c r="B6451" s="1" t="s">
        <v>4226</v>
      </c>
      <c r="D6451" s="1" t="s">
        <v>5412</v>
      </c>
      <c r="F6451" s="1" t="s">
        <v>5466</v>
      </c>
      <c r="H6451" s="1" t="s">
        <v>6729</v>
      </c>
      <c r="J6451" s="1" t="s">
        <v>6730</v>
      </c>
      <c r="L6451" s="1" t="s">
        <v>6892</v>
      </c>
      <c r="N6451" s="1" t="s">
        <v>7155</v>
      </c>
      <c r="P6451" s="1" t="s">
        <v>7156</v>
      </c>
      <c r="Q6451" s="30" t="s">
        <v>2567</v>
      </c>
      <c r="R6451" s="33" t="s">
        <v>3472</v>
      </c>
      <c r="S6451">
        <v>36</v>
      </c>
      <c r="T6451" s="1" t="s">
        <v>12971</v>
      </c>
      <c r="U6451" s="1" t="str">
        <f>HYPERLINK("http://ictvonline.org/taxonomy/p/taxonomy-history?taxnode_id=202110477","ICTVonline=202110477")</f>
        <v>ICTVonline=202110477</v>
      </c>
    </row>
    <row r="6452" spans="1:21" x14ac:dyDescent="0.2">
      <c r="A6452" s="3">
        <v>6451</v>
      </c>
      <c r="B6452" s="1" t="s">
        <v>4226</v>
      </c>
      <c r="D6452" s="1" t="s">
        <v>5412</v>
      </c>
      <c r="F6452" s="1" t="s">
        <v>5466</v>
      </c>
      <c r="H6452" s="1" t="s">
        <v>6729</v>
      </c>
      <c r="J6452" s="1" t="s">
        <v>6730</v>
      </c>
      <c r="L6452" s="1" t="s">
        <v>6892</v>
      </c>
      <c r="N6452" s="1" t="s">
        <v>7155</v>
      </c>
      <c r="P6452" s="1" t="s">
        <v>7157</v>
      </c>
      <c r="Q6452" s="30" t="s">
        <v>2567</v>
      </c>
      <c r="R6452" s="33" t="s">
        <v>3472</v>
      </c>
      <c r="S6452">
        <v>36</v>
      </c>
      <c r="T6452" s="1" t="s">
        <v>12971</v>
      </c>
      <c r="U6452" s="1" t="str">
        <f>HYPERLINK("http://ictvonline.org/taxonomy/p/taxonomy-history?taxnode_id=202110478","ICTVonline=202110478")</f>
        <v>ICTVonline=202110478</v>
      </c>
    </row>
    <row r="6453" spans="1:21" x14ac:dyDescent="0.2">
      <c r="A6453" s="3">
        <v>6452</v>
      </c>
      <c r="B6453" s="1" t="s">
        <v>4226</v>
      </c>
      <c r="D6453" s="1" t="s">
        <v>5412</v>
      </c>
      <c r="F6453" s="1" t="s">
        <v>5466</v>
      </c>
      <c r="H6453" s="1" t="s">
        <v>6729</v>
      </c>
      <c r="J6453" s="1" t="s">
        <v>6730</v>
      </c>
      <c r="L6453" s="1" t="s">
        <v>6892</v>
      </c>
      <c r="N6453" s="1" t="s">
        <v>7158</v>
      </c>
      <c r="P6453" s="1" t="s">
        <v>7159</v>
      </c>
      <c r="Q6453" s="30" t="s">
        <v>2567</v>
      </c>
      <c r="R6453" s="33" t="s">
        <v>3472</v>
      </c>
      <c r="S6453">
        <v>36</v>
      </c>
      <c r="T6453" s="1" t="s">
        <v>12971</v>
      </c>
      <c r="U6453" s="1" t="str">
        <f>HYPERLINK("http://ictvonline.org/taxonomy/p/taxonomy-history?taxnode_id=202110483","ICTVonline=202110483")</f>
        <v>ICTVonline=202110483</v>
      </c>
    </row>
    <row r="6454" spans="1:21" x14ac:dyDescent="0.2">
      <c r="A6454" s="3">
        <v>6453</v>
      </c>
      <c r="B6454" s="1" t="s">
        <v>4226</v>
      </c>
      <c r="D6454" s="1" t="s">
        <v>5412</v>
      </c>
      <c r="F6454" s="1" t="s">
        <v>5466</v>
      </c>
      <c r="H6454" s="1" t="s">
        <v>6729</v>
      </c>
      <c r="J6454" s="1" t="s">
        <v>6730</v>
      </c>
      <c r="L6454" s="1" t="s">
        <v>6892</v>
      </c>
      <c r="N6454" s="1" t="s">
        <v>7158</v>
      </c>
      <c r="P6454" s="1" t="s">
        <v>7160</v>
      </c>
      <c r="Q6454" s="30" t="s">
        <v>2567</v>
      </c>
      <c r="R6454" s="33" t="s">
        <v>3472</v>
      </c>
      <c r="S6454">
        <v>36</v>
      </c>
      <c r="T6454" s="1" t="s">
        <v>12971</v>
      </c>
      <c r="U6454" s="1" t="str">
        <f>HYPERLINK("http://ictvonline.org/taxonomy/p/taxonomy-history?taxnode_id=202110481","ICTVonline=202110481")</f>
        <v>ICTVonline=202110481</v>
      </c>
    </row>
    <row r="6455" spans="1:21" x14ac:dyDescent="0.2">
      <c r="A6455" s="3">
        <v>6454</v>
      </c>
      <c r="B6455" s="1" t="s">
        <v>4226</v>
      </c>
      <c r="D6455" s="1" t="s">
        <v>5412</v>
      </c>
      <c r="F6455" s="1" t="s">
        <v>5466</v>
      </c>
      <c r="H6455" s="1" t="s">
        <v>6729</v>
      </c>
      <c r="J6455" s="1" t="s">
        <v>6730</v>
      </c>
      <c r="L6455" s="1" t="s">
        <v>6892</v>
      </c>
      <c r="N6455" s="1" t="s">
        <v>7158</v>
      </c>
      <c r="P6455" s="1" t="s">
        <v>7161</v>
      </c>
      <c r="Q6455" s="30" t="s">
        <v>2567</v>
      </c>
      <c r="R6455" s="33" t="s">
        <v>3472</v>
      </c>
      <c r="S6455">
        <v>36</v>
      </c>
      <c r="T6455" s="1" t="s">
        <v>12971</v>
      </c>
      <c r="U6455" s="1" t="str">
        <f>HYPERLINK("http://ictvonline.org/taxonomy/p/taxonomy-history?taxnode_id=202110482","ICTVonline=202110482")</f>
        <v>ICTVonline=202110482</v>
      </c>
    </row>
    <row r="6456" spans="1:21" x14ac:dyDescent="0.2">
      <c r="A6456" s="3">
        <v>6455</v>
      </c>
      <c r="B6456" s="1" t="s">
        <v>4226</v>
      </c>
      <c r="D6456" s="1" t="s">
        <v>5412</v>
      </c>
      <c r="F6456" s="1" t="s">
        <v>5466</v>
      </c>
      <c r="H6456" s="1" t="s">
        <v>6729</v>
      </c>
      <c r="J6456" s="1" t="s">
        <v>6730</v>
      </c>
      <c r="L6456" s="1" t="s">
        <v>6892</v>
      </c>
      <c r="N6456" s="1" t="s">
        <v>7158</v>
      </c>
      <c r="P6456" s="1" t="s">
        <v>7162</v>
      </c>
      <c r="Q6456" s="30" t="s">
        <v>2567</v>
      </c>
      <c r="R6456" s="33" t="s">
        <v>3472</v>
      </c>
      <c r="S6456">
        <v>36</v>
      </c>
      <c r="T6456" s="1" t="s">
        <v>12971</v>
      </c>
      <c r="U6456" s="1" t="str">
        <f>HYPERLINK("http://ictvonline.org/taxonomy/p/taxonomy-history?taxnode_id=202110480","ICTVonline=202110480")</f>
        <v>ICTVonline=202110480</v>
      </c>
    </row>
    <row r="6457" spans="1:21" x14ac:dyDescent="0.2">
      <c r="A6457" s="3">
        <v>6456</v>
      </c>
      <c r="B6457" s="1" t="s">
        <v>4226</v>
      </c>
      <c r="D6457" s="1" t="s">
        <v>5412</v>
      </c>
      <c r="F6457" s="1" t="s">
        <v>5466</v>
      </c>
      <c r="H6457" s="1" t="s">
        <v>6729</v>
      </c>
      <c r="J6457" s="1" t="s">
        <v>6730</v>
      </c>
      <c r="L6457" s="1" t="s">
        <v>6892</v>
      </c>
      <c r="N6457" s="1" t="s">
        <v>7158</v>
      </c>
      <c r="P6457" s="1" t="s">
        <v>7163</v>
      </c>
      <c r="Q6457" s="30" t="s">
        <v>2567</v>
      </c>
      <c r="R6457" s="33" t="s">
        <v>3472</v>
      </c>
      <c r="S6457">
        <v>36</v>
      </c>
      <c r="T6457" s="1" t="s">
        <v>12971</v>
      </c>
      <c r="U6457" s="1" t="str">
        <f>HYPERLINK("http://ictvonline.org/taxonomy/p/taxonomy-history?taxnode_id=202110484","ICTVonline=202110484")</f>
        <v>ICTVonline=202110484</v>
      </c>
    </row>
    <row r="6458" spans="1:21" x14ac:dyDescent="0.2">
      <c r="A6458" s="3">
        <v>6457</v>
      </c>
      <c r="B6458" s="1" t="s">
        <v>4226</v>
      </c>
      <c r="D6458" s="1" t="s">
        <v>5412</v>
      </c>
      <c r="F6458" s="1" t="s">
        <v>5466</v>
      </c>
      <c r="H6458" s="1" t="s">
        <v>6729</v>
      </c>
      <c r="J6458" s="1" t="s">
        <v>6730</v>
      </c>
      <c r="L6458" s="1" t="s">
        <v>6892</v>
      </c>
      <c r="N6458" s="1" t="s">
        <v>7158</v>
      </c>
      <c r="P6458" s="1" t="s">
        <v>7164</v>
      </c>
      <c r="Q6458" s="30" t="s">
        <v>2567</v>
      </c>
      <c r="R6458" s="33" t="s">
        <v>3472</v>
      </c>
      <c r="S6458">
        <v>36</v>
      </c>
      <c r="T6458" s="1" t="s">
        <v>12971</v>
      </c>
      <c r="U6458" s="1" t="str">
        <f>HYPERLINK("http://ictvonline.org/taxonomy/p/taxonomy-history?taxnode_id=202110485","ICTVonline=202110485")</f>
        <v>ICTVonline=202110485</v>
      </c>
    </row>
    <row r="6459" spans="1:21" x14ac:dyDescent="0.2">
      <c r="A6459" s="3">
        <v>6458</v>
      </c>
      <c r="B6459" s="1" t="s">
        <v>4226</v>
      </c>
      <c r="D6459" s="1" t="s">
        <v>5412</v>
      </c>
      <c r="F6459" s="1" t="s">
        <v>5466</v>
      </c>
      <c r="H6459" s="1" t="s">
        <v>6729</v>
      </c>
      <c r="J6459" s="1" t="s">
        <v>6730</v>
      </c>
      <c r="L6459" s="1" t="s">
        <v>6892</v>
      </c>
      <c r="N6459" s="1" t="s">
        <v>7165</v>
      </c>
      <c r="P6459" s="1" t="s">
        <v>7166</v>
      </c>
      <c r="Q6459" s="30" t="s">
        <v>2567</v>
      </c>
      <c r="R6459" s="33" t="s">
        <v>3472</v>
      </c>
      <c r="S6459">
        <v>36</v>
      </c>
      <c r="T6459" s="1" t="s">
        <v>12971</v>
      </c>
      <c r="U6459" s="1" t="str">
        <f>HYPERLINK("http://ictvonline.org/taxonomy/p/taxonomy-history?taxnode_id=202110487","ICTVonline=202110487")</f>
        <v>ICTVonline=202110487</v>
      </c>
    </row>
    <row r="6460" spans="1:21" x14ac:dyDescent="0.2">
      <c r="A6460" s="3">
        <v>6459</v>
      </c>
      <c r="B6460" s="1" t="s">
        <v>4226</v>
      </c>
      <c r="D6460" s="1" t="s">
        <v>5412</v>
      </c>
      <c r="F6460" s="1" t="s">
        <v>5466</v>
      </c>
      <c r="H6460" s="1" t="s">
        <v>6729</v>
      </c>
      <c r="J6460" s="1" t="s">
        <v>6730</v>
      </c>
      <c r="L6460" s="1" t="s">
        <v>6892</v>
      </c>
      <c r="N6460" s="1" t="s">
        <v>7167</v>
      </c>
      <c r="P6460" s="1" t="s">
        <v>7168</v>
      </c>
      <c r="Q6460" s="30" t="s">
        <v>2567</v>
      </c>
      <c r="R6460" s="33" t="s">
        <v>3472</v>
      </c>
      <c r="S6460">
        <v>36</v>
      </c>
      <c r="T6460" s="1" t="s">
        <v>12971</v>
      </c>
      <c r="U6460" s="1" t="str">
        <f>HYPERLINK("http://ictvonline.org/taxonomy/p/taxonomy-history?taxnode_id=202110489","ICTVonline=202110489")</f>
        <v>ICTVonline=202110489</v>
      </c>
    </row>
    <row r="6461" spans="1:21" x14ac:dyDescent="0.2">
      <c r="A6461" s="3">
        <v>6460</v>
      </c>
      <c r="B6461" s="1" t="s">
        <v>4226</v>
      </c>
      <c r="D6461" s="1" t="s">
        <v>5412</v>
      </c>
      <c r="F6461" s="1" t="s">
        <v>5466</v>
      </c>
      <c r="H6461" s="1" t="s">
        <v>6729</v>
      </c>
      <c r="J6461" s="1" t="s">
        <v>6730</v>
      </c>
      <c r="L6461" s="1" t="s">
        <v>6892</v>
      </c>
      <c r="N6461" s="1" t="s">
        <v>7169</v>
      </c>
      <c r="P6461" s="1" t="s">
        <v>7170</v>
      </c>
      <c r="Q6461" s="30" t="s">
        <v>2567</v>
      </c>
      <c r="R6461" s="33" t="s">
        <v>3472</v>
      </c>
      <c r="S6461">
        <v>36</v>
      </c>
      <c r="T6461" s="1" t="s">
        <v>12971</v>
      </c>
      <c r="U6461" s="1" t="str">
        <f>HYPERLINK("http://ictvonline.org/taxonomy/p/taxonomy-history?taxnode_id=202110492","ICTVonline=202110492")</f>
        <v>ICTVonline=202110492</v>
      </c>
    </row>
    <row r="6462" spans="1:21" x14ac:dyDescent="0.2">
      <c r="A6462" s="3">
        <v>6461</v>
      </c>
      <c r="B6462" s="1" t="s">
        <v>4226</v>
      </c>
      <c r="D6462" s="1" t="s">
        <v>5412</v>
      </c>
      <c r="F6462" s="1" t="s">
        <v>5466</v>
      </c>
      <c r="H6462" s="1" t="s">
        <v>6729</v>
      </c>
      <c r="J6462" s="1" t="s">
        <v>6730</v>
      </c>
      <c r="L6462" s="1" t="s">
        <v>6892</v>
      </c>
      <c r="N6462" s="1" t="s">
        <v>7169</v>
      </c>
      <c r="P6462" s="1" t="s">
        <v>7171</v>
      </c>
      <c r="Q6462" s="30" t="s">
        <v>2567</v>
      </c>
      <c r="R6462" s="33" t="s">
        <v>3472</v>
      </c>
      <c r="S6462">
        <v>36</v>
      </c>
      <c r="T6462" s="1" t="s">
        <v>12971</v>
      </c>
      <c r="U6462" s="1" t="str">
        <f>HYPERLINK("http://ictvonline.org/taxonomy/p/taxonomy-history?taxnode_id=202110491","ICTVonline=202110491")</f>
        <v>ICTVonline=202110491</v>
      </c>
    </row>
    <row r="6463" spans="1:21" x14ac:dyDescent="0.2">
      <c r="A6463" s="3">
        <v>6462</v>
      </c>
      <c r="B6463" s="1" t="s">
        <v>4226</v>
      </c>
      <c r="D6463" s="1" t="s">
        <v>5412</v>
      </c>
      <c r="F6463" s="1" t="s">
        <v>5466</v>
      </c>
      <c r="H6463" s="1" t="s">
        <v>6729</v>
      </c>
      <c r="J6463" s="1" t="s">
        <v>6730</v>
      </c>
      <c r="L6463" s="1" t="s">
        <v>6892</v>
      </c>
      <c r="N6463" s="1" t="s">
        <v>7172</v>
      </c>
      <c r="P6463" s="1" t="s">
        <v>7173</v>
      </c>
      <c r="Q6463" s="30" t="s">
        <v>2567</v>
      </c>
      <c r="R6463" s="33" t="s">
        <v>3472</v>
      </c>
      <c r="S6463">
        <v>36</v>
      </c>
      <c r="T6463" s="1" t="s">
        <v>12971</v>
      </c>
      <c r="U6463" s="1" t="str">
        <f>HYPERLINK("http://ictvonline.org/taxonomy/p/taxonomy-history?taxnode_id=202110494","ICTVonline=202110494")</f>
        <v>ICTVonline=202110494</v>
      </c>
    </row>
    <row r="6464" spans="1:21" x14ac:dyDescent="0.2">
      <c r="A6464" s="3">
        <v>6463</v>
      </c>
      <c r="B6464" s="1" t="s">
        <v>4226</v>
      </c>
      <c r="D6464" s="1" t="s">
        <v>5412</v>
      </c>
      <c r="F6464" s="1" t="s">
        <v>5466</v>
      </c>
      <c r="H6464" s="1" t="s">
        <v>6729</v>
      </c>
      <c r="J6464" s="1" t="s">
        <v>6730</v>
      </c>
      <c r="L6464" s="1" t="s">
        <v>6892</v>
      </c>
      <c r="N6464" s="1" t="s">
        <v>7174</v>
      </c>
      <c r="P6464" s="1" t="s">
        <v>7175</v>
      </c>
      <c r="Q6464" s="30" t="s">
        <v>2567</v>
      </c>
      <c r="R6464" s="33" t="s">
        <v>3472</v>
      </c>
      <c r="S6464">
        <v>36</v>
      </c>
      <c r="T6464" s="1" t="s">
        <v>12971</v>
      </c>
      <c r="U6464" s="1" t="str">
        <f>HYPERLINK("http://ictvonline.org/taxonomy/p/taxonomy-history?taxnode_id=202110496","ICTVonline=202110496")</f>
        <v>ICTVonline=202110496</v>
      </c>
    </row>
    <row r="6465" spans="1:21" x14ac:dyDescent="0.2">
      <c r="A6465" s="3">
        <v>6464</v>
      </c>
      <c r="B6465" s="1" t="s">
        <v>4226</v>
      </c>
      <c r="D6465" s="1" t="s">
        <v>5412</v>
      </c>
      <c r="F6465" s="1" t="s">
        <v>5466</v>
      </c>
      <c r="H6465" s="1" t="s">
        <v>6729</v>
      </c>
      <c r="J6465" s="1" t="s">
        <v>6730</v>
      </c>
      <c r="L6465" s="1" t="s">
        <v>6892</v>
      </c>
      <c r="N6465" s="1" t="s">
        <v>7174</v>
      </c>
      <c r="P6465" s="1" t="s">
        <v>7176</v>
      </c>
      <c r="Q6465" s="30" t="s">
        <v>2567</v>
      </c>
      <c r="R6465" s="33" t="s">
        <v>3472</v>
      </c>
      <c r="S6465">
        <v>36</v>
      </c>
      <c r="T6465" s="1" t="s">
        <v>12971</v>
      </c>
      <c r="U6465" s="1" t="str">
        <f>HYPERLINK("http://ictvonline.org/taxonomy/p/taxonomy-history?taxnode_id=202110497","ICTVonline=202110497")</f>
        <v>ICTVonline=202110497</v>
      </c>
    </row>
    <row r="6466" spans="1:21" x14ac:dyDescent="0.2">
      <c r="A6466" s="3">
        <v>6465</v>
      </c>
      <c r="B6466" s="1" t="s">
        <v>4226</v>
      </c>
      <c r="D6466" s="1" t="s">
        <v>5412</v>
      </c>
      <c r="F6466" s="1" t="s">
        <v>5466</v>
      </c>
      <c r="H6466" s="1" t="s">
        <v>6729</v>
      </c>
      <c r="J6466" s="1" t="s">
        <v>6730</v>
      </c>
      <c r="L6466" s="1" t="s">
        <v>6892</v>
      </c>
      <c r="N6466" s="1" t="s">
        <v>7174</v>
      </c>
      <c r="P6466" s="1" t="s">
        <v>7177</v>
      </c>
      <c r="Q6466" s="30" t="s">
        <v>2567</v>
      </c>
      <c r="R6466" s="33" t="s">
        <v>3472</v>
      </c>
      <c r="S6466">
        <v>36</v>
      </c>
      <c r="T6466" s="1" t="s">
        <v>12971</v>
      </c>
      <c r="U6466" s="1" t="str">
        <f>HYPERLINK("http://ictvonline.org/taxonomy/p/taxonomy-history?taxnode_id=202110498","ICTVonline=202110498")</f>
        <v>ICTVonline=202110498</v>
      </c>
    </row>
    <row r="6467" spans="1:21" x14ac:dyDescent="0.2">
      <c r="A6467" s="3">
        <v>6466</v>
      </c>
      <c r="B6467" s="1" t="s">
        <v>4226</v>
      </c>
      <c r="D6467" s="1" t="s">
        <v>5412</v>
      </c>
      <c r="F6467" s="1" t="s">
        <v>5466</v>
      </c>
      <c r="H6467" s="1" t="s">
        <v>6729</v>
      </c>
      <c r="J6467" s="1" t="s">
        <v>6730</v>
      </c>
      <c r="L6467" s="1" t="s">
        <v>6892</v>
      </c>
      <c r="N6467" s="1" t="s">
        <v>7178</v>
      </c>
      <c r="P6467" s="1" t="s">
        <v>7179</v>
      </c>
      <c r="Q6467" s="30" t="s">
        <v>2567</v>
      </c>
      <c r="R6467" s="33" t="s">
        <v>3472</v>
      </c>
      <c r="S6467">
        <v>36</v>
      </c>
      <c r="T6467" s="1" t="s">
        <v>12971</v>
      </c>
      <c r="U6467" s="1" t="str">
        <f>HYPERLINK("http://ictvonline.org/taxonomy/p/taxonomy-history?taxnode_id=202110500","ICTVonline=202110500")</f>
        <v>ICTVonline=202110500</v>
      </c>
    </row>
    <row r="6468" spans="1:21" x14ac:dyDescent="0.2">
      <c r="A6468" s="3">
        <v>6467</v>
      </c>
      <c r="B6468" s="1" t="s">
        <v>4226</v>
      </c>
      <c r="D6468" s="1" t="s">
        <v>5412</v>
      </c>
      <c r="F6468" s="1" t="s">
        <v>5466</v>
      </c>
      <c r="H6468" s="1" t="s">
        <v>6729</v>
      </c>
      <c r="J6468" s="1" t="s">
        <v>6730</v>
      </c>
      <c r="L6468" s="1" t="s">
        <v>6892</v>
      </c>
      <c r="N6468" s="1" t="s">
        <v>7180</v>
      </c>
      <c r="P6468" s="1" t="s">
        <v>7181</v>
      </c>
      <c r="Q6468" s="30" t="s">
        <v>2567</v>
      </c>
      <c r="R6468" s="33" t="s">
        <v>3472</v>
      </c>
      <c r="S6468">
        <v>36</v>
      </c>
      <c r="T6468" s="1" t="s">
        <v>12971</v>
      </c>
      <c r="U6468" s="1" t="str">
        <f>HYPERLINK("http://ictvonline.org/taxonomy/p/taxonomy-history?taxnode_id=202110502","ICTVonline=202110502")</f>
        <v>ICTVonline=202110502</v>
      </c>
    </row>
    <row r="6469" spans="1:21" x14ac:dyDescent="0.2">
      <c r="A6469" s="3">
        <v>6468</v>
      </c>
      <c r="B6469" s="1" t="s">
        <v>4226</v>
      </c>
      <c r="D6469" s="1" t="s">
        <v>5412</v>
      </c>
      <c r="F6469" s="1" t="s">
        <v>5466</v>
      </c>
      <c r="H6469" s="1" t="s">
        <v>6729</v>
      </c>
      <c r="J6469" s="1" t="s">
        <v>6730</v>
      </c>
      <c r="L6469" s="1" t="s">
        <v>6892</v>
      </c>
      <c r="N6469" s="1" t="s">
        <v>7182</v>
      </c>
      <c r="P6469" s="1" t="s">
        <v>7183</v>
      </c>
      <c r="Q6469" s="30" t="s">
        <v>2567</v>
      </c>
      <c r="R6469" s="33" t="s">
        <v>3472</v>
      </c>
      <c r="S6469">
        <v>36</v>
      </c>
      <c r="T6469" s="1" t="s">
        <v>12971</v>
      </c>
      <c r="U6469" s="1" t="str">
        <f>HYPERLINK("http://ictvonline.org/taxonomy/p/taxonomy-history?taxnode_id=202110504","ICTVonline=202110504")</f>
        <v>ICTVonline=202110504</v>
      </c>
    </row>
    <row r="6470" spans="1:21" x14ac:dyDescent="0.2">
      <c r="A6470" s="3">
        <v>6469</v>
      </c>
      <c r="B6470" s="1" t="s">
        <v>4226</v>
      </c>
      <c r="D6470" s="1" t="s">
        <v>5412</v>
      </c>
      <c r="F6470" s="1" t="s">
        <v>5466</v>
      </c>
      <c r="H6470" s="1" t="s">
        <v>6729</v>
      </c>
      <c r="J6470" s="1" t="s">
        <v>6730</v>
      </c>
      <c r="L6470" s="1" t="s">
        <v>6892</v>
      </c>
      <c r="N6470" s="1" t="s">
        <v>7182</v>
      </c>
      <c r="P6470" s="1" t="s">
        <v>7184</v>
      </c>
      <c r="Q6470" s="30" t="s">
        <v>2567</v>
      </c>
      <c r="R6470" s="33" t="s">
        <v>3472</v>
      </c>
      <c r="S6470">
        <v>36</v>
      </c>
      <c r="T6470" s="1" t="s">
        <v>12971</v>
      </c>
      <c r="U6470" s="1" t="str">
        <f>HYPERLINK("http://ictvonline.org/taxonomy/p/taxonomy-history?taxnode_id=202110505","ICTVonline=202110505")</f>
        <v>ICTVonline=202110505</v>
      </c>
    </row>
    <row r="6471" spans="1:21" x14ac:dyDescent="0.2">
      <c r="A6471" s="3">
        <v>6470</v>
      </c>
      <c r="B6471" s="1" t="s">
        <v>4226</v>
      </c>
      <c r="D6471" s="1" t="s">
        <v>5412</v>
      </c>
      <c r="F6471" s="1" t="s">
        <v>5466</v>
      </c>
      <c r="H6471" s="1" t="s">
        <v>6729</v>
      </c>
      <c r="J6471" s="1" t="s">
        <v>6730</v>
      </c>
      <c r="L6471" s="1" t="s">
        <v>6892</v>
      </c>
      <c r="N6471" s="1" t="s">
        <v>7185</v>
      </c>
      <c r="P6471" s="1" t="s">
        <v>7186</v>
      </c>
      <c r="Q6471" s="30" t="s">
        <v>2567</v>
      </c>
      <c r="R6471" s="33" t="s">
        <v>3472</v>
      </c>
      <c r="S6471">
        <v>36</v>
      </c>
      <c r="T6471" s="1" t="s">
        <v>12971</v>
      </c>
      <c r="U6471" s="1" t="str">
        <f>HYPERLINK("http://ictvonline.org/taxonomy/p/taxonomy-history?taxnode_id=202110508","ICTVonline=202110508")</f>
        <v>ICTVonline=202110508</v>
      </c>
    </row>
    <row r="6472" spans="1:21" x14ac:dyDescent="0.2">
      <c r="A6472" s="3">
        <v>6471</v>
      </c>
      <c r="B6472" s="1" t="s">
        <v>4226</v>
      </c>
      <c r="D6472" s="1" t="s">
        <v>5412</v>
      </c>
      <c r="F6472" s="1" t="s">
        <v>5466</v>
      </c>
      <c r="H6472" s="1" t="s">
        <v>6729</v>
      </c>
      <c r="J6472" s="1" t="s">
        <v>6730</v>
      </c>
      <c r="L6472" s="1" t="s">
        <v>6892</v>
      </c>
      <c r="N6472" s="1" t="s">
        <v>7185</v>
      </c>
      <c r="P6472" s="1" t="s">
        <v>7187</v>
      </c>
      <c r="Q6472" s="30" t="s">
        <v>2567</v>
      </c>
      <c r="R6472" s="33" t="s">
        <v>3472</v>
      </c>
      <c r="S6472">
        <v>36</v>
      </c>
      <c r="T6472" s="1" t="s">
        <v>12971</v>
      </c>
      <c r="U6472" s="1" t="str">
        <f>HYPERLINK("http://ictvonline.org/taxonomy/p/taxonomy-history?taxnode_id=202110507","ICTVonline=202110507")</f>
        <v>ICTVonline=202110507</v>
      </c>
    </row>
    <row r="6473" spans="1:21" x14ac:dyDescent="0.2">
      <c r="A6473" s="3">
        <v>6472</v>
      </c>
      <c r="B6473" s="1" t="s">
        <v>4226</v>
      </c>
      <c r="D6473" s="1" t="s">
        <v>5412</v>
      </c>
      <c r="F6473" s="1" t="s">
        <v>5466</v>
      </c>
      <c r="H6473" s="1" t="s">
        <v>6729</v>
      </c>
      <c r="J6473" s="1" t="s">
        <v>6730</v>
      </c>
      <c r="L6473" s="1" t="s">
        <v>6892</v>
      </c>
      <c r="N6473" s="1" t="s">
        <v>7188</v>
      </c>
      <c r="P6473" s="1" t="s">
        <v>7189</v>
      </c>
      <c r="Q6473" s="30" t="s">
        <v>2567</v>
      </c>
      <c r="R6473" s="33" t="s">
        <v>3472</v>
      </c>
      <c r="S6473">
        <v>36</v>
      </c>
      <c r="T6473" s="1" t="s">
        <v>12971</v>
      </c>
      <c r="U6473" s="1" t="str">
        <f>HYPERLINK("http://ictvonline.org/taxonomy/p/taxonomy-history?taxnode_id=202110510","ICTVonline=202110510")</f>
        <v>ICTVonline=202110510</v>
      </c>
    </row>
    <row r="6474" spans="1:21" x14ac:dyDescent="0.2">
      <c r="A6474" s="3">
        <v>6473</v>
      </c>
      <c r="B6474" s="1" t="s">
        <v>4226</v>
      </c>
      <c r="D6474" s="1" t="s">
        <v>5412</v>
      </c>
      <c r="F6474" s="1" t="s">
        <v>5466</v>
      </c>
      <c r="H6474" s="1" t="s">
        <v>6729</v>
      </c>
      <c r="J6474" s="1" t="s">
        <v>6730</v>
      </c>
      <c r="L6474" s="1" t="s">
        <v>6892</v>
      </c>
      <c r="N6474" s="1" t="s">
        <v>7190</v>
      </c>
      <c r="P6474" s="1" t="s">
        <v>7191</v>
      </c>
      <c r="Q6474" s="30" t="s">
        <v>2567</v>
      </c>
      <c r="R6474" s="33" t="s">
        <v>3472</v>
      </c>
      <c r="S6474">
        <v>36</v>
      </c>
      <c r="T6474" s="1" t="s">
        <v>12971</v>
      </c>
      <c r="U6474" s="1" t="str">
        <f>HYPERLINK("http://ictvonline.org/taxonomy/p/taxonomy-history?taxnode_id=202110512","ICTVonline=202110512")</f>
        <v>ICTVonline=202110512</v>
      </c>
    </row>
    <row r="6475" spans="1:21" x14ac:dyDescent="0.2">
      <c r="A6475" s="3">
        <v>6474</v>
      </c>
      <c r="B6475" s="1" t="s">
        <v>4226</v>
      </c>
      <c r="D6475" s="1" t="s">
        <v>5412</v>
      </c>
      <c r="F6475" s="1" t="s">
        <v>5466</v>
      </c>
      <c r="H6475" s="1" t="s">
        <v>6729</v>
      </c>
      <c r="J6475" s="1" t="s">
        <v>6730</v>
      </c>
      <c r="L6475" s="1" t="s">
        <v>6892</v>
      </c>
      <c r="N6475" s="1" t="s">
        <v>7192</v>
      </c>
      <c r="P6475" s="1" t="s">
        <v>7193</v>
      </c>
      <c r="Q6475" s="30" t="s">
        <v>2567</v>
      </c>
      <c r="R6475" s="33" t="s">
        <v>3472</v>
      </c>
      <c r="S6475">
        <v>36</v>
      </c>
      <c r="T6475" s="1" t="s">
        <v>12971</v>
      </c>
      <c r="U6475" s="1" t="str">
        <f>HYPERLINK("http://ictvonline.org/taxonomy/p/taxonomy-history?taxnode_id=202110514","ICTVonline=202110514")</f>
        <v>ICTVonline=202110514</v>
      </c>
    </row>
    <row r="6476" spans="1:21" x14ac:dyDescent="0.2">
      <c r="A6476" s="3">
        <v>6475</v>
      </c>
      <c r="B6476" s="1" t="s">
        <v>4226</v>
      </c>
      <c r="D6476" s="1" t="s">
        <v>5412</v>
      </c>
      <c r="F6476" s="1" t="s">
        <v>5466</v>
      </c>
      <c r="H6476" s="1" t="s">
        <v>6729</v>
      </c>
      <c r="J6476" s="1" t="s">
        <v>6730</v>
      </c>
      <c r="L6476" s="1" t="s">
        <v>6892</v>
      </c>
      <c r="N6476" s="1" t="s">
        <v>7194</v>
      </c>
      <c r="P6476" s="1" t="s">
        <v>7195</v>
      </c>
      <c r="Q6476" s="30" t="s">
        <v>2567</v>
      </c>
      <c r="R6476" s="33" t="s">
        <v>3472</v>
      </c>
      <c r="S6476">
        <v>36</v>
      </c>
      <c r="T6476" s="1" t="s">
        <v>12971</v>
      </c>
      <c r="U6476" s="1" t="str">
        <f>HYPERLINK("http://ictvonline.org/taxonomy/p/taxonomy-history?taxnode_id=202110516","ICTVonline=202110516")</f>
        <v>ICTVonline=202110516</v>
      </c>
    </row>
    <row r="6477" spans="1:21" x14ac:dyDescent="0.2">
      <c r="A6477" s="3">
        <v>6476</v>
      </c>
      <c r="B6477" s="1" t="s">
        <v>4226</v>
      </c>
      <c r="D6477" s="1" t="s">
        <v>5412</v>
      </c>
      <c r="F6477" s="1" t="s">
        <v>5466</v>
      </c>
      <c r="H6477" s="1" t="s">
        <v>6729</v>
      </c>
      <c r="J6477" s="1" t="s">
        <v>6730</v>
      </c>
      <c r="L6477" s="1" t="s">
        <v>6892</v>
      </c>
      <c r="N6477" s="1" t="s">
        <v>7196</v>
      </c>
      <c r="P6477" s="1" t="s">
        <v>7197</v>
      </c>
      <c r="Q6477" s="30" t="s">
        <v>2567</v>
      </c>
      <c r="R6477" s="33" t="s">
        <v>3472</v>
      </c>
      <c r="S6477">
        <v>36</v>
      </c>
      <c r="T6477" s="1" t="s">
        <v>12971</v>
      </c>
      <c r="U6477" s="1" t="str">
        <f>HYPERLINK("http://ictvonline.org/taxonomy/p/taxonomy-history?taxnode_id=202110518","ICTVonline=202110518")</f>
        <v>ICTVonline=202110518</v>
      </c>
    </row>
    <row r="6478" spans="1:21" x14ac:dyDescent="0.2">
      <c r="A6478" s="3">
        <v>6477</v>
      </c>
      <c r="B6478" s="1" t="s">
        <v>4226</v>
      </c>
      <c r="D6478" s="1" t="s">
        <v>5412</v>
      </c>
      <c r="F6478" s="1" t="s">
        <v>5466</v>
      </c>
      <c r="H6478" s="1" t="s">
        <v>6729</v>
      </c>
      <c r="J6478" s="1" t="s">
        <v>6730</v>
      </c>
      <c r="L6478" s="1" t="s">
        <v>6892</v>
      </c>
      <c r="N6478" s="1" t="s">
        <v>7198</v>
      </c>
      <c r="P6478" s="1" t="s">
        <v>7199</v>
      </c>
      <c r="Q6478" s="30" t="s">
        <v>2567</v>
      </c>
      <c r="R6478" s="33" t="s">
        <v>3472</v>
      </c>
      <c r="S6478">
        <v>36</v>
      </c>
      <c r="T6478" s="1" t="s">
        <v>12971</v>
      </c>
      <c r="U6478" s="1" t="str">
        <f>HYPERLINK("http://ictvonline.org/taxonomy/p/taxonomy-history?taxnode_id=202110520","ICTVonline=202110520")</f>
        <v>ICTVonline=202110520</v>
      </c>
    </row>
    <row r="6479" spans="1:21" x14ac:dyDescent="0.2">
      <c r="A6479" s="3">
        <v>6478</v>
      </c>
      <c r="B6479" s="1" t="s">
        <v>4226</v>
      </c>
      <c r="D6479" s="1" t="s">
        <v>5412</v>
      </c>
      <c r="F6479" s="1" t="s">
        <v>5466</v>
      </c>
      <c r="H6479" s="1" t="s">
        <v>6729</v>
      </c>
      <c r="J6479" s="1" t="s">
        <v>6730</v>
      </c>
      <c r="L6479" s="1" t="s">
        <v>6892</v>
      </c>
      <c r="N6479" s="1" t="s">
        <v>7200</v>
      </c>
      <c r="P6479" s="1" t="s">
        <v>7201</v>
      </c>
      <c r="Q6479" s="30" t="s">
        <v>2567</v>
      </c>
      <c r="R6479" s="33" t="s">
        <v>3472</v>
      </c>
      <c r="S6479">
        <v>36</v>
      </c>
      <c r="T6479" s="1" t="s">
        <v>12971</v>
      </c>
      <c r="U6479" s="1" t="str">
        <f>HYPERLINK("http://ictvonline.org/taxonomy/p/taxonomy-history?taxnode_id=202110522","ICTVonline=202110522")</f>
        <v>ICTVonline=202110522</v>
      </c>
    </row>
    <row r="6480" spans="1:21" x14ac:dyDescent="0.2">
      <c r="A6480" s="3">
        <v>6479</v>
      </c>
      <c r="B6480" s="1" t="s">
        <v>4226</v>
      </c>
      <c r="D6480" s="1" t="s">
        <v>5412</v>
      </c>
      <c r="F6480" s="1" t="s">
        <v>5466</v>
      </c>
      <c r="H6480" s="1" t="s">
        <v>6729</v>
      </c>
      <c r="J6480" s="1" t="s">
        <v>6730</v>
      </c>
      <c r="L6480" s="1" t="s">
        <v>6892</v>
      </c>
      <c r="N6480" s="1" t="s">
        <v>7202</v>
      </c>
      <c r="P6480" s="1" t="s">
        <v>7203</v>
      </c>
      <c r="Q6480" s="30" t="s">
        <v>2567</v>
      </c>
      <c r="R6480" s="33" t="s">
        <v>3472</v>
      </c>
      <c r="S6480">
        <v>36</v>
      </c>
      <c r="T6480" s="1" t="s">
        <v>12971</v>
      </c>
      <c r="U6480" s="1" t="str">
        <f>HYPERLINK("http://ictvonline.org/taxonomy/p/taxonomy-history?taxnode_id=202110524","ICTVonline=202110524")</f>
        <v>ICTVonline=202110524</v>
      </c>
    </row>
    <row r="6481" spans="1:21" x14ac:dyDescent="0.2">
      <c r="A6481" s="3">
        <v>6480</v>
      </c>
      <c r="B6481" s="1" t="s">
        <v>4226</v>
      </c>
      <c r="D6481" s="1" t="s">
        <v>5412</v>
      </c>
      <c r="F6481" s="1" t="s">
        <v>5466</v>
      </c>
      <c r="H6481" s="1" t="s">
        <v>6729</v>
      </c>
      <c r="J6481" s="1" t="s">
        <v>6730</v>
      </c>
      <c r="L6481" s="1" t="s">
        <v>6892</v>
      </c>
      <c r="N6481" s="1" t="s">
        <v>7204</v>
      </c>
      <c r="P6481" s="1" t="s">
        <v>7205</v>
      </c>
      <c r="Q6481" s="30" t="s">
        <v>2567</v>
      </c>
      <c r="R6481" s="33" t="s">
        <v>3472</v>
      </c>
      <c r="S6481">
        <v>36</v>
      </c>
      <c r="T6481" s="1" t="s">
        <v>12971</v>
      </c>
      <c r="U6481" s="1" t="str">
        <f>HYPERLINK("http://ictvonline.org/taxonomy/p/taxonomy-history?taxnode_id=202110531","ICTVonline=202110531")</f>
        <v>ICTVonline=202110531</v>
      </c>
    </row>
    <row r="6482" spans="1:21" x14ac:dyDescent="0.2">
      <c r="A6482" s="3">
        <v>6481</v>
      </c>
      <c r="B6482" s="1" t="s">
        <v>4226</v>
      </c>
      <c r="D6482" s="1" t="s">
        <v>5412</v>
      </c>
      <c r="F6482" s="1" t="s">
        <v>5466</v>
      </c>
      <c r="H6482" s="1" t="s">
        <v>6729</v>
      </c>
      <c r="J6482" s="1" t="s">
        <v>6730</v>
      </c>
      <c r="L6482" s="1" t="s">
        <v>6892</v>
      </c>
      <c r="N6482" s="1" t="s">
        <v>7204</v>
      </c>
      <c r="P6482" s="1" t="s">
        <v>7206</v>
      </c>
      <c r="Q6482" s="30" t="s">
        <v>2567</v>
      </c>
      <c r="R6482" s="33" t="s">
        <v>3472</v>
      </c>
      <c r="S6482">
        <v>36</v>
      </c>
      <c r="T6482" s="1" t="s">
        <v>12971</v>
      </c>
      <c r="U6482" s="1" t="str">
        <f>HYPERLINK("http://ictvonline.org/taxonomy/p/taxonomy-history?taxnode_id=202110528","ICTVonline=202110528")</f>
        <v>ICTVonline=202110528</v>
      </c>
    </row>
    <row r="6483" spans="1:21" x14ac:dyDescent="0.2">
      <c r="A6483" s="3">
        <v>6482</v>
      </c>
      <c r="B6483" s="1" t="s">
        <v>4226</v>
      </c>
      <c r="D6483" s="1" t="s">
        <v>5412</v>
      </c>
      <c r="F6483" s="1" t="s">
        <v>5466</v>
      </c>
      <c r="H6483" s="1" t="s">
        <v>6729</v>
      </c>
      <c r="J6483" s="1" t="s">
        <v>6730</v>
      </c>
      <c r="L6483" s="1" t="s">
        <v>6892</v>
      </c>
      <c r="N6483" s="1" t="s">
        <v>7204</v>
      </c>
      <c r="P6483" s="1" t="s">
        <v>7207</v>
      </c>
      <c r="Q6483" s="30" t="s">
        <v>2567</v>
      </c>
      <c r="R6483" s="33" t="s">
        <v>3472</v>
      </c>
      <c r="S6483">
        <v>36</v>
      </c>
      <c r="T6483" s="1" t="s">
        <v>12971</v>
      </c>
      <c r="U6483" s="1" t="str">
        <f>HYPERLINK("http://ictvonline.org/taxonomy/p/taxonomy-history?taxnode_id=202110527","ICTVonline=202110527")</f>
        <v>ICTVonline=202110527</v>
      </c>
    </row>
    <row r="6484" spans="1:21" x14ac:dyDescent="0.2">
      <c r="A6484" s="3">
        <v>6483</v>
      </c>
      <c r="B6484" s="1" t="s">
        <v>4226</v>
      </c>
      <c r="D6484" s="1" t="s">
        <v>5412</v>
      </c>
      <c r="F6484" s="1" t="s">
        <v>5466</v>
      </c>
      <c r="H6484" s="1" t="s">
        <v>6729</v>
      </c>
      <c r="J6484" s="1" t="s">
        <v>6730</v>
      </c>
      <c r="L6484" s="1" t="s">
        <v>6892</v>
      </c>
      <c r="N6484" s="1" t="s">
        <v>7204</v>
      </c>
      <c r="P6484" s="1" t="s">
        <v>7208</v>
      </c>
      <c r="Q6484" s="30" t="s">
        <v>2567</v>
      </c>
      <c r="R6484" s="33" t="s">
        <v>3472</v>
      </c>
      <c r="S6484">
        <v>36</v>
      </c>
      <c r="T6484" s="1" t="s">
        <v>12971</v>
      </c>
      <c r="U6484" s="1" t="str">
        <f>HYPERLINK("http://ictvonline.org/taxonomy/p/taxonomy-history?taxnode_id=202110529","ICTVonline=202110529")</f>
        <v>ICTVonline=202110529</v>
      </c>
    </row>
    <row r="6485" spans="1:21" x14ac:dyDescent="0.2">
      <c r="A6485" s="3">
        <v>6484</v>
      </c>
      <c r="B6485" s="1" t="s">
        <v>4226</v>
      </c>
      <c r="D6485" s="1" t="s">
        <v>5412</v>
      </c>
      <c r="F6485" s="1" t="s">
        <v>5466</v>
      </c>
      <c r="H6485" s="1" t="s">
        <v>6729</v>
      </c>
      <c r="J6485" s="1" t="s">
        <v>6730</v>
      </c>
      <c r="L6485" s="1" t="s">
        <v>6892</v>
      </c>
      <c r="N6485" s="1" t="s">
        <v>7204</v>
      </c>
      <c r="P6485" s="1" t="s">
        <v>7209</v>
      </c>
      <c r="Q6485" s="30" t="s">
        <v>2567</v>
      </c>
      <c r="R6485" s="33" t="s">
        <v>3472</v>
      </c>
      <c r="S6485">
        <v>36</v>
      </c>
      <c r="T6485" s="1" t="s">
        <v>12971</v>
      </c>
      <c r="U6485" s="1" t="str">
        <f>HYPERLINK("http://ictvonline.org/taxonomy/p/taxonomy-history?taxnode_id=202110530","ICTVonline=202110530")</f>
        <v>ICTVonline=202110530</v>
      </c>
    </row>
    <row r="6486" spans="1:21" x14ac:dyDescent="0.2">
      <c r="A6486" s="3">
        <v>6485</v>
      </c>
      <c r="B6486" s="1" t="s">
        <v>4226</v>
      </c>
      <c r="D6486" s="1" t="s">
        <v>5412</v>
      </c>
      <c r="F6486" s="1" t="s">
        <v>5466</v>
      </c>
      <c r="H6486" s="1" t="s">
        <v>6729</v>
      </c>
      <c r="J6486" s="1" t="s">
        <v>6730</v>
      </c>
      <c r="L6486" s="1" t="s">
        <v>6892</v>
      </c>
      <c r="N6486" s="1" t="s">
        <v>7204</v>
      </c>
      <c r="P6486" s="1" t="s">
        <v>7210</v>
      </c>
      <c r="Q6486" s="30" t="s">
        <v>2567</v>
      </c>
      <c r="R6486" s="33" t="s">
        <v>3472</v>
      </c>
      <c r="S6486">
        <v>36</v>
      </c>
      <c r="T6486" s="1" t="s">
        <v>12971</v>
      </c>
      <c r="U6486" s="1" t="str">
        <f>HYPERLINK("http://ictvonline.org/taxonomy/p/taxonomy-history?taxnode_id=202110526","ICTVonline=202110526")</f>
        <v>ICTVonline=202110526</v>
      </c>
    </row>
    <row r="6487" spans="1:21" x14ac:dyDescent="0.2">
      <c r="A6487" s="3">
        <v>6486</v>
      </c>
      <c r="B6487" s="1" t="s">
        <v>4226</v>
      </c>
      <c r="D6487" s="1" t="s">
        <v>5412</v>
      </c>
      <c r="F6487" s="1" t="s">
        <v>5466</v>
      </c>
      <c r="H6487" s="1" t="s">
        <v>6729</v>
      </c>
      <c r="J6487" s="1" t="s">
        <v>6730</v>
      </c>
      <c r="L6487" s="1" t="s">
        <v>6892</v>
      </c>
      <c r="N6487" s="1" t="s">
        <v>7211</v>
      </c>
      <c r="P6487" s="1" t="s">
        <v>7212</v>
      </c>
      <c r="Q6487" s="30" t="s">
        <v>2567</v>
      </c>
      <c r="R6487" s="33" t="s">
        <v>3472</v>
      </c>
      <c r="S6487">
        <v>36</v>
      </c>
      <c r="T6487" s="1" t="s">
        <v>12971</v>
      </c>
      <c r="U6487" s="1" t="str">
        <f>HYPERLINK("http://ictvonline.org/taxonomy/p/taxonomy-history?taxnode_id=202110533","ICTVonline=202110533")</f>
        <v>ICTVonline=202110533</v>
      </c>
    </row>
    <row r="6488" spans="1:21" x14ac:dyDescent="0.2">
      <c r="A6488" s="3">
        <v>6487</v>
      </c>
      <c r="B6488" s="1" t="s">
        <v>4226</v>
      </c>
      <c r="D6488" s="1" t="s">
        <v>5412</v>
      </c>
      <c r="F6488" s="1" t="s">
        <v>5466</v>
      </c>
      <c r="H6488" s="1" t="s">
        <v>6729</v>
      </c>
      <c r="J6488" s="1" t="s">
        <v>6730</v>
      </c>
      <c r="L6488" s="1" t="s">
        <v>6892</v>
      </c>
      <c r="N6488" s="1" t="s">
        <v>7213</v>
      </c>
      <c r="P6488" s="1" t="s">
        <v>7214</v>
      </c>
      <c r="Q6488" s="30" t="s">
        <v>2567</v>
      </c>
      <c r="R6488" s="33" t="s">
        <v>3472</v>
      </c>
      <c r="S6488">
        <v>36</v>
      </c>
      <c r="T6488" s="1" t="s">
        <v>12971</v>
      </c>
      <c r="U6488" s="1" t="str">
        <f>HYPERLINK("http://ictvonline.org/taxonomy/p/taxonomy-history?taxnode_id=202110535","ICTVonline=202110535")</f>
        <v>ICTVonline=202110535</v>
      </c>
    </row>
    <row r="6489" spans="1:21" x14ac:dyDescent="0.2">
      <c r="A6489" s="3">
        <v>6488</v>
      </c>
      <c r="B6489" s="1" t="s">
        <v>4226</v>
      </c>
      <c r="D6489" s="1" t="s">
        <v>5412</v>
      </c>
      <c r="F6489" s="1" t="s">
        <v>5466</v>
      </c>
      <c r="H6489" s="1" t="s">
        <v>6729</v>
      </c>
      <c r="J6489" s="1" t="s">
        <v>6730</v>
      </c>
      <c r="L6489" s="1" t="s">
        <v>6892</v>
      </c>
      <c r="N6489" s="1" t="s">
        <v>7215</v>
      </c>
      <c r="P6489" s="1" t="s">
        <v>7216</v>
      </c>
      <c r="Q6489" s="30" t="s">
        <v>2567</v>
      </c>
      <c r="R6489" s="33" t="s">
        <v>3472</v>
      </c>
      <c r="S6489">
        <v>36</v>
      </c>
      <c r="T6489" s="1" t="s">
        <v>12971</v>
      </c>
      <c r="U6489" s="1" t="str">
        <f>HYPERLINK("http://ictvonline.org/taxonomy/p/taxonomy-history?taxnode_id=202110538","ICTVonline=202110538")</f>
        <v>ICTVonline=202110538</v>
      </c>
    </row>
    <row r="6490" spans="1:21" x14ac:dyDescent="0.2">
      <c r="A6490" s="3">
        <v>6489</v>
      </c>
      <c r="B6490" s="1" t="s">
        <v>4226</v>
      </c>
      <c r="D6490" s="1" t="s">
        <v>5412</v>
      </c>
      <c r="F6490" s="1" t="s">
        <v>5466</v>
      </c>
      <c r="H6490" s="1" t="s">
        <v>6729</v>
      </c>
      <c r="J6490" s="1" t="s">
        <v>6730</v>
      </c>
      <c r="L6490" s="1" t="s">
        <v>6892</v>
      </c>
      <c r="N6490" s="1" t="s">
        <v>7215</v>
      </c>
      <c r="P6490" s="1" t="s">
        <v>7217</v>
      </c>
      <c r="Q6490" s="30" t="s">
        <v>2567</v>
      </c>
      <c r="R6490" s="33" t="s">
        <v>3472</v>
      </c>
      <c r="S6490">
        <v>36</v>
      </c>
      <c r="T6490" s="1" t="s">
        <v>12971</v>
      </c>
      <c r="U6490" s="1" t="str">
        <f>HYPERLINK("http://ictvonline.org/taxonomy/p/taxonomy-history?taxnode_id=202110537","ICTVonline=202110537")</f>
        <v>ICTVonline=202110537</v>
      </c>
    </row>
    <row r="6491" spans="1:21" x14ac:dyDescent="0.2">
      <c r="A6491" s="3">
        <v>6490</v>
      </c>
      <c r="B6491" s="1" t="s">
        <v>4226</v>
      </c>
      <c r="D6491" s="1" t="s">
        <v>5412</v>
      </c>
      <c r="F6491" s="1" t="s">
        <v>5466</v>
      </c>
      <c r="H6491" s="1" t="s">
        <v>6729</v>
      </c>
      <c r="J6491" s="1" t="s">
        <v>6730</v>
      </c>
      <c r="L6491" s="1" t="s">
        <v>6892</v>
      </c>
      <c r="N6491" s="1" t="s">
        <v>7218</v>
      </c>
      <c r="P6491" s="1" t="s">
        <v>7219</v>
      </c>
      <c r="Q6491" s="30" t="s">
        <v>2567</v>
      </c>
      <c r="R6491" s="33" t="s">
        <v>3472</v>
      </c>
      <c r="S6491">
        <v>36</v>
      </c>
      <c r="T6491" s="1" t="s">
        <v>12971</v>
      </c>
      <c r="U6491" s="1" t="str">
        <f>HYPERLINK("http://ictvonline.org/taxonomy/p/taxonomy-history?taxnode_id=202110540","ICTVonline=202110540")</f>
        <v>ICTVonline=202110540</v>
      </c>
    </row>
    <row r="6492" spans="1:21" x14ac:dyDescent="0.2">
      <c r="A6492" s="3">
        <v>6491</v>
      </c>
      <c r="B6492" s="1" t="s">
        <v>4226</v>
      </c>
      <c r="D6492" s="1" t="s">
        <v>5412</v>
      </c>
      <c r="F6492" s="1" t="s">
        <v>5466</v>
      </c>
      <c r="H6492" s="1" t="s">
        <v>6729</v>
      </c>
      <c r="J6492" s="1" t="s">
        <v>6730</v>
      </c>
      <c r="L6492" s="1" t="s">
        <v>6892</v>
      </c>
      <c r="N6492" s="1" t="s">
        <v>7220</v>
      </c>
      <c r="P6492" s="1" t="s">
        <v>7221</v>
      </c>
      <c r="Q6492" s="30" t="s">
        <v>2567</v>
      </c>
      <c r="R6492" s="33" t="s">
        <v>3472</v>
      </c>
      <c r="S6492">
        <v>36</v>
      </c>
      <c r="T6492" s="1" t="s">
        <v>12971</v>
      </c>
      <c r="U6492" s="1" t="str">
        <f>HYPERLINK("http://ictvonline.org/taxonomy/p/taxonomy-history?taxnode_id=202110542","ICTVonline=202110542")</f>
        <v>ICTVonline=202110542</v>
      </c>
    </row>
    <row r="6493" spans="1:21" x14ac:dyDescent="0.2">
      <c r="A6493" s="3">
        <v>6492</v>
      </c>
      <c r="B6493" s="1" t="s">
        <v>4226</v>
      </c>
      <c r="D6493" s="1" t="s">
        <v>5412</v>
      </c>
      <c r="F6493" s="1" t="s">
        <v>5466</v>
      </c>
      <c r="H6493" s="1" t="s">
        <v>6729</v>
      </c>
      <c r="J6493" s="1" t="s">
        <v>6730</v>
      </c>
      <c r="L6493" s="1" t="s">
        <v>6892</v>
      </c>
      <c r="N6493" s="1" t="s">
        <v>7220</v>
      </c>
      <c r="P6493" s="1" t="s">
        <v>7222</v>
      </c>
      <c r="Q6493" s="30" t="s">
        <v>2567</v>
      </c>
      <c r="R6493" s="33" t="s">
        <v>3472</v>
      </c>
      <c r="S6493">
        <v>36</v>
      </c>
      <c r="T6493" s="1" t="s">
        <v>12971</v>
      </c>
      <c r="U6493" s="1" t="str">
        <f>HYPERLINK("http://ictvonline.org/taxonomy/p/taxonomy-history?taxnode_id=202110543","ICTVonline=202110543")</f>
        <v>ICTVonline=202110543</v>
      </c>
    </row>
    <row r="6494" spans="1:21" x14ac:dyDescent="0.2">
      <c r="A6494" s="3">
        <v>6493</v>
      </c>
      <c r="B6494" s="1" t="s">
        <v>4226</v>
      </c>
      <c r="D6494" s="1" t="s">
        <v>5412</v>
      </c>
      <c r="F6494" s="1" t="s">
        <v>5466</v>
      </c>
      <c r="H6494" s="1" t="s">
        <v>6729</v>
      </c>
      <c r="J6494" s="1" t="s">
        <v>6730</v>
      </c>
      <c r="L6494" s="1" t="s">
        <v>6892</v>
      </c>
      <c r="N6494" s="1" t="s">
        <v>7223</v>
      </c>
      <c r="P6494" s="1" t="s">
        <v>7224</v>
      </c>
      <c r="Q6494" s="30" t="s">
        <v>2567</v>
      </c>
      <c r="R6494" s="33" t="s">
        <v>3472</v>
      </c>
      <c r="S6494">
        <v>36</v>
      </c>
      <c r="T6494" s="1" t="s">
        <v>12971</v>
      </c>
      <c r="U6494" s="1" t="str">
        <f>HYPERLINK("http://ictvonline.org/taxonomy/p/taxonomy-history?taxnode_id=202110545","ICTVonline=202110545")</f>
        <v>ICTVonline=202110545</v>
      </c>
    </row>
    <row r="6495" spans="1:21" x14ac:dyDescent="0.2">
      <c r="A6495" s="3">
        <v>6494</v>
      </c>
      <c r="B6495" s="1" t="s">
        <v>4226</v>
      </c>
      <c r="D6495" s="1" t="s">
        <v>5412</v>
      </c>
      <c r="F6495" s="1" t="s">
        <v>5466</v>
      </c>
      <c r="H6495" s="1" t="s">
        <v>6729</v>
      </c>
      <c r="J6495" s="1" t="s">
        <v>6730</v>
      </c>
      <c r="L6495" s="1" t="s">
        <v>6892</v>
      </c>
      <c r="N6495" s="1" t="s">
        <v>7225</v>
      </c>
      <c r="P6495" s="1" t="s">
        <v>7226</v>
      </c>
      <c r="Q6495" s="30" t="s">
        <v>2567</v>
      </c>
      <c r="R6495" s="33" t="s">
        <v>3472</v>
      </c>
      <c r="S6495">
        <v>36</v>
      </c>
      <c r="T6495" s="1" t="s">
        <v>12971</v>
      </c>
      <c r="U6495" s="1" t="str">
        <f>HYPERLINK("http://ictvonline.org/taxonomy/p/taxonomy-history?taxnode_id=202110547","ICTVonline=202110547")</f>
        <v>ICTVonline=202110547</v>
      </c>
    </row>
    <row r="6496" spans="1:21" x14ac:dyDescent="0.2">
      <c r="A6496" s="3">
        <v>6495</v>
      </c>
      <c r="B6496" s="1" t="s">
        <v>4226</v>
      </c>
      <c r="D6496" s="1" t="s">
        <v>5412</v>
      </c>
      <c r="F6496" s="1" t="s">
        <v>5466</v>
      </c>
      <c r="H6496" s="1" t="s">
        <v>6729</v>
      </c>
      <c r="J6496" s="1" t="s">
        <v>6730</v>
      </c>
      <c r="L6496" s="1" t="s">
        <v>6892</v>
      </c>
      <c r="N6496" s="1" t="s">
        <v>7227</v>
      </c>
      <c r="P6496" s="1" t="s">
        <v>7228</v>
      </c>
      <c r="Q6496" s="30" t="s">
        <v>2567</v>
      </c>
      <c r="R6496" s="33" t="s">
        <v>3472</v>
      </c>
      <c r="S6496">
        <v>36</v>
      </c>
      <c r="T6496" s="1" t="s">
        <v>12971</v>
      </c>
      <c r="U6496" s="1" t="str">
        <f>HYPERLINK("http://ictvonline.org/taxonomy/p/taxonomy-history?taxnode_id=202110550","ICTVonline=202110550")</f>
        <v>ICTVonline=202110550</v>
      </c>
    </row>
    <row r="6497" spans="1:21" x14ac:dyDescent="0.2">
      <c r="A6497" s="3">
        <v>6496</v>
      </c>
      <c r="B6497" s="1" t="s">
        <v>4226</v>
      </c>
      <c r="D6497" s="1" t="s">
        <v>5412</v>
      </c>
      <c r="F6497" s="1" t="s">
        <v>5466</v>
      </c>
      <c r="H6497" s="1" t="s">
        <v>6729</v>
      </c>
      <c r="J6497" s="1" t="s">
        <v>6730</v>
      </c>
      <c r="L6497" s="1" t="s">
        <v>6892</v>
      </c>
      <c r="N6497" s="1" t="s">
        <v>7227</v>
      </c>
      <c r="P6497" s="1" t="s">
        <v>7229</v>
      </c>
      <c r="Q6497" s="30" t="s">
        <v>2567</v>
      </c>
      <c r="R6497" s="33" t="s">
        <v>3472</v>
      </c>
      <c r="S6497">
        <v>36</v>
      </c>
      <c r="T6497" s="1" t="s">
        <v>12971</v>
      </c>
      <c r="U6497" s="1" t="str">
        <f>HYPERLINK("http://ictvonline.org/taxonomy/p/taxonomy-history?taxnode_id=202110549","ICTVonline=202110549")</f>
        <v>ICTVonline=202110549</v>
      </c>
    </row>
    <row r="6498" spans="1:21" x14ac:dyDescent="0.2">
      <c r="A6498" s="3">
        <v>6497</v>
      </c>
      <c r="B6498" s="1" t="s">
        <v>4226</v>
      </c>
      <c r="D6498" s="1" t="s">
        <v>5412</v>
      </c>
      <c r="F6498" s="1" t="s">
        <v>5466</v>
      </c>
      <c r="H6498" s="1" t="s">
        <v>6729</v>
      </c>
      <c r="J6498" s="1" t="s">
        <v>6730</v>
      </c>
      <c r="L6498" s="1" t="s">
        <v>6892</v>
      </c>
      <c r="N6498" s="1" t="s">
        <v>7230</v>
      </c>
      <c r="P6498" s="1" t="s">
        <v>7231</v>
      </c>
      <c r="Q6498" s="30" t="s">
        <v>2567</v>
      </c>
      <c r="R6498" s="33" t="s">
        <v>3472</v>
      </c>
      <c r="S6498">
        <v>36</v>
      </c>
      <c r="T6498" s="1" t="s">
        <v>12971</v>
      </c>
      <c r="U6498" s="1" t="str">
        <f>HYPERLINK("http://ictvonline.org/taxonomy/p/taxonomy-history?taxnode_id=202110553","ICTVonline=202110553")</f>
        <v>ICTVonline=202110553</v>
      </c>
    </row>
    <row r="6499" spans="1:21" x14ac:dyDescent="0.2">
      <c r="A6499" s="3">
        <v>6498</v>
      </c>
      <c r="B6499" s="1" t="s">
        <v>4226</v>
      </c>
      <c r="D6499" s="1" t="s">
        <v>5412</v>
      </c>
      <c r="F6499" s="1" t="s">
        <v>5466</v>
      </c>
      <c r="H6499" s="1" t="s">
        <v>6729</v>
      </c>
      <c r="J6499" s="1" t="s">
        <v>6730</v>
      </c>
      <c r="L6499" s="1" t="s">
        <v>6892</v>
      </c>
      <c r="N6499" s="1" t="s">
        <v>7230</v>
      </c>
      <c r="P6499" s="1" t="s">
        <v>7232</v>
      </c>
      <c r="Q6499" s="30" t="s">
        <v>2567</v>
      </c>
      <c r="R6499" s="33" t="s">
        <v>3472</v>
      </c>
      <c r="S6499">
        <v>36</v>
      </c>
      <c r="T6499" s="1" t="s">
        <v>12971</v>
      </c>
      <c r="U6499" s="1" t="str">
        <f>HYPERLINK("http://ictvonline.org/taxonomy/p/taxonomy-history?taxnode_id=202110554","ICTVonline=202110554")</f>
        <v>ICTVonline=202110554</v>
      </c>
    </row>
    <row r="6500" spans="1:21" x14ac:dyDescent="0.2">
      <c r="A6500" s="3">
        <v>6499</v>
      </c>
      <c r="B6500" s="1" t="s">
        <v>4226</v>
      </c>
      <c r="D6500" s="1" t="s">
        <v>5412</v>
      </c>
      <c r="F6500" s="1" t="s">
        <v>5466</v>
      </c>
      <c r="H6500" s="1" t="s">
        <v>6729</v>
      </c>
      <c r="J6500" s="1" t="s">
        <v>6730</v>
      </c>
      <c r="L6500" s="1" t="s">
        <v>6892</v>
      </c>
      <c r="N6500" s="1" t="s">
        <v>7230</v>
      </c>
      <c r="P6500" s="1" t="s">
        <v>7233</v>
      </c>
      <c r="Q6500" s="30" t="s">
        <v>2567</v>
      </c>
      <c r="R6500" s="33" t="s">
        <v>3472</v>
      </c>
      <c r="S6500">
        <v>36</v>
      </c>
      <c r="T6500" s="1" t="s">
        <v>12971</v>
      </c>
      <c r="U6500" s="1" t="str">
        <f>HYPERLINK("http://ictvonline.org/taxonomy/p/taxonomy-history?taxnode_id=202110552","ICTVonline=202110552")</f>
        <v>ICTVonline=202110552</v>
      </c>
    </row>
    <row r="6501" spans="1:21" x14ac:dyDescent="0.2">
      <c r="A6501" s="3">
        <v>6500</v>
      </c>
      <c r="B6501" s="1" t="s">
        <v>4226</v>
      </c>
      <c r="D6501" s="1" t="s">
        <v>5412</v>
      </c>
      <c r="F6501" s="1" t="s">
        <v>5466</v>
      </c>
      <c r="H6501" s="1" t="s">
        <v>6729</v>
      </c>
      <c r="J6501" s="1" t="s">
        <v>6730</v>
      </c>
      <c r="L6501" s="1" t="s">
        <v>6892</v>
      </c>
      <c r="N6501" s="1" t="s">
        <v>7234</v>
      </c>
      <c r="P6501" s="1" t="s">
        <v>7235</v>
      </c>
      <c r="Q6501" s="30" t="s">
        <v>2567</v>
      </c>
      <c r="R6501" s="33" t="s">
        <v>3472</v>
      </c>
      <c r="S6501">
        <v>36</v>
      </c>
      <c r="T6501" s="1" t="s">
        <v>12971</v>
      </c>
      <c r="U6501" s="1" t="str">
        <f>HYPERLINK("http://ictvonline.org/taxonomy/p/taxonomy-history?taxnode_id=202110556","ICTVonline=202110556")</f>
        <v>ICTVonline=202110556</v>
      </c>
    </row>
    <row r="6502" spans="1:21" x14ac:dyDescent="0.2">
      <c r="A6502" s="3">
        <v>6501</v>
      </c>
      <c r="B6502" s="1" t="s">
        <v>4226</v>
      </c>
      <c r="D6502" s="1" t="s">
        <v>5412</v>
      </c>
      <c r="F6502" s="1" t="s">
        <v>5466</v>
      </c>
      <c r="H6502" s="1" t="s">
        <v>6729</v>
      </c>
      <c r="J6502" s="1" t="s">
        <v>6730</v>
      </c>
      <c r="L6502" s="1" t="s">
        <v>6892</v>
      </c>
      <c r="N6502" s="1" t="s">
        <v>7234</v>
      </c>
      <c r="P6502" s="1" t="s">
        <v>7236</v>
      </c>
      <c r="Q6502" s="30" t="s">
        <v>2567</v>
      </c>
      <c r="R6502" s="33" t="s">
        <v>3472</v>
      </c>
      <c r="S6502">
        <v>36</v>
      </c>
      <c r="T6502" s="1" t="s">
        <v>12971</v>
      </c>
      <c r="U6502" s="1" t="str">
        <f>HYPERLINK("http://ictvonline.org/taxonomy/p/taxonomy-history?taxnode_id=202110557","ICTVonline=202110557")</f>
        <v>ICTVonline=202110557</v>
      </c>
    </row>
    <row r="6503" spans="1:21" x14ac:dyDescent="0.2">
      <c r="A6503" s="3">
        <v>6502</v>
      </c>
      <c r="B6503" s="1" t="s">
        <v>4226</v>
      </c>
      <c r="D6503" s="1" t="s">
        <v>5412</v>
      </c>
      <c r="F6503" s="1" t="s">
        <v>5466</v>
      </c>
      <c r="H6503" s="1" t="s">
        <v>6729</v>
      </c>
      <c r="J6503" s="1" t="s">
        <v>6730</v>
      </c>
      <c r="L6503" s="1" t="s">
        <v>6892</v>
      </c>
      <c r="N6503" s="1" t="s">
        <v>7237</v>
      </c>
      <c r="P6503" s="1" t="s">
        <v>7238</v>
      </c>
      <c r="Q6503" s="30" t="s">
        <v>2567</v>
      </c>
      <c r="R6503" s="33" t="s">
        <v>3472</v>
      </c>
      <c r="S6503">
        <v>36</v>
      </c>
      <c r="T6503" s="1" t="s">
        <v>12971</v>
      </c>
      <c r="U6503" s="1" t="str">
        <f>HYPERLINK("http://ictvonline.org/taxonomy/p/taxonomy-history?taxnode_id=202110559","ICTVonline=202110559")</f>
        <v>ICTVonline=202110559</v>
      </c>
    </row>
    <row r="6504" spans="1:21" x14ac:dyDescent="0.2">
      <c r="A6504" s="3">
        <v>6503</v>
      </c>
      <c r="B6504" s="1" t="s">
        <v>4226</v>
      </c>
      <c r="D6504" s="1" t="s">
        <v>5412</v>
      </c>
      <c r="F6504" s="1" t="s">
        <v>5466</v>
      </c>
      <c r="H6504" s="1" t="s">
        <v>6729</v>
      </c>
      <c r="J6504" s="1" t="s">
        <v>6730</v>
      </c>
      <c r="L6504" s="1" t="s">
        <v>6892</v>
      </c>
      <c r="N6504" s="1" t="s">
        <v>7237</v>
      </c>
      <c r="P6504" s="1" t="s">
        <v>7239</v>
      </c>
      <c r="Q6504" s="30" t="s">
        <v>2567</v>
      </c>
      <c r="R6504" s="33" t="s">
        <v>3472</v>
      </c>
      <c r="S6504">
        <v>36</v>
      </c>
      <c r="T6504" s="1" t="s">
        <v>12971</v>
      </c>
      <c r="U6504" s="1" t="str">
        <f>HYPERLINK("http://ictvonline.org/taxonomy/p/taxonomy-history?taxnode_id=202110560","ICTVonline=202110560")</f>
        <v>ICTVonline=202110560</v>
      </c>
    </row>
    <row r="6505" spans="1:21" x14ac:dyDescent="0.2">
      <c r="A6505" s="3">
        <v>6504</v>
      </c>
      <c r="B6505" s="1" t="s">
        <v>4226</v>
      </c>
      <c r="D6505" s="1" t="s">
        <v>5412</v>
      </c>
      <c r="F6505" s="1" t="s">
        <v>5466</v>
      </c>
      <c r="H6505" s="1" t="s">
        <v>6729</v>
      </c>
      <c r="J6505" s="1" t="s">
        <v>6730</v>
      </c>
      <c r="L6505" s="1" t="s">
        <v>6892</v>
      </c>
      <c r="N6505" s="1" t="s">
        <v>7237</v>
      </c>
      <c r="P6505" s="1" t="s">
        <v>7240</v>
      </c>
      <c r="Q6505" s="30" t="s">
        <v>2567</v>
      </c>
      <c r="R6505" s="33" t="s">
        <v>3472</v>
      </c>
      <c r="S6505">
        <v>36</v>
      </c>
      <c r="T6505" s="1" t="s">
        <v>12971</v>
      </c>
      <c r="U6505" s="1" t="str">
        <f>HYPERLINK("http://ictvonline.org/taxonomy/p/taxonomy-history?taxnode_id=202110561","ICTVonline=202110561")</f>
        <v>ICTVonline=202110561</v>
      </c>
    </row>
    <row r="6506" spans="1:21" x14ac:dyDescent="0.2">
      <c r="A6506" s="3">
        <v>6505</v>
      </c>
      <c r="B6506" s="1" t="s">
        <v>4226</v>
      </c>
      <c r="D6506" s="1" t="s">
        <v>5412</v>
      </c>
      <c r="F6506" s="1" t="s">
        <v>5466</v>
      </c>
      <c r="H6506" s="1" t="s">
        <v>6729</v>
      </c>
      <c r="J6506" s="1" t="s">
        <v>6730</v>
      </c>
      <c r="L6506" s="1" t="s">
        <v>6892</v>
      </c>
      <c r="N6506" s="1" t="s">
        <v>7237</v>
      </c>
      <c r="P6506" s="1" t="s">
        <v>7241</v>
      </c>
      <c r="Q6506" s="30" t="s">
        <v>2567</v>
      </c>
      <c r="R6506" s="33" t="s">
        <v>3472</v>
      </c>
      <c r="S6506">
        <v>36</v>
      </c>
      <c r="T6506" s="1" t="s">
        <v>12971</v>
      </c>
      <c r="U6506" s="1" t="str">
        <f>HYPERLINK("http://ictvonline.org/taxonomy/p/taxonomy-history?taxnode_id=202110562","ICTVonline=202110562")</f>
        <v>ICTVonline=202110562</v>
      </c>
    </row>
    <row r="6507" spans="1:21" x14ac:dyDescent="0.2">
      <c r="A6507" s="3">
        <v>6506</v>
      </c>
      <c r="B6507" s="1" t="s">
        <v>4226</v>
      </c>
      <c r="D6507" s="1" t="s">
        <v>5412</v>
      </c>
      <c r="F6507" s="1" t="s">
        <v>5466</v>
      </c>
      <c r="H6507" s="1" t="s">
        <v>6729</v>
      </c>
      <c r="J6507" s="1" t="s">
        <v>6730</v>
      </c>
      <c r="L6507" s="1" t="s">
        <v>6892</v>
      </c>
      <c r="N6507" s="1" t="s">
        <v>7242</v>
      </c>
      <c r="P6507" s="1" t="s">
        <v>7243</v>
      </c>
      <c r="Q6507" s="30" t="s">
        <v>2567</v>
      </c>
      <c r="R6507" s="33" t="s">
        <v>3472</v>
      </c>
      <c r="S6507">
        <v>36</v>
      </c>
      <c r="T6507" s="1" t="s">
        <v>12971</v>
      </c>
      <c r="U6507" s="1" t="str">
        <f>HYPERLINK("http://ictvonline.org/taxonomy/p/taxonomy-history?taxnode_id=202110566","ICTVonline=202110566")</f>
        <v>ICTVonline=202110566</v>
      </c>
    </row>
    <row r="6508" spans="1:21" x14ac:dyDescent="0.2">
      <c r="A6508" s="3">
        <v>6507</v>
      </c>
      <c r="B6508" s="1" t="s">
        <v>4226</v>
      </c>
      <c r="D6508" s="1" t="s">
        <v>5412</v>
      </c>
      <c r="F6508" s="1" t="s">
        <v>5466</v>
      </c>
      <c r="H6508" s="1" t="s">
        <v>6729</v>
      </c>
      <c r="J6508" s="1" t="s">
        <v>6730</v>
      </c>
      <c r="L6508" s="1" t="s">
        <v>6892</v>
      </c>
      <c r="N6508" s="1" t="s">
        <v>7242</v>
      </c>
      <c r="P6508" s="1" t="s">
        <v>7244</v>
      </c>
      <c r="Q6508" s="30" t="s">
        <v>2567</v>
      </c>
      <c r="R6508" s="33" t="s">
        <v>3472</v>
      </c>
      <c r="S6508">
        <v>36</v>
      </c>
      <c r="T6508" s="1" t="s">
        <v>12971</v>
      </c>
      <c r="U6508" s="1" t="str">
        <f>HYPERLINK("http://ictvonline.org/taxonomy/p/taxonomy-history?taxnode_id=202110568","ICTVonline=202110568")</f>
        <v>ICTVonline=202110568</v>
      </c>
    </row>
    <row r="6509" spans="1:21" x14ac:dyDescent="0.2">
      <c r="A6509" s="3">
        <v>6508</v>
      </c>
      <c r="B6509" s="1" t="s">
        <v>4226</v>
      </c>
      <c r="D6509" s="1" t="s">
        <v>5412</v>
      </c>
      <c r="F6509" s="1" t="s">
        <v>5466</v>
      </c>
      <c r="H6509" s="1" t="s">
        <v>6729</v>
      </c>
      <c r="J6509" s="1" t="s">
        <v>6730</v>
      </c>
      <c r="L6509" s="1" t="s">
        <v>6892</v>
      </c>
      <c r="N6509" s="1" t="s">
        <v>7242</v>
      </c>
      <c r="P6509" s="1" t="s">
        <v>7245</v>
      </c>
      <c r="Q6509" s="30" t="s">
        <v>2567</v>
      </c>
      <c r="R6509" s="33" t="s">
        <v>3472</v>
      </c>
      <c r="S6509">
        <v>36</v>
      </c>
      <c r="T6509" s="1" t="s">
        <v>12971</v>
      </c>
      <c r="U6509" s="1" t="str">
        <f>HYPERLINK("http://ictvonline.org/taxonomy/p/taxonomy-history?taxnode_id=202110564","ICTVonline=202110564")</f>
        <v>ICTVonline=202110564</v>
      </c>
    </row>
    <row r="6510" spans="1:21" x14ac:dyDescent="0.2">
      <c r="A6510" s="3">
        <v>6509</v>
      </c>
      <c r="B6510" s="1" t="s">
        <v>4226</v>
      </c>
      <c r="D6510" s="1" t="s">
        <v>5412</v>
      </c>
      <c r="F6510" s="1" t="s">
        <v>5466</v>
      </c>
      <c r="H6510" s="1" t="s">
        <v>6729</v>
      </c>
      <c r="J6510" s="1" t="s">
        <v>6730</v>
      </c>
      <c r="L6510" s="1" t="s">
        <v>6892</v>
      </c>
      <c r="N6510" s="1" t="s">
        <v>7242</v>
      </c>
      <c r="P6510" s="1" t="s">
        <v>7246</v>
      </c>
      <c r="Q6510" s="30" t="s">
        <v>2567</v>
      </c>
      <c r="R6510" s="33" t="s">
        <v>3472</v>
      </c>
      <c r="S6510">
        <v>36</v>
      </c>
      <c r="T6510" s="1" t="s">
        <v>12971</v>
      </c>
      <c r="U6510" s="1" t="str">
        <f>HYPERLINK("http://ictvonline.org/taxonomy/p/taxonomy-history?taxnode_id=202110567","ICTVonline=202110567")</f>
        <v>ICTVonline=202110567</v>
      </c>
    </row>
    <row r="6511" spans="1:21" x14ac:dyDescent="0.2">
      <c r="A6511" s="3">
        <v>6510</v>
      </c>
      <c r="B6511" s="1" t="s">
        <v>4226</v>
      </c>
      <c r="D6511" s="1" t="s">
        <v>5412</v>
      </c>
      <c r="F6511" s="1" t="s">
        <v>5466</v>
      </c>
      <c r="H6511" s="1" t="s">
        <v>6729</v>
      </c>
      <c r="J6511" s="1" t="s">
        <v>6730</v>
      </c>
      <c r="L6511" s="1" t="s">
        <v>6892</v>
      </c>
      <c r="N6511" s="1" t="s">
        <v>7242</v>
      </c>
      <c r="P6511" s="1" t="s">
        <v>7247</v>
      </c>
      <c r="Q6511" s="30" t="s">
        <v>2567</v>
      </c>
      <c r="R6511" s="33" t="s">
        <v>3472</v>
      </c>
      <c r="S6511">
        <v>36</v>
      </c>
      <c r="T6511" s="1" t="s">
        <v>12971</v>
      </c>
      <c r="U6511" s="1" t="str">
        <f>HYPERLINK("http://ictvonline.org/taxonomy/p/taxonomy-history?taxnode_id=202110565","ICTVonline=202110565")</f>
        <v>ICTVonline=202110565</v>
      </c>
    </row>
    <row r="6512" spans="1:21" x14ac:dyDescent="0.2">
      <c r="A6512" s="3">
        <v>6511</v>
      </c>
      <c r="B6512" s="1" t="s">
        <v>4226</v>
      </c>
      <c r="D6512" s="1" t="s">
        <v>5412</v>
      </c>
      <c r="F6512" s="1" t="s">
        <v>5466</v>
      </c>
      <c r="H6512" s="1" t="s">
        <v>6729</v>
      </c>
      <c r="J6512" s="1" t="s">
        <v>6730</v>
      </c>
      <c r="L6512" s="1" t="s">
        <v>6892</v>
      </c>
      <c r="N6512" s="1" t="s">
        <v>7248</v>
      </c>
      <c r="P6512" s="1" t="s">
        <v>7249</v>
      </c>
      <c r="Q6512" s="30" t="s">
        <v>2567</v>
      </c>
      <c r="R6512" s="33" t="s">
        <v>3472</v>
      </c>
      <c r="S6512">
        <v>36</v>
      </c>
      <c r="T6512" s="1" t="s">
        <v>12971</v>
      </c>
      <c r="U6512" s="1" t="str">
        <f>HYPERLINK("http://ictvonline.org/taxonomy/p/taxonomy-history?taxnode_id=202110570","ICTVonline=202110570")</f>
        <v>ICTVonline=202110570</v>
      </c>
    </row>
    <row r="6513" spans="1:21" x14ac:dyDescent="0.2">
      <c r="A6513" s="3">
        <v>6512</v>
      </c>
      <c r="B6513" s="1" t="s">
        <v>4226</v>
      </c>
      <c r="D6513" s="1" t="s">
        <v>5412</v>
      </c>
      <c r="F6513" s="1" t="s">
        <v>5466</v>
      </c>
      <c r="H6513" s="1" t="s">
        <v>6729</v>
      </c>
      <c r="J6513" s="1" t="s">
        <v>6730</v>
      </c>
      <c r="L6513" s="1" t="s">
        <v>6892</v>
      </c>
      <c r="N6513" s="1" t="s">
        <v>7250</v>
      </c>
      <c r="P6513" s="1" t="s">
        <v>7251</v>
      </c>
      <c r="Q6513" s="30" t="s">
        <v>2567</v>
      </c>
      <c r="R6513" s="33" t="s">
        <v>3472</v>
      </c>
      <c r="S6513">
        <v>36</v>
      </c>
      <c r="T6513" s="1" t="s">
        <v>12971</v>
      </c>
      <c r="U6513" s="1" t="str">
        <f>HYPERLINK("http://ictvonline.org/taxonomy/p/taxonomy-history?taxnode_id=202110572","ICTVonline=202110572")</f>
        <v>ICTVonline=202110572</v>
      </c>
    </row>
    <row r="6514" spans="1:21" x14ac:dyDescent="0.2">
      <c r="A6514" s="3">
        <v>6513</v>
      </c>
      <c r="B6514" s="1" t="s">
        <v>4226</v>
      </c>
      <c r="D6514" s="1" t="s">
        <v>5412</v>
      </c>
      <c r="F6514" s="1" t="s">
        <v>5466</v>
      </c>
      <c r="H6514" s="1" t="s">
        <v>6729</v>
      </c>
      <c r="J6514" s="1" t="s">
        <v>6730</v>
      </c>
      <c r="L6514" s="1" t="s">
        <v>6892</v>
      </c>
      <c r="N6514" s="1" t="s">
        <v>7252</v>
      </c>
      <c r="P6514" s="1" t="s">
        <v>7253</v>
      </c>
      <c r="Q6514" s="30" t="s">
        <v>2567</v>
      </c>
      <c r="R6514" s="33" t="s">
        <v>3472</v>
      </c>
      <c r="S6514">
        <v>36</v>
      </c>
      <c r="T6514" s="1" t="s">
        <v>12971</v>
      </c>
      <c r="U6514" s="1" t="str">
        <f>HYPERLINK("http://ictvonline.org/taxonomy/p/taxonomy-history?taxnode_id=202110575","ICTVonline=202110575")</f>
        <v>ICTVonline=202110575</v>
      </c>
    </row>
    <row r="6515" spans="1:21" x14ac:dyDescent="0.2">
      <c r="A6515" s="3">
        <v>6514</v>
      </c>
      <c r="B6515" s="1" t="s">
        <v>4226</v>
      </c>
      <c r="D6515" s="1" t="s">
        <v>5412</v>
      </c>
      <c r="F6515" s="1" t="s">
        <v>5466</v>
      </c>
      <c r="H6515" s="1" t="s">
        <v>6729</v>
      </c>
      <c r="J6515" s="1" t="s">
        <v>6730</v>
      </c>
      <c r="L6515" s="1" t="s">
        <v>6892</v>
      </c>
      <c r="N6515" s="1" t="s">
        <v>7252</v>
      </c>
      <c r="P6515" s="1" t="s">
        <v>7254</v>
      </c>
      <c r="Q6515" s="30" t="s">
        <v>2567</v>
      </c>
      <c r="R6515" s="33" t="s">
        <v>3472</v>
      </c>
      <c r="S6515">
        <v>36</v>
      </c>
      <c r="T6515" s="1" t="s">
        <v>12971</v>
      </c>
      <c r="U6515" s="1" t="str">
        <f>HYPERLINK("http://ictvonline.org/taxonomy/p/taxonomy-history?taxnode_id=202110577","ICTVonline=202110577")</f>
        <v>ICTVonline=202110577</v>
      </c>
    </row>
    <row r="6516" spans="1:21" x14ac:dyDescent="0.2">
      <c r="A6516" s="3">
        <v>6515</v>
      </c>
      <c r="B6516" s="1" t="s">
        <v>4226</v>
      </c>
      <c r="D6516" s="1" t="s">
        <v>5412</v>
      </c>
      <c r="F6516" s="1" t="s">
        <v>5466</v>
      </c>
      <c r="H6516" s="1" t="s">
        <v>6729</v>
      </c>
      <c r="J6516" s="1" t="s">
        <v>6730</v>
      </c>
      <c r="L6516" s="1" t="s">
        <v>6892</v>
      </c>
      <c r="N6516" s="1" t="s">
        <v>7252</v>
      </c>
      <c r="P6516" s="1" t="s">
        <v>7255</v>
      </c>
      <c r="Q6516" s="30" t="s">
        <v>2567</v>
      </c>
      <c r="R6516" s="33" t="s">
        <v>3472</v>
      </c>
      <c r="S6516">
        <v>36</v>
      </c>
      <c r="T6516" s="1" t="s">
        <v>12971</v>
      </c>
      <c r="U6516" s="1" t="str">
        <f>HYPERLINK("http://ictvonline.org/taxonomy/p/taxonomy-history?taxnode_id=202110576","ICTVonline=202110576")</f>
        <v>ICTVonline=202110576</v>
      </c>
    </row>
    <row r="6517" spans="1:21" x14ac:dyDescent="0.2">
      <c r="A6517" s="3">
        <v>6516</v>
      </c>
      <c r="B6517" s="1" t="s">
        <v>4226</v>
      </c>
      <c r="D6517" s="1" t="s">
        <v>5412</v>
      </c>
      <c r="F6517" s="1" t="s">
        <v>5466</v>
      </c>
      <c r="H6517" s="1" t="s">
        <v>6729</v>
      </c>
      <c r="J6517" s="1" t="s">
        <v>6730</v>
      </c>
      <c r="L6517" s="1" t="s">
        <v>6892</v>
      </c>
      <c r="N6517" s="1" t="s">
        <v>7252</v>
      </c>
      <c r="P6517" s="1" t="s">
        <v>7256</v>
      </c>
      <c r="Q6517" s="30" t="s">
        <v>2567</v>
      </c>
      <c r="R6517" s="33" t="s">
        <v>3472</v>
      </c>
      <c r="S6517">
        <v>36</v>
      </c>
      <c r="T6517" s="1" t="s">
        <v>12971</v>
      </c>
      <c r="U6517" s="1" t="str">
        <f>HYPERLINK("http://ictvonline.org/taxonomy/p/taxonomy-history?taxnode_id=202110574","ICTVonline=202110574")</f>
        <v>ICTVonline=202110574</v>
      </c>
    </row>
    <row r="6518" spans="1:21" x14ac:dyDescent="0.2">
      <c r="A6518" s="3">
        <v>6517</v>
      </c>
      <c r="B6518" s="1" t="s">
        <v>4226</v>
      </c>
      <c r="D6518" s="1" t="s">
        <v>5412</v>
      </c>
      <c r="F6518" s="1" t="s">
        <v>5466</v>
      </c>
      <c r="H6518" s="1" t="s">
        <v>6729</v>
      </c>
      <c r="J6518" s="1" t="s">
        <v>6730</v>
      </c>
      <c r="L6518" s="1" t="s">
        <v>6892</v>
      </c>
      <c r="N6518" s="1" t="s">
        <v>7252</v>
      </c>
      <c r="P6518" s="1" t="s">
        <v>7257</v>
      </c>
      <c r="Q6518" s="30" t="s">
        <v>2567</v>
      </c>
      <c r="R6518" s="33" t="s">
        <v>3472</v>
      </c>
      <c r="S6518">
        <v>36</v>
      </c>
      <c r="T6518" s="1" t="s">
        <v>12971</v>
      </c>
      <c r="U6518" s="1" t="str">
        <f>HYPERLINK("http://ictvonline.org/taxonomy/p/taxonomy-history?taxnode_id=202110578","ICTVonline=202110578")</f>
        <v>ICTVonline=202110578</v>
      </c>
    </row>
    <row r="6519" spans="1:21" x14ac:dyDescent="0.2">
      <c r="A6519" s="3">
        <v>6518</v>
      </c>
      <c r="B6519" s="1" t="s">
        <v>4226</v>
      </c>
      <c r="D6519" s="1" t="s">
        <v>5412</v>
      </c>
      <c r="F6519" s="1" t="s">
        <v>5466</v>
      </c>
      <c r="H6519" s="1" t="s">
        <v>6729</v>
      </c>
      <c r="J6519" s="1" t="s">
        <v>6730</v>
      </c>
      <c r="L6519" s="1" t="s">
        <v>6892</v>
      </c>
      <c r="N6519" s="1" t="s">
        <v>7252</v>
      </c>
      <c r="P6519" s="1" t="s">
        <v>7258</v>
      </c>
      <c r="Q6519" s="30" t="s">
        <v>2567</v>
      </c>
      <c r="R6519" s="33" t="s">
        <v>3472</v>
      </c>
      <c r="S6519">
        <v>36</v>
      </c>
      <c r="T6519" s="1" t="s">
        <v>12971</v>
      </c>
      <c r="U6519" s="1" t="str">
        <f>HYPERLINK("http://ictvonline.org/taxonomy/p/taxonomy-history?taxnode_id=202110579","ICTVonline=202110579")</f>
        <v>ICTVonline=202110579</v>
      </c>
    </row>
    <row r="6520" spans="1:21" x14ac:dyDescent="0.2">
      <c r="A6520" s="3">
        <v>6519</v>
      </c>
      <c r="B6520" s="1" t="s">
        <v>4226</v>
      </c>
      <c r="D6520" s="1" t="s">
        <v>5412</v>
      </c>
      <c r="F6520" s="1" t="s">
        <v>5466</v>
      </c>
      <c r="H6520" s="1" t="s">
        <v>6729</v>
      </c>
      <c r="J6520" s="1" t="s">
        <v>6730</v>
      </c>
      <c r="L6520" s="1" t="s">
        <v>6892</v>
      </c>
      <c r="N6520" s="1" t="s">
        <v>7259</v>
      </c>
      <c r="P6520" s="1" t="s">
        <v>7260</v>
      </c>
      <c r="Q6520" s="30" t="s">
        <v>2567</v>
      </c>
      <c r="R6520" s="33" t="s">
        <v>3472</v>
      </c>
      <c r="S6520">
        <v>36</v>
      </c>
      <c r="T6520" s="1" t="s">
        <v>12971</v>
      </c>
      <c r="U6520" s="1" t="str">
        <f>HYPERLINK("http://ictvonline.org/taxonomy/p/taxonomy-history?taxnode_id=202110582","ICTVonline=202110582")</f>
        <v>ICTVonline=202110582</v>
      </c>
    </row>
    <row r="6521" spans="1:21" x14ac:dyDescent="0.2">
      <c r="A6521" s="3">
        <v>6520</v>
      </c>
      <c r="B6521" s="1" t="s">
        <v>4226</v>
      </c>
      <c r="D6521" s="1" t="s">
        <v>5412</v>
      </c>
      <c r="F6521" s="1" t="s">
        <v>5466</v>
      </c>
      <c r="H6521" s="1" t="s">
        <v>6729</v>
      </c>
      <c r="J6521" s="1" t="s">
        <v>6730</v>
      </c>
      <c r="L6521" s="1" t="s">
        <v>6892</v>
      </c>
      <c r="N6521" s="1" t="s">
        <v>7259</v>
      </c>
      <c r="P6521" s="1" t="s">
        <v>7261</v>
      </c>
      <c r="Q6521" s="30" t="s">
        <v>2567</v>
      </c>
      <c r="R6521" s="33" t="s">
        <v>3472</v>
      </c>
      <c r="S6521">
        <v>36</v>
      </c>
      <c r="T6521" s="1" t="s">
        <v>12971</v>
      </c>
      <c r="U6521" s="1" t="str">
        <f>HYPERLINK("http://ictvonline.org/taxonomy/p/taxonomy-history?taxnode_id=202110581","ICTVonline=202110581")</f>
        <v>ICTVonline=202110581</v>
      </c>
    </row>
    <row r="6522" spans="1:21" x14ac:dyDescent="0.2">
      <c r="A6522" s="3">
        <v>6521</v>
      </c>
      <c r="B6522" s="1" t="s">
        <v>4226</v>
      </c>
      <c r="D6522" s="1" t="s">
        <v>5412</v>
      </c>
      <c r="F6522" s="1" t="s">
        <v>5466</v>
      </c>
      <c r="H6522" s="1" t="s">
        <v>6729</v>
      </c>
      <c r="J6522" s="1" t="s">
        <v>6730</v>
      </c>
      <c r="L6522" s="1" t="s">
        <v>6892</v>
      </c>
      <c r="N6522" s="1" t="s">
        <v>7262</v>
      </c>
      <c r="P6522" s="1" t="s">
        <v>7263</v>
      </c>
      <c r="Q6522" s="30" t="s">
        <v>2567</v>
      </c>
      <c r="R6522" s="33" t="s">
        <v>3472</v>
      </c>
      <c r="S6522">
        <v>36</v>
      </c>
      <c r="T6522" s="1" t="s">
        <v>12971</v>
      </c>
      <c r="U6522" s="1" t="str">
        <f>HYPERLINK("http://ictvonline.org/taxonomy/p/taxonomy-history?taxnode_id=202110584","ICTVonline=202110584")</f>
        <v>ICTVonline=202110584</v>
      </c>
    </row>
    <row r="6523" spans="1:21" x14ac:dyDescent="0.2">
      <c r="A6523" s="3">
        <v>6522</v>
      </c>
      <c r="B6523" s="1" t="s">
        <v>4226</v>
      </c>
      <c r="D6523" s="1" t="s">
        <v>5412</v>
      </c>
      <c r="F6523" s="1" t="s">
        <v>5466</v>
      </c>
      <c r="H6523" s="1" t="s">
        <v>6729</v>
      </c>
      <c r="J6523" s="1" t="s">
        <v>6730</v>
      </c>
      <c r="L6523" s="1" t="s">
        <v>6892</v>
      </c>
      <c r="N6523" s="1" t="s">
        <v>7264</v>
      </c>
      <c r="P6523" s="1" t="s">
        <v>7265</v>
      </c>
      <c r="Q6523" s="30" t="s">
        <v>2567</v>
      </c>
      <c r="R6523" s="33" t="s">
        <v>8662</v>
      </c>
      <c r="S6523">
        <v>36</v>
      </c>
      <c r="T6523" s="1" t="s">
        <v>12972</v>
      </c>
      <c r="U6523" s="1" t="str">
        <f>HYPERLINK("http://ictvonline.org/taxonomy/p/taxonomy-history?taxnode_id=202103755","ICTVonline=202103755")</f>
        <v>ICTVonline=202103755</v>
      </c>
    </row>
    <row r="6524" spans="1:21" x14ac:dyDescent="0.2">
      <c r="A6524" s="3">
        <v>6523</v>
      </c>
      <c r="B6524" s="1" t="s">
        <v>4226</v>
      </c>
      <c r="D6524" s="1" t="s">
        <v>5412</v>
      </c>
      <c r="F6524" s="1" t="s">
        <v>5466</v>
      </c>
      <c r="H6524" s="1" t="s">
        <v>6729</v>
      </c>
      <c r="J6524" s="1" t="s">
        <v>6730</v>
      </c>
      <c r="L6524" s="1" t="s">
        <v>6892</v>
      </c>
      <c r="N6524" s="1" t="s">
        <v>7264</v>
      </c>
      <c r="P6524" s="1" t="s">
        <v>7266</v>
      </c>
      <c r="Q6524" s="30" t="s">
        <v>2567</v>
      </c>
      <c r="R6524" s="33" t="s">
        <v>3473</v>
      </c>
      <c r="S6524">
        <v>36</v>
      </c>
      <c r="T6524" s="1" t="s">
        <v>12971</v>
      </c>
      <c r="U6524" s="1" t="str">
        <f>HYPERLINK("http://ictvonline.org/taxonomy/p/taxonomy-history?taxnode_id=202103754","ICTVonline=202103754")</f>
        <v>ICTVonline=202103754</v>
      </c>
    </row>
    <row r="6525" spans="1:21" x14ac:dyDescent="0.2">
      <c r="A6525" s="3">
        <v>6524</v>
      </c>
      <c r="B6525" s="1" t="s">
        <v>4226</v>
      </c>
      <c r="D6525" s="1" t="s">
        <v>5412</v>
      </c>
      <c r="F6525" s="1" t="s">
        <v>5466</v>
      </c>
      <c r="H6525" s="1" t="s">
        <v>6729</v>
      </c>
      <c r="J6525" s="1" t="s">
        <v>6730</v>
      </c>
      <c r="L6525" s="1" t="s">
        <v>6892</v>
      </c>
      <c r="N6525" s="1" t="s">
        <v>7267</v>
      </c>
      <c r="P6525" s="1" t="s">
        <v>7268</v>
      </c>
      <c r="Q6525" s="30" t="s">
        <v>2567</v>
      </c>
      <c r="R6525" s="33" t="s">
        <v>3472</v>
      </c>
      <c r="S6525">
        <v>36</v>
      </c>
      <c r="T6525" s="1" t="s">
        <v>12971</v>
      </c>
      <c r="U6525" s="1" t="str">
        <f>HYPERLINK("http://ictvonline.org/taxonomy/p/taxonomy-history?taxnode_id=202110586","ICTVonline=202110586")</f>
        <v>ICTVonline=202110586</v>
      </c>
    </row>
    <row r="6526" spans="1:21" x14ac:dyDescent="0.2">
      <c r="A6526" s="3">
        <v>6525</v>
      </c>
      <c r="B6526" s="1" t="s">
        <v>4226</v>
      </c>
      <c r="D6526" s="1" t="s">
        <v>5412</v>
      </c>
      <c r="F6526" s="1" t="s">
        <v>5466</v>
      </c>
      <c r="H6526" s="1" t="s">
        <v>6729</v>
      </c>
      <c r="J6526" s="1" t="s">
        <v>6730</v>
      </c>
      <c r="L6526" s="1" t="s">
        <v>6892</v>
      </c>
      <c r="N6526" s="1" t="s">
        <v>7267</v>
      </c>
      <c r="P6526" s="1" t="s">
        <v>7269</v>
      </c>
      <c r="Q6526" s="30" t="s">
        <v>2567</v>
      </c>
      <c r="R6526" s="33" t="s">
        <v>3472</v>
      </c>
      <c r="S6526">
        <v>36</v>
      </c>
      <c r="T6526" s="1" t="s">
        <v>12971</v>
      </c>
      <c r="U6526" s="1" t="str">
        <f>HYPERLINK("http://ictvonline.org/taxonomy/p/taxonomy-history?taxnode_id=202110587","ICTVonline=202110587")</f>
        <v>ICTVonline=202110587</v>
      </c>
    </row>
    <row r="6527" spans="1:21" x14ac:dyDescent="0.2">
      <c r="A6527" s="3">
        <v>6526</v>
      </c>
      <c r="B6527" s="1" t="s">
        <v>4226</v>
      </c>
      <c r="D6527" s="1" t="s">
        <v>5412</v>
      </c>
      <c r="F6527" s="1" t="s">
        <v>5466</v>
      </c>
      <c r="H6527" s="1" t="s">
        <v>6729</v>
      </c>
      <c r="J6527" s="1" t="s">
        <v>6730</v>
      </c>
      <c r="L6527" s="1" t="s">
        <v>6892</v>
      </c>
      <c r="N6527" s="1" t="s">
        <v>7267</v>
      </c>
      <c r="P6527" s="1" t="s">
        <v>7270</v>
      </c>
      <c r="Q6527" s="30" t="s">
        <v>2567</v>
      </c>
      <c r="R6527" s="33" t="s">
        <v>3472</v>
      </c>
      <c r="S6527">
        <v>36</v>
      </c>
      <c r="T6527" s="1" t="s">
        <v>12971</v>
      </c>
      <c r="U6527" s="1" t="str">
        <f>HYPERLINK("http://ictvonline.org/taxonomy/p/taxonomy-history?taxnode_id=202110588","ICTVonline=202110588")</f>
        <v>ICTVonline=202110588</v>
      </c>
    </row>
    <row r="6528" spans="1:21" x14ac:dyDescent="0.2">
      <c r="A6528" s="3">
        <v>6527</v>
      </c>
      <c r="B6528" s="1" t="s">
        <v>4226</v>
      </c>
      <c r="D6528" s="1" t="s">
        <v>5412</v>
      </c>
      <c r="F6528" s="1" t="s">
        <v>5466</v>
      </c>
      <c r="H6528" s="1" t="s">
        <v>6729</v>
      </c>
      <c r="J6528" s="1" t="s">
        <v>6730</v>
      </c>
      <c r="L6528" s="1" t="s">
        <v>6892</v>
      </c>
      <c r="N6528" s="1" t="s">
        <v>7271</v>
      </c>
      <c r="P6528" s="1" t="s">
        <v>7272</v>
      </c>
      <c r="Q6528" s="30" t="s">
        <v>2567</v>
      </c>
      <c r="R6528" s="33" t="s">
        <v>3472</v>
      </c>
      <c r="S6528">
        <v>36</v>
      </c>
      <c r="T6528" s="1" t="s">
        <v>12971</v>
      </c>
      <c r="U6528" s="1" t="str">
        <f>HYPERLINK("http://ictvonline.org/taxonomy/p/taxonomy-history?taxnode_id=202110590","ICTVonline=202110590")</f>
        <v>ICTVonline=202110590</v>
      </c>
    </row>
    <row r="6529" spans="1:21" x14ac:dyDescent="0.2">
      <c r="A6529" s="3">
        <v>6528</v>
      </c>
      <c r="B6529" s="1" t="s">
        <v>4226</v>
      </c>
      <c r="D6529" s="1" t="s">
        <v>5412</v>
      </c>
      <c r="F6529" s="1" t="s">
        <v>5466</v>
      </c>
      <c r="H6529" s="1" t="s">
        <v>6729</v>
      </c>
      <c r="J6529" s="1" t="s">
        <v>6730</v>
      </c>
      <c r="L6529" s="1" t="s">
        <v>6892</v>
      </c>
      <c r="N6529" s="1" t="s">
        <v>7273</v>
      </c>
      <c r="P6529" s="1" t="s">
        <v>7274</v>
      </c>
      <c r="Q6529" s="30" t="s">
        <v>2567</v>
      </c>
      <c r="R6529" s="33" t="s">
        <v>3472</v>
      </c>
      <c r="S6529">
        <v>36</v>
      </c>
      <c r="T6529" s="1" t="s">
        <v>12971</v>
      </c>
      <c r="U6529" s="1" t="str">
        <f>HYPERLINK("http://ictvonline.org/taxonomy/p/taxonomy-history?taxnode_id=202110592","ICTVonline=202110592")</f>
        <v>ICTVonline=202110592</v>
      </c>
    </row>
    <row r="6530" spans="1:21" x14ac:dyDescent="0.2">
      <c r="A6530" s="3">
        <v>6529</v>
      </c>
      <c r="B6530" s="1" t="s">
        <v>4226</v>
      </c>
      <c r="D6530" s="1" t="s">
        <v>5412</v>
      </c>
      <c r="F6530" s="1" t="s">
        <v>5466</v>
      </c>
      <c r="H6530" s="1" t="s">
        <v>6729</v>
      </c>
      <c r="J6530" s="1" t="s">
        <v>6730</v>
      </c>
      <c r="L6530" s="1" t="s">
        <v>6892</v>
      </c>
      <c r="N6530" s="1" t="s">
        <v>7275</v>
      </c>
      <c r="P6530" s="1" t="s">
        <v>7276</v>
      </c>
      <c r="Q6530" s="30" t="s">
        <v>2567</v>
      </c>
      <c r="R6530" s="33" t="s">
        <v>3472</v>
      </c>
      <c r="S6530">
        <v>36</v>
      </c>
      <c r="T6530" s="1" t="s">
        <v>12971</v>
      </c>
      <c r="U6530" s="1" t="str">
        <f>HYPERLINK("http://ictvonline.org/taxonomy/p/taxonomy-history?taxnode_id=202110594","ICTVonline=202110594")</f>
        <v>ICTVonline=202110594</v>
      </c>
    </row>
    <row r="6531" spans="1:21" x14ac:dyDescent="0.2">
      <c r="A6531" s="3">
        <v>6530</v>
      </c>
      <c r="B6531" s="1" t="s">
        <v>4226</v>
      </c>
      <c r="D6531" s="1" t="s">
        <v>5412</v>
      </c>
      <c r="F6531" s="1" t="s">
        <v>5466</v>
      </c>
      <c r="H6531" s="1" t="s">
        <v>6729</v>
      </c>
      <c r="J6531" s="1" t="s">
        <v>6730</v>
      </c>
      <c r="L6531" s="1" t="s">
        <v>6892</v>
      </c>
      <c r="N6531" s="1" t="s">
        <v>7275</v>
      </c>
      <c r="P6531" s="1" t="s">
        <v>7277</v>
      </c>
      <c r="Q6531" s="30" t="s">
        <v>2567</v>
      </c>
      <c r="R6531" s="33" t="s">
        <v>3472</v>
      </c>
      <c r="S6531">
        <v>36</v>
      </c>
      <c r="T6531" s="1" t="s">
        <v>12971</v>
      </c>
      <c r="U6531" s="1" t="str">
        <f>HYPERLINK("http://ictvonline.org/taxonomy/p/taxonomy-history?taxnode_id=202110595","ICTVonline=202110595")</f>
        <v>ICTVonline=202110595</v>
      </c>
    </row>
    <row r="6532" spans="1:21" x14ac:dyDescent="0.2">
      <c r="A6532" s="3">
        <v>6531</v>
      </c>
      <c r="B6532" s="1" t="s">
        <v>4226</v>
      </c>
      <c r="D6532" s="1" t="s">
        <v>5412</v>
      </c>
      <c r="F6532" s="1" t="s">
        <v>5466</v>
      </c>
      <c r="H6532" s="1" t="s">
        <v>6729</v>
      </c>
      <c r="J6532" s="1" t="s">
        <v>6730</v>
      </c>
      <c r="L6532" s="1" t="s">
        <v>6892</v>
      </c>
      <c r="N6532" s="1" t="s">
        <v>7278</v>
      </c>
      <c r="P6532" s="1" t="s">
        <v>7279</v>
      </c>
      <c r="Q6532" s="30" t="s">
        <v>2567</v>
      </c>
      <c r="R6532" s="33" t="s">
        <v>3472</v>
      </c>
      <c r="S6532">
        <v>36</v>
      </c>
      <c r="T6532" s="1" t="s">
        <v>12971</v>
      </c>
      <c r="U6532" s="1" t="str">
        <f>HYPERLINK("http://ictvonline.org/taxonomy/p/taxonomy-history?taxnode_id=202110597","ICTVonline=202110597")</f>
        <v>ICTVonline=202110597</v>
      </c>
    </row>
    <row r="6533" spans="1:21" x14ac:dyDescent="0.2">
      <c r="A6533" s="3">
        <v>6532</v>
      </c>
      <c r="B6533" s="1" t="s">
        <v>4226</v>
      </c>
      <c r="D6533" s="1" t="s">
        <v>5412</v>
      </c>
      <c r="F6533" s="1" t="s">
        <v>5466</v>
      </c>
      <c r="H6533" s="1" t="s">
        <v>6729</v>
      </c>
      <c r="J6533" s="1" t="s">
        <v>6730</v>
      </c>
      <c r="L6533" s="1" t="s">
        <v>6892</v>
      </c>
      <c r="N6533" s="1" t="s">
        <v>7280</v>
      </c>
      <c r="P6533" s="1" t="s">
        <v>7281</v>
      </c>
      <c r="Q6533" s="30" t="s">
        <v>2567</v>
      </c>
      <c r="R6533" s="33" t="s">
        <v>3472</v>
      </c>
      <c r="S6533">
        <v>36</v>
      </c>
      <c r="T6533" s="1" t="s">
        <v>12971</v>
      </c>
      <c r="U6533" s="1" t="str">
        <f>HYPERLINK("http://ictvonline.org/taxonomy/p/taxonomy-history?taxnode_id=202110599","ICTVonline=202110599")</f>
        <v>ICTVonline=202110599</v>
      </c>
    </row>
    <row r="6534" spans="1:21" x14ac:dyDescent="0.2">
      <c r="A6534" s="3">
        <v>6533</v>
      </c>
      <c r="B6534" s="1" t="s">
        <v>4226</v>
      </c>
      <c r="D6534" s="1" t="s">
        <v>5412</v>
      </c>
      <c r="F6534" s="1" t="s">
        <v>5466</v>
      </c>
      <c r="H6534" s="1" t="s">
        <v>6729</v>
      </c>
      <c r="J6534" s="1" t="s">
        <v>6730</v>
      </c>
      <c r="L6534" s="1" t="s">
        <v>6892</v>
      </c>
      <c r="N6534" s="1" t="s">
        <v>7280</v>
      </c>
      <c r="P6534" s="1" t="s">
        <v>7282</v>
      </c>
      <c r="Q6534" s="30" t="s">
        <v>2567</v>
      </c>
      <c r="R6534" s="33" t="s">
        <v>3472</v>
      </c>
      <c r="S6534">
        <v>36</v>
      </c>
      <c r="T6534" s="1" t="s">
        <v>12971</v>
      </c>
      <c r="U6534" s="1" t="str">
        <f>HYPERLINK("http://ictvonline.org/taxonomy/p/taxonomy-history?taxnode_id=202110600","ICTVonline=202110600")</f>
        <v>ICTVonline=202110600</v>
      </c>
    </row>
    <row r="6535" spans="1:21" x14ac:dyDescent="0.2">
      <c r="A6535" s="3">
        <v>6534</v>
      </c>
      <c r="B6535" s="1" t="s">
        <v>4226</v>
      </c>
      <c r="D6535" s="1" t="s">
        <v>5412</v>
      </c>
      <c r="F6535" s="1" t="s">
        <v>5466</v>
      </c>
      <c r="H6535" s="1" t="s">
        <v>6729</v>
      </c>
      <c r="J6535" s="1" t="s">
        <v>6730</v>
      </c>
      <c r="L6535" s="1" t="s">
        <v>6892</v>
      </c>
      <c r="N6535" s="1" t="s">
        <v>7283</v>
      </c>
      <c r="P6535" s="1" t="s">
        <v>7284</v>
      </c>
      <c r="Q6535" s="30" t="s">
        <v>2567</v>
      </c>
      <c r="R6535" s="33" t="s">
        <v>3472</v>
      </c>
      <c r="S6535">
        <v>36</v>
      </c>
      <c r="T6535" s="1" t="s">
        <v>12971</v>
      </c>
      <c r="U6535" s="1" t="str">
        <f>HYPERLINK("http://ictvonline.org/taxonomy/p/taxonomy-history?taxnode_id=202110602","ICTVonline=202110602")</f>
        <v>ICTVonline=202110602</v>
      </c>
    </row>
    <row r="6536" spans="1:21" x14ac:dyDescent="0.2">
      <c r="A6536" s="3">
        <v>6535</v>
      </c>
      <c r="B6536" s="1" t="s">
        <v>4226</v>
      </c>
      <c r="D6536" s="1" t="s">
        <v>5412</v>
      </c>
      <c r="F6536" s="1" t="s">
        <v>5466</v>
      </c>
      <c r="H6536" s="1" t="s">
        <v>6729</v>
      </c>
      <c r="J6536" s="1" t="s">
        <v>6730</v>
      </c>
      <c r="L6536" s="1" t="s">
        <v>6892</v>
      </c>
      <c r="N6536" s="1" t="s">
        <v>7285</v>
      </c>
      <c r="P6536" s="1" t="s">
        <v>7286</v>
      </c>
      <c r="Q6536" s="30" t="s">
        <v>2567</v>
      </c>
      <c r="R6536" s="33" t="s">
        <v>3472</v>
      </c>
      <c r="S6536">
        <v>36</v>
      </c>
      <c r="T6536" s="1" t="s">
        <v>12971</v>
      </c>
      <c r="U6536" s="1" t="str">
        <f>HYPERLINK("http://ictvonline.org/taxonomy/p/taxonomy-history?taxnode_id=202110604","ICTVonline=202110604")</f>
        <v>ICTVonline=202110604</v>
      </c>
    </row>
    <row r="6537" spans="1:21" x14ac:dyDescent="0.2">
      <c r="A6537" s="3">
        <v>6536</v>
      </c>
      <c r="B6537" s="1" t="s">
        <v>4226</v>
      </c>
      <c r="D6537" s="1" t="s">
        <v>5412</v>
      </c>
      <c r="F6537" s="1" t="s">
        <v>5466</v>
      </c>
      <c r="H6537" s="1" t="s">
        <v>6729</v>
      </c>
      <c r="J6537" s="1" t="s">
        <v>6730</v>
      </c>
      <c r="L6537" s="1" t="s">
        <v>6892</v>
      </c>
      <c r="N6537" s="1" t="s">
        <v>7287</v>
      </c>
      <c r="P6537" s="1" t="s">
        <v>7288</v>
      </c>
      <c r="Q6537" s="30" t="s">
        <v>2567</v>
      </c>
      <c r="R6537" s="33" t="s">
        <v>3472</v>
      </c>
      <c r="S6537">
        <v>36</v>
      </c>
      <c r="T6537" s="1" t="s">
        <v>12971</v>
      </c>
      <c r="U6537" s="1" t="str">
        <f>HYPERLINK("http://ictvonline.org/taxonomy/p/taxonomy-history?taxnode_id=202110606","ICTVonline=202110606")</f>
        <v>ICTVonline=202110606</v>
      </c>
    </row>
    <row r="6538" spans="1:21" x14ac:dyDescent="0.2">
      <c r="A6538" s="3">
        <v>6537</v>
      </c>
      <c r="B6538" s="1" t="s">
        <v>4226</v>
      </c>
      <c r="D6538" s="1" t="s">
        <v>5412</v>
      </c>
      <c r="F6538" s="1" t="s">
        <v>5466</v>
      </c>
      <c r="H6538" s="1" t="s">
        <v>6729</v>
      </c>
      <c r="J6538" s="1" t="s">
        <v>6730</v>
      </c>
      <c r="L6538" s="1" t="s">
        <v>6892</v>
      </c>
      <c r="N6538" s="1" t="s">
        <v>7289</v>
      </c>
      <c r="P6538" s="1" t="s">
        <v>7290</v>
      </c>
      <c r="Q6538" s="30" t="s">
        <v>2567</v>
      </c>
      <c r="R6538" s="33" t="s">
        <v>3472</v>
      </c>
      <c r="S6538">
        <v>36</v>
      </c>
      <c r="T6538" s="1" t="s">
        <v>12971</v>
      </c>
      <c r="U6538" s="1" t="str">
        <f>HYPERLINK("http://ictvonline.org/taxonomy/p/taxonomy-history?taxnode_id=202110608","ICTVonline=202110608")</f>
        <v>ICTVonline=202110608</v>
      </c>
    </row>
    <row r="6539" spans="1:21" x14ac:dyDescent="0.2">
      <c r="A6539" s="3">
        <v>6538</v>
      </c>
      <c r="B6539" s="1" t="s">
        <v>4226</v>
      </c>
      <c r="D6539" s="1" t="s">
        <v>5412</v>
      </c>
      <c r="F6539" s="1" t="s">
        <v>5466</v>
      </c>
      <c r="H6539" s="1" t="s">
        <v>6729</v>
      </c>
      <c r="J6539" s="1" t="s">
        <v>6730</v>
      </c>
      <c r="L6539" s="1" t="s">
        <v>6892</v>
      </c>
      <c r="N6539" s="1" t="s">
        <v>7291</v>
      </c>
      <c r="P6539" s="1" t="s">
        <v>7292</v>
      </c>
      <c r="Q6539" s="30" t="s">
        <v>2567</v>
      </c>
      <c r="R6539" s="33" t="s">
        <v>3472</v>
      </c>
      <c r="S6539">
        <v>36</v>
      </c>
      <c r="T6539" s="1" t="s">
        <v>12971</v>
      </c>
      <c r="U6539" s="1" t="str">
        <f>HYPERLINK("http://ictvonline.org/taxonomy/p/taxonomy-history?taxnode_id=202110611","ICTVonline=202110611")</f>
        <v>ICTVonline=202110611</v>
      </c>
    </row>
    <row r="6540" spans="1:21" x14ac:dyDescent="0.2">
      <c r="A6540" s="3">
        <v>6539</v>
      </c>
      <c r="B6540" s="1" t="s">
        <v>4226</v>
      </c>
      <c r="D6540" s="1" t="s">
        <v>5412</v>
      </c>
      <c r="F6540" s="1" t="s">
        <v>5466</v>
      </c>
      <c r="H6540" s="1" t="s">
        <v>6729</v>
      </c>
      <c r="J6540" s="1" t="s">
        <v>6730</v>
      </c>
      <c r="L6540" s="1" t="s">
        <v>6892</v>
      </c>
      <c r="N6540" s="1" t="s">
        <v>7291</v>
      </c>
      <c r="P6540" s="1" t="s">
        <v>7293</v>
      </c>
      <c r="Q6540" s="30" t="s">
        <v>2567</v>
      </c>
      <c r="R6540" s="33" t="s">
        <v>3472</v>
      </c>
      <c r="S6540">
        <v>36</v>
      </c>
      <c r="T6540" s="1" t="s">
        <v>12971</v>
      </c>
      <c r="U6540" s="1" t="str">
        <f>HYPERLINK("http://ictvonline.org/taxonomy/p/taxonomy-history?taxnode_id=202110610","ICTVonline=202110610")</f>
        <v>ICTVonline=202110610</v>
      </c>
    </row>
    <row r="6541" spans="1:21" x14ac:dyDescent="0.2">
      <c r="A6541" s="3">
        <v>6540</v>
      </c>
      <c r="B6541" s="1" t="s">
        <v>4226</v>
      </c>
      <c r="D6541" s="1" t="s">
        <v>5412</v>
      </c>
      <c r="F6541" s="1" t="s">
        <v>5466</v>
      </c>
      <c r="H6541" s="1" t="s">
        <v>6729</v>
      </c>
      <c r="J6541" s="1" t="s">
        <v>6730</v>
      </c>
      <c r="L6541" s="1" t="s">
        <v>6892</v>
      </c>
      <c r="N6541" s="1" t="s">
        <v>7291</v>
      </c>
      <c r="P6541" s="1" t="s">
        <v>7294</v>
      </c>
      <c r="Q6541" s="30" t="s">
        <v>2567</v>
      </c>
      <c r="R6541" s="33" t="s">
        <v>3472</v>
      </c>
      <c r="S6541">
        <v>36</v>
      </c>
      <c r="T6541" s="1" t="s">
        <v>12971</v>
      </c>
      <c r="U6541" s="1" t="str">
        <f>HYPERLINK("http://ictvonline.org/taxonomy/p/taxonomy-history?taxnode_id=202110612","ICTVonline=202110612")</f>
        <v>ICTVonline=202110612</v>
      </c>
    </row>
    <row r="6542" spans="1:21" x14ac:dyDescent="0.2">
      <c r="A6542" s="3">
        <v>6541</v>
      </c>
      <c r="B6542" s="1" t="s">
        <v>4226</v>
      </c>
      <c r="D6542" s="1" t="s">
        <v>5412</v>
      </c>
      <c r="F6542" s="1" t="s">
        <v>5466</v>
      </c>
      <c r="H6542" s="1" t="s">
        <v>6729</v>
      </c>
      <c r="J6542" s="1" t="s">
        <v>6730</v>
      </c>
      <c r="L6542" s="1" t="s">
        <v>6892</v>
      </c>
      <c r="N6542" s="1" t="s">
        <v>7291</v>
      </c>
      <c r="P6542" s="1" t="s">
        <v>7295</v>
      </c>
      <c r="Q6542" s="30" t="s">
        <v>2567</v>
      </c>
      <c r="R6542" s="33" t="s">
        <v>3472</v>
      </c>
      <c r="S6542">
        <v>36</v>
      </c>
      <c r="T6542" s="1" t="s">
        <v>12971</v>
      </c>
      <c r="U6542" s="1" t="str">
        <f>HYPERLINK("http://ictvonline.org/taxonomy/p/taxonomy-history?taxnode_id=202110613","ICTVonline=202110613")</f>
        <v>ICTVonline=202110613</v>
      </c>
    </row>
    <row r="6543" spans="1:21" x14ac:dyDescent="0.2">
      <c r="A6543" s="3">
        <v>6542</v>
      </c>
      <c r="B6543" s="1" t="s">
        <v>4226</v>
      </c>
      <c r="D6543" s="1" t="s">
        <v>5412</v>
      </c>
      <c r="F6543" s="1" t="s">
        <v>5466</v>
      </c>
      <c r="H6543" s="1" t="s">
        <v>6729</v>
      </c>
      <c r="J6543" s="1" t="s">
        <v>6730</v>
      </c>
      <c r="L6543" s="1" t="s">
        <v>6892</v>
      </c>
      <c r="N6543" s="1" t="s">
        <v>7296</v>
      </c>
      <c r="P6543" s="1" t="s">
        <v>7297</v>
      </c>
      <c r="Q6543" s="30" t="s">
        <v>2567</v>
      </c>
      <c r="R6543" s="33" t="s">
        <v>3472</v>
      </c>
      <c r="S6543">
        <v>36</v>
      </c>
      <c r="T6543" s="1" t="s">
        <v>12971</v>
      </c>
      <c r="U6543" s="1" t="str">
        <f>HYPERLINK("http://ictvonline.org/taxonomy/p/taxonomy-history?taxnode_id=202110615","ICTVonline=202110615")</f>
        <v>ICTVonline=202110615</v>
      </c>
    </row>
    <row r="6544" spans="1:21" x14ac:dyDescent="0.2">
      <c r="A6544" s="3">
        <v>6543</v>
      </c>
      <c r="B6544" s="1" t="s">
        <v>4226</v>
      </c>
      <c r="D6544" s="1" t="s">
        <v>5412</v>
      </c>
      <c r="F6544" s="1" t="s">
        <v>5466</v>
      </c>
      <c r="H6544" s="1" t="s">
        <v>6729</v>
      </c>
      <c r="J6544" s="1" t="s">
        <v>6730</v>
      </c>
      <c r="L6544" s="1" t="s">
        <v>6892</v>
      </c>
      <c r="N6544" s="1" t="s">
        <v>7298</v>
      </c>
      <c r="P6544" s="1" t="s">
        <v>7299</v>
      </c>
      <c r="Q6544" s="30" t="s">
        <v>2567</v>
      </c>
      <c r="R6544" s="33" t="s">
        <v>3472</v>
      </c>
      <c r="S6544">
        <v>36</v>
      </c>
      <c r="T6544" s="1" t="s">
        <v>12971</v>
      </c>
      <c r="U6544" s="1" t="str">
        <f>HYPERLINK("http://ictvonline.org/taxonomy/p/taxonomy-history?taxnode_id=202110617","ICTVonline=202110617")</f>
        <v>ICTVonline=202110617</v>
      </c>
    </row>
    <row r="6545" spans="1:21" x14ac:dyDescent="0.2">
      <c r="A6545" s="3">
        <v>6544</v>
      </c>
      <c r="B6545" s="1" t="s">
        <v>4226</v>
      </c>
      <c r="D6545" s="1" t="s">
        <v>5412</v>
      </c>
      <c r="F6545" s="1" t="s">
        <v>5466</v>
      </c>
      <c r="H6545" s="1" t="s">
        <v>6729</v>
      </c>
      <c r="J6545" s="1" t="s">
        <v>6730</v>
      </c>
      <c r="L6545" s="1" t="s">
        <v>6892</v>
      </c>
      <c r="N6545" s="1" t="s">
        <v>7298</v>
      </c>
      <c r="P6545" s="1" t="s">
        <v>7300</v>
      </c>
      <c r="Q6545" s="30" t="s">
        <v>2567</v>
      </c>
      <c r="R6545" s="33" t="s">
        <v>3472</v>
      </c>
      <c r="S6545">
        <v>36</v>
      </c>
      <c r="T6545" s="1" t="s">
        <v>12971</v>
      </c>
      <c r="U6545" s="1" t="str">
        <f>HYPERLINK("http://ictvonline.org/taxonomy/p/taxonomy-history?taxnode_id=202110618","ICTVonline=202110618")</f>
        <v>ICTVonline=202110618</v>
      </c>
    </row>
    <row r="6546" spans="1:21" x14ac:dyDescent="0.2">
      <c r="A6546" s="3">
        <v>6545</v>
      </c>
      <c r="B6546" s="1" t="s">
        <v>4226</v>
      </c>
      <c r="D6546" s="1" t="s">
        <v>5412</v>
      </c>
      <c r="F6546" s="1" t="s">
        <v>5466</v>
      </c>
      <c r="H6546" s="1" t="s">
        <v>6729</v>
      </c>
      <c r="J6546" s="1" t="s">
        <v>6730</v>
      </c>
      <c r="L6546" s="1" t="s">
        <v>6892</v>
      </c>
      <c r="N6546" s="1" t="s">
        <v>7301</v>
      </c>
      <c r="P6546" s="1" t="s">
        <v>7302</v>
      </c>
      <c r="Q6546" s="30" t="s">
        <v>2567</v>
      </c>
      <c r="R6546" s="33" t="s">
        <v>3472</v>
      </c>
      <c r="S6546">
        <v>36</v>
      </c>
      <c r="T6546" s="1" t="s">
        <v>12971</v>
      </c>
      <c r="U6546" s="1" t="str">
        <f>HYPERLINK("http://ictvonline.org/taxonomy/p/taxonomy-history?taxnode_id=202110620","ICTVonline=202110620")</f>
        <v>ICTVonline=202110620</v>
      </c>
    </row>
    <row r="6547" spans="1:21" x14ac:dyDescent="0.2">
      <c r="A6547" s="3">
        <v>6546</v>
      </c>
      <c r="B6547" s="1" t="s">
        <v>4226</v>
      </c>
      <c r="D6547" s="1" t="s">
        <v>5412</v>
      </c>
      <c r="F6547" s="1" t="s">
        <v>5466</v>
      </c>
      <c r="H6547" s="1" t="s">
        <v>6729</v>
      </c>
      <c r="J6547" s="1" t="s">
        <v>6730</v>
      </c>
      <c r="L6547" s="1" t="s">
        <v>6892</v>
      </c>
      <c r="N6547" s="1" t="s">
        <v>7303</v>
      </c>
      <c r="P6547" s="1" t="s">
        <v>7304</v>
      </c>
      <c r="Q6547" s="30" t="s">
        <v>2567</v>
      </c>
      <c r="R6547" s="33" t="s">
        <v>3472</v>
      </c>
      <c r="S6547">
        <v>36</v>
      </c>
      <c r="T6547" s="1" t="s">
        <v>12971</v>
      </c>
      <c r="U6547" s="1" t="str">
        <f>HYPERLINK("http://ictvonline.org/taxonomy/p/taxonomy-history?taxnode_id=202110622","ICTVonline=202110622")</f>
        <v>ICTVonline=202110622</v>
      </c>
    </row>
    <row r="6548" spans="1:21" x14ac:dyDescent="0.2">
      <c r="A6548" s="3">
        <v>6547</v>
      </c>
      <c r="B6548" s="1" t="s">
        <v>4226</v>
      </c>
      <c r="D6548" s="1" t="s">
        <v>5412</v>
      </c>
      <c r="F6548" s="1" t="s">
        <v>5466</v>
      </c>
      <c r="H6548" s="1" t="s">
        <v>6729</v>
      </c>
      <c r="J6548" s="1" t="s">
        <v>6730</v>
      </c>
      <c r="L6548" s="1" t="s">
        <v>6892</v>
      </c>
      <c r="N6548" s="1" t="s">
        <v>7305</v>
      </c>
      <c r="P6548" s="1" t="s">
        <v>7306</v>
      </c>
      <c r="Q6548" s="30" t="s">
        <v>2567</v>
      </c>
      <c r="R6548" s="33" t="s">
        <v>3472</v>
      </c>
      <c r="S6548">
        <v>36</v>
      </c>
      <c r="T6548" s="1" t="s">
        <v>12971</v>
      </c>
      <c r="U6548" s="1" t="str">
        <f>HYPERLINK("http://ictvonline.org/taxonomy/p/taxonomy-history?taxnode_id=202110624","ICTVonline=202110624")</f>
        <v>ICTVonline=202110624</v>
      </c>
    </row>
    <row r="6549" spans="1:21" x14ac:dyDescent="0.2">
      <c r="A6549" s="3">
        <v>6548</v>
      </c>
      <c r="B6549" s="1" t="s">
        <v>4226</v>
      </c>
      <c r="D6549" s="1" t="s">
        <v>5412</v>
      </c>
      <c r="F6549" s="1" t="s">
        <v>5466</v>
      </c>
      <c r="H6549" s="1" t="s">
        <v>6729</v>
      </c>
      <c r="J6549" s="1" t="s">
        <v>6730</v>
      </c>
      <c r="L6549" s="1" t="s">
        <v>6892</v>
      </c>
      <c r="N6549" s="1" t="s">
        <v>7307</v>
      </c>
      <c r="P6549" s="1" t="s">
        <v>7308</v>
      </c>
      <c r="Q6549" s="30" t="s">
        <v>2567</v>
      </c>
      <c r="R6549" s="33" t="s">
        <v>3472</v>
      </c>
      <c r="S6549">
        <v>36</v>
      </c>
      <c r="T6549" s="1" t="s">
        <v>12971</v>
      </c>
      <c r="U6549" s="1" t="str">
        <f>HYPERLINK("http://ictvonline.org/taxonomy/p/taxonomy-history?taxnode_id=202110626","ICTVonline=202110626")</f>
        <v>ICTVonline=202110626</v>
      </c>
    </row>
    <row r="6550" spans="1:21" x14ac:dyDescent="0.2">
      <c r="A6550" s="3">
        <v>6549</v>
      </c>
      <c r="B6550" s="1" t="s">
        <v>4226</v>
      </c>
      <c r="D6550" s="1" t="s">
        <v>5412</v>
      </c>
      <c r="F6550" s="1" t="s">
        <v>5466</v>
      </c>
      <c r="H6550" s="1" t="s">
        <v>6729</v>
      </c>
      <c r="J6550" s="1" t="s">
        <v>6730</v>
      </c>
      <c r="L6550" s="1" t="s">
        <v>6892</v>
      </c>
      <c r="N6550" s="1" t="s">
        <v>7309</v>
      </c>
      <c r="P6550" s="1" t="s">
        <v>7310</v>
      </c>
      <c r="Q6550" s="30" t="s">
        <v>2567</v>
      </c>
      <c r="R6550" s="33" t="s">
        <v>3472</v>
      </c>
      <c r="S6550">
        <v>36</v>
      </c>
      <c r="T6550" s="1" t="s">
        <v>12971</v>
      </c>
      <c r="U6550" s="1" t="str">
        <f>HYPERLINK("http://ictvonline.org/taxonomy/p/taxonomy-history?taxnode_id=202110629","ICTVonline=202110629")</f>
        <v>ICTVonline=202110629</v>
      </c>
    </row>
    <row r="6551" spans="1:21" x14ac:dyDescent="0.2">
      <c r="A6551" s="3">
        <v>6550</v>
      </c>
      <c r="B6551" s="1" t="s">
        <v>4226</v>
      </c>
      <c r="D6551" s="1" t="s">
        <v>5412</v>
      </c>
      <c r="F6551" s="1" t="s">
        <v>5466</v>
      </c>
      <c r="H6551" s="1" t="s">
        <v>6729</v>
      </c>
      <c r="J6551" s="1" t="s">
        <v>6730</v>
      </c>
      <c r="L6551" s="1" t="s">
        <v>6892</v>
      </c>
      <c r="N6551" s="1" t="s">
        <v>7309</v>
      </c>
      <c r="P6551" s="1" t="s">
        <v>7311</v>
      </c>
      <c r="Q6551" s="30" t="s">
        <v>2567</v>
      </c>
      <c r="R6551" s="33" t="s">
        <v>3472</v>
      </c>
      <c r="S6551">
        <v>36</v>
      </c>
      <c r="T6551" s="1" t="s">
        <v>12971</v>
      </c>
      <c r="U6551" s="1" t="str">
        <f>HYPERLINK("http://ictvonline.org/taxonomy/p/taxonomy-history?taxnode_id=202110630","ICTVonline=202110630")</f>
        <v>ICTVonline=202110630</v>
      </c>
    </row>
    <row r="6552" spans="1:21" x14ac:dyDescent="0.2">
      <c r="A6552" s="3">
        <v>6551</v>
      </c>
      <c r="B6552" s="1" t="s">
        <v>4226</v>
      </c>
      <c r="D6552" s="1" t="s">
        <v>5412</v>
      </c>
      <c r="F6552" s="1" t="s">
        <v>5466</v>
      </c>
      <c r="H6552" s="1" t="s">
        <v>6729</v>
      </c>
      <c r="J6552" s="1" t="s">
        <v>6730</v>
      </c>
      <c r="L6552" s="1" t="s">
        <v>6892</v>
      </c>
      <c r="N6552" s="1" t="s">
        <v>7309</v>
      </c>
      <c r="P6552" s="1" t="s">
        <v>7312</v>
      </c>
      <c r="Q6552" s="30" t="s">
        <v>2567</v>
      </c>
      <c r="R6552" s="33" t="s">
        <v>3472</v>
      </c>
      <c r="S6552">
        <v>36</v>
      </c>
      <c r="T6552" s="1" t="s">
        <v>12971</v>
      </c>
      <c r="U6552" s="1" t="str">
        <f>HYPERLINK("http://ictvonline.org/taxonomy/p/taxonomy-history?taxnode_id=202110628","ICTVonline=202110628")</f>
        <v>ICTVonline=202110628</v>
      </c>
    </row>
    <row r="6553" spans="1:21" x14ac:dyDescent="0.2">
      <c r="A6553" s="3">
        <v>6552</v>
      </c>
      <c r="B6553" s="1" t="s">
        <v>4226</v>
      </c>
      <c r="D6553" s="1" t="s">
        <v>5412</v>
      </c>
      <c r="F6553" s="1" t="s">
        <v>5466</v>
      </c>
      <c r="H6553" s="1" t="s">
        <v>6729</v>
      </c>
      <c r="J6553" s="1" t="s">
        <v>6730</v>
      </c>
      <c r="L6553" s="1" t="s">
        <v>6892</v>
      </c>
      <c r="N6553" s="1" t="s">
        <v>7313</v>
      </c>
      <c r="P6553" s="1" t="s">
        <v>7314</v>
      </c>
      <c r="Q6553" s="30" t="s">
        <v>2567</v>
      </c>
      <c r="R6553" s="33" t="s">
        <v>3472</v>
      </c>
      <c r="S6553">
        <v>36</v>
      </c>
      <c r="T6553" s="1" t="s">
        <v>12971</v>
      </c>
      <c r="U6553" s="1" t="str">
        <f>HYPERLINK("http://ictvonline.org/taxonomy/p/taxonomy-history?taxnode_id=202110632","ICTVonline=202110632")</f>
        <v>ICTVonline=202110632</v>
      </c>
    </row>
    <row r="6554" spans="1:21" x14ac:dyDescent="0.2">
      <c r="A6554" s="3">
        <v>6553</v>
      </c>
      <c r="B6554" s="1" t="s">
        <v>4226</v>
      </c>
      <c r="D6554" s="1" t="s">
        <v>5412</v>
      </c>
      <c r="F6554" s="1" t="s">
        <v>5466</v>
      </c>
      <c r="H6554" s="1" t="s">
        <v>6729</v>
      </c>
      <c r="J6554" s="1" t="s">
        <v>6730</v>
      </c>
      <c r="L6554" s="1" t="s">
        <v>6892</v>
      </c>
      <c r="N6554" s="1" t="s">
        <v>7315</v>
      </c>
      <c r="P6554" s="1" t="s">
        <v>7316</v>
      </c>
      <c r="Q6554" s="30" t="s">
        <v>2567</v>
      </c>
      <c r="R6554" s="33" t="s">
        <v>3472</v>
      </c>
      <c r="S6554">
        <v>36</v>
      </c>
      <c r="T6554" s="1" t="s">
        <v>12971</v>
      </c>
      <c r="U6554" s="1" t="str">
        <f>HYPERLINK("http://ictvonline.org/taxonomy/p/taxonomy-history?taxnode_id=202110634","ICTVonline=202110634")</f>
        <v>ICTVonline=202110634</v>
      </c>
    </row>
    <row r="6555" spans="1:21" x14ac:dyDescent="0.2">
      <c r="A6555" s="3">
        <v>6554</v>
      </c>
      <c r="B6555" s="1" t="s">
        <v>4226</v>
      </c>
      <c r="D6555" s="1" t="s">
        <v>5412</v>
      </c>
      <c r="F6555" s="1" t="s">
        <v>5466</v>
      </c>
      <c r="H6555" s="1" t="s">
        <v>6729</v>
      </c>
      <c r="J6555" s="1" t="s">
        <v>6730</v>
      </c>
      <c r="L6555" s="1" t="s">
        <v>6892</v>
      </c>
      <c r="N6555" s="1" t="s">
        <v>7317</v>
      </c>
      <c r="P6555" s="1" t="s">
        <v>7318</v>
      </c>
      <c r="Q6555" s="30" t="s">
        <v>2567</v>
      </c>
      <c r="R6555" s="33" t="s">
        <v>3472</v>
      </c>
      <c r="S6555">
        <v>36</v>
      </c>
      <c r="T6555" s="1" t="s">
        <v>12971</v>
      </c>
      <c r="U6555" s="1" t="str">
        <f>HYPERLINK("http://ictvonline.org/taxonomy/p/taxonomy-history?taxnode_id=202110636","ICTVonline=202110636")</f>
        <v>ICTVonline=202110636</v>
      </c>
    </row>
    <row r="6556" spans="1:21" x14ac:dyDescent="0.2">
      <c r="A6556" s="3">
        <v>6555</v>
      </c>
      <c r="B6556" s="1" t="s">
        <v>4226</v>
      </c>
      <c r="D6556" s="1" t="s">
        <v>5412</v>
      </c>
      <c r="F6556" s="1" t="s">
        <v>5466</v>
      </c>
      <c r="H6556" s="1" t="s">
        <v>6729</v>
      </c>
      <c r="J6556" s="1" t="s">
        <v>6730</v>
      </c>
      <c r="L6556" s="1" t="s">
        <v>6892</v>
      </c>
      <c r="N6556" s="1" t="s">
        <v>7319</v>
      </c>
      <c r="P6556" s="1" t="s">
        <v>7320</v>
      </c>
      <c r="Q6556" s="30" t="s">
        <v>2567</v>
      </c>
      <c r="R6556" s="33" t="s">
        <v>3472</v>
      </c>
      <c r="S6556">
        <v>36</v>
      </c>
      <c r="T6556" s="1" t="s">
        <v>12971</v>
      </c>
      <c r="U6556" s="1" t="str">
        <f>HYPERLINK("http://ictvonline.org/taxonomy/p/taxonomy-history?taxnode_id=202110638","ICTVonline=202110638")</f>
        <v>ICTVonline=202110638</v>
      </c>
    </row>
    <row r="6557" spans="1:21" x14ac:dyDescent="0.2">
      <c r="A6557" s="3">
        <v>6556</v>
      </c>
      <c r="B6557" s="1" t="s">
        <v>4226</v>
      </c>
      <c r="D6557" s="1" t="s">
        <v>5412</v>
      </c>
      <c r="F6557" s="1" t="s">
        <v>5466</v>
      </c>
      <c r="H6557" s="1" t="s">
        <v>6729</v>
      </c>
      <c r="J6557" s="1" t="s">
        <v>6730</v>
      </c>
      <c r="L6557" s="1" t="s">
        <v>6892</v>
      </c>
      <c r="N6557" s="1" t="s">
        <v>7321</v>
      </c>
      <c r="P6557" s="1" t="s">
        <v>7322</v>
      </c>
      <c r="Q6557" s="30" t="s">
        <v>2567</v>
      </c>
      <c r="R6557" s="33" t="s">
        <v>3472</v>
      </c>
      <c r="S6557">
        <v>36</v>
      </c>
      <c r="T6557" s="1" t="s">
        <v>12971</v>
      </c>
      <c r="U6557" s="1" t="str">
        <f>HYPERLINK("http://ictvonline.org/taxonomy/p/taxonomy-history?taxnode_id=202110640","ICTVonline=202110640")</f>
        <v>ICTVonline=202110640</v>
      </c>
    </row>
    <row r="6558" spans="1:21" x14ac:dyDescent="0.2">
      <c r="A6558" s="3">
        <v>6557</v>
      </c>
      <c r="B6558" s="1" t="s">
        <v>4226</v>
      </c>
      <c r="D6558" s="1" t="s">
        <v>5412</v>
      </c>
      <c r="F6558" s="1" t="s">
        <v>5466</v>
      </c>
      <c r="H6558" s="1" t="s">
        <v>6729</v>
      </c>
      <c r="J6558" s="1" t="s">
        <v>6730</v>
      </c>
      <c r="L6558" s="1" t="s">
        <v>6892</v>
      </c>
      <c r="N6558" s="1" t="s">
        <v>7323</v>
      </c>
      <c r="P6558" s="1" t="s">
        <v>7324</v>
      </c>
      <c r="Q6558" s="30" t="s">
        <v>2567</v>
      </c>
      <c r="R6558" s="33" t="s">
        <v>3472</v>
      </c>
      <c r="S6558">
        <v>36</v>
      </c>
      <c r="T6558" s="1" t="s">
        <v>12971</v>
      </c>
      <c r="U6558" s="1" t="str">
        <f>HYPERLINK("http://ictvonline.org/taxonomy/p/taxonomy-history?taxnode_id=202110642","ICTVonline=202110642")</f>
        <v>ICTVonline=202110642</v>
      </c>
    </row>
    <row r="6559" spans="1:21" x14ac:dyDescent="0.2">
      <c r="A6559" s="3">
        <v>6558</v>
      </c>
      <c r="B6559" s="1" t="s">
        <v>4226</v>
      </c>
      <c r="D6559" s="1" t="s">
        <v>5412</v>
      </c>
      <c r="F6559" s="1" t="s">
        <v>5466</v>
      </c>
      <c r="H6559" s="1" t="s">
        <v>6729</v>
      </c>
      <c r="J6559" s="1" t="s">
        <v>6730</v>
      </c>
      <c r="L6559" s="1" t="s">
        <v>6892</v>
      </c>
      <c r="N6559" s="1" t="s">
        <v>7325</v>
      </c>
      <c r="P6559" s="1" t="s">
        <v>7326</v>
      </c>
      <c r="Q6559" s="30" t="s">
        <v>2567</v>
      </c>
      <c r="R6559" s="33" t="s">
        <v>3472</v>
      </c>
      <c r="S6559">
        <v>36</v>
      </c>
      <c r="T6559" s="1" t="s">
        <v>12971</v>
      </c>
      <c r="U6559" s="1" t="str">
        <f>HYPERLINK("http://ictvonline.org/taxonomy/p/taxonomy-history?taxnode_id=202110644","ICTVonline=202110644")</f>
        <v>ICTVonline=202110644</v>
      </c>
    </row>
    <row r="6560" spans="1:21" x14ac:dyDescent="0.2">
      <c r="A6560" s="3">
        <v>6559</v>
      </c>
      <c r="B6560" s="1" t="s">
        <v>4226</v>
      </c>
      <c r="D6560" s="1" t="s">
        <v>5412</v>
      </c>
      <c r="F6560" s="1" t="s">
        <v>5466</v>
      </c>
      <c r="H6560" s="1" t="s">
        <v>6729</v>
      </c>
      <c r="J6560" s="1" t="s">
        <v>6730</v>
      </c>
      <c r="L6560" s="1" t="s">
        <v>6892</v>
      </c>
      <c r="N6560" s="1" t="s">
        <v>7327</v>
      </c>
      <c r="P6560" s="1" t="s">
        <v>7328</v>
      </c>
      <c r="Q6560" s="30" t="s">
        <v>2567</v>
      </c>
      <c r="R6560" s="33" t="s">
        <v>3472</v>
      </c>
      <c r="S6560">
        <v>36</v>
      </c>
      <c r="T6560" s="1" t="s">
        <v>12971</v>
      </c>
      <c r="U6560" s="1" t="str">
        <f>HYPERLINK("http://ictvonline.org/taxonomy/p/taxonomy-history?taxnode_id=202110646","ICTVonline=202110646")</f>
        <v>ICTVonline=202110646</v>
      </c>
    </row>
    <row r="6561" spans="1:21" x14ac:dyDescent="0.2">
      <c r="A6561" s="3">
        <v>6560</v>
      </c>
      <c r="B6561" s="1" t="s">
        <v>4226</v>
      </c>
      <c r="D6561" s="1" t="s">
        <v>5412</v>
      </c>
      <c r="F6561" s="1" t="s">
        <v>5466</v>
      </c>
      <c r="H6561" s="1" t="s">
        <v>6729</v>
      </c>
      <c r="J6561" s="1" t="s">
        <v>6730</v>
      </c>
      <c r="L6561" s="1" t="s">
        <v>6892</v>
      </c>
      <c r="N6561" s="1" t="s">
        <v>7329</v>
      </c>
      <c r="P6561" s="1" t="s">
        <v>7330</v>
      </c>
      <c r="Q6561" s="30" t="s">
        <v>2567</v>
      </c>
      <c r="R6561" s="33" t="s">
        <v>3472</v>
      </c>
      <c r="S6561">
        <v>36</v>
      </c>
      <c r="T6561" s="1" t="s">
        <v>12971</v>
      </c>
      <c r="U6561" s="1" t="str">
        <f>HYPERLINK("http://ictvonline.org/taxonomy/p/taxonomy-history?taxnode_id=202110648","ICTVonline=202110648")</f>
        <v>ICTVonline=202110648</v>
      </c>
    </row>
    <row r="6562" spans="1:21" x14ac:dyDescent="0.2">
      <c r="A6562" s="3">
        <v>6561</v>
      </c>
      <c r="B6562" s="1" t="s">
        <v>4226</v>
      </c>
      <c r="D6562" s="1" t="s">
        <v>5412</v>
      </c>
      <c r="F6562" s="1" t="s">
        <v>5466</v>
      </c>
      <c r="H6562" s="1" t="s">
        <v>6729</v>
      </c>
      <c r="J6562" s="1" t="s">
        <v>6730</v>
      </c>
      <c r="L6562" s="1" t="s">
        <v>6892</v>
      </c>
      <c r="N6562" s="1" t="s">
        <v>7331</v>
      </c>
      <c r="P6562" s="1" t="s">
        <v>7332</v>
      </c>
      <c r="Q6562" s="30" t="s">
        <v>2567</v>
      </c>
      <c r="R6562" s="33" t="s">
        <v>3472</v>
      </c>
      <c r="S6562">
        <v>36</v>
      </c>
      <c r="T6562" s="1" t="s">
        <v>12971</v>
      </c>
      <c r="U6562" s="1" t="str">
        <f>HYPERLINK("http://ictvonline.org/taxonomy/p/taxonomy-history?taxnode_id=202110650","ICTVonline=202110650")</f>
        <v>ICTVonline=202110650</v>
      </c>
    </row>
    <row r="6563" spans="1:21" x14ac:dyDescent="0.2">
      <c r="A6563" s="3">
        <v>6562</v>
      </c>
      <c r="B6563" s="1" t="s">
        <v>4226</v>
      </c>
      <c r="D6563" s="1" t="s">
        <v>5412</v>
      </c>
      <c r="F6563" s="1" t="s">
        <v>5466</v>
      </c>
      <c r="H6563" s="1" t="s">
        <v>6729</v>
      </c>
      <c r="J6563" s="1" t="s">
        <v>6730</v>
      </c>
      <c r="L6563" s="1" t="s">
        <v>6892</v>
      </c>
      <c r="N6563" s="1" t="s">
        <v>7333</v>
      </c>
      <c r="P6563" s="1" t="s">
        <v>7334</v>
      </c>
      <c r="Q6563" s="30" t="s">
        <v>2567</v>
      </c>
      <c r="R6563" s="33" t="s">
        <v>3472</v>
      </c>
      <c r="S6563">
        <v>36</v>
      </c>
      <c r="T6563" s="1" t="s">
        <v>12971</v>
      </c>
      <c r="U6563" s="1" t="str">
        <f>HYPERLINK("http://ictvonline.org/taxonomy/p/taxonomy-history?taxnode_id=202110652","ICTVonline=202110652")</f>
        <v>ICTVonline=202110652</v>
      </c>
    </row>
    <row r="6564" spans="1:21" x14ac:dyDescent="0.2">
      <c r="A6564" s="3">
        <v>6563</v>
      </c>
      <c r="B6564" s="1" t="s">
        <v>4226</v>
      </c>
      <c r="D6564" s="1" t="s">
        <v>5412</v>
      </c>
      <c r="F6564" s="1" t="s">
        <v>5466</v>
      </c>
      <c r="H6564" s="1" t="s">
        <v>6729</v>
      </c>
      <c r="J6564" s="1" t="s">
        <v>6730</v>
      </c>
      <c r="L6564" s="1" t="s">
        <v>6892</v>
      </c>
      <c r="N6564" s="1" t="s">
        <v>7335</v>
      </c>
      <c r="P6564" s="1" t="s">
        <v>7336</v>
      </c>
      <c r="Q6564" s="30" t="s">
        <v>2567</v>
      </c>
      <c r="R6564" s="33" t="s">
        <v>3472</v>
      </c>
      <c r="S6564">
        <v>36</v>
      </c>
      <c r="T6564" s="1" t="s">
        <v>12971</v>
      </c>
      <c r="U6564" s="1" t="str">
        <f>HYPERLINK("http://ictvonline.org/taxonomy/p/taxonomy-history?taxnode_id=202110654","ICTVonline=202110654")</f>
        <v>ICTVonline=202110654</v>
      </c>
    </row>
    <row r="6565" spans="1:21" x14ac:dyDescent="0.2">
      <c r="A6565" s="3">
        <v>6564</v>
      </c>
      <c r="B6565" s="1" t="s">
        <v>4226</v>
      </c>
      <c r="D6565" s="1" t="s">
        <v>5412</v>
      </c>
      <c r="F6565" s="1" t="s">
        <v>5466</v>
      </c>
      <c r="H6565" s="1" t="s">
        <v>6729</v>
      </c>
      <c r="J6565" s="1" t="s">
        <v>6730</v>
      </c>
      <c r="L6565" s="1" t="s">
        <v>6892</v>
      </c>
      <c r="N6565" s="1" t="s">
        <v>7337</v>
      </c>
      <c r="P6565" s="1" t="s">
        <v>7338</v>
      </c>
      <c r="Q6565" s="30" t="s">
        <v>2567</v>
      </c>
      <c r="R6565" s="33" t="s">
        <v>3472</v>
      </c>
      <c r="S6565">
        <v>36</v>
      </c>
      <c r="T6565" s="1" t="s">
        <v>12971</v>
      </c>
      <c r="U6565" s="1" t="str">
        <f>HYPERLINK("http://ictvonline.org/taxonomy/p/taxonomy-history?taxnode_id=202110656","ICTVonline=202110656")</f>
        <v>ICTVonline=202110656</v>
      </c>
    </row>
    <row r="6566" spans="1:21" x14ac:dyDescent="0.2">
      <c r="A6566" s="3">
        <v>6565</v>
      </c>
      <c r="B6566" s="1" t="s">
        <v>4226</v>
      </c>
      <c r="D6566" s="1" t="s">
        <v>5412</v>
      </c>
      <c r="F6566" s="1" t="s">
        <v>5466</v>
      </c>
      <c r="H6566" s="1" t="s">
        <v>6729</v>
      </c>
      <c r="J6566" s="1" t="s">
        <v>6730</v>
      </c>
      <c r="L6566" s="1" t="s">
        <v>6892</v>
      </c>
      <c r="N6566" s="1" t="s">
        <v>7339</v>
      </c>
      <c r="P6566" s="1" t="s">
        <v>7340</v>
      </c>
      <c r="Q6566" s="30" t="s">
        <v>2567</v>
      </c>
      <c r="R6566" s="33" t="s">
        <v>3472</v>
      </c>
      <c r="S6566">
        <v>36</v>
      </c>
      <c r="T6566" s="1" t="s">
        <v>12971</v>
      </c>
      <c r="U6566" s="1" t="str">
        <f>HYPERLINK("http://ictvonline.org/taxonomy/p/taxonomy-history?taxnode_id=202110658","ICTVonline=202110658")</f>
        <v>ICTVonline=202110658</v>
      </c>
    </row>
    <row r="6567" spans="1:21" x14ac:dyDescent="0.2">
      <c r="A6567" s="3">
        <v>6566</v>
      </c>
      <c r="B6567" s="1" t="s">
        <v>4226</v>
      </c>
      <c r="D6567" s="1" t="s">
        <v>5412</v>
      </c>
      <c r="F6567" s="1" t="s">
        <v>5466</v>
      </c>
      <c r="H6567" s="1" t="s">
        <v>6729</v>
      </c>
      <c r="J6567" s="1" t="s">
        <v>6730</v>
      </c>
      <c r="L6567" s="1" t="s">
        <v>6892</v>
      </c>
      <c r="N6567" s="1" t="s">
        <v>7341</v>
      </c>
      <c r="P6567" s="1" t="s">
        <v>7342</v>
      </c>
      <c r="Q6567" s="30" t="s">
        <v>2567</v>
      </c>
      <c r="R6567" s="33" t="s">
        <v>3472</v>
      </c>
      <c r="S6567">
        <v>36</v>
      </c>
      <c r="T6567" s="1" t="s">
        <v>12971</v>
      </c>
      <c r="U6567" s="1" t="str">
        <f>HYPERLINK("http://ictvonline.org/taxonomy/p/taxonomy-history?taxnode_id=202110660","ICTVonline=202110660")</f>
        <v>ICTVonline=202110660</v>
      </c>
    </row>
    <row r="6568" spans="1:21" x14ac:dyDescent="0.2">
      <c r="A6568" s="3">
        <v>6567</v>
      </c>
      <c r="B6568" s="1" t="s">
        <v>4226</v>
      </c>
      <c r="D6568" s="1" t="s">
        <v>5412</v>
      </c>
      <c r="F6568" s="1" t="s">
        <v>5466</v>
      </c>
      <c r="H6568" s="1" t="s">
        <v>6729</v>
      </c>
      <c r="J6568" s="1" t="s">
        <v>6730</v>
      </c>
      <c r="L6568" s="1" t="s">
        <v>6892</v>
      </c>
      <c r="N6568" s="1" t="s">
        <v>7343</v>
      </c>
      <c r="P6568" s="1" t="s">
        <v>7344</v>
      </c>
      <c r="Q6568" s="30" t="s">
        <v>2567</v>
      </c>
      <c r="R6568" s="33" t="s">
        <v>3472</v>
      </c>
      <c r="S6568">
        <v>36</v>
      </c>
      <c r="T6568" s="1" t="s">
        <v>12971</v>
      </c>
      <c r="U6568" s="1" t="str">
        <f>HYPERLINK("http://ictvonline.org/taxonomy/p/taxonomy-history?taxnode_id=202110662","ICTVonline=202110662")</f>
        <v>ICTVonline=202110662</v>
      </c>
    </row>
    <row r="6569" spans="1:21" x14ac:dyDescent="0.2">
      <c r="A6569" s="3">
        <v>6568</v>
      </c>
      <c r="B6569" s="1" t="s">
        <v>4226</v>
      </c>
      <c r="D6569" s="1" t="s">
        <v>5412</v>
      </c>
      <c r="F6569" s="1" t="s">
        <v>5466</v>
      </c>
      <c r="H6569" s="1" t="s">
        <v>6729</v>
      </c>
      <c r="J6569" s="1" t="s">
        <v>6730</v>
      </c>
      <c r="L6569" s="1" t="s">
        <v>6892</v>
      </c>
      <c r="N6569" s="1" t="s">
        <v>7345</v>
      </c>
      <c r="P6569" s="1" t="s">
        <v>7346</v>
      </c>
      <c r="Q6569" s="30" t="s">
        <v>2567</v>
      </c>
      <c r="R6569" s="33" t="s">
        <v>3472</v>
      </c>
      <c r="S6569">
        <v>36</v>
      </c>
      <c r="T6569" s="1" t="s">
        <v>12971</v>
      </c>
      <c r="U6569" s="1" t="str">
        <f>HYPERLINK("http://ictvonline.org/taxonomy/p/taxonomy-history?taxnode_id=202110664","ICTVonline=202110664")</f>
        <v>ICTVonline=202110664</v>
      </c>
    </row>
    <row r="6570" spans="1:21" x14ac:dyDescent="0.2">
      <c r="A6570" s="3">
        <v>6569</v>
      </c>
      <c r="B6570" s="1" t="s">
        <v>4226</v>
      </c>
      <c r="D6570" s="1" t="s">
        <v>5412</v>
      </c>
      <c r="F6570" s="1" t="s">
        <v>5466</v>
      </c>
      <c r="H6570" s="1" t="s">
        <v>6729</v>
      </c>
      <c r="J6570" s="1" t="s">
        <v>6730</v>
      </c>
      <c r="L6570" s="1" t="s">
        <v>6892</v>
      </c>
      <c r="N6570" s="1" t="s">
        <v>7345</v>
      </c>
      <c r="P6570" s="1" t="s">
        <v>7347</v>
      </c>
      <c r="Q6570" s="30" t="s">
        <v>2567</v>
      </c>
      <c r="R6570" s="33" t="s">
        <v>3472</v>
      </c>
      <c r="S6570">
        <v>36</v>
      </c>
      <c r="T6570" s="1" t="s">
        <v>12971</v>
      </c>
      <c r="U6570" s="1" t="str">
        <f>HYPERLINK("http://ictvonline.org/taxonomy/p/taxonomy-history?taxnode_id=202110665","ICTVonline=202110665")</f>
        <v>ICTVonline=202110665</v>
      </c>
    </row>
    <row r="6571" spans="1:21" x14ac:dyDescent="0.2">
      <c r="A6571" s="3">
        <v>6570</v>
      </c>
      <c r="B6571" s="1" t="s">
        <v>4226</v>
      </c>
      <c r="D6571" s="1" t="s">
        <v>5412</v>
      </c>
      <c r="F6571" s="1" t="s">
        <v>5466</v>
      </c>
      <c r="H6571" s="1" t="s">
        <v>6729</v>
      </c>
      <c r="J6571" s="1" t="s">
        <v>6730</v>
      </c>
      <c r="L6571" s="1" t="s">
        <v>6892</v>
      </c>
      <c r="N6571" s="1" t="s">
        <v>7348</v>
      </c>
      <c r="P6571" s="1" t="s">
        <v>7349</v>
      </c>
      <c r="Q6571" s="30" t="s">
        <v>2567</v>
      </c>
      <c r="R6571" s="33" t="s">
        <v>3472</v>
      </c>
      <c r="S6571">
        <v>36</v>
      </c>
      <c r="T6571" s="1" t="s">
        <v>12971</v>
      </c>
      <c r="U6571" s="1" t="str">
        <f>HYPERLINK("http://ictvonline.org/taxonomy/p/taxonomy-history?taxnode_id=202110671","ICTVonline=202110671")</f>
        <v>ICTVonline=202110671</v>
      </c>
    </row>
    <row r="6572" spans="1:21" x14ac:dyDescent="0.2">
      <c r="A6572" s="3">
        <v>6571</v>
      </c>
      <c r="B6572" s="1" t="s">
        <v>4226</v>
      </c>
      <c r="D6572" s="1" t="s">
        <v>5412</v>
      </c>
      <c r="F6572" s="1" t="s">
        <v>5466</v>
      </c>
      <c r="H6572" s="1" t="s">
        <v>6729</v>
      </c>
      <c r="J6572" s="1" t="s">
        <v>6730</v>
      </c>
      <c r="L6572" s="1" t="s">
        <v>6892</v>
      </c>
      <c r="N6572" s="1" t="s">
        <v>7348</v>
      </c>
      <c r="P6572" s="1" t="s">
        <v>7350</v>
      </c>
      <c r="Q6572" s="30" t="s">
        <v>2567</v>
      </c>
      <c r="R6572" s="33" t="s">
        <v>3472</v>
      </c>
      <c r="S6572">
        <v>36</v>
      </c>
      <c r="T6572" s="1" t="s">
        <v>12971</v>
      </c>
      <c r="U6572" s="1" t="str">
        <f>HYPERLINK("http://ictvonline.org/taxonomy/p/taxonomy-history?taxnode_id=202110672","ICTVonline=202110672")</f>
        <v>ICTVonline=202110672</v>
      </c>
    </row>
    <row r="6573" spans="1:21" x14ac:dyDescent="0.2">
      <c r="A6573" s="3">
        <v>6572</v>
      </c>
      <c r="B6573" s="1" t="s">
        <v>4226</v>
      </c>
      <c r="D6573" s="1" t="s">
        <v>5412</v>
      </c>
      <c r="F6573" s="1" t="s">
        <v>5466</v>
      </c>
      <c r="H6573" s="1" t="s">
        <v>6729</v>
      </c>
      <c r="J6573" s="1" t="s">
        <v>6730</v>
      </c>
      <c r="L6573" s="1" t="s">
        <v>6892</v>
      </c>
      <c r="N6573" s="1" t="s">
        <v>7348</v>
      </c>
      <c r="P6573" s="1" t="s">
        <v>7351</v>
      </c>
      <c r="Q6573" s="30" t="s">
        <v>2567</v>
      </c>
      <c r="R6573" s="33" t="s">
        <v>3472</v>
      </c>
      <c r="S6573">
        <v>36</v>
      </c>
      <c r="T6573" s="1" t="s">
        <v>12971</v>
      </c>
      <c r="U6573" s="1" t="str">
        <f>HYPERLINK("http://ictvonline.org/taxonomy/p/taxonomy-history?taxnode_id=202110668","ICTVonline=202110668")</f>
        <v>ICTVonline=202110668</v>
      </c>
    </row>
    <row r="6574" spans="1:21" x14ac:dyDescent="0.2">
      <c r="A6574" s="3">
        <v>6573</v>
      </c>
      <c r="B6574" s="1" t="s">
        <v>4226</v>
      </c>
      <c r="D6574" s="1" t="s">
        <v>5412</v>
      </c>
      <c r="F6574" s="1" t="s">
        <v>5466</v>
      </c>
      <c r="H6574" s="1" t="s">
        <v>6729</v>
      </c>
      <c r="J6574" s="1" t="s">
        <v>6730</v>
      </c>
      <c r="L6574" s="1" t="s">
        <v>6892</v>
      </c>
      <c r="N6574" s="1" t="s">
        <v>7348</v>
      </c>
      <c r="P6574" s="1" t="s">
        <v>7352</v>
      </c>
      <c r="Q6574" s="30" t="s">
        <v>2567</v>
      </c>
      <c r="R6574" s="33" t="s">
        <v>3472</v>
      </c>
      <c r="S6574">
        <v>36</v>
      </c>
      <c r="T6574" s="1" t="s">
        <v>12971</v>
      </c>
      <c r="U6574" s="1" t="str">
        <f>HYPERLINK("http://ictvonline.org/taxonomy/p/taxonomy-history?taxnode_id=202110669","ICTVonline=202110669")</f>
        <v>ICTVonline=202110669</v>
      </c>
    </row>
    <row r="6575" spans="1:21" x14ac:dyDescent="0.2">
      <c r="A6575" s="3">
        <v>6574</v>
      </c>
      <c r="B6575" s="1" t="s">
        <v>4226</v>
      </c>
      <c r="D6575" s="1" t="s">
        <v>5412</v>
      </c>
      <c r="F6575" s="1" t="s">
        <v>5466</v>
      </c>
      <c r="H6575" s="1" t="s">
        <v>6729</v>
      </c>
      <c r="J6575" s="1" t="s">
        <v>6730</v>
      </c>
      <c r="L6575" s="1" t="s">
        <v>6892</v>
      </c>
      <c r="N6575" s="1" t="s">
        <v>7348</v>
      </c>
      <c r="P6575" s="1" t="s">
        <v>7353</v>
      </c>
      <c r="Q6575" s="30" t="s">
        <v>2567</v>
      </c>
      <c r="R6575" s="33" t="s">
        <v>3472</v>
      </c>
      <c r="S6575">
        <v>36</v>
      </c>
      <c r="T6575" s="1" t="s">
        <v>12971</v>
      </c>
      <c r="U6575" s="1" t="str">
        <f>HYPERLINK("http://ictvonline.org/taxonomy/p/taxonomy-history?taxnode_id=202110670","ICTVonline=202110670")</f>
        <v>ICTVonline=202110670</v>
      </c>
    </row>
    <row r="6576" spans="1:21" x14ac:dyDescent="0.2">
      <c r="A6576" s="3">
        <v>6575</v>
      </c>
      <c r="B6576" s="1" t="s">
        <v>4226</v>
      </c>
      <c r="D6576" s="1" t="s">
        <v>5412</v>
      </c>
      <c r="F6576" s="1" t="s">
        <v>5466</v>
      </c>
      <c r="H6576" s="1" t="s">
        <v>6729</v>
      </c>
      <c r="J6576" s="1" t="s">
        <v>6730</v>
      </c>
      <c r="L6576" s="1" t="s">
        <v>6892</v>
      </c>
      <c r="N6576" s="1" t="s">
        <v>7348</v>
      </c>
      <c r="P6576" s="1" t="s">
        <v>7354</v>
      </c>
      <c r="Q6576" s="30" t="s">
        <v>2567</v>
      </c>
      <c r="R6576" s="33" t="s">
        <v>3472</v>
      </c>
      <c r="S6576">
        <v>36</v>
      </c>
      <c r="T6576" s="1" t="s">
        <v>12971</v>
      </c>
      <c r="U6576" s="1" t="str">
        <f>HYPERLINK("http://ictvonline.org/taxonomy/p/taxonomy-history?taxnode_id=202110667","ICTVonline=202110667")</f>
        <v>ICTVonline=202110667</v>
      </c>
    </row>
    <row r="6577" spans="1:21" x14ac:dyDescent="0.2">
      <c r="A6577" s="3">
        <v>6576</v>
      </c>
      <c r="B6577" s="1" t="s">
        <v>4226</v>
      </c>
      <c r="D6577" s="1" t="s">
        <v>5412</v>
      </c>
      <c r="F6577" s="1" t="s">
        <v>5466</v>
      </c>
      <c r="H6577" s="1" t="s">
        <v>6729</v>
      </c>
      <c r="J6577" s="1" t="s">
        <v>6730</v>
      </c>
      <c r="L6577" s="1" t="s">
        <v>6892</v>
      </c>
      <c r="N6577" s="1" t="s">
        <v>7355</v>
      </c>
      <c r="P6577" s="1" t="s">
        <v>7356</v>
      </c>
      <c r="Q6577" s="30" t="s">
        <v>2567</v>
      </c>
      <c r="R6577" s="33" t="s">
        <v>3472</v>
      </c>
      <c r="S6577">
        <v>36</v>
      </c>
      <c r="T6577" s="1" t="s">
        <v>12971</v>
      </c>
      <c r="U6577" s="1" t="str">
        <f>HYPERLINK("http://ictvonline.org/taxonomy/p/taxonomy-history?taxnode_id=202110674","ICTVonline=202110674")</f>
        <v>ICTVonline=202110674</v>
      </c>
    </row>
    <row r="6578" spans="1:21" x14ac:dyDescent="0.2">
      <c r="A6578" s="3">
        <v>6577</v>
      </c>
      <c r="B6578" s="1" t="s">
        <v>4226</v>
      </c>
      <c r="D6578" s="1" t="s">
        <v>5412</v>
      </c>
      <c r="F6578" s="1" t="s">
        <v>5466</v>
      </c>
      <c r="H6578" s="1" t="s">
        <v>6729</v>
      </c>
      <c r="J6578" s="1" t="s">
        <v>6730</v>
      </c>
      <c r="L6578" s="1" t="s">
        <v>6892</v>
      </c>
      <c r="N6578" s="1" t="s">
        <v>7357</v>
      </c>
      <c r="P6578" s="1" t="s">
        <v>7358</v>
      </c>
      <c r="Q6578" s="30" t="s">
        <v>2567</v>
      </c>
      <c r="R6578" s="33" t="s">
        <v>3472</v>
      </c>
      <c r="S6578">
        <v>36</v>
      </c>
      <c r="T6578" s="1" t="s">
        <v>12971</v>
      </c>
      <c r="U6578" s="1" t="str">
        <f>HYPERLINK("http://ictvonline.org/taxonomy/p/taxonomy-history?taxnode_id=202110676","ICTVonline=202110676")</f>
        <v>ICTVonline=202110676</v>
      </c>
    </row>
    <row r="6579" spans="1:21" x14ac:dyDescent="0.2">
      <c r="A6579" s="3">
        <v>6578</v>
      </c>
      <c r="B6579" s="1" t="s">
        <v>4226</v>
      </c>
      <c r="D6579" s="1" t="s">
        <v>5412</v>
      </c>
      <c r="F6579" s="1" t="s">
        <v>5466</v>
      </c>
      <c r="H6579" s="1" t="s">
        <v>6729</v>
      </c>
      <c r="J6579" s="1" t="s">
        <v>6730</v>
      </c>
      <c r="L6579" s="1" t="s">
        <v>6892</v>
      </c>
      <c r="N6579" s="1" t="s">
        <v>7359</v>
      </c>
      <c r="P6579" s="1" t="s">
        <v>7360</v>
      </c>
      <c r="Q6579" s="30" t="s">
        <v>2567</v>
      </c>
      <c r="R6579" s="33" t="s">
        <v>3472</v>
      </c>
      <c r="S6579">
        <v>36</v>
      </c>
      <c r="T6579" s="1" t="s">
        <v>12971</v>
      </c>
      <c r="U6579" s="1" t="str">
        <f>HYPERLINK("http://ictvonline.org/taxonomy/p/taxonomy-history?taxnode_id=202110678","ICTVonline=202110678")</f>
        <v>ICTVonline=202110678</v>
      </c>
    </row>
    <row r="6580" spans="1:21" x14ac:dyDescent="0.2">
      <c r="A6580" s="3">
        <v>6579</v>
      </c>
      <c r="B6580" s="1" t="s">
        <v>4226</v>
      </c>
      <c r="D6580" s="1" t="s">
        <v>5412</v>
      </c>
      <c r="F6580" s="1" t="s">
        <v>5466</v>
      </c>
      <c r="H6580" s="1" t="s">
        <v>6729</v>
      </c>
      <c r="J6580" s="1" t="s">
        <v>6730</v>
      </c>
      <c r="L6580" s="1" t="s">
        <v>6892</v>
      </c>
      <c r="N6580" s="1" t="s">
        <v>7361</v>
      </c>
      <c r="P6580" s="1" t="s">
        <v>7362</v>
      </c>
      <c r="Q6580" s="30" t="s">
        <v>2567</v>
      </c>
      <c r="R6580" s="33" t="s">
        <v>3472</v>
      </c>
      <c r="S6580">
        <v>36</v>
      </c>
      <c r="T6580" s="1" t="s">
        <v>12971</v>
      </c>
      <c r="U6580" s="1" t="str">
        <f>HYPERLINK("http://ictvonline.org/taxonomy/p/taxonomy-history?taxnode_id=202110680","ICTVonline=202110680")</f>
        <v>ICTVonline=202110680</v>
      </c>
    </row>
    <row r="6581" spans="1:21" x14ac:dyDescent="0.2">
      <c r="A6581" s="3">
        <v>6580</v>
      </c>
      <c r="B6581" s="1" t="s">
        <v>4226</v>
      </c>
      <c r="D6581" s="1" t="s">
        <v>5412</v>
      </c>
      <c r="F6581" s="1" t="s">
        <v>5466</v>
      </c>
      <c r="H6581" s="1" t="s">
        <v>6729</v>
      </c>
      <c r="J6581" s="1" t="s">
        <v>6730</v>
      </c>
      <c r="L6581" s="1" t="s">
        <v>6892</v>
      </c>
      <c r="N6581" s="1" t="s">
        <v>7363</v>
      </c>
      <c r="P6581" s="1" t="s">
        <v>7364</v>
      </c>
      <c r="Q6581" s="30" t="s">
        <v>2567</v>
      </c>
      <c r="R6581" s="33" t="s">
        <v>3472</v>
      </c>
      <c r="S6581">
        <v>36</v>
      </c>
      <c r="T6581" s="1" t="s">
        <v>12971</v>
      </c>
      <c r="U6581" s="1" t="str">
        <f>HYPERLINK("http://ictvonline.org/taxonomy/p/taxonomy-history?taxnode_id=202110682","ICTVonline=202110682")</f>
        <v>ICTVonline=202110682</v>
      </c>
    </row>
    <row r="6582" spans="1:21" x14ac:dyDescent="0.2">
      <c r="A6582" s="3">
        <v>6581</v>
      </c>
      <c r="B6582" s="1" t="s">
        <v>4226</v>
      </c>
      <c r="D6582" s="1" t="s">
        <v>5412</v>
      </c>
      <c r="F6582" s="1" t="s">
        <v>5466</v>
      </c>
      <c r="H6582" s="1" t="s">
        <v>6729</v>
      </c>
      <c r="J6582" s="1" t="s">
        <v>6730</v>
      </c>
      <c r="L6582" s="1" t="s">
        <v>6892</v>
      </c>
      <c r="N6582" s="1" t="s">
        <v>7365</v>
      </c>
      <c r="P6582" s="1" t="s">
        <v>7366</v>
      </c>
      <c r="Q6582" s="30" t="s">
        <v>2567</v>
      </c>
      <c r="R6582" s="33" t="s">
        <v>3472</v>
      </c>
      <c r="S6582">
        <v>36</v>
      </c>
      <c r="T6582" s="1" t="s">
        <v>12971</v>
      </c>
      <c r="U6582" s="1" t="str">
        <f>HYPERLINK("http://ictvonline.org/taxonomy/p/taxonomy-history?taxnode_id=202110684","ICTVonline=202110684")</f>
        <v>ICTVonline=202110684</v>
      </c>
    </row>
    <row r="6583" spans="1:21" x14ac:dyDescent="0.2">
      <c r="A6583" s="3">
        <v>6582</v>
      </c>
      <c r="B6583" s="1" t="s">
        <v>4226</v>
      </c>
      <c r="D6583" s="1" t="s">
        <v>5412</v>
      </c>
      <c r="F6583" s="1" t="s">
        <v>5466</v>
      </c>
      <c r="H6583" s="1" t="s">
        <v>6729</v>
      </c>
      <c r="J6583" s="1" t="s">
        <v>6730</v>
      </c>
      <c r="L6583" s="1" t="s">
        <v>6892</v>
      </c>
      <c r="N6583" s="1" t="s">
        <v>7367</v>
      </c>
      <c r="P6583" s="1" t="s">
        <v>7368</v>
      </c>
      <c r="Q6583" s="30" t="s">
        <v>2567</v>
      </c>
      <c r="R6583" s="33" t="s">
        <v>3472</v>
      </c>
      <c r="S6583">
        <v>36</v>
      </c>
      <c r="T6583" s="1" t="s">
        <v>12971</v>
      </c>
      <c r="U6583" s="1" t="str">
        <f>HYPERLINK("http://ictvonline.org/taxonomy/p/taxonomy-history?taxnode_id=202110686","ICTVonline=202110686")</f>
        <v>ICTVonline=202110686</v>
      </c>
    </row>
    <row r="6584" spans="1:21" x14ac:dyDescent="0.2">
      <c r="A6584" s="3">
        <v>6583</v>
      </c>
      <c r="B6584" s="1" t="s">
        <v>4226</v>
      </c>
      <c r="D6584" s="1" t="s">
        <v>5412</v>
      </c>
      <c r="F6584" s="1" t="s">
        <v>5466</v>
      </c>
      <c r="H6584" s="1" t="s">
        <v>6729</v>
      </c>
      <c r="J6584" s="1" t="s">
        <v>6730</v>
      </c>
      <c r="L6584" s="1" t="s">
        <v>6892</v>
      </c>
      <c r="N6584" s="1" t="s">
        <v>7369</v>
      </c>
      <c r="P6584" s="1" t="s">
        <v>7370</v>
      </c>
      <c r="Q6584" s="30" t="s">
        <v>2567</v>
      </c>
      <c r="R6584" s="33" t="s">
        <v>3472</v>
      </c>
      <c r="S6584">
        <v>36</v>
      </c>
      <c r="T6584" s="1" t="s">
        <v>12971</v>
      </c>
      <c r="U6584" s="1" t="str">
        <f>HYPERLINK("http://ictvonline.org/taxonomy/p/taxonomy-history?taxnode_id=202110688","ICTVonline=202110688")</f>
        <v>ICTVonline=202110688</v>
      </c>
    </row>
    <row r="6585" spans="1:21" x14ac:dyDescent="0.2">
      <c r="A6585" s="3">
        <v>6584</v>
      </c>
      <c r="B6585" s="1" t="s">
        <v>4226</v>
      </c>
      <c r="D6585" s="1" t="s">
        <v>5412</v>
      </c>
      <c r="F6585" s="1" t="s">
        <v>5466</v>
      </c>
      <c r="H6585" s="1" t="s">
        <v>6729</v>
      </c>
      <c r="J6585" s="1" t="s">
        <v>6730</v>
      </c>
      <c r="L6585" s="1" t="s">
        <v>6892</v>
      </c>
      <c r="N6585" s="1" t="s">
        <v>7371</v>
      </c>
      <c r="P6585" s="1" t="s">
        <v>7372</v>
      </c>
      <c r="Q6585" s="30" t="s">
        <v>2567</v>
      </c>
      <c r="R6585" s="33" t="s">
        <v>3472</v>
      </c>
      <c r="S6585">
        <v>36</v>
      </c>
      <c r="T6585" s="1" t="s">
        <v>12971</v>
      </c>
      <c r="U6585" s="1" t="str">
        <f>HYPERLINK("http://ictvonline.org/taxonomy/p/taxonomy-history?taxnode_id=202110692","ICTVonline=202110692")</f>
        <v>ICTVonline=202110692</v>
      </c>
    </row>
    <row r="6586" spans="1:21" x14ac:dyDescent="0.2">
      <c r="A6586" s="3">
        <v>6585</v>
      </c>
      <c r="B6586" s="1" t="s">
        <v>4226</v>
      </c>
      <c r="D6586" s="1" t="s">
        <v>5412</v>
      </c>
      <c r="F6586" s="1" t="s">
        <v>5466</v>
      </c>
      <c r="H6586" s="1" t="s">
        <v>6729</v>
      </c>
      <c r="J6586" s="1" t="s">
        <v>6730</v>
      </c>
      <c r="L6586" s="1" t="s">
        <v>6892</v>
      </c>
      <c r="N6586" s="1" t="s">
        <v>7371</v>
      </c>
      <c r="P6586" s="1" t="s">
        <v>7373</v>
      </c>
      <c r="Q6586" s="30" t="s">
        <v>2567</v>
      </c>
      <c r="R6586" s="33" t="s">
        <v>3472</v>
      </c>
      <c r="S6586">
        <v>36</v>
      </c>
      <c r="T6586" s="1" t="s">
        <v>12971</v>
      </c>
      <c r="U6586" s="1" t="str">
        <f>HYPERLINK("http://ictvonline.org/taxonomy/p/taxonomy-history?taxnode_id=202110693","ICTVonline=202110693")</f>
        <v>ICTVonline=202110693</v>
      </c>
    </row>
    <row r="6587" spans="1:21" x14ac:dyDescent="0.2">
      <c r="A6587" s="3">
        <v>6586</v>
      </c>
      <c r="B6587" s="1" t="s">
        <v>4226</v>
      </c>
      <c r="D6587" s="1" t="s">
        <v>5412</v>
      </c>
      <c r="F6587" s="1" t="s">
        <v>5466</v>
      </c>
      <c r="H6587" s="1" t="s">
        <v>6729</v>
      </c>
      <c r="J6587" s="1" t="s">
        <v>6730</v>
      </c>
      <c r="L6587" s="1" t="s">
        <v>6892</v>
      </c>
      <c r="N6587" s="1" t="s">
        <v>7371</v>
      </c>
      <c r="P6587" s="1" t="s">
        <v>7374</v>
      </c>
      <c r="Q6587" s="30" t="s">
        <v>2567</v>
      </c>
      <c r="R6587" s="33" t="s">
        <v>3472</v>
      </c>
      <c r="S6587">
        <v>36</v>
      </c>
      <c r="T6587" s="1" t="s">
        <v>12971</v>
      </c>
      <c r="U6587" s="1" t="str">
        <f>HYPERLINK("http://ictvonline.org/taxonomy/p/taxonomy-history?taxnode_id=202110690","ICTVonline=202110690")</f>
        <v>ICTVonline=202110690</v>
      </c>
    </row>
    <row r="6588" spans="1:21" x14ac:dyDescent="0.2">
      <c r="A6588" s="3">
        <v>6587</v>
      </c>
      <c r="B6588" s="1" t="s">
        <v>4226</v>
      </c>
      <c r="D6588" s="1" t="s">
        <v>5412</v>
      </c>
      <c r="F6588" s="1" t="s">
        <v>5466</v>
      </c>
      <c r="H6588" s="1" t="s">
        <v>6729</v>
      </c>
      <c r="J6588" s="1" t="s">
        <v>6730</v>
      </c>
      <c r="L6588" s="1" t="s">
        <v>6892</v>
      </c>
      <c r="N6588" s="1" t="s">
        <v>7371</v>
      </c>
      <c r="P6588" s="1" t="s">
        <v>7375</v>
      </c>
      <c r="Q6588" s="30" t="s">
        <v>2567</v>
      </c>
      <c r="R6588" s="33" t="s">
        <v>3472</v>
      </c>
      <c r="S6588">
        <v>36</v>
      </c>
      <c r="T6588" s="1" t="s">
        <v>12971</v>
      </c>
      <c r="U6588" s="1" t="str">
        <f>HYPERLINK("http://ictvonline.org/taxonomy/p/taxonomy-history?taxnode_id=202110691","ICTVonline=202110691")</f>
        <v>ICTVonline=202110691</v>
      </c>
    </row>
    <row r="6589" spans="1:21" x14ac:dyDescent="0.2">
      <c r="A6589" s="3">
        <v>6588</v>
      </c>
      <c r="B6589" s="1" t="s">
        <v>4226</v>
      </c>
      <c r="D6589" s="1" t="s">
        <v>5412</v>
      </c>
      <c r="F6589" s="1" t="s">
        <v>5466</v>
      </c>
      <c r="H6589" s="1" t="s">
        <v>6729</v>
      </c>
      <c r="J6589" s="1" t="s">
        <v>6730</v>
      </c>
      <c r="L6589" s="1" t="s">
        <v>7376</v>
      </c>
      <c r="N6589" s="1" t="s">
        <v>7377</v>
      </c>
      <c r="P6589" s="1" t="s">
        <v>7378</v>
      </c>
      <c r="Q6589" s="30" t="s">
        <v>2567</v>
      </c>
      <c r="R6589" s="33" t="s">
        <v>3472</v>
      </c>
      <c r="S6589">
        <v>36</v>
      </c>
      <c r="T6589" s="1" t="s">
        <v>12971</v>
      </c>
      <c r="U6589" s="1" t="str">
        <f>HYPERLINK("http://ictvonline.org/taxonomy/p/taxonomy-history?taxnode_id=202110857","ICTVonline=202110857")</f>
        <v>ICTVonline=202110857</v>
      </c>
    </row>
    <row r="6590" spans="1:21" x14ac:dyDescent="0.2">
      <c r="A6590" s="3">
        <v>6589</v>
      </c>
      <c r="B6590" s="1" t="s">
        <v>4226</v>
      </c>
      <c r="D6590" s="1" t="s">
        <v>5412</v>
      </c>
      <c r="F6590" s="1" t="s">
        <v>5466</v>
      </c>
      <c r="H6590" s="1" t="s">
        <v>6729</v>
      </c>
      <c r="J6590" s="1" t="s">
        <v>6730</v>
      </c>
      <c r="L6590" s="1" t="s">
        <v>7376</v>
      </c>
      <c r="N6590" s="1" t="s">
        <v>7379</v>
      </c>
      <c r="P6590" s="1" t="s">
        <v>7380</v>
      </c>
      <c r="Q6590" s="30" t="s">
        <v>2567</v>
      </c>
      <c r="R6590" s="33" t="s">
        <v>3472</v>
      </c>
      <c r="S6590">
        <v>36</v>
      </c>
      <c r="T6590" s="1" t="s">
        <v>12971</v>
      </c>
      <c r="U6590" s="1" t="str">
        <f>HYPERLINK("http://ictvonline.org/taxonomy/p/taxonomy-history?taxnode_id=202110859","ICTVonline=202110859")</f>
        <v>ICTVonline=202110859</v>
      </c>
    </row>
    <row r="6591" spans="1:21" x14ac:dyDescent="0.2">
      <c r="A6591" s="3">
        <v>6590</v>
      </c>
      <c r="B6591" s="1" t="s">
        <v>4226</v>
      </c>
      <c r="D6591" s="1" t="s">
        <v>5412</v>
      </c>
      <c r="F6591" s="1" t="s">
        <v>5466</v>
      </c>
      <c r="H6591" s="1" t="s">
        <v>6729</v>
      </c>
      <c r="J6591" s="1" t="s">
        <v>6730</v>
      </c>
      <c r="L6591" s="1" t="s">
        <v>7376</v>
      </c>
      <c r="N6591" s="1" t="s">
        <v>7381</v>
      </c>
      <c r="P6591" s="1" t="s">
        <v>7382</v>
      </c>
      <c r="Q6591" s="30" t="s">
        <v>2567</v>
      </c>
      <c r="R6591" s="33" t="s">
        <v>3472</v>
      </c>
      <c r="S6591">
        <v>36</v>
      </c>
      <c r="T6591" s="1" t="s">
        <v>12971</v>
      </c>
      <c r="U6591" s="1" t="str">
        <f>HYPERLINK("http://ictvonline.org/taxonomy/p/taxonomy-history?taxnode_id=202110861","ICTVonline=202110861")</f>
        <v>ICTVonline=202110861</v>
      </c>
    </row>
    <row r="6592" spans="1:21" x14ac:dyDescent="0.2">
      <c r="A6592" s="3">
        <v>6591</v>
      </c>
      <c r="B6592" s="1" t="s">
        <v>4226</v>
      </c>
      <c r="D6592" s="1" t="s">
        <v>5412</v>
      </c>
      <c r="F6592" s="1" t="s">
        <v>5466</v>
      </c>
      <c r="H6592" s="1" t="s">
        <v>6729</v>
      </c>
      <c r="J6592" s="1" t="s">
        <v>6730</v>
      </c>
      <c r="L6592" s="1" t="s">
        <v>7376</v>
      </c>
      <c r="N6592" s="1" t="s">
        <v>7383</v>
      </c>
      <c r="P6592" s="1" t="s">
        <v>7384</v>
      </c>
      <c r="Q6592" s="30" t="s">
        <v>2567</v>
      </c>
      <c r="R6592" s="33" t="s">
        <v>3472</v>
      </c>
      <c r="S6592">
        <v>36</v>
      </c>
      <c r="T6592" s="1" t="s">
        <v>12971</v>
      </c>
      <c r="U6592" s="1" t="str">
        <f>HYPERLINK("http://ictvonline.org/taxonomy/p/taxonomy-history?taxnode_id=202110863","ICTVonline=202110863")</f>
        <v>ICTVonline=202110863</v>
      </c>
    </row>
    <row r="6593" spans="1:21" x14ac:dyDescent="0.2">
      <c r="A6593" s="3">
        <v>6592</v>
      </c>
      <c r="B6593" s="1" t="s">
        <v>4226</v>
      </c>
      <c r="D6593" s="1" t="s">
        <v>5412</v>
      </c>
      <c r="F6593" s="1" t="s">
        <v>5466</v>
      </c>
      <c r="H6593" s="1" t="s">
        <v>6729</v>
      </c>
      <c r="J6593" s="1" t="s">
        <v>6730</v>
      </c>
      <c r="L6593" s="1" t="s">
        <v>7376</v>
      </c>
      <c r="N6593" s="1" t="s">
        <v>7385</v>
      </c>
      <c r="P6593" s="1" t="s">
        <v>7386</v>
      </c>
      <c r="Q6593" s="30" t="s">
        <v>2567</v>
      </c>
      <c r="R6593" s="33" t="s">
        <v>3472</v>
      </c>
      <c r="S6593">
        <v>36</v>
      </c>
      <c r="T6593" s="1" t="s">
        <v>12971</v>
      </c>
      <c r="U6593" s="1" t="str">
        <f>HYPERLINK("http://ictvonline.org/taxonomy/p/taxonomy-history?taxnode_id=202110865","ICTVonline=202110865")</f>
        <v>ICTVonline=202110865</v>
      </c>
    </row>
    <row r="6594" spans="1:21" x14ac:dyDescent="0.2">
      <c r="A6594" s="3">
        <v>6593</v>
      </c>
      <c r="B6594" s="1" t="s">
        <v>4226</v>
      </c>
      <c r="D6594" s="1" t="s">
        <v>5412</v>
      </c>
      <c r="F6594" s="1" t="s">
        <v>5466</v>
      </c>
      <c r="H6594" s="1" t="s">
        <v>6729</v>
      </c>
      <c r="J6594" s="1" t="s">
        <v>6730</v>
      </c>
      <c r="L6594" s="1" t="s">
        <v>7376</v>
      </c>
      <c r="N6594" s="1" t="s">
        <v>7387</v>
      </c>
      <c r="P6594" s="1" t="s">
        <v>7388</v>
      </c>
      <c r="Q6594" s="30" t="s">
        <v>2567</v>
      </c>
      <c r="R6594" s="33" t="s">
        <v>3472</v>
      </c>
      <c r="S6594">
        <v>36</v>
      </c>
      <c r="T6594" s="1" t="s">
        <v>12971</v>
      </c>
      <c r="U6594" s="1" t="str">
        <f>HYPERLINK("http://ictvonline.org/taxonomy/p/taxonomy-history?taxnode_id=202110867","ICTVonline=202110867")</f>
        <v>ICTVonline=202110867</v>
      </c>
    </row>
    <row r="6595" spans="1:21" x14ac:dyDescent="0.2">
      <c r="A6595" s="3">
        <v>6594</v>
      </c>
      <c r="B6595" s="1" t="s">
        <v>4226</v>
      </c>
      <c r="D6595" s="1" t="s">
        <v>5412</v>
      </c>
      <c r="F6595" s="1" t="s">
        <v>5466</v>
      </c>
      <c r="H6595" s="1" t="s">
        <v>6729</v>
      </c>
      <c r="J6595" s="1" t="s">
        <v>6730</v>
      </c>
      <c r="L6595" s="1" t="s">
        <v>7376</v>
      </c>
      <c r="N6595" s="1" t="s">
        <v>7389</v>
      </c>
      <c r="P6595" s="1" t="s">
        <v>7390</v>
      </c>
      <c r="Q6595" s="30" t="s">
        <v>2567</v>
      </c>
      <c r="R6595" s="33" t="s">
        <v>3472</v>
      </c>
      <c r="S6595">
        <v>36</v>
      </c>
      <c r="T6595" s="1" t="s">
        <v>12971</v>
      </c>
      <c r="U6595" s="1" t="str">
        <f>HYPERLINK("http://ictvonline.org/taxonomy/p/taxonomy-history?taxnode_id=202110869","ICTVonline=202110869")</f>
        <v>ICTVonline=202110869</v>
      </c>
    </row>
    <row r="6596" spans="1:21" x14ac:dyDescent="0.2">
      <c r="A6596" s="3">
        <v>6595</v>
      </c>
      <c r="B6596" s="1" t="s">
        <v>4226</v>
      </c>
      <c r="D6596" s="1" t="s">
        <v>5412</v>
      </c>
      <c r="F6596" s="1" t="s">
        <v>5466</v>
      </c>
      <c r="H6596" s="1" t="s">
        <v>6729</v>
      </c>
      <c r="J6596" s="1" t="s">
        <v>6730</v>
      </c>
      <c r="L6596" s="1" t="s">
        <v>7376</v>
      </c>
      <c r="N6596" s="1" t="s">
        <v>7389</v>
      </c>
      <c r="P6596" s="1" t="s">
        <v>7391</v>
      </c>
      <c r="Q6596" s="30" t="s">
        <v>2567</v>
      </c>
      <c r="R6596" s="33" t="s">
        <v>3472</v>
      </c>
      <c r="S6596">
        <v>36</v>
      </c>
      <c r="T6596" s="1" t="s">
        <v>12971</v>
      </c>
      <c r="U6596" s="1" t="str">
        <f>HYPERLINK("http://ictvonline.org/taxonomy/p/taxonomy-history?taxnode_id=202110870","ICTVonline=202110870")</f>
        <v>ICTVonline=202110870</v>
      </c>
    </row>
    <row r="6597" spans="1:21" x14ac:dyDescent="0.2">
      <c r="A6597" s="3">
        <v>6596</v>
      </c>
      <c r="B6597" s="1" t="s">
        <v>4226</v>
      </c>
      <c r="D6597" s="1" t="s">
        <v>5412</v>
      </c>
      <c r="F6597" s="1" t="s">
        <v>5466</v>
      </c>
      <c r="H6597" s="1" t="s">
        <v>6729</v>
      </c>
      <c r="J6597" s="1" t="s">
        <v>6730</v>
      </c>
      <c r="L6597" s="1" t="s">
        <v>7376</v>
      </c>
      <c r="N6597" s="1" t="s">
        <v>7392</v>
      </c>
      <c r="P6597" s="1" t="s">
        <v>7393</v>
      </c>
      <c r="Q6597" s="30" t="s">
        <v>2567</v>
      </c>
      <c r="R6597" s="33" t="s">
        <v>3472</v>
      </c>
      <c r="S6597">
        <v>36</v>
      </c>
      <c r="T6597" s="1" t="s">
        <v>12971</v>
      </c>
      <c r="U6597" s="1" t="str">
        <f>HYPERLINK("http://ictvonline.org/taxonomy/p/taxonomy-history?taxnode_id=202110872","ICTVonline=202110872")</f>
        <v>ICTVonline=202110872</v>
      </c>
    </row>
    <row r="6598" spans="1:21" x14ac:dyDescent="0.2">
      <c r="A6598" s="3">
        <v>6597</v>
      </c>
      <c r="B6598" s="1" t="s">
        <v>4226</v>
      </c>
      <c r="D6598" s="1" t="s">
        <v>5412</v>
      </c>
      <c r="F6598" s="1" t="s">
        <v>5466</v>
      </c>
      <c r="H6598" s="1" t="s">
        <v>6729</v>
      </c>
      <c r="J6598" s="1" t="s">
        <v>6730</v>
      </c>
      <c r="L6598" s="1" t="s">
        <v>7376</v>
      </c>
      <c r="N6598" s="1" t="s">
        <v>7394</v>
      </c>
      <c r="P6598" s="1" t="s">
        <v>7395</v>
      </c>
      <c r="Q6598" s="30" t="s">
        <v>2567</v>
      </c>
      <c r="R6598" s="33" t="s">
        <v>3472</v>
      </c>
      <c r="S6598">
        <v>36</v>
      </c>
      <c r="T6598" s="1" t="s">
        <v>12971</v>
      </c>
      <c r="U6598" s="1" t="str">
        <f>HYPERLINK("http://ictvonline.org/taxonomy/p/taxonomy-history?taxnode_id=202110874","ICTVonline=202110874")</f>
        <v>ICTVonline=202110874</v>
      </c>
    </row>
    <row r="6599" spans="1:21" x14ac:dyDescent="0.2">
      <c r="A6599" s="3">
        <v>6598</v>
      </c>
      <c r="B6599" s="1" t="s">
        <v>4226</v>
      </c>
      <c r="D6599" s="1" t="s">
        <v>5412</v>
      </c>
      <c r="F6599" s="1" t="s">
        <v>5466</v>
      </c>
      <c r="H6599" s="1" t="s">
        <v>6729</v>
      </c>
      <c r="J6599" s="1" t="s">
        <v>6730</v>
      </c>
      <c r="L6599" s="1" t="s">
        <v>7376</v>
      </c>
      <c r="N6599" s="1" t="s">
        <v>7396</v>
      </c>
      <c r="P6599" s="1" t="s">
        <v>7397</v>
      </c>
      <c r="Q6599" s="30" t="s">
        <v>2567</v>
      </c>
      <c r="R6599" s="33" t="s">
        <v>3472</v>
      </c>
      <c r="S6599">
        <v>36</v>
      </c>
      <c r="T6599" s="1" t="s">
        <v>12971</v>
      </c>
      <c r="U6599" s="1" t="str">
        <f>HYPERLINK("http://ictvonline.org/taxonomy/p/taxonomy-history?taxnode_id=202110880","ICTVonline=202110880")</f>
        <v>ICTVonline=202110880</v>
      </c>
    </row>
    <row r="6600" spans="1:21" x14ac:dyDescent="0.2">
      <c r="A6600" s="3">
        <v>6599</v>
      </c>
      <c r="B6600" s="1" t="s">
        <v>4226</v>
      </c>
      <c r="D6600" s="1" t="s">
        <v>5412</v>
      </c>
      <c r="F6600" s="1" t="s">
        <v>5466</v>
      </c>
      <c r="H6600" s="1" t="s">
        <v>6729</v>
      </c>
      <c r="J6600" s="1" t="s">
        <v>6730</v>
      </c>
      <c r="L6600" s="1" t="s">
        <v>7376</v>
      </c>
      <c r="N6600" s="1" t="s">
        <v>7396</v>
      </c>
      <c r="P6600" s="1" t="s">
        <v>7398</v>
      </c>
      <c r="Q6600" s="30" t="s">
        <v>2567</v>
      </c>
      <c r="R6600" s="33" t="s">
        <v>3472</v>
      </c>
      <c r="S6600">
        <v>36</v>
      </c>
      <c r="T6600" s="1" t="s">
        <v>12971</v>
      </c>
      <c r="U6600" s="1" t="str">
        <f>HYPERLINK("http://ictvonline.org/taxonomy/p/taxonomy-history?taxnode_id=202110877","ICTVonline=202110877")</f>
        <v>ICTVonline=202110877</v>
      </c>
    </row>
    <row r="6601" spans="1:21" x14ac:dyDescent="0.2">
      <c r="A6601" s="3">
        <v>6600</v>
      </c>
      <c r="B6601" s="1" t="s">
        <v>4226</v>
      </c>
      <c r="D6601" s="1" t="s">
        <v>5412</v>
      </c>
      <c r="F6601" s="1" t="s">
        <v>5466</v>
      </c>
      <c r="H6601" s="1" t="s">
        <v>6729</v>
      </c>
      <c r="J6601" s="1" t="s">
        <v>6730</v>
      </c>
      <c r="L6601" s="1" t="s">
        <v>7376</v>
      </c>
      <c r="N6601" s="1" t="s">
        <v>7396</v>
      </c>
      <c r="P6601" s="1" t="s">
        <v>7399</v>
      </c>
      <c r="Q6601" s="30" t="s">
        <v>2567</v>
      </c>
      <c r="R6601" s="33" t="s">
        <v>3472</v>
      </c>
      <c r="S6601">
        <v>36</v>
      </c>
      <c r="T6601" s="1" t="s">
        <v>12971</v>
      </c>
      <c r="U6601" s="1" t="str">
        <f>HYPERLINK("http://ictvonline.org/taxonomy/p/taxonomy-history?taxnode_id=202110878","ICTVonline=202110878")</f>
        <v>ICTVonline=202110878</v>
      </c>
    </row>
    <row r="6602" spans="1:21" x14ac:dyDescent="0.2">
      <c r="A6602" s="3">
        <v>6601</v>
      </c>
      <c r="B6602" s="1" t="s">
        <v>4226</v>
      </c>
      <c r="D6602" s="1" t="s">
        <v>5412</v>
      </c>
      <c r="F6602" s="1" t="s">
        <v>5466</v>
      </c>
      <c r="H6602" s="1" t="s">
        <v>6729</v>
      </c>
      <c r="J6602" s="1" t="s">
        <v>6730</v>
      </c>
      <c r="L6602" s="1" t="s">
        <v>7376</v>
      </c>
      <c r="N6602" s="1" t="s">
        <v>7396</v>
      </c>
      <c r="P6602" s="1" t="s">
        <v>7400</v>
      </c>
      <c r="Q6602" s="30" t="s">
        <v>2567</v>
      </c>
      <c r="R6602" s="33" t="s">
        <v>3472</v>
      </c>
      <c r="S6602">
        <v>36</v>
      </c>
      <c r="T6602" s="1" t="s">
        <v>12971</v>
      </c>
      <c r="U6602" s="1" t="str">
        <f>HYPERLINK("http://ictvonline.org/taxonomy/p/taxonomy-history?taxnode_id=202110876","ICTVonline=202110876")</f>
        <v>ICTVonline=202110876</v>
      </c>
    </row>
    <row r="6603" spans="1:21" x14ac:dyDescent="0.2">
      <c r="A6603" s="3">
        <v>6602</v>
      </c>
      <c r="B6603" s="1" t="s">
        <v>4226</v>
      </c>
      <c r="D6603" s="1" t="s">
        <v>5412</v>
      </c>
      <c r="F6603" s="1" t="s">
        <v>5466</v>
      </c>
      <c r="H6603" s="1" t="s">
        <v>6729</v>
      </c>
      <c r="J6603" s="1" t="s">
        <v>6730</v>
      </c>
      <c r="L6603" s="1" t="s">
        <v>7376</v>
      </c>
      <c r="N6603" s="1" t="s">
        <v>7396</v>
      </c>
      <c r="P6603" s="1" t="s">
        <v>7401</v>
      </c>
      <c r="Q6603" s="30" t="s">
        <v>2567</v>
      </c>
      <c r="R6603" s="33" t="s">
        <v>3472</v>
      </c>
      <c r="S6603">
        <v>36</v>
      </c>
      <c r="T6603" s="1" t="s">
        <v>12971</v>
      </c>
      <c r="U6603" s="1" t="str">
        <f>HYPERLINK("http://ictvonline.org/taxonomy/p/taxonomy-history?taxnode_id=202110879","ICTVonline=202110879")</f>
        <v>ICTVonline=202110879</v>
      </c>
    </row>
    <row r="6604" spans="1:21" x14ac:dyDescent="0.2">
      <c r="A6604" s="3">
        <v>6603</v>
      </c>
      <c r="B6604" s="1" t="s">
        <v>4226</v>
      </c>
      <c r="D6604" s="1" t="s">
        <v>5412</v>
      </c>
      <c r="F6604" s="1" t="s">
        <v>5466</v>
      </c>
      <c r="H6604" s="1" t="s">
        <v>6729</v>
      </c>
      <c r="J6604" s="1" t="s">
        <v>6730</v>
      </c>
      <c r="L6604" s="1" t="s">
        <v>7376</v>
      </c>
      <c r="N6604" s="1" t="s">
        <v>7402</v>
      </c>
      <c r="P6604" s="1" t="s">
        <v>7403</v>
      </c>
      <c r="Q6604" s="30" t="s">
        <v>2567</v>
      </c>
      <c r="R6604" s="33" t="s">
        <v>3472</v>
      </c>
      <c r="S6604">
        <v>36</v>
      </c>
      <c r="T6604" s="1" t="s">
        <v>12971</v>
      </c>
      <c r="U6604" s="1" t="str">
        <f>HYPERLINK("http://ictvonline.org/taxonomy/p/taxonomy-history?taxnode_id=202110882","ICTVonline=202110882")</f>
        <v>ICTVonline=202110882</v>
      </c>
    </row>
    <row r="6605" spans="1:21" x14ac:dyDescent="0.2">
      <c r="A6605" s="3">
        <v>6604</v>
      </c>
      <c r="B6605" s="1" t="s">
        <v>4226</v>
      </c>
      <c r="D6605" s="1" t="s">
        <v>5412</v>
      </c>
      <c r="F6605" s="1" t="s">
        <v>5466</v>
      </c>
      <c r="H6605" s="1" t="s">
        <v>6729</v>
      </c>
      <c r="J6605" s="1" t="s">
        <v>6730</v>
      </c>
      <c r="L6605" s="1" t="s">
        <v>7376</v>
      </c>
      <c r="N6605" s="1" t="s">
        <v>7404</v>
      </c>
      <c r="P6605" s="1" t="s">
        <v>7405</v>
      </c>
      <c r="Q6605" s="30" t="s">
        <v>2567</v>
      </c>
      <c r="R6605" s="33" t="s">
        <v>3472</v>
      </c>
      <c r="S6605">
        <v>36</v>
      </c>
      <c r="T6605" s="1" t="s">
        <v>12971</v>
      </c>
      <c r="U6605" s="1" t="str">
        <f>HYPERLINK("http://ictvonline.org/taxonomy/p/taxonomy-history?taxnode_id=202110884","ICTVonline=202110884")</f>
        <v>ICTVonline=202110884</v>
      </c>
    </row>
    <row r="6606" spans="1:21" x14ac:dyDescent="0.2">
      <c r="A6606" s="3">
        <v>6605</v>
      </c>
      <c r="B6606" s="1" t="s">
        <v>4226</v>
      </c>
      <c r="D6606" s="1" t="s">
        <v>5412</v>
      </c>
      <c r="F6606" s="1" t="s">
        <v>5466</v>
      </c>
      <c r="H6606" s="1" t="s">
        <v>6729</v>
      </c>
      <c r="J6606" s="1" t="s">
        <v>6730</v>
      </c>
      <c r="L6606" s="1" t="s">
        <v>7376</v>
      </c>
      <c r="N6606" s="1" t="s">
        <v>7406</v>
      </c>
      <c r="P6606" s="1" t="s">
        <v>7407</v>
      </c>
      <c r="Q6606" s="30" t="s">
        <v>2567</v>
      </c>
      <c r="R6606" s="33" t="s">
        <v>3472</v>
      </c>
      <c r="S6606">
        <v>36</v>
      </c>
      <c r="T6606" s="1" t="s">
        <v>12971</v>
      </c>
      <c r="U6606" s="1" t="str">
        <f>HYPERLINK("http://ictvonline.org/taxonomy/p/taxonomy-history?taxnode_id=202110886","ICTVonline=202110886")</f>
        <v>ICTVonline=202110886</v>
      </c>
    </row>
    <row r="6607" spans="1:21" x14ac:dyDescent="0.2">
      <c r="A6607" s="3">
        <v>6606</v>
      </c>
      <c r="B6607" s="1" t="s">
        <v>4226</v>
      </c>
      <c r="D6607" s="1" t="s">
        <v>5412</v>
      </c>
      <c r="F6607" s="1" t="s">
        <v>5466</v>
      </c>
      <c r="H6607" s="1" t="s">
        <v>6729</v>
      </c>
      <c r="J6607" s="1" t="s">
        <v>6730</v>
      </c>
      <c r="L6607" s="1" t="s">
        <v>7376</v>
      </c>
      <c r="N6607" s="1" t="s">
        <v>7406</v>
      </c>
      <c r="P6607" s="1" t="s">
        <v>7408</v>
      </c>
      <c r="Q6607" s="30" t="s">
        <v>2567</v>
      </c>
      <c r="R6607" s="33" t="s">
        <v>3472</v>
      </c>
      <c r="S6607">
        <v>36</v>
      </c>
      <c r="T6607" s="1" t="s">
        <v>12971</v>
      </c>
      <c r="U6607" s="1" t="str">
        <f>HYPERLINK("http://ictvonline.org/taxonomy/p/taxonomy-history?taxnode_id=202110887","ICTVonline=202110887")</f>
        <v>ICTVonline=202110887</v>
      </c>
    </row>
    <row r="6608" spans="1:21" x14ac:dyDescent="0.2">
      <c r="A6608" s="3">
        <v>6607</v>
      </c>
      <c r="B6608" s="1" t="s">
        <v>4226</v>
      </c>
      <c r="D6608" s="1" t="s">
        <v>5412</v>
      </c>
      <c r="F6608" s="1" t="s">
        <v>5466</v>
      </c>
      <c r="H6608" s="1" t="s">
        <v>6729</v>
      </c>
      <c r="J6608" s="1" t="s">
        <v>6730</v>
      </c>
      <c r="L6608" s="1" t="s">
        <v>7376</v>
      </c>
      <c r="N6608" s="1" t="s">
        <v>7409</v>
      </c>
      <c r="P6608" s="1" t="s">
        <v>7410</v>
      </c>
      <c r="Q6608" s="30" t="s">
        <v>2567</v>
      </c>
      <c r="R6608" s="33" t="s">
        <v>3472</v>
      </c>
      <c r="S6608">
        <v>36</v>
      </c>
      <c r="T6608" s="1" t="s">
        <v>12971</v>
      </c>
      <c r="U6608" s="1" t="str">
        <f>HYPERLINK("http://ictvonline.org/taxonomy/p/taxonomy-history?taxnode_id=202110889","ICTVonline=202110889")</f>
        <v>ICTVonline=202110889</v>
      </c>
    </row>
    <row r="6609" spans="1:21" x14ac:dyDescent="0.2">
      <c r="A6609" s="3">
        <v>6608</v>
      </c>
      <c r="B6609" s="1" t="s">
        <v>4226</v>
      </c>
      <c r="D6609" s="1" t="s">
        <v>5412</v>
      </c>
      <c r="F6609" s="1" t="s">
        <v>5466</v>
      </c>
      <c r="H6609" s="1" t="s">
        <v>6729</v>
      </c>
      <c r="J6609" s="1" t="s">
        <v>6730</v>
      </c>
      <c r="L6609" s="1" t="s">
        <v>7376</v>
      </c>
      <c r="N6609" s="1" t="s">
        <v>7411</v>
      </c>
      <c r="P6609" s="1" t="s">
        <v>7412</v>
      </c>
      <c r="Q6609" s="30" t="s">
        <v>2567</v>
      </c>
      <c r="R6609" s="33" t="s">
        <v>3472</v>
      </c>
      <c r="S6609">
        <v>36</v>
      </c>
      <c r="T6609" s="1" t="s">
        <v>12971</v>
      </c>
      <c r="U6609" s="1" t="str">
        <f>HYPERLINK("http://ictvonline.org/taxonomy/p/taxonomy-history?taxnode_id=202110891","ICTVonline=202110891")</f>
        <v>ICTVonline=202110891</v>
      </c>
    </row>
    <row r="6610" spans="1:21" x14ac:dyDescent="0.2">
      <c r="A6610" s="3">
        <v>6609</v>
      </c>
      <c r="B6610" s="1" t="s">
        <v>4226</v>
      </c>
      <c r="D6610" s="1" t="s">
        <v>5412</v>
      </c>
      <c r="F6610" s="1" t="s">
        <v>5466</v>
      </c>
      <c r="H6610" s="1" t="s">
        <v>6729</v>
      </c>
      <c r="J6610" s="1" t="s">
        <v>6730</v>
      </c>
      <c r="L6610" s="1" t="s">
        <v>7376</v>
      </c>
      <c r="N6610" s="1" t="s">
        <v>7413</v>
      </c>
      <c r="P6610" s="1" t="s">
        <v>7414</v>
      </c>
      <c r="Q6610" s="30" t="s">
        <v>2567</v>
      </c>
      <c r="R6610" s="33" t="s">
        <v>3472</v>
      </c>
      <c r="S6610">
        <v>36</v>
      </c>
      <c r="T6610" s="1" t="s">
        <v>12971</v>
      </c>
      <c r="U6610" s="1" t="str">
        <f>HYPERLINK("http://ictvonline.org/taxonomy/p/taxonomy-history?taxnode_id=202110893","ICTVonline=202110893")</f>
        <v>ICTVonline=202110893</v>
      </c>
    </row>
    <row r="6611" spans="1:21" x14ac:dyDescent="0.2">
      <c r="A6611" s="3">
        <v>6610</v>
      </c>
      <c r="B6611" s="1" t="s">
        <v>4226</v>
      </c>
      <c r="D6611" s="1" t="s">
        <v>5412</v>
      </c>
      <c r="F6611" s="1" t="s">
        <v>5466</v>
      </c>
      <c r="H6611" s="1" t="s">
        <v>6729</v>
      </c>
      <c r="J6611" s="1" t="s">
        <v>6730</v>
      </c>
      <c r="L6611" s="1" t="s">
        <v>7376</v>
      </c>
      <c r="N6611" s="1" t="s">
        <v>7415</v>
      </c>
      <c r="P6611" s="1" t="s">
        <v>7416</v>
      </c>
      <c r="Q6611" s="30" t="s">
        <v>2567</v>
      </c>
      <c r="R6611" s="33" t="s">
        <v>3472</v>
      </c>
      <c r="S6611">
        <v>36</v>
      </c>
      <c r="T6611" s="1" t="s">
        <v>12971</v>
      </c>
      <c r="U6611" s="1" t="str">
        <f>HYPERLINK("http://ictvonline.org/taxonomy/p/taxonomy-history?taxnode_id=202110895","ICTVonline=202110895")</f>
        <v>ICTVonline=202110895</v>
      </c>
    </row>
    <row r="6612" spans="1:21" x14ac:dyDescent="0.2">
      <c r="A6612" s="3">
        <v>6611</v>
      </c>
      <c r="B6612" s="1" t="s">
        <v>4226</v>
      </c>
      <c r="D6612" s="1" t="s">
        <v>5412</v>
      </c>
      <c r="F6612" s="1" t="s">
        <v>5466</v>
      </c>
      <c r="H6612" s="1" t="s">
        <v>6729</v>
      </c>
      <c r="J6612" s="1" t="s">
        <v>6730</v>
      </c>
      <c r="L6612" s="1" t="s">
        <v>7376</v>
      </c>
      <c r="N6612" s="1" t="s">
        <v>7415</v>
      </c>
      <c r="P6612" s="1" t="s">
        <v>7417</v>
      </c>
      <c r="Q6612" s="30" t="s">
        <v>2567</v>
      </c>
      <c r="R6612" s="33" t="s">
        <v>3472</v>
      </c>
      <c r="S6612">
        <v>36</v>
      </c>
      <c r="T6612" s="1" t="s">
        <v>12971</v>
      </c>
      <c r="U6612" s="1" t="str">
        <f>HYPERLINK("http://ictvonline.org/taxonomy/p/taxonomy-history?taxnode_id=202110896","ICTVonline=202110896")</f>
        <v>ICTVonline=202110896</v>
      </c>
    </row>
    <row r="6613" spans="1:21" x14ac:dyDescent="0.2">
      <c r="A6613" s="3">
        <v>6612</v>
      </c>
      <c r="B6613" s="1" t="s">
        <v>4226</v>
      </c>
      <c r="D6613" s="1" t="s">
        <v>5412</v>
      </c>
      <c r="F6613" s="1" t="s">
        <v>5466</v>
      </c>
      <c r="H6613" s="1" t="s">
        <v>6729</v>
      </c>
      <c r="J6613" s="1" t="s">
        <v>6730</v>
      </c>
      <c r="L6613" s="1" t="s">
        <v>7376</v>
      </c>
      <c r="N6613" s="1" t="s">
        <v>7418</v>
      </c>
      <c r="P6613" s="1" t="s">
        <v>7419</v>
      </c>
      <c r="Q6613" s="30" t="s">
        <v>2567</v>
      </c>
      <c r="R6613" s="33" t="s">
        <v>3472</v>
      </c>
      <c r="S6613">
        <v>36</v>
      </c>
      <c r="T6613" s="1" t="s">
        <v>12971</v>
      </c>
      <c r="U6613" s="1" t="str">
        <f>HYPERLINK("http://ictvonline.org/taxonomy/p/taxonomy-history?taxnode_id=202110898","ICTVonline=202110898")</f>
        <v>ICTVonline=202110898</v>
      </c>
    </row>
    <row r="6614" spans="1:21" x14ac:dyDescent="0.2">
      <c r="A6614" s="3">
        <v>6613</v>
      </c>
      <c r="B6614" s="1" t="s">
        <v>4226</v>
      </c>
      <c r="D6614" s="1" t="s">
        <v>5412</v>
      </c>
      <c r="F6614" s="1" t="s">
        <v>5466</v>
      </c>
      <c r="H6614" s="1" t="s">
        <v>6729</v>
      </c>
      <c r="J6614" s="1" t="s">
        <v>6730</v>
      </c>
      <c r="L6614" s="1" t="s">
        <v>7376</v>
      </c>
      <c r="N6614" s="1" t="s">
        <v>7420</v>
      </c>
      <c r="P6614" s="1" t="s">
        <v>7421</v>
      </c>
      <c r="Q6614" s="30" t="s">
        <v>2567</v>
      </c>
      <c r="R6614" s="33" t="s">
        <v>3472</v>
      </c>
      <c r="S6614">
        <v>36</v>
      </c>
      <c r="T6614" s="1" t="s">
        <v>12971</v>
      </c>
      <c r="U6614" s="1" t="str">
        <f>HYPERLINK("http://ictvonline.org/taxonomy/p/taxonomy-history?taxnode_id=202110900","ICTVonline=202110900")</f>
        <v>ICTVonline=202110900</v>
      </c>
    </row>
    <row r="6615" spans="1:21" x14ac:dyDescent="0.2">
      <c r="A6615" s="3">
        <v>6614</v>
      </c>
      <c r="B6615" s="1" t="s">
        <v>4226</v>
      </c>
      <c r="D6615" s="1" t="s">
        <v>5412</v>
      </c>
      <c r="F6615" s="1" t="s">
        <v>5466</v>
      </c>
      <c r="H6615" s="1" t="s">
        <v>6729</v>
      </c>
      <c r="J6615" s="1" t="s">
        <v>6730</v>
      </c>
      <c r="L6615" s="1" t="s">
        <v>7376</v>
      </c>
      <c r="N6615" s="1" t="s">
        <v>7422</v>
      </c>
      <c r="P6615" s="1" t="s">
        <v>7423</v>
      </c>
      <c r="Q6615" s="30" t="s">
        <v>2567</v>
      </c>
      <c r="R6615" s="33" t="s">
        <v>3472</v>
      </c>
      <c r="S6615">
        <v>36</v>
      </c>
      <c r="T6615" s="1" t="s">
        <v>12971</v>
      </c>
      <c r="U6615" s="1" t="str">
        <f>HYPERLINK("http://ictvonline.org/taxonomy/p/taxonomy-history?taxnode_id=202110902","ICTVonline=202110902")</f>
        <v>ICTVonline=202110902</v>
      </c>
    </row>
    <row r="6616" spans="1:21" x14ac:dyDescent="0.2">
      <c r="A6616" s="3">
        <v>6615</v>
      </c>
      <c r="B6616" s="1" t="s">
        <v>4226</v>
      </c>
      <c r="D6616" s="1" t="s">
        <v>5412</v>
      </c>
      <c r="F6616" s="1" t="s">
        <v>5466</v>
      </c>
      <c r="H6616" s="1" t="s">
        <v>6729</v>
      </c>
      <c r="J6616" s="1" t="s">
        <v>6730</v>
      </c>
      <c r="L6616" s="1" t="s">
        <v>7376</v>
      </c>
      <c r="N6616" s="1" t="s">
        <v>7424</v>
      </c>
      <c r="P6616" s="1" t="s">
        <v>7425</v>
      </c>
      <c r="Q6616" s="30" t="s">
        <v>2567</v>
      </c>
      <c r="R6616" s="33" t="s">
        <v>3472</v>
      </c>
      <c r="S6616">
        <v>36</v>
      </c>
      <c r="T6616" s="1" t="s">
        <v>12971</v>
      </c>
      <c r="U6616" s="1" t="str">
        <f>HYPERLINK("http://ictvonline.org/taxonomy/p/taxonomy-history?taxnode_id=202110904","ICTVonline=202110904")</f>
        <v>ICTVonline=202110904</v>
      </c>
    </row>
    <row r="6617" spans="1:21" x14ac:dyDescent="0.2">
      <c r="A6617" s="3">
        <v>6616</v>
      </c>
      <c r="B6617" s="1" t="s">
        <v>4226</v>
      </c>
      <c r="D6617" s="1" t="s">
        <v>5412</v>
      </c>
      <c r="F6617" s="1" t="s">
        <v>5466</v>
      </c>
      <c r="H6617" s="1" t="s">
        <v>6729</v>
      </c>
      <c r="J6617" s="1" t="s">
        <v>6730</v>
      </c>
      <c r="L6617" s="1" t="s">
        <v>7376</v>
      </c>
      <c r="N6617" s="1" t="s">
        <v>7426</v>
      </c>
      <c r="P6617" s="1" t="s">
        <v>7427</v>
      </c>
      <c r="Q6617" s="30" t="s">
        <v>2567</v>
      </c>
      <c r="R6617" s="33" t="s">
        <v>3472</v>
      </c>
      <c r="S6617">
        <v>36</v>
      </c>
      <c r="T6617" s="1" t="s">
        <v>12971</v>
      </c>
      <c r="U6617" s="1" t="str">
        <f>HYPERLINK("http://ictvonline.org/taxonomy/p/taxonomy-history?taxnode_id=202110906","ICTVonline=202110906")</f>
        <v>ICTVonline=202110906</v>
      </c>
    </row>
    <row r="6618" spans="1:21" x14ac:dyDescent="0.2">
      <c r="A6618" s="3">
        <v>6617</v>
      </c>
      <c r="B6618" s="1" t="s">
        <v>4226</v>
      </c>
      <c r="D6618" s="1" t="s">
        <v>5412</v>
      </c>
      <c r="F6618" s="1" t="s">
        <v>5466</v>
      </c>
      <c r="H6618" s="1" t="s">
        <v>6729</v>
      </c>
      <c r="J6618" s="1" t="s">
        <v>6730</v>
      </c>
      <c r="L6618" s="1" t="s">
        <v>7376</v>
      </c>
      <c r="N6618" s="1" t="s">
        <v>7428</v>
      </c>
      <c r="P6618" s="1" t="s">
        <v>7429</v>
      </c>
      <c r="Q6618" s="30" t="s">
        <v>2567</v>
      </c>
      <c r="R6618" s="33" t="s">
        <v>3472</v>
      </c>
      <c r="S6618">
        <v>36</v>
      </c>
      <c r="T6618" s="1" t="s">
        <v>12971</v>
      </c>
      <c r="U6618" s="1" t="str">
        <f>HYPERLINK("http://ictvonline.org/taxonomy/p/taxonomy-history?taxnode_id=202110908","ICTVonline=202110908")</f>
        <v>ICTVonline=202110908</v>
      </c>
    </row>
    <row r="6619" spans="1:21" x14ac:dyDescent="0.2">
      <c r="A6619" s="3">
        <v>6618</v>
      </c>
      <c r="B6619" s="1" t="s">
        <v>4226</v>
      </c>
      <c r="D6619" s="1" t="s">
        <v>5412</v>
      </c>
      <c r="F6619" s="1" t="s">
        <v>5466</v>
      </c>
      <c r="H6619" s="1" t="s">
        <v>6729</v>
      </c>
      <c r="J6619" s="1" t="s">
        <v>6730</v>
      </c>
      <c r="L6619" s="1" t="s">
        <v>7376</v>
      </c>
      <c r="N6619" s="1" t="s">
        <v>7430</v>
      </c>
      <c r="P6619" s="1" t="s">
        <v>7431</v>
      </c>
      <c r="Q6619" s="30" t="s">
        <v>2567</v>
      </c>
      <c r="R6619" s="33" t="s">
        <v>3472</v>
      </c>
      <c r="S6619">
        <v>36</v>
      </c>
      <c r="T6619" s="1" t="s">
        <v>12971</v>
      </c>
      <c r="U6619" s="1" t="str">
        <f>HYPERLINK("http://ictvonline.org/taxonomy/p/taxonomy-history?taxnode_id=202110910","ICTVonline=202110910")</f>
        <v>ICTVonline=202110910</v>
      </c>
    </row>
    <row r="6620" spans="1:21" x14ac:dyDescent="0.2">
      <c r="A6620" s="3">
        <v>6619</v>
      </c>
      <c r="B6620" s="1" t="s">
        <v>4226</v>
      </c>
      <c r="D6620" s="1" t="s">
        <v>5412</v>
      </c>
      <c r="F6620" s="1" t="s">
        <v>5466</v>
      </c>
      <c r="H6620" s="1" t="s">
        <v>6729</v>
      </c>
      <c r="J6620" s="1" t="s">
        <v>7432</v>
      </c>
      <c r="L6620" s="1" t="s">
        <v>7433</v>
      </c>
      <c r="N6620" s="1" t="s">
        <v>7434</v>
      </c>
      <c r="P6620" s="1" t="s">
        <v>7435</v>
      </c>
      <c r="Q6620" s="30" t="s">
        <v>2567</v>
      </c>
      <c r="R6620" s="33" t="s">
        <v>3472</v>
      </c>
      <c r="S6620">
        <v>36</v>
      </c>
      <c r="T6620" s="1" t="s">
        <v>12971</v>
      </c>
      <c r="U6620" s="1" t="str">
        <f>HYPERLINK("http://ictvonline.org/taxonomy/p/taxonomy-history?taxnode_id=202110914","ICTVonline=202110914")</f>
        <v>ICTVonline=202110914</v>
      </c>
    </row>
    <row r="6621" spans="1:21" x14ac:dyDescent="0.2">
      <c r="A6621" s="3">
        <v>6620</v>
      </c>
      <c r="B6621" s="1" t="s">
        <v>4226</v>
      </c>
      <c r="D6621" s="1" t="s">
        <v>5412</v>
      </c>
      <c r="F6621" s="1" t="s">
        <v>5466</v>
      </c>
      <c r="H6621" s="1" t="s">
        <v>6729</v>
      </c>
      <c r="J6621" s="1" t="s">
        <v>7432</v>
      </c>
      <c r="L6621" s="1" t="s">
        <v>7433</v>
      </c>
      <c r="N6621" s="1" t="s">
        <v>7436</v>
      </c>
      <c r="P6621" s="1" t="s">
        <v>7437</v>
      </c>
      <c r="Q6621" s="30" t="s">
        <v>2567</v>
      </c>
      <c r="R6621" s="33" t="s">
        <v>3472</v>
      </c>
      <c r="S6621">
        <v>36</v>
      </c>
      <c r="T6621" s="1" t="s">
        <v>12971</v>
      </c>
      <c r="U6621" s="1" t="str">
        <f>HYPERLINK("http://ictvonline.org/taxonomy/p/taxonomy-history?taxnode_id=202110916","ICTVonline=202110916")</f>
        <v>ICTVonline=202110916</v>
      </c>
    </row>
    <row r="6622" spans="1:21" x14ac:dyDescent="0.2">
      <c r="A6622" s="3">
        <v>6621</v>
      </c>
      <c r="B6622" s="1" t="s">
        <v>4226</v>
      </c>
      <c r="D6622" s="1" t="s">
        <v>5412</v>
      </c>
      <c r="F6622" s="1" t="s">
        <v>5466</v>
      </c>
      <c r="H6622" s="1" t="s">
        <v>6729</v>
      </c>
      <c r="J6622" s="1" t="s">
        <v>7432</v>
      </c>
      <c r="L6622" s="1" t="s">
        <v>7433</v>
      </c>
      <c r="N6622" s="1" t="s">
        <v>7438</v>
      </c>
      <c r="P6622" s="1" t="s">
        <v>7439</v>
      </c>
      <c r="Q6622" s="30" t="s">
        <v>2567</v>
      </c>
      <c r="R6622" s="33" t="s">
        <v>3472</v>
      </c>
      <c r="S6622">
        <v>36</v>
      </c>
      <c r="T6622" s="1" t="s">
        <v>12971</v>
      </c>
      <c r="U6622" s="1" t="str">
        <f>HYPERLINK("http://ictvonline.org/taxonomy/p/taxonomy-history?taxnode_id=202110918","ICTVonline=202110918")</f>
        <v>ICTVonline=202110918</v>
      </c>
    </row>
    <row r="6623" spans="1:21" x14ac:dyDescent="0.2">
      <c r="A6623" s="3">
        <v>6622</v>
      </c>
      <c r="B6623" s="1" t="s">
        <v>4226</v>
      </c>
      <c r="D6623" s="1" t="s">
        <v>5412</v>
      </c>
      <c r="F6623" s="1" t="s">
        <v>5466</v>
      </c>
      <c r="H6623" s="1" t="s">
        <v>6729</v>
      </c>
      <c r="J6623" s="1" t="s">
        <v>7432</v>
      </c>
      <c r="L6623" s="1" t="s">
        <v>7433</v>
      </c>
      <c r="N6623" s="1" t="s">
        <v>7440</v>
      </c>
      <c r="P6623" s="1" t="s">
        <v>7441</v>
      </c>
      <c r="Q6623" s="30" t="s">
        <v>2567</v>
      </c>
      <c r="R6623" s="33" t="s">
        <v>3472</v>
      </c>
      <c r="S6623">
        <v>36</v>
      </c>
      <c r="T6623" s="1" t="s">
        <v>12971</v>
      </c>
      <c r="U6623" s="1" t="str">
        <f>HYPERLINK("http://ictvonline.org/taxonomy/p/taxonomy-history?taxnode_id=202110920","ICTVonline=202110920")</f>
        <v>ICTVonline=202110920</v>
      </c>
    </row>
    <row r="6624" spans="1:21" x14ac:dyDescent="0.2">
      <c r="A6624" s="3">
        <v>6623</v>
      </c>
      <c r="B6624" s="1" t="s">
        <v>4226</v>
      </c>
      <c r="D6624" s="1" t="s">
        <v>5412</v>
      </c>
      <c r="F6624" s="1" t="s">
        <v>5466</v>
      </c>
      <c r="H6624" s="1" t="s">
        <v>6729</v>
      </c>
      <c r="J6624" s="1" t="s">
        <v>7432</v>
      </c>
      <c r="L6624" s="1" t="s">
        <v>7433</v>
      </c>
      <c r="N6624" s="1" t="s">
        <v>7442</v>
      </c>
      <c r="P6624" s="1" t="s">
        <v>7443</v>
      </c>
      <c r="Q6624" s="30" t="s">
        <v>2567</v>
      </c>
      <c r="R6624" s="33" t="s">
        <v>3472</v>
      </c>
      <c r="S6624">
        <v>36</v>
      </c>
      <c r="T6624" s="1" t="s">
        <v>12971</v>
      </c>
      <c r="U6624" s="1" t="str">
        <f>HYPERLINK("http://ictvonline.org/taxonomy/p/taxonomy-history?taxnode_id=202110922","ICTVonline=202110922")</f>
        <v>ICTVonline=202110922</v>
      </c>
    </row>
    <row r="6625" spans="1:21" x14ac:dyDescent="0.2">
      <c r="A6625" s="3">
        <v>6624</v>
      </c>
      <c r="B6625" s="1" t="s">
        <v>4226</v>
      </c>
      <c r="D6625" s="1" t="s">
        <v>5412</v>
      </c>
      <c r="F6625" s="1" t="s">
        <v>5466</v>
      </c>
      <c r="H6625" s="1" t="s">
        <v>6729</v>
      </c>
      <c r="J6625" s="1" t="s">
        <v>7432</v>
      </c>
      <c r="L6625" s="1" t="s">
        <v>7433</v>
      </c>
      <c r="N6625" s="1" t="s">
        <v>7444</v>
      </c>
      <c r="P6625" s="1" t="s">
        <v>7445</v>
      </c>
      <c r="Q6625" s="30" t="s">
        <v>2567</v>
      </c>
      <c r="R6625" s="33" t="s">
        <v>3472</v>
      </c>
      <c r="S6625">
        <v>36</v>
      </c>
      <c r="T6625" s="1" t="s">
        <v>12971</v>
      </c>
      <c r="U6625" s="1" t="str">
        <f>HYPERLINK("http://ictvonline.org/taxonomy/p/taxonomy-history?taxnode_id=202110924","ICTVonline=202110924")</f>
        <v>ICTVonline=202110924</v>
      </c>
    </row>
    <row r="6626" spans="1:21" x14ac:dyDescent="0.2">
      <c r="A6626" s="3">
        <v>6625</v>
      </c>
      <c r="B6626" s="1" t="s">
        <v>4226</v>
      </c>
      <c r="D6626" s="1" t="s">
        <v>5412</v>
      </c>
      <c r="F6626" s="1" t="s">
        <v>5466</v>
      </c>
      <c r="H6626" s="1" t="s">
        <v>6729</v>
      </c>
      <c r="J6626" s="1" t="s">
        <v>7432</v>
      </c>
      <c r="L6626" s="1" t="s">
        <v>7433</v>
      </c>
      <c r="N6626" s="1" t="s">
        <v>7446</v>
      </c>
      <c r="P6626" s="1" t="s">
        <v>7447</v>
      </c>
      <c r="Q6626" s="30" t="s">
        <v>2567</v>
      </c>
      <c r="R6626" s="33" t="s">
        <v>3472</v>
      </c>
      <c r="S6626">
        <v>36</v>
      </c>
      <c r="T6626" s="1" t="s">
        <v>12971</v>
      </c>
      <c r="U6626" s="1" t="str">
        <f>HYPERLINK("http://ictvonline.org/taxonomy/p/taxonomy-history?taxnode_id=202110926","ICTVonline=202110926")</f>
        <v>ICTVonline=202110926</v>
      </c>
    </row>
    <row r="6627" spans="1:21" x14ac:dyDescent="0.2">
      <c r="A6627" s="3">
        <v>6626</v>
      </c>
      <c r="B6627" s="1" t="s">
        <v>4226</v>
      </c>
      <c r="D6627" s="1" t="s">
        <v>5412</v>
      </c>
      <c r="F6627" s="1" t="s">
        <v>5466</v>
      </c>
      <c r="H6627" s="1" t="s">
        <v>6729</v>
      </c>
      <c r="J6627" s="1" t="s">
        <v>7432</v>
      </c>
      <c r="L6627" s="1" t="s">
        <v>7433</v>
      </c>
      <c r="N6627" s="1" t="s">
        <v>7448</v>
      </c>
      <c r="P6627" s="1" t="s">
        <v>7449</v>
      </c>
      <c r="Q6627" s="30" t="s">
        <v>2567</v>
      </c>
      <c r="R6627" s="33" t="s">
        <v>3472</v>
      </c>
      <c r="S6627">
        <v>36</v>
      </c>
      <c r="T6627" s="1" t="s">
        <v>12971</v>
      </c>
      <c r="U6627" s="1" t="str">
        <f>HYPERLINK("http://ictvonline.org/taxonomy/p/taxonomy-history?taxnode_id=202110928","ICTVonline=202110928")</f>
        <v>ICTVonline=202110928</v>
      </c>
    </row>
    <row r="6628" spans="1:21" x14ac:dyDescent="0.2">
      <c r="A6628" s="3">
        <v>6627</v>
      </c>
      <c r="B6628" s="1" t="s">
        <v>4226</v>
      </c>
      <c r="D6628" s="1" t="s">
        <v>5412</v>
      </c>
      <c r="F6628" s="1" t="s">
        <v>5466</v>
      </c>
      <c r="H6628" s="1" t="s">
        <v>6729</v>
      </c>
      <c r="J6628" s="1" t="s">
        <v>7432</v>
      </c>
      <c r="L6628" s="1" t="s">
        <v>7433</v>
      </c>
      <c r="N6628" s="1" t="s">
        <v>7450</v>
      </c>
      <c r="P6628" s="1" t="s">
        <v>7451</v>
      </c>
      <c r="Q6628" s="30" t="s">
        <v>2567</v>
      </c>
      <c r="R6628" s="33" t="s">
        <v>3472</v>
      </c>
      <c r="S6628">
        <v>36</v>
      </c>
      <c r="T6628" s="1" t="s">
        <v>12971</v>
      </c>
      <c r="U6628" s="1" t="str">
        <f>HYPERLINK("http://ictvonline.org/taxonomy/p/taxonomy-history?taxnode_id=202110930","ICTVonline=202110930")</f>
        <v>ICTVonline=202110930</v>
      </c>
    </row>
    <row r="6629" spans="1:21" x14ac:dyDescent="0.2">
      <c r="A6629" s="3">
        <v>6628</v>
      </c>
      <c r="B6629" s="1" t="s">
        <v>4226</v>
      </c>
      <c r="D6629" s="1" t="s">
        <v>5412</v>
      </c>
      <c r="F6629" s="1" t="s">
        <v>5466</v>
      </c>
      <c r="H6629" s="1" t="s">
        <v>6729</v>
      </c>
      <c r="J6629" s="1" t="s">
        <v>7432</v>
      </c>
      <c r="L6629" s="1" t="s">
        <v>7433</v>
      </c>
      <c r="N6629" s="1" t="s">
        <v>7452</v>
      </c>
      <c r="P6629" s="1" t="s">
        <v>7453</v>
      </c>
      <c r="Q6629" s="30" t="s">
        <v>2567</v>
      </c>
      <c r="R6629" s="33" t="s">
        <v>3472</v>
      </c>
      <c r="S6629">
        <v>36</v>
      </c>
      <c r="T6629" s="1" t="s">
        <v>12971</v>
      </c>
      <c r="U6629" s="1" t="str">
        <f>HYPERLINK("http://ictvonline.org/taxonomy/p/taxonomy-history?taxnode_id=202110932","ICTVonline=202110932")</f>
        <v>ICTVonline=202110932</v>
      </c>
    </row>
    <row r="6630" spans="1:21" x14ac:dyDescent="0.2">
      <c r="A6630" s="3">
        <v>6629</v>
      </c>
      <c r="B6630" s="1" t="s">
        <v>4226</v>
      </c>
      <c r="D6630" s="1" t="s">
        <v>5412</v>
      </c>
      <c r="F6630" s="1" t="s">
        <v>5466</v>
      </c>
      <c r="H6630" s="1" t="s">
        <v>6729</v>
      </c>
      <c r="J6630" s="1" t="s">
        <v>7432</v>
      </c>
      <c r="L6630" s="1" t="s">
        <v>7433</v>
      </c>
      <c r="N6630" s="1" t="s">
        <v>7454</v>
      </c>
      <c r="P6630" s="1" t="s">
        <v>7455</v>
      </c>
      <c r="Q6630" s="30" t="s">
        <v>2567</v>
      </c>
      <c r="R6630" s="33" t="s">
        <v>3472</v>
      </c>
      <c r="S6630">
        <v>36</v>
      </c>
      <c r="T6630" s="1" t="s">
        <v>12971</v>
      </c>
      <c r="U6630" s="1" t="str">
        <f>HYPERLINK("http://ictvonline.org/taxonomy/p/taxonomy-history?taxnode_id=202110934","ICTVonline=202110934")</f>
        <v>ICTVonline=202110934</v>
      </c>
    </row>
    <row r="6631" spans="1:21" x14ac:dyDescent="0.2">
      <c r="A6631" s="3">
        <v>6630</v>
      </c>
      <c r="B6631" s="1" t="s">
        <v>4226</v>
      </c>
      <c r="D6631" s="1" t="s">
        <v>5412</v>
      </c>
      <c r="F6631" s="1" t="s">
        <v>5466</v>
      </c>
      <c r="H6631" s="1" t="s">
        <v>6729</v>
      </c>
      <c r="J6631" s="1" t="s">
        <v>7432</v>
      </c>
      <c r="L6631" s="1" t="s">
        <v>7433</v>
      </c>
      <c r="N6631" s="1" t="s">
        <v>7456</v>
      </c>
      <c r="P6631" s="1" t="s">
        <v>7457</v>
      </c>
      <c r="Q6631" s="30" t="s">
        <v>2567</v>
      </c>
      <c r="R6631" s="33" t="s">
        <v>3472</v>
      </c>
      <c r="S6631">
        <v>36</v>
      </c>
      <c r="T6631" s="1" t="s">
        <v>12971</v>
      </c>
      <c r="U6631" s="1" t="str">
        <f>HYPERLINK("http://ictvonline.org/taxonomy/p/taxonomy-history?taxnode_id=202110936","ICTVonline=202110936")</f>
        <v>ICTVonline=202110936</v>
      </c>
    </row>
    <row r="6632" spans="1:21" x14ac:dyDescent="0.2">
      <c r="A6632" s="3">
        <v>6631</v>
      </c>
      <c r="B6632" s="1" t="s">
        <v>4226</v>
      </c>
      <c r="D6632" s="1" t="s">
        <v>5412</v>
      </c>
      <c r="F6632" s="1" t="s">
        <v>5466</v>
      </c>
      <c r="H6632" s="1" t="s">
        <v>6729</v>
      </c>
      <c r="J6632" s="1" t="s">
        <v>7432</v>
      </c>
      <c r="L6632" s="1" t="s">
        <v>7433</v>
      </c>
      <c r="N6632" s="1" t="s">
        <v>7458</v>
      </c>
      <c r="P6632" s="1" t="s">
        <v>7459</v>
      </c>
      <c r="Q6632" s="30" t="s">
        <v>2567</v>
      </c>
      <c r="R6632" s="33" t="s">
        <v>3472</v>
      </c>
      <c r="S6632">
        <v>36</v>
      </c>
      <c r="T6632" s="1" t="s">
        <v>12971</v>
      </c>
      <c r="U6632" s="1" t="str">
        <f>HYPERLINK("http://ictvonline.org/taxonomy/p/taxonomy-history?taxnode_id=202110938","ICTVonline=202110938")</f>
        <v>ICTVonline=202110938</v>
      </c>
    </row>
    <row r="6633" spans="1:21" x14ac:dyDescent="0.2">
      <c r="A6633" s="3">
        <v>6632</v>
      </c>
      <c r="B6633" s="1" t="s">
        <v>4226</v>
      </c>
      <c r="D6633" s="1" t="s">
        <v>5412</v>
      </c>
      <c r="F6633" s="1" t="s">
        <v>5466</v>
      </c>
      <c r="H6633" s="1" t="s">
        <v>6729</v>
      </c>
      <c r="J6633" s="1" t="s">
        <v>7432</v>
      </c>
      <c r="L6633" s="1" t="s">
        <v>7433</v>
      </c>
      <c r="N6633" s="1" t="s">
        <v>7460</v>
      </c>
      <c r="P6633" s="1" t="s">
        <v>7461</v>
      </c>
      <c r="Q6633" s="30" t="s">
        <v>2567</v>
      </c>
      <c r="R6633" s="33" t="s">
        <v>3472</v>
      </c>
      <c r="S6633">
        <v>36</v>
      </c>
      <c r="T6633" s="1" t="s">
        <v>12971</v>
      </c>
      <c r="U6633" s="1" t="str">
        <f>HYPERLINK("http://ictvonline.org/taxonomy/p/taxonomy-history?taxnode_id=202110940","ICTVonline=202110940")</f>
        <v>ICTVonline=202110940</v>
      </c>
    </row>
    <row r="6634" spans="1:21" x14ac:dyDescent="0.2">
      <c r="A6634" s="3">
        <v>6633</v>
      </c>
      <c r="B6634" s="1" t="s">
        <v>4226</v>
      </c>
      <c r="D6634" s="1" t="s">
        <v>5412</v>
      </c>
      <c r="F6634" s="1" t="s">
        <v>5466</v>
      </c>
      <c r="H6634" s="1" t="s">
        <v>6729</v>
      </c>
      <c r="J6634" s="1" t="s">
        <v>7432</v>
      </c>
      <c r="L6634" s="1" t="s">
        <v>7433</v>
      </c>
      <c r="N6634" s="1" t="s">
        <v>7462</v>
      </c>
      <c r="P6634" s="1" t="s">
        <v>7463</v>
      </c>
      <c r="Q6634" s="30" t="s">
        <v>2567</v>
      </c>
      <c r="R6634" s="33" t="s">
        <v>3472</v>
      </c>
      <c r="S6634">
        <v>36</v>
      </c>
      <c r="T6634" s="1" t="s">
        <v>12971</v>
      </c>
      <c r="U6634" s="1" t="str">
        <f>HYPERLINK("http://ictvonline.org/taxonomy/p/taxonomy-history?taxnode_id=202110942","ICTVonline=202110942")</f>
        <v>ICTVonline=202110942</v>
      </c>
    </row>
    <row r="6635" spans="1:21" x14ac:dyDescent="0.2">
      <c r="A6635" s="3">
        <v>6634</v>
      </c>
      <c r="B6635" s="1" t="s">
        <v>4226</v>
      </c>
      <c r="D6635" s="1" t="s">
        <v>5412</v>
      </c>
      <c r="F6635" s="1" t="s">
        <v>5466</v>
      </c>
      <c r="H6635" s="1" t="s">
        <v>6729</v>
      </c>
      <c r="J6635" s="1" t="s">
        <v>7432</v>
      </c>
      <c r="L6635" s="1" t="s">
        <v>7433</v>
      </c>
      <c r="N6635" s="1" t="s">
        <v>7462</v>
      </c>
      <c r="P6635" s="1" t="s">
        <v>7464</v>
      </c>
      <c r="Q6635" s="30" t="s">
        <v>2567</v>
      </c>
      <c r="R6635" s="33" t="s">
        <v>3472</v>
      </c>
      <c r="S6635">
        <v>36</v>
      </c>
      <c r="T6635" s="1" t="s">
        <v>12971</v>
      </c>
      <c r="U6635" s="1" t="str">
        <f>HYPERLINK("http://ictvonline.org/taxonomy/p/taxonomy-history?taxnode_id=202110943","ICTVonline=202110943")</f>
        <v>ICTVonline=202110943</v>
      </c>
    </row>
    <row r="6636" spans="1:21" x14ac:dyDescent="0.2">
      <c r="A6636" s="3">
        <v>6635</v>
      </c>
      <c r="B6636" s="1" t="s">
        <v>4226</v>
      </c>
      <c r="D6636" s="1" t="s">
        <v>5412</v>
      </c>
      <c r="F6636" s="1" t="s">
        <v>5466</v>
      </c>
      <c r="H6636" s="1" t="s">
        <v>6729</v>
      </c>
      <c r="J6636" s="1" t="s">
        <v>7432</v>
      </c>
      <c r="L6636" s="1" t="s">
        <v>7433</v>
      </c>
      <c r="N6636" s="1" t="s">
        <v>7462</v>
      </c>
      <c r="P6636" s="1" t="s">
        <v>7465</v>
      </c>
      <c r="Q6636" s="30" t="s">
        <v>2567</v>
      </c>
      <c r="R6636" s="33" t="s">
        <v>3472</v>
      </c>
      <c r="S6636">
        <v>36</v>
      </c>
      <c r="T6636" s="1" t="s">
        <v>12971</v>
      </c>
      <c r="U6636" s="1" t="str">
        <f>HYPERLINK("http://ictvonline.org/taxonomy/p/taxonomy-history?taxnode_id=202110944","ICTVonline=202110944")</f>
        <v>ICTVonline=202110944</v>
      </c>
    </row>
    <row r="6637" spans="1:21" x14ac:dyDescent="0.2">
      <c r="A6637" s="3">
        <v>6636</v>
      </c>
      <c r="B6637" s="1" t="s">
        <v>4226</v>
      </c>
      <c r="D6637" s="1" t="s">
        <v>5412</v>
      </c>
      <c r="F6637" s="1" t="s">
        <v>5466</v>
      </c>
      <c r="H6637" s="1" t="s">
        <v>6729</v>
      </c>
      <c r="J6637" s="1" t="s">
        <v>7432</v>
      </c>
      <c r="L6637" s="1" t="s">
        <v>7433</v>
      </c>
      <c r="N6637" s="1" t="s">
        <v>7466</v>
      </c>
      <c r="P6637" s="1" t="s">
        <v>7467</v>
      </c>
      <c r="Q6637" s="30" t="s">
        <v>2567</v>
      </c>
      <c r="R6637" s="33" t="s">
        <v>3472</v>
      </c>
      <c r="S6637">
        <v>36</v>
      </c>
      <c r="T6637" s="1" t="s">
        <v>12971</v>
      </c>
      <c r="U6637" s="1" t="str">
        <f>HYPERLINK("http://ictvonline.org/taxonomy/p/taxonomy-history?taxnode_id=202110946","ICTVonline=202110946")</f>
        <v>ICTVonline=202110946</v>
      </c>
    </row>
    <row r="6638" spans="1:21" x14ac:dyDescent="0.2">
      <c r="A6638" s="3">
        <v>6637</v>
      </c>
      <c r="B6638" s="1" t="s">
        <v>4226</v>
      </c>
      <c r="D6638" s="1" t="s">
        <v>5412</v>
      </c>
      <c r="F6638" s="1" t="s">
        <v>5466</v>
      </c>
      <c r="H6638" s="1" t="s">
        <v>6729</v>
      </c>
      <c r="J6638" s="1" t="s">
        <v>7432</v>
      </c>
      <c r="L6638" s="1" t="s">
        <v>7433</v>
      </c>
      <c r="N6638" s="1" t="s">
        <v>7468</v>
      </c>
      <c r="P6638" s="1" t="s">
        <v>7469</v>
      </c>
      <c r="Q6638" s="30" t="s">
        <v>2567</v>
      </c>
      <c r="R6638" s="33" t="s">
        <v>3472</v>
      </c>
      <c r="S6638">
        <v>36</v>
      </c>
      <c r="T6638" s="1" t="s">
        <v>12971</v>
      </c>
      <c r="U6638" s="1" t="str">
        <f>HYPERLINK("http://ictvonline.org/taxonomy/p/taxonomy-history?taxnode_id=202110948","ICTVonline=202110948")</f>
        <v>ICTVonline=202110948</v>
      </c>
    </row>
    <row r="6639" spans="1:21" x14ac:dyDescent="0.2">
      <c r="A6639" s="3">
        <v>6638</v>
      </c>
      <c r="B6639" s="1" t="s">
        <v>4226</v>
      </c>
      <c r="D6639" s="1" t="s">
        <v>5412</v>
      </c>
      <c r="F6639" s="1" t="s">
        <v>5466</v>
      </c>
      <c r="H6639" s="1" t="s">
        <v>6729</v>
      </c>
      <c r="J6639" s="1" t="s">
        <v>7432</v>
      </c>
      <c r="L6639" s="1" t="s">
        <v>7433</v>
      </c>
      <c r="N6639" s="1" t="s">
        <v>7470</v>
      </c>
      <c r="P6639" s="1" t="s">
        <v>7471</v>
      </c>
      <c r="Q6639" s="30" t="s">
        <v>2567</v>
      </c>
      <c r="R6639" s="33" t="s">
        <v>3472</v>
      </c>
      <c r="S6639">
        <v>36</v>
      </c>
      <c r="T6639" s="1" t="s">
        <v>12971</v>
      </c>
      <c r="U6639" s="1" t="str">
        <f>HYPERLINK("http://ictvonline.org/taxonomy/p/taxonomy-history?taxnode_id=202110950","ICTVonline=202110950")</f>
        <v>ICTVonline=202110950</v>
      </c>
    </row>
    <row r="6640" spans="1:21" x14ac:dyDescent="0.2">
      <c r="A6640" s="3">
        <v>6639</v>
      </c>
      <c r="B6640" s="1" t="s">
        <v>4226</v>
      </c>
      <c r="D6640" s="1" t="s">
        <v>5412</v>
      </c>
      <c r="F6640" s="1" t="s">
        <v>5466</v>
      </c>
      <c r="H6640" s="1" t="s">
        <v>6729</v>
      </c>
      <c r="J6640" s="1" t="s">
        <v>7432</v>
      </c>
      <c r="L6640" s="1" t="s">
        <v>7433</v>
      </c>
      <c r="N6640" s="1" t="s">
        <v>7472</v>
      </c>
      <c r="P6640" s="1" t="s">
        <v>7473</v>
      </c>
      <c r="Q6640" s="30" t="s">
        <v>2567</v>
      </c>
      <c r="R6640" s="33" t="s">
        <v>3472</v>
      </c>
      <c r="S6640">
        <v>36</v>
      </c>
      <c r="T6640" s="1" t="s">
        <v>12971</v>
      </c>
      <c r="U6640" s="1" t="str">
        <f>HYPERLINK("http://ictvonline.org/taxonomy/p/taxonomy-history?taxnode_id=202110952","ICTVonline=202110952")</f>
        <v>ICTVonline=202110952</v>
      </c>
    </row>
    <row r="6641" spans="1:21" x14ac:dyDescent="0.2">
      <c r="A6641" s="3">
        <v>6640</v>
      </c>
      <c r="B6641" s="1" t="s">
        <v>4226</v>
      </c>
      <c r="D6641" s="1" t="s">
        <v>5412</v>
      </c>
      <c r="F6641" s="1" t="s">
        <v>5466</v>
      </c>
      <c r="H6641" s="1" t="s">
        <v>6729</v>
      </c>
      <c r="J6641" s="1" t="s">
        <v>7432</v>
      </c>
      <c r="L6641" s="1" t="s">
        <v>7433</v>
      </c>
      <c r="N6641" s="1" t="s">
        <v>7474</v>
      </c>
      <c r="P6641" s="1" t="s">
        <v>7475</v>
      </c>
      <c r="Q6641" s="30" t="s">
        <v>2567</v>
      </c>
      <c r="R6641" s="33" t="s">
        <v>3472</v>
      </c>
      <c r="S6641">
        <v>36</v>
      </c>
      <c r="T6641" s="1" t="s">
        <v>12971</v>
      </c>
      <c r="U6641" s="1" t="str">
        <f>HYPERLINK("http://ictvonline.org/taxonomy/p/taxonomy-history?taxnode_id=202110954","ICTVonline=202110954")</f>
        <v>ICTVonline=202110954</v>
      </c>
    </row>
    <row r="6642" spans="1:21" x14ac:dyDescent="0.2">
      <c r="A6642" s="3">
        <v>6641</v>
      </c>
      <c r="B6642" s="1" t="s">
        <v>4226</v>
      </c>
      <c r="D6642" s="1" t="s">
        <v>5412</v>
      </c>
      <c r="F6642" s="1" t="s">
        <v>5466</v>
      </c>
      <c r="H6642" s="1" t="s">
        <v>6729</v>
      </c>
      <c r="J6642" s="1" t="s">
        <v>7432</v>
      </c>
      <c r="L6642" s="1" t="s">
        <v>7433</v>
      </c>
      <c r="N6642" s="1" t="s">
        <v>7476</v>
      </c>
      <c r="P6642" s="1" t="s">
        <v>7477</v>
      </c>
      <c r="Q6642" s="30" t="s">
        <v>2567</v>
      </c>
      <c r="R6642" s="33" t="s">
        <v>3472</v>
      </c>
      <c r="S6642">
        <v>36</v>
      </c>
      <c r="T6642" s="1" t="s">
        <v>12971</v>
      </c>
      <c r="U6642" s="1" t="str">
        <f>HYPERLINK("http://ictvonline.org/taxonomy/p/taxonomy-history?taxnode_id=202110956","ICTVonline=202110956")</f>
        <v>ICTVonline=202110956</v>
      </c>
    </row>
    <row r="6643" spans="1:21" x14ac:dyDescent="0.2">
      <c r="A6643" s="3">
        <v>6642</v>
      </c>
      <c r="B6643" s="1" t="s">
        <v>4226</v>
      </c>
      <c r="D6643" s="1" t="s">
        <v>5412</v>
      </c>
      <c r="F6643" s="1" t="s">
        <v>5466</v>
      </c>
      <c r="H6643" s="1" t="s">
        <v>6729</v>
      </c>
      <c r="J6643" s="1" t="s">
        <v>7432</v>
      </c>
      <c r="L6643" s="1" t="s">
        <v>7433</v>
      </c>
      <c r="N6643" s="1" t="s">
        <v>7478</v>
      </c>
      <c r="P6643" s="1" t="s">
        <v>7479</v>
      </c>
      <c r="Q6643" s="30" t="s">
        <v>2567</v>
      </c>
      <c r="R6643" s="33" t="s">
        <v>3472</v>
      </c>
      <c r="S6643">
        <v>36</v>
      </c>
      <c r="T6643" s="1" t="s">
        <v>12971</v>
      </c>
      <c r="U6643" s="1" t="str">
        <f>HYPERLINK("http://ictvonline.org/taxonomy/p/taxonomy-history?taxnode_id=202110959","ICTVonline=202110959")</f>
        <v>ICTVonline=202110959</v>
      </c>
    </row>
    <row r="6644" spans="1:21" x14ac:dyDescent="0.2">
      <c r="A6644" s="3">
        <v>6643</v>
      </c>
      <c r="B6644" s="1" t="s">
        <v>4226</v>
      </c>
      <c r="D6644" s="1" t="s">
        <v>5412</v>
      </c>
      <c r="F6644" s="1" t="s">
        <v>5466</v>
      </c>
      <c r="H6644" s="1" t="s">
        <v>6729</v>
      </c>
      <c r="J6644" s="1" t="s">
        <v>7432</v>
      </c>
      <c r="L6644" s="1" t="s">
        <v>7433</v>
      </c>
      <c r="N6644" s="1" t="s">
        <v>7478</v>
      </c>
      <c r="P6644" s="1" t="s">
        <v>7480</v>
      </c>
      <c r="Q6644" s="30" t="s">
        <v>2567</v>
      </c>
      <c r="R6644" s="33" t="s">
        <v>3472</v>
      </c>
      <c r="S6644">
        <v>36</v>
      </c>
      <c r="T6644" s="1" t="s">
        <v>12971</v>
      </c>
      <c r="U6644" s="1" t="str">
        <f>HYPERLINK("http://ictvonline.org/taxonomy/p/taxonomy-history?taxnode_id=202110960","ICTVonline=202110960")</f>
        <v>ICTVonline=202110960</v>
      </c>
    </row>
    <row r="6645" spans="1:21" x14ac:dyDescent="0.2">
      <c r="A6645" s="3">
        <v>6644</v>
      </c>
      <c r="B6645" s="1" t="s">
        <v>4226</v>
      </c>
      <c r="D6645" s="1" t="s">
        <v>5412</v>
      </c>
      <c r="F6645" s="1" t="s">
        <v>5466</v>
      </c>
      <c r="H6645" s="1" t="s">
        <v>6729</v>
      </c>
      <c r="J6645" s="1" t="s">
        <v>7432</v>
      </c>
      <c r="L6645" s="1" t="s">
        <v>7433</v>
      </c>
      <c r="N6645" s="1" t="s">
        <v>7478</v>
      </c>
      <c r="P6645" s="1" t="s">
        <v>7481</v>
      </c>
      <c r="Q6645" s="30" t="s">
        <v>2567</v>
      </c>
      <c r="R6645" s="33" t="s">
        <v>3472</v>
      </c>
      <c r="S6645">
        <v>36</v>
      </c>
      <c r="T6645" s="1" t="s">
        <v>12971</v>
      </c>
      <c r="U6645" s="1" t="str">
        <f>HYPERLINK("http://ictvonline.org/taxonomy/p/taxonomy-history?taxnode_id=202110958","ICTVonline=202110958")</f>
        <v>ICTVonline=202110958</v>
      </c>
    </row>
    <row r="6646" spans="1:21" x14ac:dyDescent="0.2">
      <c r="A6646" s="3">
        <v>6645</v>
      </c>
      <c r="B6646" s="1" t="s">
        <v>4226</v>
      </c>
      <c r="D6646" s="1" t="s">
        <v>5412</v>
      </c>
      <c r="F6646" s="1" t="s">
        <v>5466</v>
      </c>
      <c r="H6646" s="1" t="s">
        <v>6729</v>
      </c>
      <c r="J6646" s="1" t="s">
        <v>7432</v>
      </c>
      <c r="L6646" s="1" t="s">
        <v>7433</v>
      </c>
      <c r="N6646" s="1" t="s">
        <v>7482</v>
      </c>
      <c r="P6646" s="1" t="s">
        <v>7483</v>
      </c>
      <c r="Q6646" s="30" t="s">
        <v>2567</v>
      </c>
      <c r="R6646" s="33" t="s">
        <v>3472</v>
      </c>
      <c r="S6646">
        <v>36</v>
      </c>
      <c r="T6646" s="1" t="s">
        <v>12971</v>
      </c>
      <c r="U6646" s="1" t="str">
        <f>HYPERLINK("http://ictvonline.org/taxonomy/p/taxonomy-history?taxnode_id=202110962","ICTVonline=202110962")</f>
        <v>ICTVonline=202110962</v>
      </c>
    </row>
    <row r="6647" spans="1:21" x14ac:dyDescent="0.2">
      <c r="A6647" s="3">
        <v>6646</v>
      </c>
      <c r="B6647" s="1" t="s">
        <v>4226</v>
      </c>
      <c r="D6647" s="1" t="s">
        <v>5412</v>
      </c>
      <c r="F6647" s="1" t="s">
        <v>5466</v>
      </c>
      <c r="H6647" s="1" t="s">
        <v>6729</v>
      </c>
      <c r="J6647" s="1" t="s">
        <v>7432</v>
      </c>
      <c r="L6647" s="1" t="s">
        <v>7433</v>
      </c>
      <c r="N6647" s="1" t="s">
        <v>7484</v>
      </c>
      <c r="P6647" s="1" t="s">
        <v>7485</v>
      </c>
      <c r="Q6647" s="30" t="s">
        <v>2567</v>
      </c>
      <c r="R6647" s="33" t="s">
        <v>3472</v>
      </c>
      <c r="S6647">
        <v>36</v>
      </c>
      <c r="T6647" s="1" t="s">
        <v>12971</v>
      </c>
      <c r="U6647" s="1" t="str">
        <f>HYPERLINK("http://ictvonline.org/taxonomy/p/taxonomy-history?taxnode_id=202110964","ICTVonline=202110964")</f>
        <v>ICTVonline=202110964</v>
      </c>
    </row>
    <row r="6648" spans="1:21" x14ac:dyDescent="0.2">
      <c r="A6648" s="3">
        <v>6647</v>
      </c>
      <c r="B6648" s="1" t="s">
        <v>4226</v>
      </c>
      <c r="D6648" s="1" t="s">
        <v>5412</v>
      </c>
      <c r="F6648" s="1" t="s">
        <v>5466</v>
      </c>
      <c r="H6648" s="1" t="s">
        <v>6729</v>
      </c>
      <c r="J6648" s="1" t="s">
        <v>7432</v>
      </c>
      <c r="L6648" s="1" t="s">
        <v>7433</v>
      </c>
      <c r="N6648" s="1" t="s">
        <v>7486</v>
      </c>
      <c r="P6648" s="1" t="s">
        <v>7487</v>
      </c>
      <c r="Q6648" s="30" t="s">
        <v>2567</v>
      </c>
      <c r="R6648" s="33" t="s">
        <v>3472</v>
      </c>
      <c r="S6648">
        <v>36</v>
      </c>
      <c r="T6648" s="1" t="s">
        <v>12971</v>
      </c>
      <c r="U6648" s="1" t="str">
        <f>HYPERLINK("http://ictvonline.org/taxonomy/p/taxonomy-history?taxnode_id=202110966","ICTVonline=202110966")</f>
        <v>ICTVonline=202110966</v>
      </c>
    </row>
    <row r="6649" spans="1:21" x14ac:dyDescent="0.2">
      <c r="A6649" s="3">
        <v>6648</v>
      </c>
      <c r="B6649" s="1" t="s">
        <v>4226</v>
      </c>
      <c r="D6649" s="1" t="s">
        <v>5412</v>
      </c>
      <c r="F6649" s="1" t="s">
        <v>5466</v>
      </c>
      <c r="H6649" s="1" t="s">
        <v>6729</v>
      </c>
      <c r="J6649" s="1" t="s">
        <v>7432</v>
      </c>
      <c r="L6649" s="1" t="s">
        <v>7433</v>
      </c>
      <c r="N6649" s="1" t="s">
        <v>7488</v>
      </c>
      <c r="P6649" s="1" t="s">
        <v>7489</v>
      </c>
      <c r="Q6649" s="30" t="s">
        <v>2567</v>
      </c>
      <c r="R6649" s="33" t="s">
        <v>3472</v>
      </c>
      <c r="S6649">
        <v>36</v>
      </c>
      <c r="T6649" s="1" t="s">
        <v>12971</v>
      </c>
      <c r="U6649" s="1" t="str">
        <f>HYPERLINK("http://ictvonline.org/taxonomy/p/taxonomy-history?taxnode_id=202110968","ICTVonline=202110968")</f>
        <v>ICTVonline=202110968</v>
      </c>
    </row>
    <row r="6650" spans="1:21" x14ac:dyDescent="0.2">
      <c r="A6650" s="3">
        <v>6649</v>
      </c>
      <c r="B6650" s="1" t="s">
        <v>4226</v>
      </c>
      <c r="D6650" s="1" t="s">
        <v>5412</v>
      </c>
      <c r="F6650" s="1" t="s">
        <v>5466</v>
      </c>
      <c r="H6650" s="1" t="s">
        <v>6729</v>
      </c>
      <c r="J6650" s="1" t="s">
        <v>7432</v>
      </c>
      <c r="L6650" s="1" t="s">
        <v>7433</v>
      </c>
      <c r="N6650" s="1" t="s">
        <v>7490</v>
      </c>
      <c r="P6650" s="1" t="s">
        <v>7491</v>
      </c>
      <c r="Q6650" s="30" t="s">
        <v>2567</v>
      </c>
      <c r="R6650" s="33" t="s">
        <v>3472</v>
      </c>
      <c r="S6650">
        <v>36</v>
      </c>
      <c r="T6650" s="1" t="s">
        <v>12971</v>
      </c>
      <c r="U6650" s="1" t="str">
        <f>HYPERLINK("http://ictvonline.org/taxonomy/p/taxonomy-history?taxnode_id=202110970","ICTVonline=202110970")</f>
        <v>ICTVonline=202110970</v>
      </c>
    </row>
    <row r="6651" spans="1:21" x14ac:dyDescent="0.2">
      <c r="A6651" s="3">
        <v>6650</v>
      </c>
      <c r="B6651" s="1" t="s">
        <v>4226</v>
      </c>
      <c r="D6651" s="1" t="s">
        <v>5412</v>
      </c>
      <c r="F6651" s="1" t="s">
        <v>5466</v>
      </c>
      <c r="H6651" s="1" t="s">
        <v>6729</v>
      </c>
      <c r="J6651" s="1" t="s">
        <v>7432</v>
      </c>
      <c r="L6651" s="1" t="s">
        <v>7433</v>
      </c>
      <c r="N6651" s="1" t="s">
        <v>7492</v>
      </c>
      <c r="P6651" s="1" t="s">
        <v>7493</v>
      </c>
      <c r="Q6651" s="30" t="s">
        <v>2567</v>
      </c>
      <c r="R6651" s="33" t="s">
        <v>3472</v>
      </c>
      <c r="S6651">
        <v>36</v>
      </c>
      <c r="T6651" s="1" t="s">
        <v>12971</v>
      </c>
      <c r="U6651" s="1" t="str">
        <f>HYPERLINK("http://ictvonline.org/taxonomy/p/taxonomy-history?taxnode_id=202110972","ICTVonline=202110972")</f>
        <v>ICTVonline=202110972</v>
      </c>
    </row>
    <row r="6652" spans="1:21" x14ac:dyDescent="0.2">
      <c r="A6652" s="3">
        <v>6651</v>
      </c>
      <c r="B6652" s="1" t="s">
        <v>4226</v>
      </c>
      <c r="D6652" s="1" t="s">
        <v>5412</v>
      </c>
      <c r="F6652" s="1" t="s">
        <v>5466</v>
      </c>
      <c r="H6652" s="1" t="s">
        <v>6729</v>
      </c>
      <c r="J6652" s="1" t="s">
        <v>7432</v>
      </c>
      <c r="L6652" s="1" t="s">
        <v>7433</v>
      </c>
      <c r="N6652" s="1" t="s">
        <v>7494</v>
      </c>
      <c r="P6652" s="1" t="s">
        <v>7495</v>
      </c>
      <c r="Q6652" s="30" t="s">
        <v>2567</v>
      </c>
      <c r="R6652" s="33" t="s">
        <v>3472</v>
      </c>
      <c r="S6652">
        <v>36</v>
      </c>
      <c r="T6652" s="1" t="s">
        <v>12971</v>
      </c>
      <c r="U6652" s="1" t="str">
        <f>HYPERLINK("http://ictvonline.org/taxonomy/p/taxonomy-history?taxnode_id=202110974","ICTVonline=202110974")</f>
        <v>ICTVonline=202110974</v>
      </c>
    </row>
    <row r="6653" spans="1:21" x14ac:dyDescent="0.2">
      <c r="A6653" s="3">
        <v>6652</v>
      </c>
      <c r="B6653" s="1" t="s">
        <v>4226</v>
      </c>
      <c r="D6653" s="1" t="s">
        <v>5412</v>
      </c>
      <c r="F6653" s="1" t="s">
        <v>5466</v>
      </c>
      <c r="H6653" s="1" t="s">
        <v>6729</v>
      </c>
      <c r="J6653" s="1" t="s">
        <v>7432</v>
      </c>
      <c r="L6653" s="1" t="s">
        <v>7433</v>
      </c>
      <c r="N6653" s="1" t="s">
        <v>7496</v>
      </c>
      <c r="P6653" s="1" t="s">
        <v>7497</v>
      </c>
      <c r="Q6653" s="30" t="s">
        <v>2567</v>
      </c>
      <c r="R6653" s="33" t="s">
        <v>3472</v>
      </c>
      <c r="S6653">
        <v>36</v>
      </c>
      <c r="T6653" s="1" t="s">
        <v>12971</v>
      </c>
      <c r="U6653" s="1" t="str">
        <f>HYPERLINK("http://ictvonline.org/taxonomy/p/taxonomy-history?taxnode_id=202110976","ICTVonline=202110976")</f>
        <v>ICTVonline=202110976</v>
      </c>
    </row>
    <row r="6654" spans="1:21" x14ac:dyDescent="0.2">
      <c r="A6654" s="3">
        <v>6653</v>
      </c>
      <c r="B6654" s="1" t="s">
        <v>4226</v>
      </c>
      <c r="D6654" s="1" t="s">
        <v>5412</v>
      </c>
      <c r="F6654" s="1" t="s">
        <v>5466</v>
      </c>
      <c r="H6654" s="1" t="s">
        <v>6729</v>
      </c>
      <c r="J6654" s="1" t="s">
        <v>7432</v>
      </c>
      <c r="L6654" s="1" t="s">
        <v>7433</v>
      </c>
      <c r="N6654" s="1" t="s">
        <v>7498</v>
      </c>
      <c r="P6654" s="1" t="s">
        <v>7499</v>
      </c>
      <c r="Q6654" s="30" t="s">
        <v>2567</v>
      </c>
      <c r="R6654" s="33" t="s">
        <v>3472</v>
      </c>
      <c r="S6654">
        <v>36</v>
      </c>
      <c r="T6654" s="1" t="s">
        <v>12971</v>
      </c>
      <c r="U6654" s="1" t="str">
        <f>HYPERLINK("http://ictvonline.org/taxonomy/p/taxonomy-history?taxnode_id=202110978","ICTVonline=202110978")</f>
        <v>ICTVonline=202110978</v>
      </c>
    </row>
    <row r="6655" spans="1:21" x14ac:dyDescent="0.2">
      <c r="A6655" s="3">
        <v>6654</v>
      </c>
      <c r="B6655" s="1" t="s">
        <v>4226</v>
      </c>
      <c r="D6655" s="1" t="s">
        <v>5412</v>
      </c>
      <c r="F6655" s="1" t="s">
        <v>5466</v>
      </c>
      <c r="H6655" s="1" t="s">
        <v>6729</v>
      </c>
      <c r="J6655" s="1" t="s">
        <v>7432</v>
      </c>
      <c r="L6655" s="1" t="s">
        <v>7500</v>
      </c>
      <c r="N6655" s="1" t="s">
        <v>7501</v>
      </c>
      <c r="P6655" s="1" t="s">
        <v>7502</v>
      </c>
      <c r="Q6655" s="30" t="s">
        <v>2567</v>
      </c>
      <c r="R6655" s="33" t="s">
        <v>3472</v>
      </c>
      <c r="S6655">
        <v>36</v>
      </c>
      <c r="T6655" s="1" t="s">
        <v>12971</v>
      </c>
      <c r="U6655" s="1" t="str">
        <f>HYPERLINK("http://ictvonline.org/taxonomy/p/taxonomy-history?taxnode_id=202110983","ICTVonline=202110983")</f>
        <v>ICTVonline=202110983</v>
      </c>
    </row>
    <row r="6656" spans="1:21" x14ac:dyDescent="0.2">
      <c r="A6656" s="3">
        <v>6655</v>
      </c>
      <c r="B6656" s="1" t="s">
        <v>4226</v>
      </c>
      <c r="D6656" s="1" t="s">
        <v>5412</v>
      </c>
      <c r="F6656" s="1" t="s">
        <v>5466</v>
      </c>
      <c r="H6656" s="1" t="s">
        <v>6729</v>
      </c>
      <c r="J6656" s="1" t="s">
        <v>7432</v>
      </c>
      <c r="L6656" s="1" t="s">
        <v>7500</v>
      </c>
      <c r="N6656" s="1" t="s">
        <v>7501</v>
      </c>
      <c r="P6656" s="1" t="s">
        <v>7503</v>
      </c>
      <c r="Q6656" s="30" t="s">
        <v>2567</v>
      </c>
      <c r="R6656" s="33" t="s">
        <v>3472</v>
      </c>
      <c r="S6656">
        <v>36</v>
      </c>
      <c r="T6656" s="1" t="s">
        <v>12971</v>
      </c>
      <c r="U6656" s="1" t="str">
        <f>HYPERLINK("http://ictvonline.org/taxonomy/p/taxonomy-history?taxnode_id=202110982","ICTVonline=202110982")</f>
        <v>ICTVonline=202110982</v>
      </c>
    </row>
    <row r="6657" spans="1:21" x14ac:dyDescent="0.2">
      <c r="A6657" s="3">
        <v>6656</v>
      </c>
      <c r="B6657" s="1" t="s">
        <v>4226</v>
      </c>
      <c r="D6657" s="1" t="s">
        <v>5412</v>
      </c>
      <c r="F6657" s="1" t="s">
        <v>5466</v>
      </c>
      <c r="H6657" s="1" t="s">
        <v>6729</v>
      </c>
      <c r="J6657" s="1" t="s">
        <v>7432</v>
      </c>
      <c r="L6657" s="1" t="s">
        <v>7500</v>
      </c>
      <c r="N6657" s="1" t="s">
        <v>7501</v>
      </c>
      <c r="P6657" s="1" t="s">
        <v>7504</v>
      </c>
      <c r="Q6657" s="30" t="s">
        <v>2567</v>
      </c>
      <c r="R6657" s="33" t="s">
        <v>3472</v>
      </c>
      <c r="S6657">
        <v>36</v>
      </c>
      <c r="T6657" s="1" t="s">
        <v>12971</v>
      </c>
      <c r="U6657" s="1" t="str">
        <f>HYPERLINK("http://ictvonline.org/taxonomy/p/taxonomy-history?taxnode_id=202110981","ICTVonline=202110981")</f>
        <v>ICTVonline=202110981</v>
      </c>
    </row>
    <row r="6658" spans="1:21" x14ac:dyDescent="0.2">
      <c r="A6658" s="3">
        <v>6657</v>
      </c>
      <c r="B6658" s="1" t="s">
        <v>4226</v>
      </c>
      <c r="D6658" s="1" t="s">
        <v>5412</v>
      </c>
      <c r="F6658" s="1" t="s">
        <v>5466</v>
      </c>
      <c r="H6658" s="1" t="s">
        <v>6729</v>
      </c>
      <c r="J6658" s="1" t="s">
        <v>7432</v>
      </c>
      <c r="L6658" s="1" t="s">
        <v>7500</v>
      </c>
      <c r="N6658" s="1" t="s">
        <v>7501</v>
      </c>
      <c r="P6658" s="1" t="s">
        <v>7505</v>
      </c>
      <c r="Q6658" s="30" t="s">
        <v>2567</v>
      </c>
      <c r="R6658" s="33" t="s">
        <v>3472</v>
      </c>
      <c r="S6658">
        <v>36</v>
      </c>
      <c r="T6658" s="1" t="s">
        <v>12971</v>
      </c>
      <c r="U6658" s="1" t="str">
        <f>HYPERLINK("http://ictvonline.org/taxonomy/p/taxonomy-history?taxnode_id=202110984","ICTVonline=202110984")</f>
        <v>ICTVonline=202110984</v>
      </c>
    </row>
    <row r="6659" spans="1:21" x14ac:dyDescent="0.2">
      <c r="A6659" s="3">
        <v>6658</v>
      </c>
      <c r="B6659" s="1" t="s">
        <v>4226</v>
      </c>
      <c r="D6659" s="1" t="s">
        <v>5412</v>
      </c>
      <c r="F6659" s="1" t="s">
        <v>5466</v>
      </c>
      <c r="H6659" s="1" t="s">
        <v>6729</v>
      </c>
      <c r="J6659" s="1" t="s">
        <v>7432</v>
      </c>
      <c r="L6659" s="1" t="s">
        <v>7500</v>
      </c>
      <c r="N6659" s="1" t="s">
        <v>7506</v>
      </c>
      <c r="P6659" s="1" t="s">
        <v>7507</v>
      </c>
      <c r="Q6659" s="30" t="s">
        <v>2567</v>
      </c>
      <c r="R6659" s="33" t="s">
        <v>3472</v>
      </c>
      <c r="S6659">
        <v>36</v>
      </c>
      <c r="T6659" s="1" t="s">
        <v>12971</v>
      </c>
      <c r="U6659" s="1" t="str">
        <f>HYPERLINK("http://ictvonline.org/taxonomy/p/taxonomy-history?taxnode_id=202110986","ICTVonline=202110986")</f>
        <v>ICTVonline=202110986</v>
      </c>
    </row>
    <row r="6660" spans="1:21" x14ac:dyDescent="0.2">
      <c r="A6660" s="3">
        <v>6659</v>
      </c>
      <c r="B6660" s="1" t="s">
        <v>4226</v>
      </c>
      <c r="D6660" s="1" t="s">
        <v>5412</v>
      </c>
      <c r="F6660" s="1" t="s">
        <v>5466</v>
      </c>
      <c r="H6660" s="1" t="s">
        <v>6729</v>
      </c>
      <c r="J6660" s="1" t="s">
        <v>7432</v>
      </c>
      <c r="L6660" s="1" t="s">
        <v>7500</v>
      </c>
      <c r="N6660" s="1" t="s">
        <v>7508</v>
      </c>
      <c r="P6660" s="1" t="s">
        <v>7509</v>
      </c>
      <c r="Q6660" s="30" t="s">
        <v>2567</v>
      </c>
      <c r="R6660" s="33" t="s">
        <v>3472</v>
      </c>
      <c r="S6660">
        <v>36</v>
      </c>
      <c r="T6660" s="1" t="s">
        <v>12971</v>
      </c>
      <c r="U6660" s="1" t="str">
        <f>HYPERLINK("http://ictvonline.org/taxonomy/p/taxonomy-history?taxnode_id=202110988","ICTVonline=202110988")</f>
        <v>ICTVonline=202110988</v>
      </c>
    </row>
    <row r="6661" spans="1:21" x14ac:dyDescent="0.2">
      <c r="A6661" s="3">
        <v>6660</v>
      </c>
      <c r="B6661" s="1" t="s">
        <v>4226</v>
      </c>
      <c r="D6661" s="1" t="s">
        <v>5412</v>
      </c>
      <c r="F6661" s="1" t="s">
        <v>5466</v>
      </c>
      <c r="H6661" s="1" t="s">
        <v>6729</v>
      </c>
      <c r="J6661" s="1" t="s">
        <v>7432</v>
      </c>
      <c r="L6661" s="1" t="s">
        <v>7500</v>
      </c>
      <c r="N6661" s="1" t="s">
        <v>7510</v>
      </c>
      <c r="P6661" s="1" t="s">
        <v>7511</v>
      </c>
      <c r="Q6661" s="30" t="s">
        <v>2567</v>
      </c>
      <c r="R6661" s="33" t="s">
        <v>3472</v>
      </c>
      <c r="S6661">
        <v>36</v>
      </c>
      <c r="T6661" s="1" t="s">
        <v>12971</v>
      </c>
      <c r="U6661" s="1" t="str">
        <f>HYPERLINK("http://ictvonline.org/taxonomy/p/taxonomy-history?taxnode_id=202110993","ICTVonline=202110993")</f>
        <v>ICTVonline=202110993</v>
      </c>
    </row>
    <row r="6662" spans="1:21" x14ac:dyDescent="0.2">
      <c r="A6662" s="3">
        <v>6661</v>
      </c>
      <c r="B6662" s="1" t="s">
        <v>4226</v>
      </c>
      <c r="D6662" s="1" t="s">
        <v>5412</v>
      </c>
      <c r="F6662" s="1" t="s">
        <v>5466</v>
      </c>
      <c r="H6662" s="1" t="s">
        <v>6729</v>
      </c>
      <c r="J6662" s="1" t="s">
        <v>7432</v>
      </c>
      <c r="L6662" s="1" t="s">
        <v>7500</v>
      </c>
      <c r="N6662" s="1" t="s">
        <v>7510</v>
      </c>
      <c r="P6662" s="1" t="s">
        <v>7512</v>
      </c>
      <c r="Q6662" s="30" t="s">
        <v>2567</v>
      </c>
      <c r="R6662" s="33" t="s">
        <v>3472</v>
      </c>
      <c r="S6662">
        <v>36</v>
      </c>
      <c r="T6662" s="1" t="s">
        <v>12971</v>
      </c>
      <c r="U6662" s="1" t="str">
        <f>HYPERLINK("http://ictvonline.org/taxonomy/p/taxonomy-history?taxnode_id=202110998","ICTVonline=202110998")</f>
        <v>ICTVonline=202110998</v>
      </c>
    </row>
    <row r="6663" spans="1:21" x14ac:dyDescent="0.2">
      <c r="A6663" s="3">
        <v>6662</v>
      </c>
      <c r="B6663" s="1" t="s">
        <v>4226</v>
      </c>
      <c r="D6663" s="1" t="s">
        <v>5412</v>
      </c>
      <c r="F6663" s="1" t="s">
        <v>5466</v>
      </c>
      <c r="H6663" s="1" t="s">
        <v>6729</v>
      </c>
      <c r="J6663" s="1" t="s">
        <v>7432</v>
      </c>
      <c r="L6663" s="1" t="s">
        <v>7500</v>
      </c>
      <c r="N6663" s="1" t="s">
        <v>7510</v>
      </c>
      <c r="P6663" s="1" t="s">
        <v>7513</v>
      </c>
      <c r="Q6663" s="30" t="s">
        <v>2567</v>
      </c>
      <c r="R6663" s="33" t="s">
        <v>3472</v>
      </c>
      <c r="S6663">
        <v>36</v>
      </c>
      <c r="T6663" s="1" t="s">
        <v>12971</v>
      </c>
      <c r="U6663" s="1" t="str">
        <f>HYPERLINK("http://ictvonline.org/taxonomy/p/taxonomy-history?taxnode_id=202110997","ICTVonline=202110997")</f>
        <v>ICTVonline=202110997</v>
      </c>
    </row>
    <row r="6664" spans="1:21" x14ac:dyDescent="0.2">
      <c r="A6664" s="3">
        <v>6663</v>
      </c>
      <c r="B6664" s="1" t="s">
        <v>4226</v>
      </c>
      <c r="D6664" s="1" t="s">
        <v>5412</v>
      </c>
      <c r="F6664" s="1" t="s">
        <v>5466</v>
      </c>
      <c r="H6664" s="1" t="s">
        <v>6729</v>
      </c>
      <c r="J6664" s="1" t="s">
        <v>7432</v>
      </c>
      <c r="L6664" s="1" t="s">
        <v>7500</v>
      </c>
      <c r="N6664" s="1" t="s">
        <v>7510</v>
      </c>
      <c r="P6664" s="1" t="s">
        <v>7514</v>
      </c>
      <c r="Q6664" s="30" t="s">
        <v>2567</v>
      </c>
      <c r="R6664" s="33" t="s">
        <v>3472</v>
      </c>
      <c r="S6664">
        <v>36</v>
      </c>
      <c r="T6664" s="1" t="s">
        <v>12971</v>
      </c>
      <c r="U6664" s="1" t="str">
        <f>HYPERLINK("http://ictvonline.org/taxonomy/p/taxonomy-history?taxnode_id=202110999","ICTVonline=202110999")</f>
        <v>ICTVonline=202110999</v>
      </c>
    </row>
    <row r="6665" spans="1:21" x14ac:dyDescent="0.2">
      <c r="A6665" s="3">
        <v>6664</v>
      </c>
      <c r="B6665" s="1" t="s">
        <v>4226</v>
      </c>
      <c r="D6665" s="1" t="s">
        <v>5412</v>
      </c>
      <c r="F6665" s="1" t="s">
        <v>5466</v>
      </c>
      <c r="H6665" s="1" t="s">
        <v>6729</v>
      </c>
      <c r="J6665" s="1" t="s">
        <v>7432</v>
      </c>
      <c r="L6665" s="1" t="s">
        <v>7500</v>
      </c>
      <c r="N6665" s="1" t="s">
        <v>7510</v>
      </c>
      <c r="P6665" s="1" t="s">
        <v>7515</v>
      </c>
      <c r="Q6665" s="30" t="s">
        <v>2567</v>
      </c>
      <c r="R6665" s="33" t="s">
        <v>3472</v>
      </c>
      <c r="S6665">
        <v>36</v>
      </c>
      <c r="T6665" s="1" t="s">
        <v>12971</v>
      </c>
      <c r="U6665" s="1" t="str">
        <f>HYPERLINK("http://ictvonline.org/taxonomy/p/taxonomy-history?taxnode_id=202110994","ICTVonline=202110994")</f>
        <v>ICTVonline=202110994</v>
      </c>
    </row>
    <row r="6666" spans="1:21" x14ac:dyDescent="0.2">
      <c r="A6666" s="3">
        <v>6665</v>
      </c>
      <c r="B6666" s="1" t="s">
        <v>4226</v>
      </c>
      <c r="D6666" s="1" t="s">
        <v>5412</v>
      </c>
      <c r="F6666" s="1" t="s">
        <v>5466</v>
      </c>
      <c r="H6666" s="1" t="s">
        <v>6729</v>
      </c>
      <c r="J6666" s="1" t="s">
        <v>7432</v>
      </c>
      <c r="L6666" s="1" t="s">
        <v>7500</v>
      </c>
      <c r="N6666" s="1" t="s">
        <v>7510</v>
      </c>
      <c r="P6666" s="1" t="s">
        <v>7516</v>
      </c>
      <c r="Q6666" s="30" t="s">
        <v>2567</v>
      </c>
      <c r="R6666" s="33" t="s">
        <v>3472</v>
      </c>
      <c r="S6666">
        <v>36</v>
      </c>
      <c r="T6666" s="1" t="s">
        <v>12971</v>
      </c>
      <c r="U6666" s="1" t="str">
        <f>HYPERLINK("http://ictvonline.org/taxonomy/p/taxonomy-history?taxnode_id=202110995","ICTVonline=202110995")</f>
        <v>ICTVonline=202110995</v>
      </c>
    </row>
    <row r="6667" spans="1:21" x14ac:dyDescent="0.2">
      <c r="A6667" s="3">
        <v>6666</v>
      </c>
      <c r="B6667" s="1" t="s">
        <v>4226</v>
      </c>
      <c r="D6667" s="1" t="s">
        <v>5412</v>
      </c>
      <c r="F6667" s="1" t="s">
        <v>5466</v>
      </c>
      <c r="H6667" s="1" t="s">
        <v>6729</v>
      </c>
      <c r="J6667" s="1" t="s">
        <v>7432</v>
      </c>
      <c r="L6667" s="1" t="s">
        <v>7500</v>
      </c>
      <c r="N6667" s="1" t="s">
        <v>7510</v>
      </c>
      <c r="P6667" s="1" t="s">
        <v>7517</v>
      </c>
      <c r="Q6667" s="30" t="s">
        <v>2567</v>
      </c>
      <c r="R6667" s="33" t="s">
        <v>3472</v>
      </c>
      <c r="S6667">
        <v>36</v>
      </c>
      <c r="T6667" s="1" t="s">
        <v>12971</v>
      </c>
      <c r="U6667" s="1" t="str">
        <f>HYPERLINK("http://ictvonline.org/taxonomy/p/taxonomy-history?taxnode_id=202110990","ICTVonline=202110990")</f>
        <v>ICTVonline=202110990</v>
      </c>
    </row>
    <row r="6668" spans="1:21" x14ac:dyDescent="0.2">
      <c r="A6668" s="3">
        <v>6667</v>
      </c>
      <c r="B6668" s="1" t="s">
        <v>4226</v>
      </c>
      <c r="D6668" s="1" t="s">
        <v>5412</v>
      </c>
      <c r="F6668" s="1" t="s">
        <v>5466</v>
      </c>
      <c r="H6668" s="1" t="s">
        <v>6729</v>
      </c>
      <c r="J6668" s="1" t="s">
        <v>7432</v>
      </c>
      <c r="L6668" s="1" t="s">
        <v>7500</v>
      </c>
      <c r="N6668" s="1" t="s">
        <v>7510</v>
      </c>
      <c r="P6668" s="1" t="s">
        <v>7518</v>
      </c>
      <c r="Q6668" s="30" t="s">
        <v>2567</v>
      </c>
      <c r="R6668" s="33" t="s">
        <v>3472</v>
      </c>
      <c r="S6668">
        <v>36</v>
      </c>
      <c r="T6668" s="1" t="s">
        <v>12971</v>
      </c>
      <c r="U6668" s="1" t="str">
        <f>HYPERLINK("http://ictvonline.org/taxonomy/p/taxonomy-history?taxnode_id=202110996","ICTVonline=202110996")</f>
        <v>ICTVonline=202110996</v>
      </c>
    </row>
    <row r="6669" spans="1:21" x14ac:dyDescent="0.2">
      <c r="A6669" s="3">
        <v>6668</v>
      </c>
      <c r="B6669" s="1" t="s">
        <v>4226</v>
      </c>
      <c r="D6669" s="1" t="s">
        <v>5412</v>
      </c>
      <c r="F6669" s="1" t="s">
        <v>5466</v>
      </c>
      <c r="H6669" s="1" t="s">
        <v>6729</v>
      </c>
      <c r="J6669" s="1" t="s">
        <v>7432</v>
      </c>
      <c r="L6669" s="1" t="s">
        <v>7500</v>
      </c>
      <c r="N6669" s="1" t="s">
        <v>7510</v>
      </c>
      <c r="P6669" s="1" t="s">
        <v>7519</v>
      </c>
      <c r="Q6669" s="30" t="s">
        <v>2567</v>
      </c>
      <c r="R6669" s="33" t="s">
        <v>3472</v>
      </c>
      <c r="S6669">
        <v>36</v>
      </c>
      <c r="T6669" s="1" t="s">
        <v>12971</v>
      </c>
      <c r="U6669" s="1" t="str">
        <f>HYPERLINK("http://ictvonline.org/taxonomy/p/taxonomy-history?taxnode_id=202110991","ICTVonline=202110991")</f>
        <v>ICTVonline=202110991</v>
      </c>
    </row>
    <row r="6670" spans="1:21" x14ac:dyDescent="0.2">
      <c r="A6670" s="3">
        <v>6669</v>
      </c>
      <c r="B6670" s="1" t="s">
        <v>4226</v>
      </c>
      <c r="D6670" s="1" t="s">
        <v>5412</v>
      </c>
      <c r="F6670" s="1" t="s">
        <v>5466</v>
      </c>
      <c r="H6670" s="1" t="s">
        <v>6729</v>
      </c>
      <c r="J6670" s="1" t="s">
        <v>7432</v>
      </c>
      <c r="L6670" s="1" t="s">
        <v>7500</v>
      </c>
      <c r="N6670" s="1" t="s">
        <v>7510</v>
      </c>
      <c r="P6670" s="1" t="s">
        <v>7520</v>
      </c>
      <c r="Q6670" s="30" t="s">
        <v>2567</v>
      </c>
      <c r="R6670" s="33" t="s">
        <v>3472</v>
      </c>
      <c r="S6670">
        <v>36</v>
      </c>
      <c r="T6670" s="1" t="s">
        <v>12971</v>
      </c>
      <c r="U6670" s="1" t="str">
        <f>HYPERLINK("http://ictvonline.org/taxonomy/p/taxonomy-history?taxnode_id=202110992","ICTVonline=202110992")</f>
        <v>ICTVonline=202110992</v>
      </c>
    </row>
    <row r="6671" spans="1:21" x14ac:dyDescent="0.2">
      <c r="A6671" s="3">
        <v>6670</v>
      </c>
      <c r="B6671" s="1" t="s">
        <v>4226</v>
      </c>
      <c r="D6671" s="1" t="s">
        <v>5412</v>
      </c>
      <c r="F6671" s="1" t="s">
        <v>5466</v>
      </c>
      <c r="H6671" s="1" t="s">
        <v>6729</v>
      </c>
      <c r="J6671" s="1" t="s">
        <v>7432</v>
      </c>
      <c r="L6671" s="1" t="s">
        <v>7500</v>
      </c>
      <c r="N6671" s="1" t="s">
        <v>7521</v>
      </c>
      <c r="P6671" s="1" t="s">
        <v>7522</v>
      </c>
      <c r="Q6671" s="30" t="s">
        <v>2567</v>
      </c>
      <c r="R6671" s="33" t="s">
        <v>3472</v>
      </c>
      <c r="S6671">
        <v>36</v>
      </c>
      <c r="T6671" s="1" t="s">
        <v>12971</v>
      </c>
      <c r="U6671" s="1" t="str">
        <f>HYPERLINK("http://ictvonline.org/taxonomy/p/taxonomy-history?taxnode_id=202111001","ICTVonline=202111001")</f>
        <v>ICTVonline=202111001</v>
      </c>
    </row>
    <row r="6672" spans="1:21" x14ac:dyDescent="0.2">
      <c r="A6672" s="3">
        <v>6671</v>
      </c>
      <c r="B6672" s="1" t="s">
        <v>4226</v>
      </c>
      <c r="D6672" s="1" t="s">
        <v>5412</v>
      </c>
      <c r="F6672" s="1" t="s">
        <v>5466</v>
      </c>
      <c r="H6672" s="1" t="s">
        <v>6729</v>
      </c>
      <c r="J6672" s="1" t="s">
        <v>7432</v>
      </c>
      <c r="L6672" s="1" t="s">
        <v>7500</v>
      </c>
      <c r="N6672" s="1" t="s">
        <v>7521</v>
      </c>
      <c r="P6672" s="1" t="s">
        <v>7523</v>
      </c>
      <c r="Q6672" s="30" t="s">
        <v>2567</v>
      </c>
      <c r="R6672" s="33" t="s">
        <v>3472</v>
      </c>
      <c r="S6672">
        <v>36</v>
      </c>
      <c r="T6672" s="1" t="s">
        <v>12971</v>
      </c>
      <c r="U6672" s="1" t="str">
        <f>HYPERLINK("http://ictvonline.org/taxonomy/p/taxonomy-history?taxnode_id=202111003","ICTVonline=202111003")</f>
        <v>ICTVonline=202111003</v>
      </c>
    </row>
    <row r="6673" spans="1:21" x14ac:dyDescent="0.2">
      <c r="A6673" s="3">
        <v>6672</v>
      </c>
      <c r="B6673" s="1" t="s">
        <v>4226</v>
      </c>
      <c r="D6673" s="1" t="s">
        <v>5412</v>
      </c>
      <c r="F6673" s="1" t="s">
        <v>5466</v>
      </c>
      <c r="H6673" s="1" t="s">
        <v>6729</v>
      </c>
      <c r="J6673" s="1" t="s">
        <v>7432</v>
      </c>
      <c r="L6673" s="1" t="s">
        <v>7500</v>
      </c>
      <c r="N6673" s="1" t="s">
        <v>7521</v>
      </c>
      <c r="P6673" s="1" t="s">
        <v>7524</v>
      </c>
      <c r="Q6673" s="30" t="s">
        <v>2567</v>
      </c>
      <c r="R6673" s="33" t="s">
        <v>3472</v>
      </c>
      <c r="S6673">
        <v>36</v>
      </c>
      <c r="T6673" s="1" t="s">
        <v>12971</v>
      </c>
      <c r="U6673" s="1" t="str">
        <f>HYPERLINK("http://ictvonline.org/taxonomy/p/taxonomy-history?taxnode_id=202111002","ICTVonline=202111002")</f>
        <v>ICTVonline=202111002</v>
      </c>
    </row>
    <row r="6674" spans="1:21" x14ac:dyDescent="0.2">
      <c r="A6674" s="3">
        <v>6673</v>
      </c>
      <c r="B6674" s="1" t="s">
        <v>4226</v>
      </c>
      <c r="D6674" s="1" t="s">
        <v>5412</v>
      </c>
      <c r="F6674" s="1" t="s">
        <v>5466</v>
      </c>
      <c r="H6674" s="1" t="s">
        <v>6729</v>
      </c>
      <c r="J6674" s="1" t="s">
        <v>7432</v>
      </c>
      <c r="L6674" s="1" t="s">
        <v>7500</v>
      </c>
      <c r="N6674" s="1" t="s">
        <v>7525</v>
      </c>
      <c r="P6674" s="1" t="s">
        <v>7526</v>
      </c>
      <c r="Q6674" s="30" t="s">
        <v>2567</v>
      </c>
      <c r="R6674" s="33" t="s">
        <v>3472</v>
      </c>
      <c r="S6674">
        <v>36</v>
      </c>
      <c r="T6674" s="1" t="s">
        <v>12971</v>
      </c>
      <c r="U6674" s="1" t="str">
        <f>HYPERLINK("http://ictvonline.org/taxonomy/p/taxonomy-history?taxnode_id=202111005","ICTVonline=202111005")</f>
        <v>ICTVonline=202111005</v>
      </c>
    </row>
    <row r="6675" spans="1:21" x14ac:dyDescent="0.2">
      <c r="A6675" s="3">
        <v>6674</v>
      </c>
      <c r="B6675" s="1" t="s">
        <v>4226</v>
      </c>
      <c r="D6675" s="1" t="s">
        <v>5412</v>
      </c>
      <c r="F6675" s="1" t="s">
        <v>5466</v>
      </c>
      <c r="H6675" s="1" t="s">
        <v>6729</v>
      </c>
      <c r="J6675" s="1" t="s">
        <v>7432</v>
      </c>
      <c r="L6675" s="1" t="s">
        <v>7500</v>
      </c>
      <c r="N6675" s="1" t="s">
        <v>7527</v>
      </c>
      <c r="P6675" s="1" t="s">
        <v>7528</v>
      </c>
      <c r="Q6675" s="30" t="s">
        <v>2567</v>
      </c>
      <c r="R6675" s="33" t="s">
        <v>3472</v>
      </c>
      <c r="S6675">
        <v>36</v>
      </c>
      <c r="T6675" s="1" t="s">
        <v>12971</v>
      </c>
      <c r="U6675" s="1" t="str">
        <f>HYPERLINK("http://ictvonline.org/taxonomy/p/taxonomy-history?taxnode_id=202111008","ICTVonline=202111008")</f>
        <v>ICTVonline=202111008</v>
      </c>
    </row>
    <row r="6676" spans="1:21" x14ac:dyDescent="0.2">
      <c r="A6676" s="3">
        <v>6675</v>
      </c>
      <c r="B6676" s="1" t="s">
        <v>4226</v>
      </c>
      <c r="D6676" s="1" t="s">
        <v>5412</v>
      </c>
      <c r="F6676" s="1" t="s">
        <v>5466</v>
      </c>
      <c r="H6676" s="1" t="s">
        <v>6729</v>
      </c>
      <c r="J6676" s="1" t="s">
        <v>7432</v>
      </c>
      <c r="L6676" s="1" t="s">
        <v>7500</v>
      </c>
      <c r="N6676" s="1" t="s">
        <v>7527</v>
      </c>
      <c r="P6676" s="1" t="s">
        <v>7529</v>
      </c>
      <c r="Q6676" s="30" t="s">
        <v>2567</v>
      </c>
      <c r="R6676" s="33" t="s">
        <v>3472</v>
      </c>
      <c r="S6676">
        <v>36</v>
      </c>
      <c r="T6676" s="1" t="s">
        <v>12971</v>
      </c>
      <c r="U6676" s="1" t="str">
        <f>HYPERLINK("http://ictvonline.org/taxonomy/p/taxonomy-history?taxnode_id=202111009","ICTVonline=202111009")</f>
        <v>ICTVonline=202111009</v>
      </c>
    </row>
    <row r="6677" spans="1:21" x14ac:dyDescent="0.2">
      <c r="A6677" s="3">
        <v>6676</v>
      </c>
      <c r="B6677" s="1" t="s">
        <v>4226</v>
      </c>
      <c r="D6677" s="1" t="s">
        <v>5412</v>
      </c>
      <c r="F6677" s="1" t="s">
        <v>5466</v>
      </c>
      <c r="H6677" s="1" t="s">
        <v>6729</v>
      </c>
      <c r="J6677" s="1" t="s">
        <v>7432</v>
      </c>
      <c r="L6677" s="1" t="s">
        <v>7500</v>
      </c>
      <c r="N6677" s="1" t="s">
        <v>7527</v>
      </c>
      <c r="P6677" s="1" t="s">
        <v>7530</v>
      </c>
      <c r="Q6677" s="30" t="s">
        <v>2567</v>
      </c>
      <c r="R6677" s="33" t="s">
        <v>3472</v>
      </c>
      <c r="S6677">
        <v>36</v>
      </c>
      <c r="T6677" s="1" t="s">
        <v>12971</v>
      </c>
      <c r="U6677" s="1" t="str">
        <f>HYPERLINK("http://ictvonline.org/taxonomy/p/taxonomy-history?taxnode_id=202111010","ICTVonline=202111010")</f>
        <v>ICTVonline=202111010</v>
      </c>
    </row>
    <row r="6678" spans="1:21" x14ac:dyDescent="0.2">
      <c r="A6678" s="3">
        <v>6677</v>
      </c>
      <c r="B6678" s="1" t="s">
        <v>4226</v>
      </c>
      <c r="D6678" s="1" t="s">
        <v>5412</v>
      </c>
      <c r="F6678" s="1" t="s">
        <v>5466</v>
      </c>
      <c r="H6678" s="1" t="s">
        <v>6729</v>
      </c>
      <c r="J6678" s="1" t="s">
        <v>7432</v>
      </c>
      <c r="L6678" s="1" t="s">
        <v>7500</v>
      </c>
      <c r="N6678" s="1" t="s">
        <v>7527</v>
      </c>
      <c r="P6678" s="1" t="s">
        <v>7531</v>
      </c>
      <c r="Q6678" s="30" t="s">
        <v>2567</v>
      </c>
      <c r="R6678" s="33" t="s">
        <v>3472</v>
      </c>
      <c r="S6678">
        <v>36</v>
      </c>
      <c r="T6678" s="1" t="s">
        <v>12971</v>
      </c>
      <c r="U6678" s="1" t="str">
        <f>HYPERLINK("http://ictvonline.org/taxonomy/p/taxonomy-history?taxnode_id=202111011","ICTVonline=202111011")</f>
        <v>ICTVonline=202111011</v>
      </c>
    </row>
    <row r="6679" spans="1:21" x14ac:dyDescent="0.2">
      <c r="A6679" s="3">
        <v>6678</v>
      </c>
      <c r="B6679" s="1" t="s">
        <v>4226</v>
      </c>
      <c r="D6679" s="1" t="s">
        <v>5412</v>
      </c>
      <c r="F6679" s="1" t="s">
        <v>5466</v>
      </c>
      <c r="H6679" s="1" t="s">
        <v>6729</v>
      </c>
      <c r="J6679" s="1" t="s">
        <v>7432</v>
      </c>
      <c r="L6679" s="1" t="s">
        <v>7500</v>
      </c>
      <c r="N6679" s="1" t="s">
        <v>7527</v>
      </c>
      <c r="P6679" s="1" t="s">
        <v>7532</v>
      </c>
      <c r="Q6679" s="30" t="s">
        <v>2567</v>
      </c>
      <c r="R6679" s="33" t="s">
        <v>3472</v>
      </c>
      <c r="S6679">
        <v>36</v>
      </c>
      <c r="T6679" s="1" t="s">
        <v>12971</v>
      </c>
      <c r="U6679" s="1" t="str">
        <f>HYPERLINK("http://ictvonline.org/taxonomy/p/taxonomy-history?taxnode_id=202111007","ICTVonline=202111007")</f>
        <v>ICTVonline=202111007</v>
      </c>
    </row>
    <row r="6680" spans="1:21" x14ac:dyDescent="0.2">
      <c r="A6680" s="3">
        <v>6679</v>
      </c>
      <c r="B6680" s="1" t="s">
        <v>4226</v>
      </c>
      <c r="D6680" s="1" t="s">
        <v>5412</v>
      </c>
      <c r="F6680" s="1" t="s">
        <v>5466</v>
      </c>
      <c r="H6680" s="1" t="s">
        <v>6729</v>
      </c>
      <c r="J6680" s="1" t="s">
        <v>7432</v>
      </c>
      <c r="L6680" s="1" t="s">
        <v>7500</v>
      </c>
      <c r="N6680" s="1" t="s">
        <v>7527</v>
      </c>
      <c r="P6680" s="1" t="s">
        <v>7533</v>
      </c>
      <c r="Q6680" s="30" t="s">
        <v>2567</v>
      </c>
      <c r="R6680" s="33" t="s">
        <v>3472</v>
      </c>
      <c r="S6680">
        <v>36</v>
      </c>
      <c r="T6680" s="1" t="s">
        <v>12971</v>
      </c>
      <c r="U6680" s="1" t="str">
        <f>HYPERLINK("http://ictvonline.org/taxonomy/p/taxonomy-history?taxnode_id=202111012","ICTVonline=202111012")</f>
        <v>ICTVonline=202111012</v>
      </c>
    </row>
    <row r="6681" spans="1:21" x14ac:dyDescent="0.2">
      <c r="A6681" s="3">
        <v>6680</v>
      </c>
      <c r="B6681" s="1" t="s">
        <v>4226</v>
      </c>
      <c r="D6681" s="1" t="s">
        <v>5412</v>
      </c>
      <c r="F6681" s="1" t="s">
        <v>5466</v>
      </c>
      <c r="H6681" s="1" t="s">
        <v>6729</v>
      </c>
      <c r="J6681" s="1" t="s">
        <v>7432</v>
      </c>
      <c r="L6681" s="1" t="s">
        <v>7500</v>
      </c>
      <c r="N6681" s="1" t="s">
        <v>7527</v>
      </c>
      <c r="P6681" s="1" t="s">
        <v>7534</v>
      </c>
      <c r="Q6681" s="30" t="s">
        <v>2567</v>
      </c>
      <c r="R6681" s="33" t="s">
        <v>3472</v>
      </c>
      <c r="S6681">
        <v>36</v>
      </c>
      <c r="T6681" s="1" t="s">
        <v>12971</v>
      </c>
      <c r="U6681" s="1" t="str">
        <f>HYPERLINK("http://ictvonline.org/taxonomy/p/taxonomy-history?taxnode_id=202111013","ICTVonline=202111013")</f>
        <v>ICTVonline=202111013</v>
      </c>
    </row>
    <row r="6682" spans="1:21" x14ac:dyDescent="0.2">
      <c r="A6682" s="3">
        <v>6681</v>
      </c>
      <c r="B6682" s="1" t="s">
        <v>4226</v>
      </c>
      <c r="D6682" s="1" t="s">
        <v>5412</v>
      </c>
      <c r="F6682" s="1" t="s">
        <v>5466</v>
      </c>
      <c r="H6682" s="1" t="s">
        <v>6729</v>
      </c>
      <c r="J6682" s="1" t="s">
        <v>7432</v>
      </c>
      <c r="L6682" s="1" t="s">
        <v>7500</v>
      </c>
      <c r="N6682" s="1" t="s">
        <v>7527</v>
      </c>
      <c r="P6682" s="1" t="s">
        <v>7535</v>
      </c>
      <c r="Q6682" s="30" t="s">
        <v>2567</v>
      </c>
      <c r="R6682" s="33" t="s">
        <v>3472</v>
      </c>
      <c r="S6682">
        <v>36</v>
      </c>
      <c r="T6682" s="1" t="s">
        <v>12971</v>
      </c>
      <c r="U6682" s="1" t="str">
        <f>HYPERLINK("http://ictvonline.org/taxonomy/p/taxonomy-history?taxnode_id=202111014","ICTVonline=202111014")</f>
        <v>ICTVonline=202111014</v>
      </c>
    </row>
    <row r="6683" spans="1:21" x14ac:dyDescent="0.2">
      <c r="A6683" s="3">
        <v>6682</v>
      </c>
      <c r="B6683" s="1" t="s">
        <v>4226</v>
      </c>
      <c r="D6683" s="1" t="s">
        <v>5412</v>
      </c>
      <c r="F6683" s="1" t="s">
        <v>5466</v>
      </c>
      <c r="H6683" s="1" t="s">
        <v>6729</v>
      </c>
      <c r="J6683" s="1" t="s">
        <v>7432</v>
      </c>
      <c r="L6683" s="1" t="s">
        <v>7500</v>
      </c>
      <c r="N6683" s="1" t="s">
        <v>7527</v>
      </c>
      <c r="P6683" s="1" t="s">
        <v>7536</v>
      </c>
      <c r="Q6683" s="30" t="s">
        <v>2567</v>
      </c>
      <c r="R6683" s="33" t="s">
        <v>3472</v>
      </c>
      <c r="S6683">
        <v>36</v>
      </c>
      <c r="T6683" s="1" t="s">
        <v>12971</v>
      </c>
      <c r="U6683" s="1" t="str">
        <f>HYPERLINK("http://ictvonline.org/taxonomy/p/taxonomy-history?taxnode_id=202111015","ICTVonline=202111015")</f>
        <v>ICTVonline=202111015</v>
      </c>
    </row>
    <row r="6684" spans="1:21" x14ac:dyDescent="0.2">
      <c r="A6684" s="3">
        <v>6683</v>
      </c>
      <c r="B6684" s="1" t="s">
        <v>4226</v>
      </c>
      <c r="D6684" s="1" t="s">
        <v>5412</v>
      </c>
      <c r="F6684" s="1" t="s">
        <v>5466</v>
      </c>
      <c r="H6684" s="1" t="s">
        <v>6729</v>
      </c>
      <c r="J6684" s="1" t="s">
        <v>7432</v>
      </c>
      <c r="L6684" s="1" t="s">
        <v>7500</v>
      </c>
      <c r="N6684" s="1" t="s">
        <v>7527</v>
      </c>
      <c r="P6684" s="1" t="s">
        <v>7537</v>
      </c>
      <c r="Q6684" s="30" t="s">
        <v>2567</v>
      </c>
      <c r="R6684" s="33" t="s">
        <v>3472</v>
      </c>
      <c r="S6684">
        <v>36</v>
      </c>
      <c r="T6684" s="1" t="s">
        <v>12971</v>
      </c>
      <c r="U6684" s="1" t="str">
        <f>HYPERLINK("http://ictvonline.org/taxonomy/p/taxonomy-history?taxnode_id=202111016","ICTVonline=202111016")</f>
        <v>ICTVonline=202111016</v>
      </c>
    </row>
    <row r="6685" spans="1:21" x14ac:dyDescent="0.2">
      <c r="A6685" s="3">
        <v>6684</v>
      </c>
      <c r="B6685" s="1" t="s">
        <v>4226</v>
      </c>
      <c r="D6685" s="1" t="s">
        <v>5412</v>
      </c>
      <c r="F6685" s="1" t="s">
        <v>5466</v>
      </c>
      <c r="H6685" s="1" t="s">
        <v>6729</v>
      </c>
      <c r="J6685" s="1" t="s">
        <v>7432</v>
      </c>
      <c r="L6685" s="1" t="s">
        <v>7500</v>
      </c>
      <c r="N6685" s="1" t="s">
        <v>7538</v>
      </c>
      <c r="P6685" s="1" t="s">
        <v>7539</v>
      </c>
      <c r="Q6685" s="30" t="s">
        <v>2567</v>
      </c>
      <c r="R6685" s="33" t="s">
        <v>3472</v>
      </c>
      <c r="S6685">
        <v>36</v>
      </c>
      <c r="T6685" s="1" t="s">
        <v>12971</v>
      </c>
      <c r="U6685" s="1" t="str">
        <f>HYPERLINK("http://ictvonline.org/taxonomy/p/taxonomy-history?taxnode_id=202111018","ICTVonline=202111018")</f>
        <v>ICTVonline=202111018</v>
      </c>
    </row>
    <row r="6686" spans="1:21" x14ac:dyDescent="0.2">
      <c r="A6686" s="3">
        <v>6685</v>
      </c>
      <c r="B6686" s="1" t="s">
        <v>4226</v>
      </c>
      <c r="D6686" s="1" t="s">
        <v>5412</v>
      </c>
      <c r="F6686" s="1" t="s">
        <v>5466</v>
      </c>
      <c r="H6686" s="1" t="s">
        <v>6729</v>
      </c>
      <c r="J6686" s="1" t="s">
        <v>7432</v>
      </c>
      <c r="L6686" s="1" t="s">
        <v>7500</v>
      </c>
      <c r="N6686" s="1" t="s">
        <v>7538</v>
      </c>
      <c r="P6686" s="1" t="s">
        <v>7540</v>
      </c>
      <c r="Q6686" s="30" t="s">
        <v>2567</v>
      </c>
      <c r="R6686" s="33" t="s">
        <v>3472</v>
      </c>
      <c r="S6686">
        <v>36</v>
      </c>
      <c r="T6686" s="1" t="s">
        <v>12971</v>
      </c>
      <c r="U6686" s="1" t="str">
        <f>HYPERLINK("http://ictvonline.org/taxonomy/p/taxonomy-history?taxnode_id=202111019","ICTVonline=202111019")</f>
        <v>ICTVonline=202111019</v>
      </c>
    </row>
    <row r="6687" spans="1:21" x14ac:dyDescent="0.2">
      <c r="A6687" s="3">
        <v>6686</v>
      </c>
      <c r="B6687" s="1" t="s">
        <v>4226</v>
      </c>
      <c r="D6687" s="1" t="s">
        <v>5412</v>
      </c>
      <c r="F6687" s="1" t="s">
        <v>5466</v>
      </c>
      <c r="H6687" s="1" t="s">
        <v>6729</v>
      </c>
      <c r="J6687" s="1" t="s">
        <v>7432</v>
      </c>
      <c r="L6687" s="1" t="s">
        <v>7500</v>
      </c>
      <c r="N6687" s="1" t="s">
        <v>7541</v>
      </c>
      <c r="P6687" s="1" t="s">
        <v>7542</v>
      </c>
      <c r="Q6687" s="30" t="s">
        <v>2567</v>
      </c>
      <c r="R6687" s="33" t="s">
        <v>3472</v>
      </c>
      <c r="S6687">
        <v>36</v>
      </c>
      <c r="T6687" s="1" t="s">
        <v>12971</v>
      </c>
      <c r="U6687" s="1" t="str">
        <f>HYPERLINK("http://ictvonline.org/taxonomy/p/taxonomy-history?taxnode_id=202111021","ICTVonline=202111021")</f>
        <v>ICTVonline=202111021</v>
      </c>
    </row>
    <row r="6688" spans="1:21" x14ac:dyDescent="0.2">
      <c r="A6688" s="3">
        <v>6687</v>
      </c>
      <c r="B6688" s="1" t="s">
        <v>4226</v>
      </c>
      <c r="D6688" s="1" t="s">
        <v>5412</v>
      </c>
      <c r="F6688" s="1" t="s">
        <v>5466</v>
      </c>
      <c r="H6688" s="1" t="s">
        <v>6729</v>
      </c>
      <c r="J6688" s="1" t="s">
        <v>7432</v>
      </c>
      <c r="L6688" s="1" t="s">
        <v>7500</v>
      </c>
      <c r="N6688" s="1" t="s">
        <v>7543</v>
      </c>
      <c r="P6688" s="1" t="s">
        <v>7544</v>
      </c>
      <c r="Q6688" s="30" t="s">
        <v>2567</v>
      </c>
      <c r="R6688" s="33" t="s">
        <v>3472</v>
      </c>
      <c r="S6688">
        <v>36</v>
      </c>
      <c r="T6688" s="1" t="s">
        <v>12971</v>
      </c>
      <c r="U6688" s="1" t="str">
        <f>HYPERLINK("http://ictvonline.org/taxonomy/p/taxonomy-history?taxnode_id=202111032","ICTVonline=202111032")</f>
        <v>ICTVonline=202111032</v>
      </c>
    </row>
    <row r="6689" spans="1:21" x14ac:dyDescent="0.2">
      <c r="A6689" s="3">
        <v>6688</v>
      </c>
      <c r="B6689" s="1" t="s">
        <v>4226</v>
      </c>
      <c r="D6689" s="1" t="s">
        <v>5412</v>
      </c>
      <c r="F6689" s="1" t="s">
        <v>5466</v>
      </c>
      <c r="H6689" s="1" t="s">
        <v>6729</v>
      </c>
      <c r="J6689" s="1" t="s">
        <v>7432</v>
      </c>
      <c r="L6689" s="1" t="s">
        <v>7500</v>
      </c>
      <c r="N6689" s="1" t="s">
        <v>7543</v>
      </c>
      <c r="P6689" s="1" t="s">
        <v>7545</v>
      </c>
      <c r="Q6689" s="30" t="s">
        <v>2567</v>
      </c>
      <c r="R6689" s="33" t="s">
        <v>3472</v>
      </c>
      <c r="S6689">
        <v>36</v>
      </c>
      <c r="T6689" s="1" t="s">
        <v>12971</v>
      </c>
      <c r="U6689" s="1" t="str">
        <f>HYPERLINK("http://ictvonline.org/taxonomy/p/taxonomy-history?taxnode_id=202111034","ICTVonline=202111034")</f>
        <v>ICTVonline=202111034</v>
      </c>
    </row>
    <row r="6690" spans="1:21" x14ac:dyDescent="0.2">
      <c r="A6690" s="3">
        <v>6689</v>
      </c>
      <c r="B6690" s="1" t="s">
        <v>4226</v>
      </c>
      <c r="D6690" s="1" t="s">
        <v>5412</v>
      </c>
      <c r="F6690" s="1" t="s">
        <v>5466</v>
      </c>
      <c r="H6690" s="1" t="s">
        <v>6729</v>
      </c>
      <c r="J6690" s="1" t="s">
        <v>7432</v>
      </c>
      <c r="L6690" s="1" t="s">
        <v>7500</v>
      </c>
      <c r="N6690" s="1" t="s">
        <v>7543</v>
      </c>
      <c r="P6690" s="1" t="s">
        <v>7546</v>
      </c>
      <c r="Q6690" s="30" t="s">
        <v>2567</v>
      </c>
      <c r="R6690" s="33" t="s">
        <v>3472</v>
      </c>
      <c r="S6690">
        <v>36</v>
      </c>
      <c r="T6690" s="1" t="s">
        <v>12971</v>
      </c>
      <c r="U6690" s="1" t="str">
        <f>HYPERLINK("http://ictvonline.org/taxonomy/p/taxonomy-history?taxnode_id=202111033","ICTVonline=202111033")</f>
        <v>ICTVonline=202111033</v>
      </c>
    </row>
    <row r="6691" spans="1:21" x14ac:dyDescent="0.2">
      <c r="A6691" s="3">
        <v>6690</v>
      </c>
      <c r="B6691" s="1" t="s">
        <v>4226</v>
      </c>
      <c r="D6691" s="1" t="s">
        <v>5412</v>
      </c>
      <c r="F6691" s="1" t="s">
        <v>5466</v>
      </c>
      <c r="H6691" s="1" t="s">
        <v>6729</v>
      </c>
      <c r="J6691" s="1" t="s">
        <v>7432</v>
      </c>
      <c r="L6691" s="1" t="s">
        <v>7500</v>
      </c>
      <c r="N6691" s="1" t="s">
        <v>7543</v>
      </c>
      <c r="P6691" s="1" t="s">
        <v>7547</v>
      </c>
      <c r="Q6691" s="30" t="s">
        <v>2567</v>
      </c>
      <c r="R6691" s="33" t="s">
        <v>3472</v>
      </c>
      <c r="S6691">
        <v>36</v>
      </c>
      <c r="T6691" s="1" t="s">
        <v>12971</v>
      </c>
      <c r="U6691" s="1" t="str">
        <f>HYPERLINK("http://ictvonline.org/taxonomy/p/taxonomy-history?taxnode_id=202111035","ICTVonline=202111035")</f>
        <v>ICTVonline=202111035</v>
      </c>
    </row>
    <row r="6692" spans="1:21" x14ac:dyDescent="0.2">
      <c r="A6692" s="3">
        <v>6691</v>
      </c>
      <c r="B6692" s="1" t="s">
        <v>4226</v>
      </c>
      <c r="D6692" s="1" t="s">
        <v>5412</v>
      </c>
      <c r="F6692" s="1" t="s">
        <v>5466</v>
      </c>
      <c r="H6692" s="1" t="s">
        <v>6729</v>
      </c>
      <c r="J6692" s="1" t="s">
        <v>7432</v>
      </c>
      <c r="L6692" s="1" t="s">
        <v>7500</v>
      </c>
      <c r="N6692" s="1" t="s">
        <v>7543</v>
      </c>
      <c r="P6692" s="1" t="s">
        <v>7548</v>
      </c>
      <c r="Q6692" s="30" t="s">
        <v>2567</v>
      </c>
      <c r="R6692" s="33" t="s">
        <v>3472</v>
      </c>
      <c r="S6692">
        <v>36</v>
      </c>
      <c r="T6692" s="1" t="s">
        <v>12971</v>
      </c>
      <c r="U6692" s="1" t="str">
        <f>HYPERLINK("http://ictvonline.org/taxonomy/p/taxonomy-history?taxnode_id=202111036","ICTVonline=202111036")</f>
        <v>ICTVonline=202111036</v>
      </c>
    </row>
    <row r="6693" spans="1:21" x14ac:dyDescent="0.2">
      <c r="A6693" s="3">
        <v>6692</v>
      </c>
      <c r="B6693" s="1" t="s">
        <v>4226</v>
      </c>
      <c r="D6693" s="1" t="s">
        <v>5412</v>
      </c>
      <c r="F6693" s="1" t="s">
        <v>5466</v>
      </c>
      <c r="H6693" s="1" t="s">
        <v>6729</v>
      </c>
      <c r="J6693" s="1" t="s">
        <v>7432</v>
      </c>
      <c r="L6693" s="1" t="s">
        <v>7500</v>
      </c>
      <c r="N6693" s="1" t="s">
        <v>7543</v>
      </c>
      <c r="P6693" s="1" t="s">
        <v>7549</v>
      </c>
      <c r="Q6693" s="30" t="s">
        <v>2567</v>
      </c>
      <c r="R6693" s="33" t="s">
        <v>3472</v>
      </c>
      <c r="S6693">
        <v>36</v>
      </c>
      <c r="T6693" s="1" t="s">
        <v>12971</v>
      </c>
      <c r="U6693" s="1" t="str">
        <f>HYPERLINK("http://ictvonline.org/taxonomy/p/taxonomy-history?taxnode_id=202111037","ICTVonline=202111037")</f>
        <v>ICTVonline=202111037</v>
      </c>
    </row>
    <row r="6694" spans="1:21" x14ac:dyDescent="0.2">
      <c r="A6694" s="3">
        <v>6693</v>
      </c>
      <c r="B6694" s="1" t="s">
        <v>4226</v>
      </c>
      <c r="D6694" s="1" t="s">
        <v>5412</v>
      </c>
      <c r="F6694" s="1" t="s">
        <v>5466</v>
      </c>
      <c r="H6694" s="1" t="s">
        <v>6729</v>
      </c>
      <c r="J6694" s="1" t="s">
        <v>7432</v>
      </c>
      <c r="L6694" s="1" t="s">
        <v>7500</v>
      </c>
      <c r="N6694" s="1" t="s">
        <v>7543</v>
      </c>
      <c r="P6694" s="1" t="s">
        <v>7550</v>
      </c>
      <c r="Q6694" s="30" t="s">
        <v>2567</v>
      </c>
      <c r="R6694" s="33" t="s">
        <v>3472</v>
      </c>
      <c r="S6694">
        <v>36</v>
      </c>
      <c r="T6694" s="1" t="s">
        <v>12971</v>
      </c>
      <c r="U6694" s="1" t="str">
        <f>HYPERLINK("http://ictvonline.org/taxonomy/p/taxonomy-history?taxnode_id=202111023","ICTVonline=202111023")</f>
        <v>ICTVonline=202111023</v>
      </c>
    </row>
    <row r="6695" spans="1:21" x14ac:dyDescent="0.2">
      <c r="A6695" s="3">
        <v>6694</v>
      </c>
      <c r="B6695" s="1" t="s">
        <v>4226</v>
      </c>
      <c r="D6695" s="1" t="s">
        <v>5412</v>
      </c>
      <c r="F6695" s="1" t="s">
        <v>5466</v>
      </c>
      <c r="H6695" s="1" t="s">
        <v>6729</v>
      </c>
      <c r="J6695" s="1" t="s">
        <v>7432</v>
      </c>
      <c r="L6695" s="1" t="s">
        <v>7500</v>
      </c>
      <c r="N6695" s="1" t="s">
        <v>7543</v>
      </c>
      <c r="P6695" s="1" t="s">
        <v>7551</v>
      </c>
      <c r="Q6695" s="30" t="s">
        <v>2567</v>
      </c>
      <c r="R6695" s="33" t="s">
        <v>3472</v>
      </c>
      <c r="S6695">
        <v>36</v>
      </c>
      <c r="T6695" s="1" t="s">
        <v>12971</v>
      </c>
      <c r="U6695" s="1" t="str">
        <f>HYPERLINK("http://ictvonline.org/taxonomy/p/taxonomy-history?taxnode_id=202111038","ICTVonline=202111038")</f>
        <v>ICTVonline=202111038</v>
      </c>
    </row>
    <row r="6696" spans="1:21" x14ac:dyDescent="0.2">
      <c r="A6696" s="3">
        <v>6695</v>
      </c>
      <c r="B6696" s="1" t="s">
        <v>4226</v>
      </c>
      <c r="D6696" s="1" t="s">
        <v>5412</v>
      </c>
      <c r="F6696" s="1" t="s">
        <v>5466</v>
      </c>
      <c r="H6696" s="1" t="s">
        <v>6729</v>
      </c>
      <c r="J6696" s="1" t="s">
        <v>7432</v>
      </c>
      <c r="L6696" s="1" t="s">
        <v>7500</v>
      </c>
      <c r="N6696" s="1" t="s">
        <v>7543</v>
      </c>
      <c r="P6696" s="1" t="s">
        <v>7552</v>
      </c>
      <c r="Q6696" s="30" t="s">
        <v>2567</v>
      </c>
      <c r="R6696" s="33" t="s">
        <v>3472</v>
      </c>
      <c r="S6696">
        <v>36</v>
      </c>
      <c r="T6696" s="1" t="s">
        <v>12971</v>
      </c>
      <c r="U6696" s="1" t="str">
        <f>HYPERLINK("http://ictvonline.org/taxonomy/p/taxonomy-history?taxnode_id=202111039","ICTVonline=202111039")</f>
        <v>ICTVonline=202111039</v>
      </c>
    </row>
    <row r="6697" spans="1:21" x14ac:dyDescent="0.2">
      <c r="A6697" s="3">
        <v>6696</v>
      </c>
      <c r="B6697" s="1" t="s">
        <v>4226</v>
      </c>
      <c r="D6697" s="1" t="s">
        <v>5412</v>
      </c>
      <c r="F6697" s="1" t="s">
        <v>5466</v>
      </c>
      <c r="H6697" s="1" t="s">
        <v>6729</v>
      </c>
      <c r="J6697" s="1" t="s">
        <v>7432</v>
      </c>
      <c r="L6697" s="1" t="s">
        <v>7500</v>
      </c>
      <c r="N6697" s="1" t="s">
        <v>7543</v>
      </c>
      <c r="P6697" s="1" t="s">
        <v>7553</v>
      </c>
      <c r="Q6697" s="30" t="s">
        <v>2567</v>
      </c>
      <c r="R6697" s="33" t="s">
        <v>3472</v>
      </c>
      <c r="S6697">
        <v>36</v>
      </c>
      <c r="T6697" s="1" t="s">
        <v>12971</v>
      </c>
      <c r="U6697" s="1" t="str">
        <f>HYPERLINK("http://ictvonline.org/taxonomy/p/taxonomy-history?taxnode_id=202111040","ICTVonline=202111040")</f>
        <v>ICTVonline=202111040</v>
      </c>
    </row>
    <row r="6698" spans="1:21" x14ac:dyDescent="0.2">
      <c r="A6698" s="3">
        <v>6697</v>
      </c>
      <c r="B6698" s="1" t="s">
        <v>4226</v>
      </c>
      <c r="D6698" s="1" t="s">
        <v>5412</v>
      </c>
      <c r="F6698" s="1" t="s">
        <v>5466</v>
      </c>
      <c r="H6698" s="1" t="s">
        <v>6729</v>
      </c>
      <c r="J6698" s="1" t="s">
        <v>7432</v>
      </c>
      <c r="L6698" s="1" t="s">
        <v>7500</v>
      </c>
      <c r="N6698" s="1" t="s">
        <v>7543</v>
      </c>
      <c r="P6698" s="1" t="s">
        <v>7554</v>
      </c>
      <c r="Q6698" s="30" t="s">
        <v>2567</v>
      </c>
      <c r="R6698" s="33" t="s">
        <v>3472</v>
      </c>
      <c r="S6698">
        <v>36</v>
      </c>
      <c r="T6698" s="1" t="s">
        <v>12971</v>
      </c>
      <c r="U6698" s="1" t="str">
        <f>HYPERLINK("http://ictvonline.org/taxonomy/p/taxonomy-history?taxnode_id=202111041","ICTVonline=202111041")</f>
        <v>ICTVonline=202111041</v>
      </c>
    </row>
    <row r="6699" spans="1:21" x14ac:dyDescent="0.2">
      <c r="A6699" s="3">
        <v>6698</v>
      </c>
      <c r="B6699" s="1" t="s">
        <v>4226</v>
      </c>
      <c r="D6699" s="1" t="s">
        <v>5412</v>
      </c>
      <c r="F6699" s="1" t="s">
        <v>5466</v>
      </c>
      <c r="H6699" s="1" t="s">
        <v>6729</v>
      </c>
      <c r="J6699" s="1" t="s">
        <v>7432</v>
      </c>
      <c r="L6699" s="1" t="s">
        <v>7500</v>
      </c>
      <c r="N6699" s="1" t="s">
        <v>7543</v>
      </c>
      <c r="P6699" s="1" t="s">
        <v>7555</v>
      </c>
      <c r="Q6699" s="30" t="s">
        <v>2567</v>
      </c>
      <c r="R6699" s="33" t="s">
        <v>3472</v>
      </c>
      <c r="S6699">
        <v>36</v>
      </c>
      <c r="T6699" s="1" t="s">
        <v>12971</v>
      </c>
      <c r="U6699" s="1" t="str">
        <f>HYPERLINK("http://ictvonline.org/taxonomy/p/taxonomy-history?taxnode_id=202111042","ICTVonline=202111042")</f>
        <v>ICTVonline=202111042</v>
      </c>
    </row>
    <row r="6700" spans="1:21" x14ac:dyDescent="0.2">
      <c r="A6700" s="3">
        <v>6699</v>
      </c>
      <c r="B6700" s="1" t="s">
        <v>4226</v>
      </c>
      <c r="D6700" s="1" t="s">
        <v>5412</v>
      </c>
      <c r="F6700" s="1" t="s">
        <v>5466</v>
      </c>
      <c r="H6700" s="1" t="s">
        <v>6729</v>
      </c>
      <c r="J6700" s="1" t="s">
        <v>7432</v>
      </c>
      <c r="L6700" s="1" t="s">
        <v>7500</v>
      </c>
      <c r="N6700" s="1" t="s">
        <v>7543</v>
      </c>
      <c r="P6700" s="1" t="s">
        <v>7556</v>
      </c>
      <c r="Q6700" s="30" t="s">
        <v>2567</v>
      </c>
      <c r="R6700" s="33" t="s">
        <v>3472</v>
      </c>
      <c r="S6700">
        <v>36</v>
      </c>
      <c r="T6700" s="1" t="s">
        <v>12971</v>
      </c>
      <c r="U6700" s="1" t="str">
        <f>HYPERLINK("http://ictvonline.org/taxonomy/p/taxonomy-history?taxnode_id=202111043","ICTVonline=202111043")</f>
        <v>ICTVonline=202111043</v>
      </c>
    </row>
    <row r="6701" spans="1:21" x14ac:dyDescent="0.2">
      <c r="A6701" s="3">
        <v>6700</v>
      </c>
      <c r="B6701" s="1" t="s">
        <v>4226</v>
      </c>
      <c r="D6701" s="1" t="s">
        <v>5412</v>
      </c>
      <c r="F6701" s="1" t="s">
        <v>5466</v>
      </c>
      <c r="H6701" s="1" t="s">
        <v>6729</v>
      </c>
      <c r="J6701" s="1" t="s">
        <v>7432</v>
      </c>
      <c r="L6701" s="1" t="s">
        <v>7500</v>
      </c>
      <c r="N6701" s="1" t="s">
        <v>7543</v>
      </c>
      <c r="P6701" s="1" t="s">
        <v>7557</v>
      </c>
      <c r="Q6701" s="30" t="s">
        <v>2567</v>
      </c>
      <c r="R6701" s="33" t="s">
        <v>3472</v>
      </c>
      <c r="S6701">
        <v>36</v>
      </c>
      <c r="T6701" s="1" t="s">
        <v>12971</v>
      </c>
      <c r="U6701" s="1" t="str">
        <f>HYPERLINK("http://ictvonline.org/taxonomy/p/taxonomy-history?taxnode_id=202111048","ICTVonline=202111048")</f>
        <v>ICTVonline=202111048</v>
      </c>
    </row>
    <row r="6702" spans="1:21" x14ac:dyDescent="0.2">
      <c r="A6702" s="3">
        <v>6701</v>
      </c>
      <c r="B6702" s="1" t="s">
        <v>4226</v>
      </c>
      <c r="D6702" s="1" t="s">
        <v>5412</v>
      </c>
      <c r="F6702" s="1" t="s">
        <v>5466</v>
      </c>
      <c r="H6702" s="1" t="s">
        <v>6729</v>
      </c>
      <c r="J6702" s="1" t="s">
        <v>7432</v>
      </c>
      <c r="L6702" s="1" t="s">
        <v>7500</v>
      </c>
      <c r="N6702" s="1" t="s">
        <v>7543</v>
      </c>
      <c r="P6702" s="1" t="s">
        <v>7558</v>
      </c>
      <c r="Q6702" s="30" t="s">
        <v>2567</v>
      </c>
      <c r="R6702" s="33" t="s">
        <v>3472</v>
      </c>
      <c r="S6702">
        <v>36</v>
      </c>
      <c r="T6702" s="1" t="s">
        <v>12971</v>
      </c>
      <c r="U6702" s="1" t="str">
        <f>HYPERLINK("http://ictvonline.org/taxonomy/p/taxonomy-history?taxnode_id=202111049","ICTVonline=202111049")</f>
        <v>ICTVonline=202111049</v>
      </c>
    </row>
    <row r="6703" spans="1:21" x14ac:dyDescent="0.2">
      <c r="A6703" s="3">
        <v>6702</v>
      </c>
      <c r="B6703" s="1" t="s">
        <v>4226</v>
      </c>
      <c r="D6703" s="1" t="s">
        <v>5412</v>
      </c>
      <c r="F6703" s="1" t="s">
        <v>5466</v>
      </c>
      <c r="H6703" s="1" t="s">
        <v>6729</v>
      </c>
      <c r="J6703" s="1" t="s">
        <v>7432</v>
      </c>
      <c r="L6703" s="1" t="s">
        <v>7500</v>
      </c>
      <c r="N6703" s="1" t="s">
        <v>7543</v>
      </c>
      <c r="P6703" s="1" t="s">
        <v>7559</v>
      </c>
      <c r="Q6703" s="30" t="s">
        <v>2567</v>
      </c>
      <c r="R6703" s="33" t="s">
        <v>3472</v>
      </c>
      <c r="S6703">
        <v>36</v>
      </c>
      <c r="T6703" s="1" t="s">
        <v>12971</v>
      </c>
      <c r="U6703" s="1" t="str">
        <f>HYPERLINK("http://ictvonline.org/taxonomy/p/taxonomy-history?taxnode_id=202111050","ICTVonline=202111050")</f>
        <v>ICTVonline=202111050</v>
      </c>
    </row>
    <row r="6704" spans="1:21" x14ac:dyDescent="0.2">
      <c r="A6704" s="3">
        <v>6703</v>
      </c>
      <c r="B6704" s="1" t="s">
        <v>4226</v>
      </c>
      <c r="D6704" s="1" t="s">
        <v>5412</v>
      </c>
      <c r="F6704" s="1" t="s">
        <v>5466</v>
      </c>
      <c r="H6704" s="1" t="s">
        <v>6729</v>
      </c>
      <c r="J6704" s="1" t="s">
        <v>7432</v>
      </c>
      <c r="L6704" s="1" t="s">
        <v>7500</v>
      </c>
      <c r="N6704" s="1" t="s">
        <v>7543</v>
      </c>
      <c r="P6704" s="1" t="s">
        <v>7560</v>
      </c>
      <c r="Q6704" s="30" t="s">
        <v>2567</v>
      </c>
      <c r="R6704" s="33" t="s">
        <v>3472</v>
      </c>
      <c r="S6704">
        <v>36</v>
      </c>
      <c r="T6704" s="1" t="s">
        <v>12971</v>
      </c>
      <c r="U6704" s="1" t="str">
        <f>HYPERLINK("http://ictvonline.org/taxonomy/p/taxonomy-history?taxnode_id=202111024","ICTVonline=202111024")</f>
        <v>ICTVonline=202111024</v>
      </c>
    </row>
    <row r="6705" spans="1:21" x14ac:dyDescent="0.2">
      <c r="A6705" s="3">
        <v>6704</v>
      </c>
      <c r="B6705" s="1" t="s">
        <v>4226</v>
      </c>
      <c r="D6705" s="1" t="s">
        <v>5412</v>
      </c>
      <c r="F6705" s="1" t="s">
        <v>5466</v>
      </c>
      <c r="H6705" s="1" t="s">
        <v>6729</v>
      </c>
      <c r="J6705" s="1" t="s">
        <v>7432</v>
      </c>
      <c r="L6705" s="1" t="s">
        <v>7500</v>
      </c>
      <c r="N6705" s="1" t="s">
        <v>7543</v>
      </c>
      <c r="P6705" s="1" t="s">
        <v>7561</v>
      </c>
      <c r="Q6705" s="30" t="s">
        <v>2567</v>
      </c>
      <c r="R6705" s="33" t="s">
        <v>3472</v>
      </c>
      <c r="S6705">
        <v>36</v>
      </c>
      <c r="T6705" s="1" t="s">
        <v>12971</v>
      </c>
      <c r="U6705" s="1" t="str">
        <f>HYPERLINK("http://ictvonline.org/taxonomy/p/taxonomy-history?taxnode_id=202111025","ICTVonline=202111025")</f>
        <v>ICTVonline=202111025</v>
      </c>
    </row>
    <row r="6706" spans="1:21" x14ac:dyDescent="0.2">
      <c r="A6706" s="3">
        <v>6705</v>
      </c>
      <c r="B6706" s="1" t="s">
        <v>4226</v>
      </c>
      <c r="D6706" s="1" t="s">
        <v>5412</v>
      </c>
      <c r="F6706" s="1" t="s">
        <v>5466</v>
      </c>
      <c r="H6706" s="1" t="s">
        <v>6729</v>
      </c>
      <c r="J6706" s="1" t="s">
        <v>7432</v>
      </c>
      <c r="L6706" s="1" t="s">
        <v>7500</v>
      </c>
      <c r="N6706" s="1" t="s">
        <v>7543</v>
      </c>
      <c r="P6706" s="1" t="s">
        <v>7562</v>
      </c>
      <c r="Q6706" s="30" t="s">
        <v>2567</v>
      </c>
      <c r="R6706" s="33" t="s">
        <v>3472</v>
      </c>
      <c r="S6706">
        <v>36</v>
      </c>
      <c r="T6706" s="1" t="s">
        <v>12971</v>
      </c>
      <c r="U6706" s="1" t="str">
        <f>HYPERLINK("http://ictvonline.org/taxonomy/p/taxonomy-history?taxnode_id=202111026","ICTVonline=202111026")</f>
        <v>ICTVonline=202111026</v>
      </c>
    </row>
    <row r="6707" spans="1:21" x14ac:dyDescent="0.2">
      <c r="A6707" s="3">
        <v>6706</v>
      </c>
      <c r="B6707" s="1" t="s">
        <v>4226</v>
      </c>
      <c r="D6707" s="1" t="s">
        <v>5412</v>
      </c>
      <c r="F6707" s="1" t="s">
        <v>5466</v>
      </c>
      <c r="H6707" s="1" t="s">
        <v>6729</v>
      </c>
      <c r="J6707" s="1" t="s">
        <v>7432</v>
      </c>
      <c r="L6707" s="1" t="s">
        <v>7500</v>
      </c>
      <c r="N6707" s="1" t="s">
        <v>7543</v>
      </c>
      <c r="P6707" s="1" t="s">
        <v>7563</v>
      </c>
      <c r="Q6707" s="30" t="s">
        <v>2567</v>
      </c>
      <c r="R6707" s="33" t="s">
        <v>3472</v>
      </c>
      <c r="S6707">
        <v>36</v>
      </c>
      <c r="T6707" s="1" t="s">
        <v>12971</v>
      </c>
      <c r="U6707" s="1" t="str">
        <f>HYPERLINK("http://ictvonline.org/taxonomy/p/taxonomy-history?taxnode_id=202111028","ICTVonline=202111028")</f>
        <v>ICTVonline=202111028</v>
      </c>
    </row>
    <row r="6708" spans="1:21" x14ac:dyDescent="0.2">
      <c r="A6708" s="3">
        <v>6707</v>
      </c>
      <c r="B6708" s="1" t="s">
        <v>4226</v>
      </c>
      <c r="D6708" s="1" t="s">
        <v>5412</v>
      </c>
      <c r="F6708" s="1" t="s">
        <v>5466</v>
      </c>
      <c r="H6708" s="1" t="s">
        <v>6729</v>
      </c>
      <c r="J6708" s="1" t="s">
        <v>7432</v>
      </c>
      <c r="L6708" s="1" t="s">
        <v>7500</v>
      </c>
      <c r="N6708" s="1" t="s">
        <v>7543</v>
      </c>
      <c r="P6708" s="1" t="s">
        <v>7564</v>
      </c>
      <c r="Q6708" s="30" t="s">
        <v>2567</v>
      </c>
      <c r="R6708" s="33" t="s">
        <v>3472</v>
      </c>
      <c r="S6708">
        <v>36</v>
      </c>
      <c r="T6708" s="1" t="s">
        <v>12971</v>
      </c>
      <c r="U6708" s="1" t="str">
        <f>HYPERLINK("http://ictvonline.org/taxonomy/p/taxonomy-history?taxnode_id=202111027","ICTVonline=202111027")</f>
        <v>ICTVonline=202111027</v>
      </c>
    </row>
    <row r="6709" spans="1:21" x14ac:dyDescent="0.2">
      <c r="A6709" s="3">
        <v>6708</v>
      </c>
      <c r="B6709" s="1" t="s">
        <v>4226</v>
      </c>
      <c r="D6709" s="1" t="s">
        <v>5412</v>
      </c>
      <c r="F6709" s="1" t="s">
        <v>5466</v>
      </c>
      <c r="H6709" s="1" t="s">
        <v>6729</v>
      </c>
      <c r="J6709" s="1" t="s">
        <v>7432</v>
      </c>
      <c r="L6709" s="1" t="s">
        <v>7500</v>
      </c>
      <c r="N6709" s="1" t="s">
        <v>7543</v>
      </c>
      <c r="P6709" s="1" t="s">
        <v>7565</v>
      </c>
      <c r="Q6709" s="30" t="s">
        <v>2567</v>
      </c>
      <c r="R6709" s="33" t="s">
        <v>3472</v>
      </c>
      <c r="S6709">
        <v>36</v>
      </c>
      <c r="T6709" s="1" t="s">
        <v>12971</v>
      </c>
      <c r="U6709" s="1" t="str">
        <f>HYPERLINK("http://ictvonline.org/taxonomy/p/taxonomy-history?taxnode_id=202111029","ICTVonline=202111029")</f>
        <v>ICTVonline=202111029</v>
      </c>
    </row>
    <row r="6710" spans="1:21" x14ac:dyDescent="0.2">
      <c r="A6710" s="3">
        <v>6709</v>
      </c>
      <c r="B6710" s="1" t="s">
        <v>4226</v>
      </c>
      <c r="D6710" s="1" t="s">
        <v>5412</v>
      </c>
      <c r="F6710" s="1" t="s">
        <v>5466</v>
      </c>
      <c r="H6710" s="1" t="s">
        <v>6729</v>
      </c>
      <c r="J6710" s="1" t="s">
        <v>7432</v>
      </c>
      <c r="L6710" s="1" t="s">
        <v>7500</v>
      </c>
      <c r="N6710" s="1" t="s">
        <v>7543</v>
      </c>
      <c r="P6710" s="1" t="s">
        <v>7566</v>
      </c>
      <c r="Q6710" s="30" t="s">
        <v>2567</v>
      </c>
      <c r="R6710" s="33" t="s">
        <v>3472</v>
      </c>
      <c r="S6710">
        <v>36</v>
      </c>
      <c r="T6710" s="1" t="s">
        <v>12971</v>
      </c>
      <c r="U6710" s="1" t="str">
        <f>HYPERLINK("http://ictvonline.org/taxonomy/p/taxonomy-history?taxnode_id=202111030","ICTVonline=202111030")</f>
        <v>ICTVonline=202111030</v>
      </c>
    </row>
    <row r="6711" spans="1:21" x14ac:dyDescent="0.2">
      <c r="A6711" s="3">
        <v>6710</v>
      </c>
      <c r="B6711" s="1" t="s">
        <v>4226</v>
      </c>
      <c r="D6711" s="1" t="s">
        <v>5412</v>
      </c>
      <c r="F6711" s="1" t="s">
        <v>5466</v>
      </c>
      <c r="H6711" s="1" t="s">
        <v>6729</v>
      </c>
      <c r="J6711" s="1" t="s">
        <v>7432</v>
      </c>
      <c r="L6711" s="1" t="s">
        <v>7500</v>
      </c>
      <c r="N6711" s="1" t="s">
        <v>7543</v>
      </c>
      <c r="P6711" s="1" t="s">
        <v>7567</v>
      </c>
      <c r="Q6711" s="30" t="s">
        <v>2567</v>
      </c>
      <c r="R6711" s="33" t="s">
        <v>3472</v>
      </c>
      <c r="S6711">
        <v>36</v>
      </c>
      <c r="T6711" s="1" t="s">
        <v>12971</v>
      </c>
      <c r="U6711" s="1" t="str">
        <f>HYPERLINK("http://ictvonline.org/taxonomy/p/taxonomy-history?taxnode_id=202111031","ICTVonline=202111031")</f>
        <v>ICTVonline=202111031</v>
      </c>
    </row>
    <row r="6712" spans="1:21" x14ac:dyDescent="0.2">
      <c r="A6712" s="3">
        <v>6711</v>
      </c>
      <c r="B6712" s="1" t="s">
        <v>4226</v>
      </c>
      <c r="D6712" s="1" t="s">
        <v>5412</v>
      </c>
      <c r="F6712" s="1" t="s">
        <v>5466</v>
      </c>
      <c r="H6712" s="1" t="s">
        <v>6729</v>
      </c>
      <c r="J6712" s="1" t="s">
        <v>7432</v>
      </c>
      <c r="L6712" s="1" t="s">
        <v>7500</v>
      </c>
      <c r="N6712" s="1" t="s">
        <v>7543</v>
      </c>
      <c r="P6712" s="1" t="s">
        <v>7568</v>
      </c>
      <c r="Q6712" s="30" t="s">
        <v>2567</v>
      </c>
      <c r="R6712" s="33" t="s">
        <v>3472</v>
      </c>
      <c r="S6712">
        <v>36</v>
      </c>
      <c r="T6712" s="1" t="s">
        <v>12971</v>
      </c>
      <c r="U6712" s="1" t="str">
        <f>HYPERLINK("http://ictvonline.org/taxonomy/p/taxonomy-history?taxnode_id=202111044","ICTVonline=202111044")</f>
        <v>ICTVonline=202111044</v>
      </c>
    </row>
    <row r="6713" spans="1:21" x14ac:dyDescent="0.2">
      <c r="A6713" s="3">
        <v>6712</v>
      </c>
      <c r="B6713" s="1" t="s">
        <v>4226</v>
      </c>
      <c r="D6713" s="1" t="s">
        <v>5412</v>
      </c>
      <c r="F6713" s="1" t="s">
        <v>5466</v>
      </c>
      <c r="H6713" s="1" t="s">
        <v>6729</v>
      </c>
      <c r="J6713" s="1" t="s">
        <v>7432</v>
      </c>
      <c r="L6713" s="1" t="s">
        <v>7500</v>
      </c>
      <c r="N6713" s="1" t="s">
        <v>7543</v>
      </c>
      <c r="P6713" s="1" t="s">
        <v>7569</v>
      </c>
      <c r="Q6713" s="30" t="s">
        <v>2567</v>
      </c>
      <c r="R6713" s="33" t="s">
        <v>3472</v>
      </c>
      <c r="S6713">
        <v>36</v>
      </c>
      <c r="T6713" s="1" t="s">
        <v>12971</v>
      </c>
      <c r="U6713" s="1" t="str">
        <f>HYPERLINK("http://ictvonline.org/taxonomy/p/taxonomy-history?taxnode_id=202111046","ICTVonline=202111046")</f>
        <v>ICTVonline=202111046</v>
      </c>
    </row>
    <row r="6714" spans="1:21" x14ac:dyDescent="0.2">
      <c r="A6714" s="3">
        <v>6713</v>
      </c>
      <c r="B6714" s="1" t="s">
        <v>4226</v>
      </c>
      <c r="D6714" s="1" t="s">
        <v>5412</v>
      </c>
      <c r="F6714" s="1" t="s">
        <v>5466</v>
      </c>
      <c r="H6714" s="1" t="s">
        <v>6729</v>
      </c>
      <c r="J6714" s="1" t="s">
        <v>7432</v>
      </c>
      <c r="L6714" s="1" t="s">
        <v>7500</v>
      </c>
      <c r="N6714" s="1" t="s">
        <v>7543</v>
      </c>
      <c r="P6714" s="1" t="s">
        <v>7570</v>
      </c>
      <c r="Q6714" s="30" t="s">
        <v>2567</v>
      </c>
      <c r="R6714" s="33" t="s">
        <v>3472</v>
      </c>
      <c r="S6714">
        <v>36</v>
      </c>
      <c r="T6714" s="1" t="s">
        <v>12971</v>
      </c>
      <c r="U6714" s="1" t="str">
        <f>HYPERLINK("http://ictvonline.org/taxonomy/p/taxonomy-history?taxnode_id=202111045","ICTVonline=202111045")</f>
        <v>ICTVonline=202111045</v>
      </c>
    </row>
    <row r="6715" spans="1:21" x14ac:dyDescent="0.2">
      <c r="A6715" s="3">
        <v>6714</v>
      </c>
      <c r="B6715" s="1" t="s">
        <v>4226</v>
      </c>
      <c r="D6715" s="1" t="s">
        <v>5412</v>
      </c>
      <c r="F6715" s="1" t="s">
        <v>5466</v>
      </c>
      <c r="H6715" s="1" t="s">
        <v>6729</v>
      </c>
      <c r="J6715" s="1" t="s">
        <v>7432</v>
      </c>
      <c r="L6715" s="1" t="s">
        <v>7500</v>
      </c>
      <c r="N6715" s="1" t="s">
        <v>7543</v>
      </c>
      <c r="P6715" s="1" t="s">
        <v>7571</v>
      </c>
      <c r="Q6715" s="30" t="s">
        <v>2567</v>
      </c>
      <c r="R6715" s="33" t="s">
        <v>3472</v>
      </c>
      <c r="S6715">
        <v>36</v>
      </c>
      <c r="T6715" s="1" t="s">
        <v>12971</v>
      </c>
      <c r="U6715" s="1" t="str">
        <f>HYPERLINK("http://ictvonline.org/taxonomy/p/taxonomy-history?taxnode_id=202111047","ICTVonline=202111047")</f>
        <v>ICTVonline=202111047</v>
      </c>
    </row>
    <row r="6716" spans="1:21" x14ac:dyDescent="0.2">
      <c r="A6716" s="3">
        <v>6715</v>
      </c>
      <c r="B6716" s="1" t="s">
        <v>4226</v>
      </c>
      <c r="D6716" s="1" t="s">
        <v>5412</v>
      </c>
      <c r="F6716" s="1" t="s">
        <v>5466</v>
      </c>
      <c r="H6716" s="1" t="s">
        <v>6729</v>
      </c>
      <c r="J6716" s="1" t="s">
        <v>7432</v>
      </c>
      <c r="L6716" s="1" t="s">
        <v>7500</v>
      </c>
      <c r="N6716" s="1" t="s">
        <v>7543</v>
      </c>
      <c r="P6716" s="1" t="s">
        <v>7572</v>
      </c>
      <c r="Q6716" s="30" t="s">
        <v>2567</v>
      </c>
      <c r="R6716" s="33" t="s">
        <v>3472</v>
      </c>
      <c r="S6716">
        <v>36</v>
      </c>
      <c r="T6716" s="1" t="s">
        <v>12971</v>
      </c>
      <c r="U6716" s="1" t="str">
        <f>HYPERLINK("http://ictvonline.org/taxonomy/p/taxonomy-history?taxnode_id=202111051","ICTVonline=202111051")</f>
        <v>ICTVonline=202111051</v>
      </c>
    </row>
    <row r="6717" spans="1:21" x14ac:dyDescent="0.2">
      <c r="A6717" s="3">
        <v>6716</v>
      </c>
      <c r="B6717" s="1" t="s">
        <v>4226</v>
      </c>
      <c r="D6717" s="1" t="s">
        <v>5412</v>
      </c>
      <c r="F6717" s="1" t="s">
        <v>5466</v>
      </c>
      <c r="H6717" s="1" t="s">
        <v>6729</v>
      </c>
      <c r="J6717" s="1" t="s">
        <v>7432</v>
      </c>
      <c r="L6717" s="1" t="s">
        <v>7500</v>
      </c>
      <c r="N6717" s="1" t="s">
        <v>7543</v>
      </c>
      <c r="P6717" s="1" t="s">
        <v>7573</v>
      </c>
      <c r="Q6717" s="30" t="s">
        <v>2567</v>
      </c>
      <c r="R6717" s="33" t="s">
        <v>3472</v>
      </c>
      <c r="S6717">
        <v>36</v>
      </c>
      <c r="T6717" s="1" t="s">
        <v>12971</v>
      </c>
      <c r="U6717" s="1" t="str">
        <f>HYPERLINK("http://ictvonline.org/taxonomy/p/taxonomy-history?taxnode_id=202111052","ICTVonline=202111052")</f>
        <v>ICTVonline=202111052</v>
      </c>
    </row>
    <row r="6718" spans="1:21" x14ac:dyDescent="0.2">
      <c r="A6718" s="3">
        <v>6717</v>
      </c>
      <c r="B6718" s="1" t="s">
        <v>4226</v>
      </c>
      <c r="D6718" s="1" t="s">
        <v>5412</v>
      </c>
      <c r="F6718" s="1" t="s">
        <v>5466</v>
      </c>
      <c r="H6718" s="1" t="s">
        <v>6729</v>
      </c>
      <c r="J6718" s="1" t="s">
        <v>7432</v>
      </c>
      <c r="L6718" s="1" t="s">
        <v>7500</v>
      </c>
      <c r="N6718" s="1" t="s">
        <v>7543</v>
      </c>
      <c r="P6718" s="1" t="s">
        <v>7574</v>
      </c>
      <c r="Q6718" s="30" t="s">
        <v>2567</v>
      </c>
      <c r="R6718" s="33" t="s">
        <v>3472</v>
      </c>
      <c r="S6718">
        <v>36</v>
      </c>
      <c r="T6718" s="1" t="s">
        <v>12971</v>
      </c>
      <c r="U6718" s="1" t="str">
        <f>HYPERLINK("http://ictvonline.org/taxonomy/p/taxonomy-history?taxnode_id=202111053","ICTVonline=202111053")</f>
        <v>ICTVonline=202111053</v>
      </c>
    </row>
    <row r="6719" spans="1:21" x14ac:dyDescent="0.2">
      <c r="A6719" s="3">
        <v>6718</v>
      </c>
      <c r="B6719" s="1" t="s">
        <v>4226</v>
      </c>
      <c r="D6719" s="1" t="s">
        <v>5412</v>
      </c>
      <c r="F6719" s="1" t="s">
        <v>5466</v>
      </c>
      <c r="H6719" s="1" t="s">
        <v>6729</v>
      </c>
      <c r="J6719" s="1" t="s">
        <v>7432</v>
      </c>
      <c r="L6719" s="1" t="s">
        <v>7500</v>
      </c>
      <c r="N6719" s="1" t="s">
        <v>7543</v>
      </c>
      <c r="P6719" s="1" t="s">
        <v>7575</v>
      </c>
      <c r="Q6719" s="30" t="s">
        <v>2567</v>
      </c>
      <c r="R6719" s="33" t="s">
        <v>3472</v>
      </c>
      <c r="S6719">
        <v>36</v>
      </c>
      <c r="T6719" s="1" t="s">
        <v>12971</v>
      </c>
      <c r="U6719" s="1" t="str">
        <f>HYPERLINK("http://ictvonline.org/taxonomy/p/taxonomy-history?taxnode_id=202111054","ICTVonline=202111054")</f>
        <v>ICTVonline=202111054</v>
      </c>
    </row>
    <row r="6720" spans="1:21" x14ac:dyDescent="0.2">
      <c r="A6720" s="3">
        <v>6719</v>
      </c>
      <c r="B6720" s="1" t="s">
        <v>4226</v>
      </c>
      <c r="D6720" s="1" t="s">
        <v>5412</v>
      </c>
      <c r="F6720" s="1" t="s">
        <v>5466</v>
      </c>
      <c r="H6720" s="1" t="s">
        <v>6729</v>
      </c>
      <c r="J6720" s="1" t="s">
        <v>7432</v>
      </c>
      <c r="L6720" s="1" t="s">
        <v>7500</v>
      </c>
      <c r="N6720" s="1" t="s">
        <v>7576</v>
      </c>
      <c r="P6720" s="1" t="s">
        <v>7577</v>
      </c>
      <c r="Q6720" s="30" t="s">
        <v>2567</v>
      </c>
      <c r="R6720" s="33" t="s">
        <v>3472</v>
      </c>
      <c r="S6720">
        <v>36</v>
      </c>
      <c r="T6720" s="1" t="s">
        <v>12971</v>
      </c>
      <c r="U6720" s="1" t="str">
        <f>HYPERLINK("http://ictvonline.org/taxonomy/p/taxonomy-history?taxnode_id=202111056","ICTVonline=202111056")</f>
        <v>ICTVonline=202111056</v>
      </c>
    </row>
    <row r="6721" spans="1:21" x14ac:dyDescent="0.2">
      <c r="A6721" s="3">
        <v>6720</v>
      </c>
      <c r="B6721" s="1" t="s">
        <v>4226</v>
      </c>
      <c r="D6721" s="1" t="s">
        <v>5412</v>
      </c>
      <c r="F6721" s="1" t="s">
        <v>5466</v>
      </c>
      <c r="H6721" s="1" t="s">
        <v>6729</v>
      </c>
      <c r="J6721" s="1" t="s">
        <v>7432</v>
      </c>
      <c r="L6721" s="1" t="s">
        <v>7500</v>
      </c>
      <c r="N6721" s="1" t="s">
        <v>7578</v>
      </c>
      <c r="P6721" s="1" t="s">
        <v>7579</v>
      </c>
      <c r="Q6721" s="30" t="s">
        <v>2567</v>
      </c>
      <c r="R6721" s="33" t="s">
        <v>3472</v>
      </c>
      <c r="S6721">
        <v>36</v>
      </c>
      <c r="T6721" s="1" t="s">
        <v>12971</v>
      </c>
      <c r="U6721" s="1" t="str">
        <f>HYPERLINK("http://ictvonline.org/taxonomy/p/taxonomy-history?taxnode_id=202111058","ICTVonline=202111058")</f>
        <v>ICTVonline=202111058</v>
      </c>
    </row>
    <row r="6722" spans="1:21" x14ac:dyDescent="0.2">
      <c r="A6722" s="3">
        <v>6721</v>
      </c>
      <c r="B6722" s="1" t="s">
        <v>4226</v>
      </c>
      <c r="D6722" s="1" t="s">
        <v>5412</v>
      </c>
      <c r="F6722" s="1" t="s">
        <v>5466</v>
      </c>
      <c r="H6722" s="1" t="s">
        <v>6729</v>
      </c>
      <c r="J6722" s="1" t="s">
        <v>7432</v>
      </c>
      <c r="L6722" s="1" t="s">
        <v>7500</v>
      </c>
      <c r="N6722" s="1" t="s">
        <v>7580</v>
      </c>
      <c r="P6722" s="1" t="s">
        <v>7581</v>
      </c>
      <c r="Q6722" s="30" t="s">
        <v>2567</v>
      </c>
      <c r="R6722" s="33" t="s">
        <v>3472</v>
      </c>
      <c r="S6722">
        <v>36</v>
      </c>
      <c r="T6722" s="1" t="s">
        <v>12971</v>
      </c>
      <c r="U6722" s="1" t="str">
        <f>HYPERLINK("http://ictvonline.org/taxonomy/p/taxonomy-history?taxnode_id=202111061","ICTVonline=202111061")</f>
        <v>ICTVonline=202111061</v>
      </c>
    </row>
    <row r="6723" spans="1:21" x14ac:dyDescent="0.2">
      <c r="A6723" s="3">
        <v>6722</v>
      </c>
      <c r="B6723" s="1" t="s">
        <v>4226</v>
      </c>
      <c r="D6723" s="1" t="s">
        <v>5412</v>
      </c>
      <c r="F6723" s="1" t="s">
        <v>5466</v>
      </c>
      <c r="H6723" s="1" t="s">
        <v>6729</v>
      </c>
      <c r="J6723" s="1" t="s">
        <v>7432</v>
      </c>
      <c r="L6723" s="1" t="s">
        <v>7500</v>
      </c>
      <c r="N6723" s="1" t="s">
        <v>7580</v>
      </c>
      <c r="P6723" s="1" t="s">
        <v>7582</v>
      </c>
      <c r="Q6723" s="30" t="s">
        <v>2567</v>
      </c>
      <c r="R6723" s="33" t="s">
        <v>3472</v>
      </c>
      <c r="S6723">
        <v>36</v>
      </c>
      <c r="T6723" s="1" t="s">
        <v>12971</v>
      </c>
      <c r="U6723" s="1" t="str">
        <f>HYPERLINK("http://ictvonline.org/taxonomy/p/taxonomy-history?taxnode_id=202111060","ICTVonline=202111060")</f>
        <v>ICTVonline=202111060</v>
      </c>
    </row>
    <row r="6724" spans="1:21" x14ac:dyDescent="0.2">
      <c r="A6724" s="3">
        <v>6723</v>
      </c>
      <c r="B6724" s="1" t="s">
        <v>4226</v>
      </c>
      <c r="D6724" s="1" t="s">
        <v>5412</v>
      </c>
      <c r="F6724" s="1" t="s">
        <v>5466</v>
      </c>
      <c r="H6724" s="1" t="s">
        <v>6729</v>
      </c>
      <c r="J6724" s="1" t="s">
        <v>7432</v>
      </c>
      <c r="L6724" s="1" t="s">
        <v>7500</v>
      </c>
      <c r="N6724" s="1" t="s">
        <v>7580</v>
      </c>
      <c r="P6724" s="1" t="s">
        <v>7583</v>
      </c>
      <c r="Q6724" s="30" t="s">
        <v>2567</v>
      </c>
      <c r="R6724" s="33" t="s">
        <v>3472</v>
      </c>
      <c r="S6724">
        <v>36</v>
      </c>
      <c r="T6724" s="1" t="s">
        <v>12971</v>
      </c>
      <c r="U6724" s="1" t="str">
        <f>HYPERLINK("http://ictvonline.org/taxonomy/p/taxonomy-history?taxnode_id=202111062","ICTVonline=202111062")</f>
        <v>ICTVonline=202111062</v>
      </c>
    </row>
    <row r="6725" spans="1:21" x14ac:dyDescent="0.2">
      <c r="A6725" s="3">
        <v>6724</v>
      </c>
      <c r="B6725" s="1" t="s">
        <v>4226</v>
      </c>
      <c r="D6725" s="1" t="s">
        <v>5412</v>
      </c>
      <c r="F6725" s="1" t="s">
        <v>5466</v>
      </c>
      <c r="H6725" s="1" t="s">
        <v>6729</v>
      </c>
      <c r="J6725" s="1" t="s">
        <v>7432</v>
      </c>
      <c r="L6725" s="1" t="s">
        <v>7500</v>
      </c>
      <c r="N6725" s="1" t="s">
        <v>7584</v>
      </c>
      <c r="P6725" s="1" t="s">
        <v>7585</v>
      </c>
      <c r="Q6725" s="30" t="s">
        <v>2567</v>
      </c>
      <c r="R6725" s="33" t="s">
        <v>3472</v>
      </c>
      <c r="S6725">
        <v>36</v>
      </c>
      <c r="T6725" s="1" t="s">
        <v>12971</v>
      </c>
      <c r="U6725" s="1" t="str">
        <f>HYPERLINK("http://ictvonline.org/taxonomy/p/taxonomy-history?taxnode_id=202111064","ICTVonline=202111064")</f>
        <v>ICTVonline=202111064</v>
      </c>
    </row>
    <row r="6726" spans="1:21" x14ac:dyDescent="0.2">
      <c r="A6726" s="3">
        <v>6725</v>
      </c>
      <c r="B6726" s="1" t="s">
        <v>4226</v>
      </c>
      <c r="D6726" s="1" t="s">
        <v>5412</v>
      </c>
      <c r="F6726" s="1" t="s">
        <v>5466</v>
      </c>
      <c r="H6726" s="1" t="s">
        <v>6729</v>
      </c>
      <c r="J6726" s="1" t="s">
        <v>7432</v>
      </c>
      <c r="L6726" s="1" t="s">
        <v>7500</v>
      </c>
      <c r="N6726" s="1" t="s">
        <v>7586</v>
      </c>
      <c r="P6726" s="1" t="s">
        <v>7587</v>
      </c>
      <c r="Q6726" s="30" t="s">
        <v>2567</v>
      </c>
      <c r="R6726" s="33" t="s">
        <v>3472</v>
      </c>
      <c r="S6726">
        <v>36</v>
      </c>
      <c r="T6726" s="1" t="s">
        <v>12971</v>
      </c>
      <c r="U6726" s="1" t="str">
        <f>HYPERLINK("http://ictvonline.org/taxonomy/p/taxonomy-history?taxnode_id=202111066","ICTVonline=202111066")</f>
        <v>ICTVonline=202111066</v>
      </c>
    </row>
    <row r="6727" spans="1:21" x14ac:dyDescent="0.2">
      <c r="A6727" s="3">
        <v>6726</v>
      </c>
      <c r="B6727" s="1" t="s">
        <v>4226</v>
      </c>
      <c r="D6727" s="1" t="s">
        <v>5412</v>
      </c>
      <c r="F6727" s="1" t="s">
        <v>5466</v>
      </c>
      <c r="H6727" s="1" t="s">
        <v>6729</v>
      </c>
      <c r="J6727" s="1" t="s">
        <v>7432</v>
      </c>
      <c r="L6727" s="1" t="s">
        <v>7500</v>
      </c>
      <c r="N6727" s="1" t="s">
        <v>7588</v>
      </c>
      <c r="P6727" s="1" t="s">
        <v>7589</v>
      </c>
      <c r="Q6727" s="30" t="s">
        <v>2567</v>
      </c>
      <c r="R6727" s="33" t="s">
        <v>3472</v>
      </c>
      <c r="S6727">
        <v>36</v>
      </c>
      <c r="T6727" s="1" t="s">
        <v>12971</v>
      </c>
      <c r="U6727" s="1" t="str">
        <f>HYPERLINK("http://ictvonline.org/taxonomy/p/taxonomy-history?taxnode_id=202111068","ICTVonline=202111068")</f>
        <v>ICTVonline=202111068</v>
      </c>
    </row>
    <row r="6728" spans="1:21" x14ac:dyDescent="0.2">
      <c r="A6728" s="3">
        <v>6727</v>
      </c>
      <c r="B6728" s="1" t="s">
        <v>4226</v>
      </c>
      <c r="D6728" s="1" t="s">
        <v>5412</v>
      </c>
      <c r="F6728" s="1" t="s">
        <v>5466</v>
      </c>
      <c r="H6728" s="1" t="s">
        <v>6729</v>
      </c>
      <c r="J6728" s="1" t="s">
        <v>7432</v>
      </c>
      <c r="L6728" s="1" t="s">
        <v>7500</v>
      </c>
      <c r="N6728" s="1" t="s">
        <v>7590</v>
      </c>
      <c r="P6728" s="1" t="s">
        <v>7591</v>
      </c>
      <c r="Q6728" s="30" t="s">
        <v>2567</v>
      </c>
      <c r="R6728" s="33" t="s">
        <v>3472</v>
      </c>
      <c r="S6728">
        <v>36</v>
      </c>
      <c r="T6728" s="1" t="s">
        <v>12971</v>
      </c>
      <c r="U6728" s="1" t="str">
        <f>HYPERLINK("http://ictvonline.org/taxonomy/p/taxonomy-history?taxnode_id=202111070","ICTVonline=202111070")</f>
        <v>ICTVonline=202111070</v>
      </c>
    </row>
    <row r="6729" spans="1:21" x14ac:dyDescent="0.2">
      <c r="A6729" s="3">
        <v>6728</v>
      </c>
      <c r="B6729" s="1" t="s">
        <v>4226</v>
      </c>
      <c r="D6729" s="1" t="s">
        <v>5412</v>
      </c>
      <c r="F6729" s="1" t="s">
        <v>5466</v>
      </c>
      <c r="H6729" s="1" t="s">
        <v>6729</v>
      </c>
      <c r="J6729" s="1" t="s">
        <v>7432</v>
      </c>
      <c r="L6729" s="1" t="s">
        <v>7500</v>
      </c>
      <c r="N6729" s="1" t="s">
        <v>7592</v>
      </c>
      <c r="P6729" s="1" t="s">
        <v>7593</v>
      </c>
      <c r="Q6729" s="30" t="s">
        <v>2567</v>
      </c>
      <c r="R6729" s="33" t="s">
        <v>3472</v>
      </c>
      <c r="S6729">
        <v>36</v>
      </c>
      <c r="T6729" s="1" t="s">
        <v>12971</v>
      </c>
      <c r="U6729" s="1" t="str">
        <f>HYPERLINK("http://ictvonline.org/taxonomy/p/taxonomy-history?taxnode_id=202111072","ICTVonline=202111072")</f>
        <v>ICTVonline=202111072</v>
      </c>
    </row>
    <row r="6730" spans="1:21" x14ac:dyDescent="0.2">
      <c r="A6730" s="3">
        <v>6729</v>
      </c>
      <c r="B6730" s="1" t="s">
        <v>4226</v>
      </c>
      <c r="D6730" s="1" t="s">
        <v>5412</v>
      </c>
      <c r="F6730" s="1" t="s">
        <v>5466</v>
      </c>
      <c r="H6730" s="1" t="s">
        <v>6729</v>
      </c>
      <c r="J6730" s="1" t="s">
        <v>7432</v>
      </c>
      <c r="L6730" s="1" t="s">
        <v>7500</v>
      </c>
      <c r="N6730" s="1" t="s">
        <v>7594</v>
      </c>
      <c r="P6730" s="1" t="s">
        <v>7595</v>
      </c>
      <c r="Q6730" s="30" t="s">
        <v>2567</v>
      </c>
      <c r="R6730" s="33" t="s">
        <v>3472</v>
      </c>
      <c r="S6730">
        <v>36</v>
      </c>
      <c r="T6730" s="1" t="s">
        <v>12971</v>
      </c>
      <c r="U6730" s="1" t="str">
        <f>HYPERLINK("http://ictvonline.org/taxonomy/p/taxonomy-history?taxnode_id=202111075","ICTVonline=202111075")</f>
        <v>ICTVonline=202111075</v>
      </c>
    </row>
    <row r="6731" spans="1:21" x14ac:dyDescent="0.2">
      <c r="A6731" s="3">
        <v>6730</v>
      </c>
      <c r="B6731" s="1" t="s">
        <v>4226</v>
      </c>
      <c r="D6731" s="1" t="s">
        <v>5412</v>
      </c>
      <c r="F6731" s="1" t="s">
        <v>5466</v>
      </c>
      <c r="H6731" s="1" t="s">
        <v>6729</v>
      </c>
      <c r="J6731" s="1" t="s">
        <v>7432</v>
      </c>
      <c r="L6731" s="1" t="s">
        <v>7500</v>
      </c>
      <c r="N6731" s="1" t="s">
        <v>7594</v>
      </c>
      <c r="P6731" s="1" t="s">
        <v>7596</v>
      </c>
      <c r="Q6731" s="30" t="s">
        <v>2567</v>
      </c>
      <c r="R6731" s="33" t="s">
        <v>3472</v>
      </c>
      <c r="S6731">
        <v>36</v>
      </c>
      <c r="T6731" s="1" t="s">
        <v>12971</v>
      </c>
      <c r="U6731" s="1" t="str">
        <f>HYPERLINK("http://ictvonline.org/taxonomy/p/taxonomy-history?taxnode_id=202111074","ICTVonline=202111074")</f>
        <v>ICTVonline=202111074</v>
      </c>
    </row>
    <row r="6732" spans="1:21" x14ac:dyDescent="0.2">
      <c r="A6732" s="3">
        <v>6731</v>
      </c>
      <c r="B6732" s="1" t="s">
        <v>4226</v>
      </c>
      <c r="D6732" s="1" t="s">
        <v>5412</v>
      </c>
      <c r="F6732" s="1" t="s">
        <v>5466</v>
      </c>
      <c r="H6732" s="1" t="s">
        <v>6729</v>
      </c>
      <c r="J6732" s="1" t="s">
        <v>7432</v>
      </c>
      <c r="L6732" s="1" t="s">
        <v>7500</v>
      </c>
      <c r="N6732" s="1" t="s">
        <v>7597</v>
      </c>
      <c r="P6732" s="1" t="s">
        <v>7598</v>
      </c>
      <c r="Q6732" s="30" t="s">
        <v>2567</v>
      </c>
      <c r="R6732" s="33" t="s">
        <v>3472</v>
      </c>
      <c r="S6732">
        <v>36</v>
      </c>
      <c r="T6732" s="1" t="s">
        <v>12971</v>
      </c>
      <c r="U6732" s="1" t="str">
        <f>HYPERLINK("http://ictvonline.org/taxonomy/p/taxonomy-history?taxnode_id=202111077","ICTVonline=202111077")</f>
        <v>ICTVonline=202111077</v>
      </c>
    </row>
    <row r="6733" spans="1:21" x14ac:dyDescent="0.2">
      <c r="A6733" s="3">
        <v>6732</v>
      </c>
      <c r="B6733" s="1" t="s">
        <v>4226</v>
      </c>
      <c r="D6733" s="1" t="s">
        <v>5412</v>
      </c>
      <c r="F6733" s="1" t="s">
        <v>5466</v>
      </c>
      <c r="H6733" s="1" t="s">
        <v>6729</v>
      </c>
      <c r="J6733" s="1" t="s">
        <v>7432</v>
      </c>
      <c r="L6733" s="1" t="s">
        <v>7500</v>
      </c>
      <c r="N6733" s="1" t="s">
        <v>7599</v>
      </c>
      <c r="P6733" s="1" t="s">
        <v>7600</v>
      </c>
      <c r="Q6733" s="30" t="s">
        <v>2567</v>
      </c>
      <c r="R6733" s="33" t="s">
        <v>3472</v>
      </c>
      <c r="S6733">
        <v>36</v>
      </c>
      <c r="T6733" s="1" t="s">
        <v>12971</v>
      </c>
      <c r="U6733" s="1" t="str">
        <f>HYPERLINK("http://ictvonline.org/taxonomy/p/taxonomy-history?taxnode_id=202111079","ICTVonline=202111079")</f>
        <v>ICTVonline=202111079</v>
      </c>
    </row>
    <row r="6734" spans="1:21" x14ac:dyDescent="0.2">
      <c r="A6734" s="3">
        <v>6733</v>
      </c>
      <c r="B6734" s="1" t="s">
        <v>4226</v>
      </c>
      <c r="D6734" s="1" t="s">
        <v>5412</v>
      </c>
      <c r="F6734" s="1" t="s">
        <v>5466</v>
      </c>
      <c r="H6734" s="1" t="s">
        <v>6729</v>
      </c>
      <c r="J6734" s="1" t="s">
        <v>7432</v>
      </c>
      <c r="L6734" s="1" t="s">
        <v>7500</v>
      </c>
      <c r="N6734" s="1" t="s">
        <v>7601</v>
      </c>
      <c r="P6734" s="1" t="s">
        <v>7602</v>
      </c>
      <c r="Q6734" s="30" t="s">
        <v>2567</v>
      </c>
      <c r="R6734" s="33" t="s">
        <v>3472</v>
      </c>
      <c r="S6734">
        <v>36</v>
      </c>
      <c r="T6734" s="1" t="s">
        <v>12971</v>
      </c>
      <c r="U6734" s="1" t="str">
        <f>HYPERLINK("http://ictvonline.org/taxonomy/p/taxonomy-history?taxnode_id=202111081","ICTVonline=202111081")</f>
        <v>ICTVonline=202111081</v>
      </c>
    </row>
    <row r="6735" spans="1:21" x14ac:dyDescent="0.2">
      <c r="A6735" s="3">
        <v>6734</v>
      </c>
      <c r="B6735" s="1" t="s">
        <v>4226</v>
      </c>
      <c r="D6735" s="1" t="s">
        <v>5412</v>
      </c>
      <c r="F6735" s="1" t="s">
        <v>5466</v>
      </c>
      <c r="H6735" s="1" t="s">
        <v>6729</v>
      </c>
      <c r="J6735" s="1" t="s">
        <v>7432</v>
      </c>
      <c r="L6735" s="1" t="s">
        <v>7500</v>
      </c>
      <c r="N6735" s="1" t="s">
        <v>7603</v>
      </c>
      <c r="P6735" s="1" t="s">
        <v>7604</v>
      </c>
      <c r="Q6735" s="30" t="s">
        <v>2567</v>
      </c>
      <c r="R6735" s="33" t="s">
        <v>3472</v>
      </c>
      <c r="S6735">
        <v>36</v>
      </c>
      <c r="T6735" s="1" t="s">
        <v>12971</v>
      </c>
      <c r="U6735" s="1" t="str">
        <f>HYPERLINK("http://ictvonline.org/taxonomy/p/taxonomy-history?taxnode_id=202111085","ICTVonline=202111085")</f>
        <v>ICTVonline=202111085</v>
      </c>
    </row>
    <row r="6736" spans="1:21" x14ac:dyDescent="0.2">
      <c r="A6736" s="3">
        <v>6735</v>
      </c>
      <c r="B6736" s="1" t="s">
        <v>4226</v>
      </c>
      <c r="D6736" s="1" t="s">
        <v>5412</v>
      </c>
      <c r="F6736" s="1" t="s">
        <v>5466</v>
      </c>
      <c r="H6736" s="1" t="s">
        <v>6729</v>
      </c>
      <c r="J6736" s="1" t="s">
        <v>7432</v>
      </c>
      <c r="L6736" s="1" t="s">
        <v>7500</v>
      </c>
      <c r="N6736" s="1" t="s">
        <v>7603</v>
      </c>
      <c r="P6736" s="1" t="s">
        <v>7605</v>
      </c>
      <c r="Q6736" s="30" t="s">
        <v>2567</v>
      </c>
      <c r="R6736" s="33" t="s">
        <v>3472</v>
      </c>
      <c r="S6736">
        <v>36</v>
      </c>
      <c r="T6736" s="1" t="s">
        <v>12971</v>
      </c>
      <c r="U6736" s="1" t="str">
        <f>HYPERLINK("http://ictvonline.org/taxonomy/p/taxonomy-history?taxnode_id=202111083","ICTVonline=202111083")</f>
        <v>ICTVonline=202111083</v>
      </c>
    </row>
    <row r="6737" spans="1:21" x14ac:dyDescent="0.2">
      <c r="A6737" s="3">
        <v>6736</v>
      </c>
      <c r="B6737" s="1" t="s">
        <v>4226</v>
      </c>
      <c r="D6737" s="1" t="s">
        <v>5412</v>
      </c>
      <c r="F6737" s="1" t="s">
        <v>5466</v>
      </c>
      <c r="H6737" s="1" t="s">
        <v>6729</v>
      </c>
      <c r="J6737" s="1" t="s">
        <v>7432</v>
      </c>
      <c r="L6737" s="1" t="s">
        <v>7500</v>
      </c>
      <c r="N6737" s="1" t="s">
        <v>7603</v>
      </c>
      <c r="P6737" s="1" t="s">
        <v>7606</v>
      </c>
      <c r="Q6737" s="30" t="s">
        <v>2567</v>
      </c>
      <c r="R6737" s="33" t="s">
        <v>3472</v>
      </c>
      <c r="S6737">
        <v>36</v>
      </c>
      <c r="T6737" s="1" t="s">
        <v>12971</v>
      </c>
      <c r="U6737" s="1" t="str">
        <f>HYPERLINK("http://ictvonline.org/taxonomy/p/taxonomy-history?taxnode_id=202111084","ICTVonline=202111084")</f>
        <v>ICTVonline=202111084</v>
      </c>
    </row>
    <row r="6738" spans="1:21" x14ac:dyDescent="0.2">
      <c r="A6738" s="3">
        <v>6737</v>
      </c>
      <c r="B6738" s="1" t="s">
        <v>4226</v>
      </c>
      <c r="D6738" s="1" t="s">
        <v>5412</v>
      </c>
      <c r="F6738" s="1" t="s">
        <v>5466</v>
      </c>
      <c r="H6738" s="1" t="s">
        <v>6729</v>
      </c>
      <c r="J6738" s="1" t="s">
        <v>7432</v>
      </c>
      <c r="L6738" s="1" t="s">
        <v>7500</v>
      </c>
      <c r="N6738" s="1" t="s">
        <v>7607</v>
      </c>
      <c r="P6738" s="1" t="s">
        <v>7608</v>
      </c>
      <c r="Q6738" s="30" t="s">
        <v>2567</v>
      </c>
      <c r="R6738" s="33" t="s">
        <v>3472</v>
      </c>
      <c r="S6738">
        <v>36</v>
      </c>
      <c r="T6738" s="1" t="s">
        <v>12971</v>
      </c>
      <c r="U6738" s="1" t="str">
        <f>HYPERLINK("http://ictvonline.org/taxonomy/p/taxonomy-history?taxnode_id=202111087","ICTVonline=202111087")</f>
        <v>ICTVonline=202111087</v>
      </c>
    </row>
    <row r="6739" spans="1:21" x14ac:dyDescent="0.2">
      <c r="A6739" s="3">
        <v>6738</v>
      </c>
      <c r="B6739" s="1" t="s">
        <v>4226</v>
      </c>
      <c r="D6739" s="1" t="s">
        <v>5412</v>
      </c>
      <c r="F6739" s="1" t="s">
        <v>5466</v>
      </c>
      <c r="H6739" s="1" t="s">
        <v>6729</v>
      </c>
      <c r="J6739" s="1" t="s">
        <v>7432</v>
      </c>
      <c r="L6739" s="1" t="s">
        <v>7500</v>
      </c>
      <c r="N6739" s="1" t="s">
        <v>7609</v>
      </c>
      <c r="P6739" s="1" t="s">
        <v>7610</v>
      </c>
      <c r="Q6739" s="30" t="s">
        <v>2567</v>
      </c>
      <c r="R6739" s="33" t="s">
        <v>3472</v>
      </c>
      <c r="S6739">
        <v>36</v>
      </c>
      <c r="T6739" s="1" t="s">
        <v>12971</v>
      </c>
      <c r="U6739" s="1" t="str">
        <f>HYPERLINK("http://ictvonline.org/taxonomy/p/taxonomy-history?taxnode_id=202111089","ICTVonline=202111089")</f>
        <v>ICTVonline=202111089</v>
      </c>
    </row>
    <row r="6740" spans="1:21" x14ac:dyDescent="0.2">
      <c r="A6740" s="3">
        <v>6739</v>
      </c>
      <c r="B6740" s="1" t="s">
        <v>4226</v>
      </c>
      <c r="D6740" s="1" t="s">
        <v>5412</v>
      </c>
      <c r="F6740" s="1" t="s">
        <v>5466</v>
      </c>
      <c r="H6740" s="1" t="s">
        <v>6729</v>
      </c>
      <c r="J6740" s="1" t="s">
        <v>7432</v>
      </c>
      <c r="L6740" s="1" t="s">
        <v>7500</v>
      </c>
      <c r="N6740" s="1" t="s">
        <v>7609</v>
      </c>
      <c r="P6740" s="1" t="s">
        <v>7611</v>
      </c>
      <c r="Q6740" s="30" t="s">
        <v>2567</v>
      </c>
      <c r="R6740" s="33" t="s">
        <v>3472</v>
      </c>
      <c r="S6740">
        <v>36</v>
      </c>
      <c r="T6740" s="1" t="s">
        <v>12971</v>
      </c>
      <c r="U6740" s="1" t="str">
        <f>HYPERLINK("http://ictvonline.org/taxonomy/p/taxonomy-history?taxnode_id=202111090","ICTVonline=202111090")</f>
        <v>ICTVonline=202111090</v>
      </c>
    </row>
    <row r="6741" spans="1:21" x14ac:dyDescent="0.2">
      <c r="A6741" s="3">
        <v>6740</v>
      </c>
      <c r="B6741" s="1" t="s">
        <v>4226</v>
      </c>
      <c r="D6741" s="1" t="s">
        <v>5412</v>
      </c>
      <c r="F6741" s="1" t="s">
        <v>5466</v>
      </c>
      <c r="H6741" s="1" t="s">
        <v>6729</v>
      </c>
      <c r="J6741" s="1" t="s">
        <v>7432</v>
      </c>
      <c r="L6741" s="1" t="s">
        <v>7500</v>
      </c>
      <c r="N6741" s="1" t="s">
        <v>7609</v>
      </c>
      <c r="P6741" s="1" t="s">
        <v>7612</v>
      </c>
      <c r="Q6741" s="30" t="s">
        <v>2567</v>
      </c>
      <c r="R6741" s="33" t="s">
        <v>3472</v>
      </c>
      <c r="S6741">
        <v>36</v>
      </c>
      <c r="T6741" s="1" t="s">
        <v>12971</v>
      </c>
      <c r="U6741" s="1" t="str">
        <f>HYPERLINK("http://ictvonline.org/taxonomy/p/taxonomy-history?taxnode_id=202111092","ICTVonline=202111092")</f>
        <v>ICTVonline=202111092</v>
      </c>
    </row>
    <row r="6742" spans="1:21" x14ac:dyDescent="0.2">
      <c r="A6742" s="3">
        <v>6741</v>
      </c>
      <c r="B6742" s="1" t="s">
        <v>4226</v>
      </c>
      <c r="D6742" s="1" t="s">
        <v>5412</v>
      </c>
      <c r="F6742" s="1" t="s">
        <v>5466</v>
      </c>
      <c r="H6742" s="1" t="s">
        <v>6729</v>
      </c>
      <c r="J6742" s="1" t="s">
        <v>7432</v>
      </c>
      <c r="L6742" s="1" t="s">
        <v>7500</v>
      </c>
      <c r="N6742" s="1" t="s">
        <v>7609</v>
      </c>
      <c r="P6742" s="1" t="s">
        <v>7613</v>
      </c>
      <c r="Q6742" s="30" t="s">
        <v>2567</v>
      </c>
      <c r="R6742" s="33" t="s">
        <v>3472</v>
      </c>
      <c r="S6742">
        <v>36</v>
      </c>
      <c r="T6742" s="1" t="s">
        <v>12971</v>
      </c>
      <c r="U6742" s="1" t="str">
        <f>HYPERLINK("http://ictvonline.org/taxonomy/p/taxonomy-history?taxnode_id=202111091","ICTVonline=202111091")</f>
        <v>ICTVonline=202111091</v>
      </c>
    </row>
    <row r="6743" spans="1:21" x14ac:dyDescent="0.2">
      <c r="A6743" s="3">
        <v>6742</v>
      </c>
      <c r="B6743" s="1" t="s">
        <v>4226</v>
      </c>
      <c r="D6743" s="1" t="s">
        <v>5412</v>
      </c>
      <c r="F6743" s="1" t="s">
        <v>5466</v>
      </c>
      <c r="H6743" s="1" t="s">
        <v>6729</v>
      </c>
      <c r="J6743" s="1" t="s">
        <v>7432</v>
      </c>
      <c r="L6743" s="1" t="s">
        <v>7500</v>
      </c>
      <c r="N6743" s="1" t="s">
        <v>7609</v>
      </c>
      <c r="P6743" s="1" t="s">
        <v>7614</v>
      </c>
      <c r="Q6743" s="30" t="s">
        <v>2567</v>
      </c>
      <c r="R6743" s="33" t="s">
        <v>3472</v>
      </c>
      <c r="S6743">
        <v>36</v>
      </c>
      <c r="T6743" s="1" t="s">
        <v>12971</v>
      </c>
      <c r="U6743" s="1" t="str">
        <f>HYPERLINK("http://ictvonline.org/taxonomy/p/taxonomy-history?taxnode_id=202111095","ICTVonline=202111095")</f>
        <v>ICTVonline=202111095</v>
      </c>
    </row>
    <row r="6744" spans="1:21" x14ac:dyDescent="0.2">
      <c r="A6744" s="3">
        <v>6743</v>
      </c>
      <c r="B6744" s="1" t="s">
        <v>4226</v>
      </c>
      <c r="D6744" s="1" t="s">
        <v>5412</v>
      </c>
      <c r="F6744" s="1" t="s">
        <v>5466</v>
      </c>
      <c r="H6744" s="1" t="s">
        <v>6729</v>
      </c>
      <c r="J6744" s="1" t="s">
        <v>7432</v>
      </c>
      <c r="L6744" s="1" t="s">
        <v>7500</v>
      </c>
      <c r="N6744" s="1" t="s">
        <v>7609</v>
      </c>
      <c r="P6744" s="1" t="s">
        <v>7615</v>
      </c>
      <c r="Q6744" s="30" t="s">
        <v>2567</v>
      </c>
      <c r="R6744" s="33" t="s">
        <v>3472</v>
      </c>
      <c r="S6744">
        <v>36</v>
      </c>
      <c r="T6744" s="1" t="s">
        <v>12971</v>
      </c>
      <c r="U6744" s="1" t="str">
        <f>HYPERLINK("http://ictvonline.org/taxonomy/p/taxonomy-history?taxnode_id=202111096","ICTVonline=202111096")</f>
        <v>ICTVonline=202111096</v>
      </c>
    </row>
    <row r="6745" spans="1:21" x14ac:dyDescent="0.2">
      <c r="A6745" s="3">
        <v>6744</v>
      </c>
      <c r="B6745" s="1" t="s">
        <v>4226</v>
      </c>
      <c r="D6745" s="1" t="s">
        <v>5412</v>
      </c>
      <c r="F6745" s="1" t="s">
        <v>5466</v>
      </c>
      <c r="H6745" s="1" t="s">
        <v>6729</v>
      </c>
      <c r="J6745" s="1" t="s">
        <v>7432</v>
      </c>
      <c r="L6745" s="1" t="s">
        <v>7500</v>
      </c>
      <c r="N6745" s="1" t="s">
        <v>7609</v>
      </c>
      <c r="P6745" s="1" t="s">
        <v>7616</v>
      </c>
      <c r="Q6745" s="30" t="s">
        <v>2567</v>
      </c>
      <c r="R6745" s="33" t="s">
        <v>3472</v>
      </c>
      <c r="S6745">
        <v>36</v>
      </c>
      <c r="T6745" s="1" t="s">
        <v>12971</v>
      </c>
      <c r="U6745" s="1" t="str">
        <f>HYPERLINK("http://ictvonline.org/taxonomy/p/taxonomy-history?taxnode_id=202111094","ICTVonline=202111094")</f>
        <v>ICTVonline=202111094</v>
      </c>
    </row>
    <row r="6746" spans="1:21" x14ac:dyDescent="0.2">
      <c r="A6746" s="3">
        <v>6745</v>
      </c>
      <c r="B6746" s="1" t="s">
        <v>4226</v>
      </c>
      <c r="D6746" s="1" t="s">
        <v>5412</v>
      </c>
      <c r="F6746" s="1" t="s">
        <v>5466</v>
      </c>
      <c r="H6746" s="1" t="s">
        <v>6729</v>
      </c>
      <c r="J6746" s="1" t="s">
        <v>7432</v>
      </c>
      <c r="L6746" s="1" t="s">
        <v>7500</v>
      </c>
      <c r="N6746" s="1" t="s">
        <v>7609</v>
      </c>
      <c r="P6746" s="1" t="s">
        <v>7617</v>
      </c>
      <c r="Q6746" s="30" t="s">
        <v>2567</v>
      </c>
      <c r="R6746" s="33" t="s">
        <v>3472</v>
      </c>
      <c r="S6746">
        <v>36</v>
      </c>
      <c r="T6746" s="1" t="s">
        <v>12971</v>
      </c>
      <c r="U6746" s="1" t="str">
        <f>HYPERLINK("http://ictvonline.org/taxonomy/p/taxonomy-history?taxnode_id=202111093","ICTVonline=202111093")</f>
        <v>ICTVonline=202111093</v>
      </c>
    </row>
    <row r="6747" spans="1:21" x14ac:dyDescent="0.2">
      <c r="A6747" s="3">
        <v>6746</v>
      </c>
      <c r="B6747" s="1" t="s">
        <v>4226</v>
      </c>
      <c r="D6747" s="1" t="s">
        <v>5412</v>
      </c>
      <c r="F6747" s="1" t="s">
        <v>5466</v>
      </c>
      <c r="H6747" s="1" t="s">
        <v>6729</v>
      </c>
      <c r="J6747" s="1" t="s">
        <v>7432</v>
      </c>
      <c r="L6747" s="1" t="s">
        <v>7500</v>
      </c>
      <c r="N6747" s="1" t="s">
        <v>7618</v>
      </c>
      <c r="P6747" s="1" t="s">
        <v>7619</v>
      </c>
      <c r="Q6747" s="30" t="s">
        <v>2567</v>
      </c>
      <c r="R6747" s="33" t="s">
        <v>3472</v>
      </c>
      <c r="S6747">
        <v>36</v>
      </c>
      <c r="T6747" s="1" t="s">
        <v>12971</v>
      </c>
      <c r="U6747" s="1" t="str">
        <f>HYPERLINK("http://ictvonline.org/taxonomy/p/taxonomy-history?taxnode_id=202111098","ICTVonline=202111098")</f>
        <v>ICTVonline=202111098</v>
      </c>
    </row>
    <row r="6748" spans="1:21" x14ac:dyDescent="0.2">
      <c r="A6748" s="3">
        <v>6747</v>
      </c>
      <c r="B6748" s="1" t="s">
        <v>4226</v>
      </c>
      <c r="D6748" s="1" t="s">
        <v>5412</v>
      </c>
      <c r="F6748" s="1" t="s">
        <v>5466</v>
      </c>
      <c r="H6748" s="1" t="s">
        <v>6729</v>
      </c>
      <c r="J6748" s="1" t="s">
        <v>7432</v>
      </c>
      <c r="L6748" s="1" t="s">
        <v>7500</v>
      </c>
      <c r="N6748" s="1" t="s">
        <v>7620</v>
      </c>
      <c r="P6748" s="1" t="s">
        <v>7621</v>
      </c>
      <c r="Q6748" s="30" t="s">
        <v>2567</v>
      </c>
      <c r="R6748" s="33" t="s">
        <v>3472</v>
      </c>
      <c r="S6748">
        <v>36</v>
      </c>
      <c r="T6748" s="1" t="s">
        <v>12971</v>
      </c>
      <c r="U6748" s="1" t="str">
        <f>HYPERLINK("http://ictvonline.org/taxonomy/p/taxonomy-history?taxnode_id=202111101","ICTVonline=202111101")</f>
        <v>ICTVonline=202111101</v>
      </c>
    </row>
    <row r="6749" spans="1:21" x14ac:dyDescent="0.2">
      <c r="A6749" s="3">
        <v>6748</v>
      </c>
      <c r="B6749" s="1" t="s">
        <v>4226</v>
      </c>
      <c r="D6749" s="1" t="s">
        <v>5412</v>
      </c>
      <c r="F6749" s="1" t="s">
        <v>5466</v>
      </c>
      <c r="H6749" s="1" t="s">
        <v>6729</v>
      </c>
      <c r="J6749" s="1" t="s">
        <v>7432</v>
      </c>
      <c r="L6749" s="1" t="s">
        <v>7500</v>
      </c>
      <c r="N6749" s="1" t="s">
        <v>7620</v>
      </c>
      <c r="P6749" s="1" t="s">
        <v>7622</v>
      </c>
      <c r="Q6749" s="30" t="s">
        <v>2567</v>
      </c>
      <c r="R6749" s="33" t="s">
        <v>3472</v>
      </c>
      <c r="S6749">
        <v>36</v>
      </c>
      <c r="T6749" s="1" t="s">
        <v>12971</v>
      </c>
      <c r="U6749" s="1" t="str">
        <f>HYPERLINK("http://ictvonline.org/taxonomy/p/taxonomy-history?taxnode_id=202111100","ICTVonline=202111100")</f>
        <v>ICTVonline=202111100</v>
      </c>
    </row>
    <row r="6750" spans="1:21" x14ac:dyDescent="0.2">
      <c r="A6750" s="3">
        <v>6749</v>
      </c>
      <c r="B6750" s="1" t="s">
        <v>4226</v>
      </c>
      <c r="D6750" s="1" t="s">
        <v>5412</v>
      </c>
      <c r="F6750" s="1" t="s">
        <v>5466</v>
      </c>
      <c r="H6750" s="1" t="s">
        <v>6729</v>
      </c>
      <c r="J6750" s="1" t="s">
        <v>7432</v>
      </c>
      <c r="L6750" s="1" t="s">
        <v>7500</v>
      </c>
      <c r="N6750" s="1" t="s">
        <v>7623</v>
      </c>
      <c r="P6750" s="1" t="s">
        <v>7624</v>
      </c>
      <c r="Q6750" s="30" t="s">
        <v>2567</v>
      </c>
      <c r="R6750" s="33" t="s">
        <v>3472</v>
      </c>
      <c r="S6750">
        <v>36</v>
      </c>
      <c r="T6750" s="1" t="s">
        <v>12971</v>
      </c>
      <c r="U6750" s="1" t="str">
        <f>HYPERLINK("http://ictvonline.org/taxonomy/p/taxonomy-history?taxnode_id=202111103","ICTVonline=202111103")</f>
        <v>ICTVonline=202111103</v>
      </c>
    </row>
    <row r="6751" spans="1:21" x14ac:dyDescent="0.2">
      <c r="A6751" s="3">
        <v>6750</v>
      </c>
      <c r="B6751" s="1" t="s">
        <v>4226</v>
      </c>
      <c r="D6751" s="1" t="s">
        <v>5412</v>
      </c>
      <c r="F6751" s="1" t="s">
        <v>5466</v>
      </c>
      <c r="H6751" s="1" t="s">
        <v>6729</v>
      </c>
      <c r="J6751" s="1" t="s">
        <v>7432</v>
      </c>
      <c r="L6751" s="1" t="s">
        <v>7500</v>
      </c>
      <c r="N6751" s="1" t="s">
        <v>7625</v>
      </c>
      <c r="P6751" s="1" t="s">
        <v>7626</v>
      </c>
      <c r="Q6751" s="30" t="s">
        <v>2567</v>
      </c>
      <c r="R6751" s="33" t="s">
        <v>3472</v>
      </c>
      <c r="S6751">
        <v>36</v>
      </c>
      <c r="T6751" s="1" t="s">
        <v>12971</v>
      </c>
      <c r="U6751" s="1" t="str">
        <f>HYPERLINK("http://ictvonline.org/taxonomy/p/taxonomy-history?taxnode_id=202111105","ICTVonline=202111105")</f>
        <v>ICTVonline=202111105</v>
      </c>
    </row>
    <row r="6752" spans="1:21" x14ac:dyDescent="0.2">
      <c r="A6752" s="3">
        <v>6751</v>
      </c>
      <c r="B6752" s="1" t="s">
        <v>4226</v>
      </c>
      <c r="D6752" s="1" t="s">
        <v>5412</v>
      </c>
      <c r="F6752" s="1" t="s">
        <v>5466</v>
      </c>
      <c r="H6752" s="1" t="s">
        <v>6729</v>
      </c>
      <c r="J6752" s="1" t="s">
        <v>7432</v>
      </c>
      <c r="L6752" s="1" t="s">
        <v>7500</v>
      </c>
      <c r="N6752" s="1" t="s">
        <v>7627</v>
      </c>
      <c r="P6752" s="1" t="s">
        <v>7628</v>
      </c>
      <c r="Q6752" s="30" t="s">
        <v>2567</v>
      </c>
      <c r="R6752" s="33" t="s">
        <v>3472</v>
      </c>
      <c r="S6752">
        <v>36</v>
      </c>
      <c r="T6752" s="1" t="s">
        <v>12971</v>
      </c>
      <c r="U6752" s="1" t="str">
        <f>HYPERLINK("http://ictvonline.org/taxonomy/p/taxonomy-history?taxnode_id=202111107","ICTVonline=202111107")</f>
        <v>ICTVonline=202111107</v>
      </c>
    </row>
    <row r="6753" spans="1:21" x14ac:dyDescent="0.2">
      <c r="A6753" s="3">
        <v>6752</v>
      </c>
      <c r="B6753" s="1" t="s">
        <v>4226</v>
      </c>
      <c r="D6753" s="1" t="s">
        <v>5412</v>
      </c>
      <c r="F6753" s="1" t="s">
        <v>5466</v>
      </c>
      <c r="H6753" s="1" t="s">
        <v>6729</v>
      </c>
      <c r="J6753" s="1" t="s">
        <v>7432</v>
      </c>
      <c r="L6753" s="1" t="s">
        <v>7500</v>
      </c>
      <c r="N6753" s="1" t="s">
        <v>7627</v>
      </c>
      <c r="P6753" s="1" t="s">
        <v>7629</v>
      </c>
      <c r="Q6753" s="30" t="s">
        <v>2567</v>
      </c>
      <c r="R6753" s="33" t="s">
        <v>3472</v>
      </c>
      <c r="S6753">
        <v>36</v>
      </c>
      <c r="T6753" s="1" t="s">
        <v>12971</v>
      </c>
      <c r="U6753" s="1" t="str">
        <f>HYPERLINK("http://ictvonline.org/taxonomy/p/taxonomy-history?taxnode_id=202111108","ICTVonline=202111108")</f>
        <v>ICTVonline=202111108</v>
      </c>
    </row>
    <row r="6754" spans="1:21" x14ac:dyDescent="0.2">
      <c r="A6754" s="3">
        <v>6753</v>
      </c>
      <c r="B6754" s="1" t="s">
        <v>4226</v>
      </c>
      <c r="D6754" s="1" t="s">
        <v>5412</v>
      </c>
      <c r="F6754" s="1" t="s">
        <v>5466</v>
      </c>
      <c r="H6754" s="1" t="s">
        <v>6729</v>
      </c>
      <c r="J6754" s="1" t="s">
        <v>7432</v>
      </c>
      <c r="L6754" s="1" t="s">
        <v>7500</v>
      </c>
      <c r="N6754" s="1" t="s">
        <v>7630</v>
      </c>
      <c r="P6754" s="1" t="s">
        <v>7631</v>
      </c>
      <c r="Q6754" s="30" t="s">
        <v>2567</v>
      </c>
      <c r="R6754" s="33" t="s">
        <v>3472</v>
      </c>
      <c r="S6754">
        <v>36</v>
      </c>
      <c r="T6754" s="1" t="s">
        <v>12971</v>
      </c>
      <c r="U6754" s="1" t="str">
        <f>HYPERLINK("http://ictvonline.org/taxonomy/p/taxonomy-history?taxnode_id=202111110","ICTVonline=202111110")</f>
        <v>ICTVonline=202111110</v>
      </c>
    </row>
    <row r="6755" spans="1:21" x14ac:dyDescent="0.2">
      <c r="A6755" s="3">
        <v>6754</v>
      </c>
      <c r="B6755" s="1" t="s">
        <v>4226</v>
      </c>
      <c r="D6755" s="1" t="s">
        <v>5412</v>
      </c>
      <c r="F6755" s="1" t="s">
        <v>5466</v>
      </c>
      <c r="H6755" s="1" t="s">
        <v>6729</v>
      </c>
      <c r="J6755" s="1" t="s">
        <v>7432</v>
      </c>
      <c r="L6755" s="1" t="s">
        <v>7500</v>
      </c>
      <c r="N6755" s="1" t="s">
        <v>7632</v>
      </c>
      <c r="P6755" s="1" t="s">
        <v>7633</v>
      </c>
      <c r="Q6755" s="30" t="s">
        <v>2567</v>
      </c>
      <c r="R6755" s="33" t="s">
        <v>3472</v>
      </c>
      <c r="S6755">
        <v>36</v>
      </c>
      <c r="T6755" s="1" t="s">
        <v>12971</v>
      </c>
      <c r="U6755" s="1" t="str">
        <f>HYPERLINK("http://ictvonline.org/taxonomy/p/taxonomy-history?taxnode_id=202111112","ICTVonline=202111112")</f>
        <v>ICTVonline=202111112</v>
      </c>
    </row>
    <row r="6756" spans="1:21" x14ac:dyDescent="0.2">
      <c r="A6756" s="3">
        <v>6755</v>
      </c>
      <c r="B6756" s="1" t="s">
        <v>4226</v>
      </c>
      <c r="D6756" s="1" t="s">
        <v>5412</v>
      </c>
      <c r="F6756" s="1" t="s">
        <v>5466</v>
      </c>
      <c r="H6756" s="1" t="s">
        <v>6729</v>
      </c>
      <c r="J6756" s="1" t="s">
        <v>7432</v>
      </c>
      <c r="L6756" s="1" t="s">
        <v>7500</v>
      </c>
      <c r="N6756" s="1" t="s">
        <v>7634</v>
      </c>
      <c r="P6756" s="1" t="s">
        <v>7635</v>
      </c>
      <c r="Q6756" s="30" t="s">
        <v>2567</v>
      </c>
      <c r="R6756" s="33" t="s">
        <v>3472</v>
      </c>
      <c r="S6756">
        <v>36</v>
      </c>
      <c r="T6756" s="1" t="s">
        <v>12971</v>
      </c>
      <c r="U6756" s="1" t="str">
        <f>HYPERLINK("http://ictvonline.org/taxonomy/p/taxonomy-history?taxnode_id=202111114","ICTVonline=202111114")</f>
        <v>ICTVonline=202111114</v>
      </c>
    </row>
    <row r="6757" spans="1:21" x14ac:dyDescent="0.2">
      <c r="A6757" s="3">
        <v>6756</v>
      </c>
      <c r="B6757" s="1" t="s">
        <v>4226</v>
      </c>
      <c r="D6757" s="1" t="s">
        <v>5412</v>
      </c>
      <c r="F6757" s="1" t="s">
        <v>5466</v>
      </c>
      <c r="H6757" s="1" t="s">
        <v>6729</v>
      </c>
      <c r="J6757" s="1" t="s">
        <v>7432</v>
      </c>
      <c r="L6757" s="1" t="s">
        <v>7500</v>
      </c>
      <c r="N6757" s="1" t="s">
        <v>7636</v>
      </c>
      <c r="P6757" s="1" t="s">
        <v>7637</v>
      </c>
      <c r="Q6757" s="30" t="s">
        <v>2567</v>
      </c>
      <c r="R6757" s="33" t="s">
        <v>3472</v>
      </c>
      <c r="S6757">
        <v>36</v>
      </c>
      <c r="T6757" s="1" t="s">
        <v>12971</v>
      </c>
      <c r="U6757" s="1" t="str">
        <f>HYPERLINK("http://ictvonline.org/taxonomy/p/taxonomy-history?taxnode_id=202111116","ICTVonline=202111116")</f>
        <v>ICTVonline=202111116</v>
      </c>
    </row>
    <row r="6758" spans="1:21" x14ac:dyDescent="0.2">
      <c r="A6758" s="3">
        <v>6757</v>
      </c>
      <c r="B6758" s="1" t="s">
        <v>4226</v>
      </c>
      <c r="D6758" s="1" t="s">
        <v>5412</v>
      </c>
      <c r="F6758" s="1" t="s">
        <v>5466</v>
      </c>
      <c r="H6758" s="1" t="s">
        <v>6729</v>
      </c>
      <c r="J6758" s="1" t="s">
        <v>7432</v>
      </c>
      <c r="L6758" s="1" t="s">
        <v>7500</v>
      </c>
      <c r="N6758" s="1" t="s">
        <v>7638</v>
      </c>
      <c r="P6758" s="1" t="s">
        <v>7639</v>
      </c>
      <c r="Q6758" s="30" t="s">
        <v>2567</v>
      </c>
      <c r="R6758" s="33" t="s">
        <v>3472</v>
      </c>
      <c r="S6758">
        <v>36</v>
      </c>
      <c r="T6758" s="1" t="s">
        <v>12971</v>
      </c>
      <c r="U6758" s="1" t="str">
        <f>HYPERLINK("http://ictvonline.org/taxonomy/p/taxonomy-history?taxnode_id=202111118","ICTVonline=202111118")</f>
        <v>ICTVonline=202111118</v>
      </c>
    </row>
    <row r="6759" spans="1:21" x14ac:dyDescent="0.2">
      <c r="A6759" s="3">
        <v>6758</v>
      </c>
      <c r="B6759" s="1" t="s">
        <v>4226</v>
      </c>
      <c r="D6759" s="1" t="s">
        <v>5412</v>
      </c>
      <c r="F6759" s="1" t="s">
        <v>5466</v>
      </c>
      <c r="H6759" s="1" t="s">
        <v>6729</v>
      </c>
      <c r="J6759" s="1" t="s">
        <v>7432</v>
      </c>
      <c r="L6759" s="1" t="s">
        <v>7500</v>
      </c>
      <c r="N6759" s="1" t="s">
        <v>7638</v>
      </c>
      <c r="P6759" s="1" t="s">
        <v>7640</v>
      </c>
      <c r="Q6759" s="30" t="s">
        <v>2567</v>
      </c>
      <c r="R6759" s="33" t="s">
        <v>3472</v>
      </c>
      <c r="S6759">
        <v>36</v>
      </c>
      <c r="T6759" s="1" t="s">
        <v>12971</v>
      </c>
      <c r="U6759" s="1" t="str">
        <f>HYPERLINK("http://ictvonline.org/taxonomy/p/taxonomy-history?taxnode_id=202111119","ICTVonline=202111119")</f>
        <v>ICTVonline=202111119</v>
      </c>
    </row>
    <row r="6760" spans="1:21" x14ac:dyDescent="0.2">
      <c r="A6760" s="3">
        <v>6759</v>
      </c>
      <c r="B6760" s="1" t="s">
        <v>4226</v>
      </c>
      <c r="D6760" s="1" t="s">
        <v>5412</v>
      </c>
      <c r="F6760" s="1" t="s">
        <v>5466</v>
      </c>
      <c r="H6760" s="1" t="s">
        <v>6729</v>
      </c>
      <c r="J6760" s="1" t="s">
        <v>7432</v>
      </c>
      <c r="L6760" s="1" t="s">
        <v>7500</v>
      </c>
      <c r="N6760" s="1" t="s">
        <v>7641</v>
      </c>
      <c r="P6760" s="1" t="s">
        <v>7642</v>
      </c>
      <c r="Q6760" s="30" t="s">
        <v>2567</v>
      </c>
      <c r="R6760" s="33" t="s">
        <v>3472</v>
      </c>
      <c r="S6760">
        <v>36</v>
      </c>
      <c r="T6760" s="1" t="s">
        <v>12971</v>
      </c>
      <c r="U6760" s="1" t="str">
        <f>HYPERLINK("http://ictvonline.org/taxonomy/p/taxonomy-history?taxnode_id=202111121","ICTVonline=202111121")</f>
        <v>ICTVonline=202111121</v>
      </c>
    </row>
    <row r="6761" spans="1:21" x14ac:dyDescent="0.2">
      <c r="A6761" s="3">
        <v>6760</v>
      </c>
      <c r="B6761" s="1" t="s">
        <v>4226</v>
      </c>
      <c r="D6761" s="1" t="s">
        <v>5412</v>
      </c>
      <c r="F6761" s="1" t="s">
        <v>5466</v>
      </c>
      <c r="H6761" s="1" t="s">
        <v>6729</v>
      </c>
      <c r="J6761" s="1" t="s">
        <v>7432</v>
      </c>
      <c r="L6761" s="1" t="s">
        <v>7500</v>
      </c>
      <c r="N6761" s="1" t="s">
        <v>7643</v>
      </c>
      <c r="P6761" s="1" t="s">
        <v>7644</v>
      </c>
      <c r="Q6761" s="30" t="s">
        <v>2567</v>
      </c>
      <c r="R6761" s="33" t="s">
        <v>3472</v>
      </c>
      <c r="S6761">
        <v>36</v>
      </c>
      <c r="T6761" s="1" t="s">
        <v>12971</v>
      </c>
      <c r="U6761" s="1" t="str">
        <f>HYPERLINK("http://ictvonline.org/taxonomy/p/taxonomy-history?taxnode_id=202111123","ICTVonline=202111123")</f>
        <v>ICTVonline=202111123</v>
      </c>
    </row>
    <row r="6762" spans="1:21" x14ac:dyDescent="0.2">
      <c r="A6762" s="3">
        <v>6761</v>
      </c>
      <c r="B6762" s="1" t="s">
        <v>4226</v>
      </c>
      <c r="D6762" s="1" t="s">
        <v>5412</v>
      </c>
      <c r="F6762" s="1" t="s">
        <v>5466</v>
      </c>
      <c r="H6762" s="1" t="s">
        <v>6729</v>
      </c>
      <c r="J6762" s="1" t="s">
        <v>7432</v>
      </c>
      <c r="L6762" s="1" t="s">
        <v>7500</v>
      </c>
      <c r="N6762" s="1" t="s">
        <v>7645</v>
      </c>
      <c r="P6762" s="1" t="s">
        <v>7646</v>
      </c>
      <c r="Q6762" s="30" t="s">
        <v>2567</v>
      </c>
      <c r="R6762" s="33" t="s">
        <v>3472</v>
      </c>
      <c r="S6762">
        <v>36</v>
      </c>
      <c r="T6762" s="1" t="s">
        <v>12971</v>
      </c>
      <c r="U6762" s="1" t="str">
        <f>HYPERLINK("http://ictvonline.org/taxonomy/p/taxonomy-history?taxnode_id=202111125","ICTVonline=202111125")</f>
        <v>ICTVonline=202111125</v>
      </c>
    </row>
    <row r="6763" spans="1:21" x14ac:dyDescent="0.2">
      <c r="A6763" s="3">
        <v>6762</v>
      </c>
      <c r="B6763" s="1" t="s">
        <v>4226</v>
      </c>
      <c r="D6763" s="1" t="s">
        <v>5412</v>
      </c>
      <c r="F6763" s="1" t="s">
        <v>5466</v>
      </c>
      <c r="H6763" s="1" t="s">
        <v>6729</v>
      </c>
      <c r="J6763" s="1" t="s">
        <v>7432</v>
      </c>
      <c r="L6763" s="1" t="s">
        <v>7500</v>
      </c>
      <c r="N6763" s="1" t="s">
        <v>7645</v>
      </c>
      <c r="P6763" s="1" t="s">
        <v>7647</v>
      </c>
      <c r="Q6763" s="30" t="s">
        <v>2567</v>
      </c>
      <c r="R6763" s="33" t="s">
        <v>3472</v>
      </c>
      <c r="S6763">
        <v>36</v>
      </c>
      <c r="T6763" s="1" t="s">
        <v>12971</v>
      </c>
      <c r="U6763" s="1" t="str">
        <f>HYPERLINK("http://ictvonline.org/taxonomy/p/taxonomy-history?taxnode_id=202111126","ICTVonline=202111126")</f>
        <v>ICTVonline=202111126</v>
      </c>
    </row>
    <row r="6764" spans="1:21" x14ac:dyDescent="0.2">
      <c r="A6764" s="3">
        <v>6763</v>
      </c>
      <c r="B6764" s="1" t="s">
        <v>4226</v>
      </c>
      <c r="D6764" s="1" t="s">
        <v>5412</v>
      </c>
      <c r="F6764" s="1" t="s">
        <v>5466</v>
      </c>
      <c r="H6764" s="1" t="s">
        <v>6729</v>
      </c>
      <c r="J6764" s="1" t="s">
        <v>7432</v>
      </c>
      <c r="L6764" s="1" t="s">
        <v>7500</v>
      </c>
      <c r="N6764" s="1" t="s">
        <v>7648</v>
      </c>
      <c r="P6764" s="1" t="s">
        <v>7649</v>
      </c>
      <c r="Q6764" s="30" t="s">
        <v>2567</v>
      </c>
      <c r="R6764" s="33" t="s">
        <v>3472</v>
      </c>
      <c r="S6764">
        <v>36</v>
      </c>
      <c r="T6764" s="1" t="s">
        <v>12971</v>
      </c>
      <c r="U6764" s="1" t="str">
        <f>HYPERLINK("http://ictvonline.org/taxonomy/p/taxonomy-history?taxnode_id=202111128","ICTVonline=202111128")</f>
        <v>ICTVonline=202111128</v>
      </c>
    </row>
    <row r="6765" spans="1:21" x14ac:dyDescent="0.2">
      <c r="A6765" s="3">
        <v>6764</v>
      </c>
      <c r="B6765" s="1" t="s">
        <v>4226</v>
      </c>
      <c r="D6765" s="1" t="s">
        <v>5412</v>
      </c>
      <c r="F6765" s="1" t="s">
        <v>5466</v>
      </c>
      <c r="H6765" s="1" t="s">
        <v>6729</v>
      </c>
      <c r="J6765" s="1" t="s">
        <v>7432</v>
      </c>
      <c r="L6765" s="1" t="s">
        <v>7500</v>
      </c>
      <c r="N6765" s="1" t="s">
        <v>7650</v>
      </c>
      <c r="P6765" s="1" t="s">
        <v>7651</v>
      </c>
      <c r="Q6765" s="30" t="s">
        <v>2567</v>
      </c>
      <c r="R6765" s="33" t="s">
        <v>3472</v>
      </c>
      <c r="S6765">
        <v>36</v>
      </c>
      <c r="T6765" s="1" t="s">
        <v>12971</v>
      </c>
      <c r="U6765" s="1" t="str">
        <f>HYPERLINK("http://ictvonline.org/taxonomy/p/taxonomy-history?taxnode_id=202111131","ICTVonline=202111131")</f>
        <v>ICTVonline=202111131</v>
      </c>
    </row>
    <row r="6766" spans="1:21" x14ac:dyDescent="0.2">
      <c r="A6766" s="3">
        <v>6765</v>
      </c>
      <c r="B6766" s="1" t="s">
        <v>4226</v>
      </c>
      <c r="D6766" s="1" t="s">
        <v>5412</v>
      </c>
      <c r="F6766" s="1" t="s">
        <v>5466</v>
      </c>
      <c r="H6766" s="1" t="s">
        <v>6729</v>
      </c>
      <c r="J6766" s="1" t="s">
        <v>7432</v>
      </c>
      <c r="L6766" s="1" t="s">
        <v>7500</v>
      </c>
      <c r="N6766" s="1" t="s">
        <v>7650</v>
      </c>
      <c r="P6766" s="1" t="s">
        <v>7652</v>
      </c>
      <c r="Q6766" s="30" t="s">
        <v>2567</v>
      </c>
      <c r="R6766" s="33" t="s">
        <v>3472</v>
      </c>
      <c r="S6766">
        <v>36</v>
      </c>
      <c r="T6766" s="1" t="s">
        <v>12971</v>
      </c>
      <c r="U6766" s="1" t="str">
        <f>HYPERLINK("http://ictvonline.org/taxonomy/p/taxonomy-history?taxnode_id=202111130","ICTVonline=202111130")</f>
        <v>ICTVonline=202111130</v>
      </c>
    </row>
    <row r="6767" spans="1:21" x14ac:dyDescent="0.2">
      <c r="A6767" s="3">
        <v>6766</v>
      </c>
      <c r="B6767" s="1" t="s">
        <v>4226</v>
      </c>
      <c r="D6767" s="1" t="s">
        <v>5412</v>
      </c>
      <c r="F6767" s="1" t="s">
        <v>5466</v>
      </c>
      <c r="H6767" s="1" t="s">
        <v>6729</v>
      </c>
      <c r="J6767" s="1" t="s">
        <v>7432</v>
      </c>
      <c r="L6767" s="1" t="s">
        <v>7500</v>
      </c>
      <c r="N6767" s="1" t="s">
        <v>7653</v>
      </c>
      <c r="P6767" s="1" t="s">
        <v>7654</v>
      </c>
      <c r="Q6767" s="30" t="s">
        <v>2567</v>
      </c>
      <c r="R6767" s="33" t="s">
        <v>3472</v>
      </c>
      <c r="S6767">
        <v>36</v>
      </c>
      <c r="T6767" s="1" t="s">
        <v>12971</v>
      </c>
      <c r="U6767" s="1" t="str">
        <f>HYPERLINK("http://ictvonline.org/taxonomy/p/taxonomy-history?taxnode_id=202111217","ICTVonline=202111217")</f>
        <v>ICTVonline=202111217</v>
      </c>
    </row>
    <row r="6768" spans="1:21" x14ac:dyDescent="0.2">
      <c r="A6768" s="3">
        <v>6767</v>
      </c>
      <c r="B6768" s="1" t="s">
        <v>4226</v>
      </c>
      <c r="D6768" s="1" t="s">
        <v>5412</v>
      </c>
      <c r="F6768" s="1" t="s">
        <v>5466</v>
      </c>
      <c r="H6768" s="1" t="s">
        <v>6729</v>
      </c>
      <c r="J6768" s="1" t="s">
        <v>7432</v>
      </c>
      <c r="L6768" s="1" t="s">
        <v>7500</v>
      </c>
      <c r="N6768" s="1" t="s">
        <v>7653</v>
      </c>
      <c r="P6768" s="1" t="s">
        <v>7655</v>
      </c>
      <c r="Q6768" s="30" t="s">
        <v>2567</v>
      </c>
      <c r="R6768" s="33" t="s">
        <v>3472</v>
      </c>
      <c r="S6768">
        <v>36</v>
      </c>
      <c r="T6768" s="1" t="s">
        <v>12971</v>
      </c>
      <c r="U6768" s="1" t="str">
        <f>HYPERLINK("http://ictvonline.org/taxonomy/p/taxonomy-history?taxnode_id=202111219","ICTVonline=202111219")</f>
        <v>ICTVonline=202111219</v>
      </c>
    </row>
    <row r="6769" spans="1:21" x14ac:dyDescent="0.2">
      <c r="A6769" s="3">
        <v>6768</v>
      </c>
      <c r="B6769" s="1" t="s">
        <v>4226</v>
      </c>
      <c r="D6769" s="1" t="s">
        <v>5412</v>
      </c>
      <c r="F6769" s="1" t="s">
        <v>5466</v>
      </c>
      <c r="H6769" s="1" t="s">
        <v>6729</v>
      </c>
      <c r="J6769" s="1" t="s">
        <v>7432</v>
      </c>
      <c r="L6769" s="1" t="s">
        <v>7500</v>
      </c>
      <c r="N6769" s="1" t="s">
        <v>7653</v>
      </c>
      <c r="P6769" s="1" t="s">
        <v>7656</v>
      </c>
      <c r="Q6769" s="30" t="s">
        <v>2567</v>
      </c>
      <c r="R6769" s="33" t="s">
        <v>3472</v>
      </c>
      <c r="S6769">
        <v>36</v>
      </c>
      <c r="T6769" s="1" t="s">
        <v>12971</v>
      </c>
      <c r="U6769" s="1" t="str">
        <f>HYPERLINK("http://ictvonline.org/taxonomy/p/taxonomy-history?taxnode_id=202111218","ICTVonline=202111218")</f>
        <v>ICTVonline=202111218</v>
      </c>
    </row>
    <row r="6770" spans="1:21" x14ac:dyDescent="0.2">
      <c r="A6770" s="3">
        <v>6769</v>
      </c>
      <c r="B6770" s="1" t="s">
        <v>4226</v>
      </c>
      <c r="D6770" s="1" t="s">
        <v>5412</v>
      </c>
      <c r="F6770" s="1" t="s">
        <v>5466</v>
      </c>
      <c r="H6770" s="1" t="s">
        <v>6729</v>
      </c>
      <c r="J6770" s="1" t="s">
        <v>7432</v>
      </c>
      <c r="L6770" s="1" t="s">
        <v>7500</v>
      </c>
      <c r="N6770" s="1" t="s">
        <v>7653</v>
      </c>
      <c r="P6770" s="1" t="s">
        <v>7657</v>
      </c>
      <c r="Q6770" s="30" t="s">
        <v>2567</v>
      </c>
      <c r="R6770" s="33" t="s">
        <v>3472</v>
      </c>
      <c r="S6770">
        <v>36</v>
      </c>
      <c r="T6770" s="1" t="s">
        <v>12971</v>
      </c>
      <c r="U6770" s="1" t="str">
        <f>HYPERLINK("http://ictvonline.org/taxonomy/p/taxonomy-history?taxnode_id=202111220","ICTVonline=202111220")</f>
        <v>ICTVonline=202111220</v>
      </c>
    </row>
    <row r="6771" spans="1:21" x14ac:dyDescent="0.2">
      <c r="A6771" s="3">
        <v>6770</v>
      </c>
      <c r="B6771" s="1" t="s">
        <v>4226</v>
      </c>
      <c r="D6771" s="1" t="s">
        <v>5412</v>
      </c>
      <c r="F6771" s="1" t="s">
        <v>5466</v>
      </c>
      <c r="H6771" s="1" t="s">
        <v>6729</v>
      </c>
      <c r="J6771" s="1" t="s">
        <v>7432</v>
      </c>
      <c r="L6771" s="1" t="s">
        <v>7500</v>
      </c>
      <c r="N6771" s="1" t="s">
        <v>7653</v>
      </c>
      <c r="P6771" s="1" t="s">
        <v>7658</v>
      </c>
      <c r="Q6771" s="30" t="s">
        <v>2567</v>
      </c>
      <c r="R6771" s="33" t="s">
        <v>3472</v>
      </c>
      <c r="S6771">
        <v>36</v>
      </c>
      <c r="T6771" s="1" t="s">
        <v>12971</v>
      </c>
      <c r="U6771" s="1" t="str">
        <f>HYPERLINK("http://ictvonline.org/taxonomy/p/taxonomy-history?taxnode_id=202111221","ICTVonline=202111221")</f>
        <v>ICTVonline=202111221</v>
      </c>
    </row>
    <row r="6772" spans="1:21" x14ac:dyDescent="0.2">
      <c r="A6772" s="3">
        <v>6771</v>
      </c>
      <c r="B6772" s="1" t="s">
        <v>4226</v>
      </c>
      <c r="D6772" s="1" t="s">
        <v>5412</v>
      </c>
      <c r="F6772" s="1" t="s">
        <v>5466</v>
      </c>
      <c r="H6772" s="1" t="s">
        <v>6729</v>
      </c>
      <c r="J6772" s="1" t="s">
        <v>7432</v>
      </c>
      <c r="L6772" s="1" t="s">
        <v>7500</v>
      </c>
      <c r="N6772" s="1" t="s">
        <v>7653</v>
      </c>
      <c r="P6772" s="1" t="s">
        <v>7659</v>
      </c>
      <c r="Q6772" s="30" t="s">
        <v>2567</v>
      </c>
      <c r="R6772" s="33" t="s">
        <v>3472</v>
      </c>
      <c r="S6772">
        <v>36</v>
      </c>
      <c r="T6772" s="1" t="s">
        <v>12971</v>
      </c>
      <c r="U6772" s="1" t="str">
        <f>HYPERLINK("http://ictvonline.org/taxonomy/p/taxonomy-history?taxnode_id=202111222","ICTVonline=202111222")</f>
        <v>ICTVonline=202111222</v>
      </c>
    </row>
    <row r="6773" spans="1:21" x14ac:dyDescent="0.2">
      <c r="A6773" s="3">
        <v>6772</v>
      </c>
      <c r="B6773" s="1" t="s">
        <v>4226</v>
      </c>
      <c r="D6773" s="1" t="s">
        <v>5412</v>
      </c>
      <c r="F6773" s="1" t="s">
        <v>5466</v>
      </c>
      <c r="H6773" s="1" t="s">
        <v>6729</v>
      </c>
      <c r="J6773" s="1" t="s">
        <v>7432</v>
      </c>
      <c r="L6773" s="1" t="s">
        <v>7500</v>
      </c>
      <c r="N6773" s="1" t="s">
        <v>7653</v>
      </c>
      <c r="P6773" s="1" t="s">
        <v>7660</v>
      </c>
      <c r="Q6773" s="30" t="s">
        <v>2567</v>
      </c>
      <c r="R6773" s="33" t="s">
        <v>3472</v>
      </c>
      <c r="S6773">
        <v>36</v>
      </c>
      <c r="T6773" s="1" t="s">
        <v>12971</v>
      </c>
      <c r="U6773" s="1" t="str">
        <f>HYPERLINK("http://ictvonline.org/taxonomy/p/taxonomy-history?taxnode_id=202111162","ICTVonline=202111162")</f>
        <v>ICTVonline=202111162</v>
      </c>
    </row>
    <row r="6774" spans="1:21" x14ac:dyDescent="0.2">
      <c r="A6774" s="3">
        <v>6773</v>
      </c>
      <c r="B6774" s="1" t="s">
        <v>4226</v>
      </c>
      <c r="D6774" s="1" t="s">
        <v>5412</v>
      </c>
      <c r="F6774" s="1" t="s">
        <v>5466</v>
      </c>
      <c r="H6774" s="1" t="s">
        <v>6729</v>
      </c>
      <c r="J6774" s="1" t="s">
        <v>7432</v>
      </c>
      <c r="L6774" s="1" t="s">
        <v>7500</v>
      </c>
      <c r="N6774" s="1" t="s">
        <v>7653</v>
      </c>
      <c r="P6774" s="1" t="s">
        <v>7661</v>
      </c>
      <c r="Q6774" s="30" t="s">
        <v>2567</v>
      </c>
      <c r="R6774" s="33" t="s">
        <v>3472</v>
      </c>
      <c r="S6774">
        <v>36</v>
      </c>
      <c r="T6774" s="1" t="s">
        <v>12971</v>
      </c>
      <c r="U6774" s="1" t="str">
        <f>HYPERLINK("http://ictvonline.org/taxonomy/p/taxonomy-history?taxnode_id=202111164","ICTVonline=202111164")</f>
        <v>ICTVonline=202111164</v>
      </c>
    </row>
    <row r="6775" spans="1:21" x14ac:dyDescent="0.2">
      <c r="A6775" s="3">
        <v>6774</v>
      </c>
      <c r="B6775" s="1" t="s">
        <v>4226</v>
      </c>
      <c r="D6775" s="1" t="s">
        <v>5412</v>
      </c>
      <c r="F6775" s="1" t="s">
        <v>5466</v>
      </c>
      <c r="H6775" s="1" t="s">
        <v>6729</v>
      </c>
      <c r="J6775" s="1" t="s">
        <v>7432</v>
      </c>
      <c r="L6775" s="1" t="s">
        <v>7500</v>
      </c>
      <c r="N6775" s="1" t="s">
        <v>7653</v>
      </c>
      <c r="P6775" s="1" t="s">
        <v>7662</v>
      </c>
      <c r="Q6775" s="30" t="s">
        <v>2567</v>
      </c>
      <c r="R6775" s="33" t="s">
        <v>3472</v>
      </c>
      <c r="S6775">
        <v>36</v>
      </c>
      <c r="T6775" s="1" t="s">
        <v>12971</v>
      </c>
      <c r="U6775" s="1" t="str">
        <f>HYPERLINK("http://ictvonline.org/taxonomy/p/taxonomy-history?taxnode_id=202111163","ICTVonline=202111163")</f>
        <v>ICTVonline=202111163</v>
      </c>
    </row>
    <row r="6776" spans="1:21" x14ac:dyDescent="0.2">
      <c r="A6776" s="3">
        <v>6775</v>
      </c>
      <c r="B6776" s="1" t="s">
        <v>4226</v>
      </c>
      <c r="D6776" s="1" t="s">
        <v>5412</v>
      </c>
      <c r="F6776" s="1" t="s">
        <v>5466</v>
      </c>
      <c r="H6776" s="1" t="s">
        <v>6729</v>
      </c>
      <c r="J6776" s="1" t="s">
        <v>7432</v>
      </c>
      <c r="L6776" s="1" t="s">
        <v>7500</v>
      </c>
      <c r="N6776" s="1" t="s">
        <v>7653</v>
      </c>
      <c r="P6776" s="1" t="s">
        <v>7663</v>
      </c>
      <c r="Q6776" s="30" t="s">
        <v>2567</v>
      </c>
      <c r="R6776" s="33" t="s">
        <v>3472</v>
      </c>
      <c r="S6776">
        <v>36</v>
      </c>
      <c r="T6776" s="1" t="s">
        <v>12971</v>
      </c>
      <c r="U6776" s="1" t="str">
        <f>HYPERLINK("http://ictvonline.org/taxonomy/p/taxonomy-history?taxnode_id=202111165","ICTVonline=202111165")</f>
        <v>ICTVonline=202111165</v>
      </c>
    </row>
    <row r="6777" spans="1:21" x14ac:dyDescent="0.2">
      <c r="A6777" s="3">
        <v>6776</v>
      </c>
      <c r="B6777" s="1" t="s">
        <v>4226</v>
      </c>
      <c r="D6777" s="1" t="s">
        <v>5412</v>
      </c>
      <c r="F6777" s="1" t="s">
        <v>5466</v>
      </c>
      <c r="H6777" s="1" t="s">
        <v>6729</v>
      </c>
      <c r="J6777" s="1" t="s">
        <v>7432</v>
      </c>
      <c r="L6777" s="1" t="s">
        <v>7500</v>
      </c>
      <c r="N6777" s="1" t="s">
        <v>7653</v>
      </c>
      <c r="P6777" s="1" t="s">
        <v>7664</v>
      </c>
      <c r="Q6777" s="30" t="s">
        <v>2567</v>
      </c>
      <c r="R6777" s="33" t="s">
        <v>3472</v>
      </c>
      <c r="S6777">
        <v>36</v>
      </c>
      <c r="T6777" s="1" t="s">
        <v>12971</v>
      </c>
      <c r="U6777" s="1" t="str">
        <f>HYPERLINK("http://ictvonline.org/taxonomy/p/taxonomy-history?taxnode_id=202111166","ICTVonline=202111166")</f>
        <v>ICTVonline=202111166</v>
      </c>
    </row>
    <row r="6778" spans="1:21" x14ac:dyDescent="0.2">
      <c r="A6778" s="3">
        <v>6777</v>
      </c>
      <c r="B6778" s="1" t="s">
        <v>4226</v>
      </c>
      <c r="D6778" s="1" t="s">
        <v>5412</v>
      </c>
      <c r="F6778" s="1" t="s">
        <v>5466</v>
      </c>
      <c r="H6778" s="1" t="s">
        <v>6729</v>
      </c>
      <c r="J6778" s="1" t="s">
        <v>7432</v>
      </c>
      <c r="L6778" s="1" t="s">
        <v>7500</v>
      </c>
      <c r="N6778" s="1" t="s">
        <v>7653</v>
      </c>
      <c r="P6778" s="1" t="s">
        <v>7665</v>
      </c>
      <c r="Q6778" s="30" t="s">
        <v>2567</v>
      </c>
      <c r="R6778" s="33" t="s">
        <v>3472</v>
      </c>
      <c r="S6778">
        <v>36</v>
      </c>
      <c r="T6778" s="1" t="s">
        <v>12971</v>
      </c>
      <c r="U6778" s="1" t="str">
        <f>HYPERLINK("http://ictvonline.org/taxonomy/p/taxonomy-history?taxnode_id=202111167","ICTVonline=202111167")</f>
        <v>ICTVonline=202111167</v>
      </c>
    </row>
    <row r="6779" spans="1:21" x14ac:dyDescent="0.2">
      <c r="A6779" s="3">
        <v>6778</v>
      </c>
      <c r="B6779" s="1" t="s">
        <v>4226</v>
      </c>
      <c r="D6779" s="1" t="s">
        <v>5412</v>
      </c>
      <c r="F6779" s="1" t="s">
        <v>5466</v>
      </c>
      <c r="H6779" s="1" t="s">
        <v>6729</v>
      </c>
      <c r="J6779" s="1" t="s">
        <v>7432</v>
      </c>
      <c r="L6779" s="1" t="s">
        <v>7500</v>
      </c>
      <c r="N6779" s="1" t="s">
        <v>7653</v>
      </c>
      <c r="P6779" s="1" t="s">
        <v>7666</v>
      </c>
      <c r="Q6779" s="30" t="s">
        <v>2567</v>
      </c>
      <c r="R6779" s="33" t="s">
        <v>3472</v>
      </c>
      <c r="S6779">
        <v>36</v>
      </c>
      <c r="T6779" s="1" t="s">
        <v>12971</v>
      </c>
      <c r="U6779" s="1" t="str">
        <f>HYPERLINK("http://ictvonline.org/taxonomy/p/taxonomy-history?taxnode_id=202111208","ICTVonline=202111208")</f>
        <v>ICTVonline=202111208</v>
      </c>
    </row>
    <row r="6780" spans="1:21" x14ac:dyDescent="0.2">
      <c r="A6780" s="3">
        <v>6779</v>
      </c>
      <c r="B6780" s="1" t="s">
        <v>4226</v>
      </c>
      <c r="D6780" s="1" t="s">
        <v>5412</v>
      </c>
      <c r="F6780" s="1" t="s">
        <v>5466</v>
      </c>
      <c r="H6780" s="1" t="s">
        <v>6729</v>
      </c>
      <c r="J6780" s="1" t="s">
        <v>7432</v>
      </c>
      <c r="L6780" s="1" t="s">
        <v>7500</v>
      </c>
      <c r="N6780" s="1" t="s">
        <v>7653</v>
      </c>
      <c r="P6780" s="1" t="s">
        <v>7667</v>
      </c>
      <c r="Q6780" s="30" t="s">
        <v>2567</v>
      </c>
      <c r="R6780" s="33" t="s">
        <v>3472</v>
      </c>
      <c r="S6780">
        <v>36</v>
      </c>
      <c r="T6780" s="1" t="s">
        <v>12971</v>
      </c>
      <c r="U6780" s="1" t="str">
        <f>HYPERLINK("http://ictvonline.org/taxonomy/p/taxonomy-history?taxnode_id=202111223","ICTVonline=202111223")</f>
        <v>ICTVonline=202111223</v>
      </c>
    </row>
    <row r="6781" spans="1:21" x14ac:dyDescent="0.2">
      <c r="A6781" s="3">
        <v>6780</v>
      </c>
      <c r="B6781" s="1" t="s">
        <v>4226</v>
      </c>
      <c r="D6781" s="1" t="s">
        <v>5412</v>
      </c>
      <c r="F6781" s="1" t="s">
        <v>5466</v>
      </c>
      <c r="H6781" s="1" t="s">
        <v>6729</v>
      </c>
      <c r="J6781" s="1" t="s">
        <v>7432</v>
      </c>
      <c r="L6781" s="1" t="s">
        <v>7500</v>
      </c>
      <c r="N6781" s="1" t="s">
        <v>7653</v>
      </c>
      <c r="P6781" s="1" t="s">
        <v>7668</v>
      </c>
      <c r="Q6781" s="30" t="s">
        <v>2567</v>
      </c>
      <c r="R6781" s="33" t="s">
        <v>3472</v>
      </c>
      <c r="S6781">
        <v>36</v>
      </c>
      <c r="T6781" s="1" t="s">
        <v>12971</v>
      </c>
      <c r="U6781" s="1" t="str">
        <f>HYPERLINK("http://ictvonline.org/taxonomy/p/taxonomy-history?taxnode_id=202111225","ICTVonline=202111225")</f>
        <v>ICTVonline=202111225</v>
      </c>
    </row>
    <row r="6782" spans="1:21" x14ac:dyDescent="0.2">
      <c r="A6782" s="3">
        <v>6781</v>
      </c>
      <c r="B6782" s="1" t="s">
        <v>4226</v>
      </c>
      <c r="D6782" s="1" t="s">
        <v>5412</v>
      </c>
      <c r="F6782" s="1" t="s">
        <v>5466</v>
      </c>
      <c r="H6782" s="1" t="s">
        <v>6729</v>
      </c>
      <c r="J6782" s="1" t="s">
        <v>7432</v>
      </c>
      <c r="L6782" s="1" t="s">
        <v>7500</v>
      </c>
      <c r="N6782" s="1" t="s">
        <v>7653</v>
      </c>
      <c r="P6782" s="1" t="s">
        <v>7669</v>
      </c>
      <c r="Q6782" s="30" t="s">
        <v>2567</v>
      </c>
      <c r="R6782" s="33" t="s">
        <v>3472</v>
      </c>
      <c r="S6782">
        <v>36</v>
      </c>
      <c r="T6782" s="1" t="s">
        <v>12971</v>
      </c>
      <c r="U6782" s="1" t="str">
        <f>HYPERLINK("http://ictvonline.org/taxonomy/p/taxonomy-history?taxnode_id=202111224","ICTVonline=202111224")</f>
        <v>ICTVonline=202111224</v>
      </c>
    </row>
    <row r="6783" spans="1:21" x14ac:dyDescent="0.2">
      <c r="A6783" s="3">
        <v>6782</v>
      </c>
      <c r="B6783" s="1" t="s">
        <v>4226</v>
      </c>
      <c r="D6783" s="1" t="s">
        <v>5412</v>
      </c>
      <c r="F6783" s="1" t="s">
        <v>5466</v>
      </c>
      <c r="H6783" s="1" t="s">
        <v>6729</v>
      </c>
      <c r="J6783" s="1" t="s">
        <v>7432</v>
      </c>
      <c r="L6783" s="1" t="s">
        <v>7500</v>
      </c>
      <c r="N6783" s="1" t="s">
        <v>7653</v>
      </c>
      <c r="P6783" s="1" t="s">
        <v>7670</v>
      </c>
      <c r="Q6783" s="30" t="s">
        <v>2567</v>
      </c>
      <c r="R6783" s="33" t="s">
        <v>3472</v>
      </c>
      <c r="S6783">
        <v>36</v>
      </c>
      <c r="T6783" s="1" t="s">
        <v>12971</v>
      </c>
      <c r="U6783" s="1" t="str">
        <f>HYPERLINK("http://ictvonline.org/taxonomy/p/taxonomy-history?taxnode_id=202111226","ICTVonline=202111226")</f>
        <v>ICTVonline=202111226</v>
      </c>
    </row>
    <row r="6784" spans="1:21" x14ac:dyDescent="0.2">
      <c r="A6784" s="3">
        <v>6783</v>
      </c>
      <c r="B6784" s="1" t="s">
        <v>4226</v>
      </c>
      <c r="D6784" s="1" t="s">
        <v>5412</v>
      </c>
      <c r="F6784" s="1" t="s">
        <v>5466</v>
      </c>
      <c r="H6784" s="1" t="s">
        <v>6729</v>
      </c>
      <c r="J6784" s="1" t="s">
        <v>7432</v>
      </c>
      <c r="L6784" s="1" t="s">
        <v>7500</v>
      </c>
      <c r="N6784" s="1" t="s">
        <v>7653</v>
      </c>
      <c r="P6784" s="1" t="s">
        <v>7671</v>
      </c>
      <c r="Q6784" s="30" t="s">
        <v>2567</v>
      </c>
      <c r="R6784" s="33" t="s">
        <v>3472</v>
      </c>
      <c r="S6784">
        <v>36</v>
      </c>
      <c r="T6784" s="1" t="s">
        <v>12971</v>
      </c>
      <c r="U6784" s="1" t="str">
        <f>HYPERLINK("http://ictvonline.org/taxonomy/p/taxonomy-history?taxnode_id=202111227","ICTVonline=202111227")</f>
        <v>ICTVonline=202111227</v>
      </c>
    </row>
    <row r="6785" spans="1:21" x14ac:dyDescent="0.2">
      <c r="A6785" s="3">
        <v>6784</v>
      </c>
      <c r="B6785" s="1" t="s">
        <v>4226</v>
      </c>
      <c r="D6785" s="1" t="s">
        <v>5412</v>
      </c>
      <c r="F6785" s="1" t="s">
        <v>5466</v>
      </c>
      <c r="H6785" s="1" t="s">
        <v>6729</v>
      </c>
      <c r="J6785" s="1" t="s">
        <v>7432</v>
      </c>
      <c r="L6785" s="1" t="s">
        <v>7500</v>
      </c>
      <c r="N6785" s="1" t="s">
        <v>7653</v>
      </c>
      <c r="P6785" s="1" t="s">
        <v>7672</v>
      </c>
      <c r="Q6785" s="30" t="s">
        <v>2567</v>
      </c>
      <c r="R6785" s="33" t="s">
        <v>3472</v>
      </c>
      <c r="S6785">
        <v>36</v>
      </c>
      <c r="T6785" s="1" t="s">
        <v>12971</v>
      </c>
      <c r="U6785" s="1" t="str">
        <f>HYPERLINK("http://ictvonline.org/taxonomy/p/taxonomy-history?taxnode_id=202111228","ICTVonline=202111228")</f>
        <v>ICTVonline=202111228</v>
      </c>
    </row>
    <row r="6786" spans="1:21" x14ac:dyDescent="0.2">
      <c r="A6786" s="3">
        <v>6785</v>
      </c>
      <c r="B6786" s="1" t="s">
        <v>4226</v>
      </c>
      <c r="D6786" s="1" t="s">
        <v>5412</v>
      </c>
      <c r="F6786" s="1" t="s">
        <v>5466</v>
      </c>
      <c r="H6786" s="1" t="s">
        <v>6729</v>
      </c>
      <c r="J6786" s="1" t="s">
        <v>7432</v>
      </c>
      <c r="L6786" s="1" t="s">
        <v>7500</v>
      </c>
      <c r="N6786" s="1" t="s">
        <v>7653</v>
      </c>
      <c r="P6786" s="1" t="s">
        <v>7673</v>
      </c>
      <c r="Q6786" s="30" t="s">
        <v>2567</v>
      </c>
      <c r="R6786" s="33" t="s">
        <v>3472</v>
      </c>
      <c r="S6786">
        <v>36</v>
      </c>
      <c r="T6786" s="1" t="s">
        <v>12971</v>
      </c>
      <c r="U6786" s="1" t="str">
        <f>HYPERLINK("http://ictvonline.org/taxonomy/p/taxonomy-history?taxnode_id=202111186","ICTVonline=202111186")</f>
        <v>ICTVonline=202111186</v>
      </c>
    </row>
    <row r="6787" spans="1:21" x14ac:dyDescent="0.2">
      <c r="A6787" s="3">
        <v>6786</v>
      </c>
      <c r="B6787" s="1" t="s">
        <v>4226</v>
      </c>
      <c r="D6787" s="1" t="s">
        <v>5412</v>
      </c>
      <c r="F6787" s="1" t="s">
        <v>5466</v>
      </c>
      <c r="H6787" s="1" t="s">
        <v>6729</v>
      </c>
      <c r="J6787" s="1" t="s">
        <v>7432</v>
      </c>
      <c r="L6787" s="1" t="s">
        <v>7500</v>
      </c>
      <c r="N6787" s="1" t="s">
        <v>7653</v>
      </c>
      <c r="P6787" s="1" t="s">
        <v>7674</v>
      </c>
      <c r="Q6787" s="30" t="s">
        <v>2567</v>
      </c>
      <c r="R6787" s="33" t="s">
        <v>3472</v>
      </c>
      <c r="S6787">
        <v>36</v>
      </c>
      <c r="T6787" s="1" t="s">
        <v>12971</v>
      </c>
      <c r="U6787" s="1" t="str">
        <f>HYPERLINK("http://ictvonline.org/taxonomy/p/taxonomy-history?taxnode_id=202111188","ICTVonline=202111188")</f>
        <v>ICTVonline=202111188</v>
      </c>
    </row>
    <row r="6788" spans="1:21" x14ac:dyDescent="0.2">
      <c r="A6788" s="3">
        <v>6787</v>
      </c>
      <c r="B6788" s="1" t="s">
        <v>4226</v>
      </c>
      <c r="D6788" s="1" t="s">
        <v>5412</v>
      </c>
      <c r="F6788" s="1" t="s">
        <v>5466</v>
      </c>
      <c r="H6788" s="1" t="s">
        <v>6729</v>
      </c>
      <c r="J6788" s="1" t="s">
        <v>7432</v>
      </c>
      <c r="L6788" s="1" t="s">
        <v>7500</v>
      </c>
      <c r="N6788" s="1" t="s">
        <v>7653</v>
      </c>
      <c r="P6788" s="1" t="s">
        <v>7675</v>
      </c>
      <c r="Q6788" s="30" t="s">
        <v>2567</v>
      </c>
      <c r="R6788" s="33" t="s">
        <v>3472</v>
      </c>
      <c r="S6788">
        <v>36</v>
      </c>
      <c r="T6788" s="1" t="s">
        <v>12971</v>
      </c>
      <c r="U6788" s="1" t="str">
        <f>HYPERLINK("http://ictvonline.org/taxonomy/p/taxonomy-history?taxnode_id=202111187","ICTVonline=202111187")</f>
        <v>ICTVonline=202111187</v>
      </c>
    </row>
    <row r="6789" spans="1:21" x14ac:dyDescent="0.2">
      <c r="A6789" s="3">
        <v>6788</v>
      </c>
      <c r="B6789" s="1" t="s">
        <v>4226</v>
      </c>
      <c r="D6789" s="1" t="s">
        <v>5412</v>
      </c>
      <c r="F6789" s="1" t="s">
        <v>5466</v>
      </c>
      <c r="H6789" s="1" t="s">
        <v>6729</v>
      </c>
      <c r="J6789" s="1" t="s">
        <v>7432</v>
      </c>
      <c r="L6789" s="1" t="s">
        <v>7500</v>
      </c>
      <c r="N6789" s="1" t="s">
        <v>7653</v>
      </c>
      <c r="P6789" s="1" t="s">
        <v>7676</v>
      </c>
      <c r="Q6789" s="30" t="s">
        <v>2567</v>
      </c>
      <c r="R6789" s="33" t="s">
        <v>3472</v>
      </c>
      <c r="S6789">
        <v>36</v>
      </c>
      <c r="T6789" s="1" t="s">
        <v>12971</v>
      </c>
      <c r="U6789" s="1" t="str">
        <f>HYPERLINK("http://ictvonline.org/taxonomy/p/taxonomy-history?taxnode_id=202111189","ICTVonline=202111189")</f>
        <v>ICTVonline=202111189</v>
      </c>
    </row>
    <row r="6790" spans="1:21" x14ac:dyDescent="0.2">
      <c r="A6790" s="3">
        <v>6789</v>
      </c>
      <c r="B6790" s="1" t="s">
        <v>4226</v>
      </c>
      <c r="D6790" s="1" t="s">
        <v>5412</v>
      </c>
      <c r="F6790" s="1" t="s">
        <v>5466</v>
      </c>
      <c r="H6790" s="1" t="s">
        <v>6729</v>
      </c>
      <c r="J6790" s="1" t="s">
        <v>7432</v>
      </c>
      <c r="L6790" s="1" t="s">
        <v>7500</v>
      </c>
      <c r="N6790" s="1" t="s">
        <v>7653</v>
      </c>
      <c r="P6790" s="1" t="s">
        <v>7677</v>
      </c>
      <c r="Q6790" s="30" t="s">
        <v>2567</v>
      </c>
      <c r="R6790" s="33" t="s">
        <v>3472</v>
      </c>
      <c r="S6790">
        <v>36</v>
      </c>
      <c r="T6790" s="1" t="s">
        <v>12971</v>
      </c>
      <c r="U6790" s="1" t="str">
        <f>HYPERLINK("http://ictvonline.org/taxonomy/p/taxonomy-history?taxnode_id=202111190","ICTVonline=202111190")</f>
        <v>ICTVonline=202111190</v>
      </c>
    </row>
    <row r="6791" spans="1:21" x14ac:dyDescent="0.2">
      <c r="A6791" s="3">
        <v>6790</v>
      </c>
      <c r="B6791" s="1" t="s">
        <v>4226</v>
      </c>
      <c r="D6791" s="1" t="s">
        <v>5412</v>
      </c>
      <c r="F6791" s="1" t="s">
        <v>5466</v>
      </c>
      <c r="H6791" s="1" t="s">
        <v>6729</v>
      </c>
      <c r="J6791" s="1" t="s">
        <v>7432</v>
      </c>
      <c r="L6791" s="1" t="s">
        <v>7500</v>
      </c>
      <c r="N6791" s="1" t="s">
        <v>7653</v>
      </c>
      <c r="P6791" s="1" t="s">
        <v>7678</v>
      </c>
      <c r="Q6791" s="30" t="s">
        <v>2567</v>
      </c>
      <c r="R6791" s="33" t="s">
        <v>3472</v>
      </c>
      <c r="S6791">
        <v>36</v>
      </c>
      <c r="T6791" s="1" t="s">
        <v>12971</v>
      </c>
      <c r="U6791" s="1" t="str">
        <f>HYPERLINK("http://ictvonline.org/taxonomy/p/taxonomy-history?taxnode_id=202111191","ICTVonline=202111191")</f>
        <v>ICTVonline=202111191</v>
      </c>
    </row>
    <row r="6792" spans="1:21" x14ac:dyDescent="0.2">
      <c r="A6792" s="3">
        <v>6791</v>
      </c>
      <c r="B6792" s="1" t="s">
        <v>4226</v>
      </c>
      <c r="D6792" s="1" t="s">
        <v>5412</v>
      </c>
      <c r="F6792" s="1" t="s">
        <v>5466</v>
      </c>
      <c r="H6792" s="1" t="s">
        <v>6729</v>
      </c>
      <c r="J6792" s="1" t="s">
        <v>7432</v>
      </c>
      <c r="L6792" s="1" t="s">
        <v>7500</v>
      </c>
      <c r="N6792" s="1" t="s">
        <v>7653</v>
      </c>
      <c r="P6792" s="1" t="s">
        <v>7679</v>
      </c>
      <c r="Q6792" s="30" t="s">
        <v>2567</v>
      </c>
      <c r="R6792" s="33" t="s">
        <v>3472</v>
      </c>
      <c r="S6792">
        <v>36</v>
      </c>
      <c r="T6792" s="1" t="s">
        <v>12971</v>
      </c>
      <c r="U6792" s="1" t="str">
        <f>HYPERLINK("http://ictvonline.org/taxonomy/p/taxonomy-history?taxnode_id=202111168","ICTVonline=202111168")</f>
        <v>ICTVonline=202111168</v>
      </c>
    </row>
    <row r="6793" spans="1:21" x14ac:dyDescent="0.2">
      <c r="A6793" s="3">
        <v>6792</v>
      </c>
      <c r="B6793" s="1" t="s">
        <v>4226</v>
      </c>
      <c r="D6793" s="1" t="s">
        <v>5412</v>
      </c>
      <c r="F6793" s="1" t="s">
        <v>5466</v>
      </c>
      <c r="H6793" s="1" t="s">
        <v>6729</v>
      </c>
      <c r="J6793" s="1" t="s">
        <v>7432</v>
      </c>
      <c r="L6793" s="1" t="s">
        <v>7500</v>
      </c>
      <c r="N6793" s="1" t="s">
        <v>7653</v>
      </c>
      <c r="P6793" s="1" t="s">
        <v>7680</v>
      </c>
      <c r="Q6793" s="30" t="s">
        <v>2567</v>
      </c>
      <c r="R6793" s="33" t="s">
        <v>3472</v>
      </c>
      <c r="S6793">
        <v>36</v>
      </c>
      <c r="T6793" s="1" t="s">
        <v>12971</v>
      </c>
      <c r="U6793" s="1" t="str">
        <f>HYPERLINK("http://ictvonline.org/taxonomy/p/taxonomy-history?taxnode_id=202111170","ICTVonline=202111170")</f>
        <v>ICTVonline=202111170</v>
      </c>
    </row>
    <row r="6794" spans="1:21" x14ac:dyDescent="0.2">
      <c r="A6794" s="3">
        <v>6793</v>
      </c>
      <c r="B6794" s="1" t="s">
        <v>4226</v>
      </c>
      <c r="D6794" s="1" t="s">
        <v>5412</v>
      </c>
      <c r="F6794" s="1" t="s">
        <v>5466</v>
      </c>
      <c r="H6794" s="1" t="s">
        <v>6729</v>
      </c>
      <c r="J6794" s="1" t="s">
        <v>7432</v>
      </c>
      <c r="L6794" s="1" t="s">
        <v>7500</v>
      </c>
      <c r="N6794" s="1" t="s">
        <v>7653</v>
      </c>
      <c r="P6794" s="1" t="s">
        <v>7681</v>
      </c>
      <c r="Q6794" s="30" t="s">
        <v>2567</v>
      </c>
      <c r="R6794" s="33" t="s">
        <v>3472</v>
      </c>
      <c r="S6794">
        <v>36</v>
      </c>
      <c r="T6794" s="1" t="s">
        <v>12971</v>
      </c>
      <c r="U6794" s="1" t="str">
        <f>HYPERLINK("http://ictvonline.org/taxonomy/p/taxonomy-history?taxnode_id=202111169","ICTVonline=202111169")</f>
        <v>ICTVonline=202111169</v>
      </c>
    </row>
    <row r="6795" spans="1:21" x14ac:dyDescent="0.2">
      <c r="A6795" s="3">
        <v>6794</v>
      </c>
      <c r="B6795" s="1" t="s">
        <v>4226</v>
      </c>
      <c r="D6795" s="1" t="s">
        <v>5412</v>
      </c>
      <c r="F6795" s="1" t="s">
        <v>5466</v>
      </c>
      <c r="H6795" s="1" t="s">
        <v>6729</v>
      </c>
      <c r="J6795" s="1" t="s">
        <v>7432</v>
      </c>
      <c r="L6795" s="1" t="s">
        <v>7500</v>
      </c>
      <c r="N6795" s="1" t="s">
        <v>7653</v>
      </c>
      <c r="P6795" s="1" t="s">
        <v>7682</v>
      </c>
      <c r="Q6795" s="30" t="s">
        <v>2567</v>
      </c>
      <c r="R6795" s="33" t="s">
        <v>3472</v>
      </c>
      <c r="S6795">
        <v>36</v>
      </c>
      <c r="T6795" s="1" t="s">
        <v>12971</v>
      </c>
      <c r="U6795" s="1" t="str">
        <f>HYPERLINK("http://ictvonline.org/taxonomy/p/taxonomy-history?taxnode_id=202111171","ICTVonline=202111171")</f>
        <v>ICTVonline=202111171</v>
      </c>
    </row>
    <row r="6796" spans="1:21" x14ac:dyDescent="0.2">
      <c r="A6796" s="3">
        <v>6795</v>
      </c>
      <c r="B6796" s="1" t="s">
        <v>4226</v>
      </c>
      <c r="D6796" s="1" t="s">
        <v>5412</v>
      </c>
      <c r="F6796" s="1" t="s">
        <v>5466</v>
      </c>
      <c r="H6796" s="1" t="s">
        <v>6729</v>
      </c>
      <c r="J6796" s="1" t="s">
        <v>7432</v>
      </c>
      <c r="L6796" s="1" t="s">
        <v>7500</v>
      </c>
      <c r="N6796" s="1" t="s">
        <v>7653</v>
      </c>
      <c r="P6796" s="1" t="s">
        <v>7683</v>
      </c>
      <c r="Q6796" s="30" t="s">
        <v>2567</v>
      </c>
      <c r="R6796" s="33" t="s">
        <v>3472</v>
      </c>
      <c r="S6796">
        <v>36</v>
      </c>
      <c r="T6796" s="1" t="s">
        <v>12971</v>
      </c>
      <c r="U6796" s="1" t="str">
        <f>HYPERLINK("http://ictvonline.org/taxonomy/p/taxonomy-history?taxnode_id=202111172","ICTVonline=202111172")</f>
        <v>ICTVonline=202111172</v>
      </c>
    </row>
    <row r="6797" spans="1:21" x14ac:dyDescent="0.2">
      <c r="A6797" s="3">
        <v>6796</v>
      </c>
      <c r="B6797" s="1" t="s">
        <v>4226</v>
      </c>
      <c r="D6797" s="1" t="s">
        <v>5412</v>
      </c>
      <c r="F6797" s="1" t="s">
        <v>5466</v>
      </c>
      <c r="H6797" s="1" t="s">
        <v>6729</v>
      </c>
      <c r="J6797" s="1" t="s">
        <v>7432</v>
      </c>
      <c r="L6797" s="1" t="s">
        <v>7500</v>
      </c>
      <c r="N6797" s="1" t="s">
        <v>7653</v>
      </c>
      <c r="P6797" s="1" t="s">
        <v>7684</v>
      </c>
      <c r="Q6797" s="30" t="s">
        <v>2567</v>
      </c>
      <c r="R6797" s="33" t="s">
        <v>3472</v>
      </c>
      <c r="S6797">
        <v>36</v>
      </c>
      <c r="T6797" s="1" t="s">
        <v>12971</v>
      </c>
      <c r="U6797" s="1" t="str">
        <f>HYPERLINK("http://ictvonline.org/taxonomy/p/taxonomy-history?taxnode_id=202111173","ICTVonline=202111173")</f>
        <v>ICTVonline=202111173</v>
      </c>
    </row>
    <row r="6798" spans="1:21" x14ac:dyDescent="0.2">
      <c r="A6798" s="3">
        <v>6797</v>
      </c>
      <c r="B6798" s="1" t="s">
        <v>4226</v>
      </c>
      <c r="D6798" s="1" t="s">
        <v>5412</v>
      </c>
      <c r="F6798" s="1" t="s">
        <v>5466</v>
      </c>
      <c r="H6798" s="1" t="s">
        <v>6729</v>
      </c>
      <c r="J6798" s="1" t="s">
        <v>7432</v>
      </c>
      <c r="L6798" s="1" t="s">
        <v>7500</v>
      </c>
      <c r="N6798" s="1" t="s">
        <v>7653</v>
      </c>
      <c r="P6798" s="1" t="s">
        <v>7685</v>
      </c>
      <c r="Q6798" s="30" t="s">
        <v>2567</v>
      </c>
      <c r="R6798" s="33" t="s">
        <v>3472</v>
      </c>
      <c r="S6798">
        <v>36</v>
      </c>
      <c r="T6798" s="1" t="s">
        <v>12971</v>
      </c>
      <c r="U6798" s="1" t="str">
        <f>HYPERLINK("http://ictvonline.org/taxonomy/p/taxonomy-history?taxnode_id=202111192","ICTVonline=202111192")</f>
        <v>ICTVonline=202111192</v>
      </c>
    </row>
    <row r="6799" spans="1:21" x14ac:dyDescent="0.2">
      <c r="A6799" s="3">
        <v>6798</v>
      </c>
      <c r="B6799" s="1" t="s">
        <v>4226</v>
      </c>
      <c r="D6799" s="1" t="s">
        <v>5412</v>
      </c>
      <c r="F6799" s="1" t="s">
        <v>5466</v>
      </c>
      <c r="H6799" s="1" t="s">
        <v>6729</v>
      </c>
      <c r="J6799" s="1" t="s">
        <v>7432</v>
      </c>
      <c r="L6799" s="1" t="s">
        <v>7500</v>
      </c>
      <c r="N6799" s="1" t="s">
        <v>7653</v>
      </c>
      <c r="P6799" s="1" t="s">
        <v>7686</v>
      </c>
      <c r="Q6799" s="30" t="s">
        <v>2567</v>
      </c>
      <c r="R6799" s="33" t="s">
        <v>3472</v>
      </c>
      <c r="S6799">
        <v>36</v>
      </c>
      <c r="T6799" s="1" t="s">
        <v>12971</v>
      </c>
      <c r="U6799" s="1" t="str">
        <f>HYPERLINK("http://ictvonline.org/taxonomy/p/taxonomy-history?taxnode_id=202111193","ICTVonline=202111193")</f>
        <v>ICTVonline=202111193</v>
      </c>
    </row>
    <row r="6800" spans="1:21" x14ac:dyDescent="0.2">
      <c r="A6800" s="3">
        <v>6799</v>
      </c>
      <c r="B6800" s="1" t="s">
        <v>4226</v>
      </c>
      <c r="D6800" s="1" t="s">
        <v>5412</v>
      </c>
      <c r="F6800" s="1" t="s">
        <v>5466</v>
      </c>
      <c r="H6800" s="1" t="s">
        <v>6729</v>
      </c>
      <c r="J6800" s="1" t="s">
        <v>7432</v>
      </c>
      <c r="L6800" s="1" t="s">
        <v>7500</v>
      </c>
      <c r="N6800" s="1" t="s">
        <v>7653</v>
      </c>
      <c r="P6800" s="1" t="s">
        <v>7687</v>
      </c>
      <c r="Q6800" s="30" t="s">
        <v>2567</v>
      </c>
      <c r="R6800" s="33" t="s">
        <v>3472</v>
      </c>
      <c r="S6800">
        <v>36</v>
      </c>
      <c r="T6800" s="1" t="s">
        <v>12971</v>
      </c>
      <c r="U6800" s="1" t="str">
        <f>HYPERLINK("http://ictvonline.org/taxonomy/p/taxonomy-history?taxnode_id=202111194","ICTVonline=202111194")</f>
        <v>ICTVonline=202111194</v>
      </c>
    </row>
    <row r="6801" spans="1:21" x14ac:dyDescent="0.2">
      <c r="A6801" s="3">
        <v>6800</v>
      </c>
      <c r="B6801" s="1" t="s">
        <v>4226</v>
      </c>
      <c r="D6801" s="1" t="s">
        <v>5412</v>
      </c>
      <c r="F6801" s="1" t="s">
        <v>5466</v>
      </c>
      <c r="H6801" s="1" t="s">
        <v>6729</v>
      </c>
      <c r="J6801" s="1" t="s">
        <v>7432</v>
      </c>
      <c r="L6801" s="1" t="s">
        <v>7500</v>
      </c>
      <c r="N6801" s="1" t="s">
        <v>7653</v>
      </c>
      <c r="P6801" s="1" t="s">
        <v>7688</v>
      </c>
      <c r="Q6801" s="30" t="s">
        <v>2567</v>
      </c>
      <c r="R6801" s="33" t="s">
        <v>3472</v>
      </c>
      <c r="S6801">
        <v>36</v>
      </c>
      <c r="T6801" s="1" t="s">
        <v>12971</v>
      </c>
      <c r="U6801" s="1" t="str">
        <f>HYPERLINK("http://ictvonline.org/taxonomy/p/taxonomy-history?taxnode_id=202111195","ICTVonline=202111195")</f>
        <v>ICTVonline=202111195</v>
      </c>
    </row>
    <row r="6802" spans="1:21" x14ac:dyDescent="0.2">
      <c r="A6802" s="3">
        <v>6801</v>
      </c>
      <c r="B6802" s="1" t="s">
        <v>4226</v>
      </c>
      <c r="D6802" s="1" t="s">
        <v>5412</v>
      </c>
      <c r="F6802" s="1" t="s">
        <v>5466</v>
      </c>
      <c r="H6802" s="1" t="s">
        <v>6729</v>
      </c>
      <c r="J6802" s="1" t="s">
        <v>7432</v>
      </c>
      <c r="L6802" s="1" t="s">
        <v>7500</v>
      </c>
      <c r="N6802" s="1" t="s">
        <v>7653</v>
      </c>
      <c r="P6802" s="1" t="s">
        <v>7689</v>
      </c>
      <c r="Q6802" s="30" t="s">
        <v>2567</v>
      </c>
      <c r="R6802" s="33" t="s">
        <v>3472</v>
      </c>
      <c r="S6802">
        <v>36</v>
      </c>
      <c r="T6802" s="1" t="s">
        <v>12971</v>
      </c>
      <c r="U6802" s="1" t="str">
        <f>HYPERLINK("http://ictvonline.org/taxonomy/p/taxonomy-history?taxnode_id=202111196","ICTVonline=202111196")</f>
        <v>ICTVonline=202111196</v>
      </c>
    </row>
    <row r="6803" spans="1:21" x14ac:dyDescent="0.2">
      <c r="A6803" s="3">
        <v>6802</v>
      </c>
      <c r="B6803" s="1" t="s">
        <v>4226</v>
      </c>
      <c r="D6803" s="1" t="s">
        <v>5412</v>
      </c>
      <c r="F6803" s="1" t="s">
        <v>5466</v>
      </c>
      <c r="H6803" s="1" t="s">
        <v>6729</v>
      </c>
      <c r="J6803" s="1" t="s">
        <v>7432</v>
      </c>
      <c r="L6803" s="1" t="s">
        <v>7500</v>
      </c>
      <c r="N6803" s="1" t="s">
        <v>7653</v>
      </c>
      <c r="P6803" s="1" t="s">
        <v>7690</v>
      </c>
      <c r="Q6803" s="30" t="s">
        <v>2567</v>
      </c>
      <c r="R6803" s="33" t="s">
        <v>3472</v>
      </c>
      <c r="S6803">
        <v>36</v>
      </c>
      <c r="T6803" s="1" t="s">
        <v>12971</v>
      </c>
      <c r="U6803" s="1" t="str">
        <f>HYPERLINK("http://ictvonline.org/taxonomy/p/taxonomy-history?taxnode_id=202111197","ICTVonline=202111197")</f>
        <v>ICTVonline=202111197</v>
      </c>
    </row>
    <row r="6804" spans="1:21" x14ac:dyDescent="0.2">
      <c r="A6804" s="3">
        <v>6803</v>
      </c>
      <c r="B6804" s="1" t="s">
        <v>4226</v>
      </c>
      <c r="D6804" s="1" t="s">
        <v>5412</v>
      </c>
      <c r="F6804" s="1" t="s">
        <v>5466</v>
      </c>
      <c r="H6804" s="1" t="s">
        <v>6729</v>
      </c>
      <c r="J6804" s="1" t="s">
        <v>7432</v>
      </c>
      <c r="L6804" s="1" t="s">
        <v>7500</v>
      </c>
      <c r="N6804" s="1" t="s">
        <v>7653</v>
      </c>
      <c r="P6804" s="1" t="s">
        <v>7691</v>
      </c>
      <c r="Q6804" s="30" t="s">
        <v>2567</v>
      </c>
      <c r="R6804" s="33" t="s">
        <v>3472</v>
      </c>
      <c r="S6804">
        <v>36</v>
      </c>
      <c r="T6804" s="1" t="s">
        <v>12971</v>
      </c>
      <c r="U6804" s="1" t="str">
        <f>HYPERLINK("http://ictvonline.org/taxonomy/p/taxonomy-history?taxnode_id=202111211","ICTVonline=202111211")</f>
        <v>ICTVonline=202111211</v>
      </c>
    </row>
    <row r="6805" spans="1:21" x14ac:dyDescent="0.2">
      <c r="A6805" s="3">
        <v>6804</v>
      </c>
      <c r="B6805" s="1" t="s">
        <v>4226</v>
      </c>
      <c r="D6805" s="1" t="s">
        <v>5412</v>
      </c>
      <c r="F6805" s="1" t="s">
        <v>5466</v>
      </c>
      <c r="H6805" s="1" t="s">
        <v>6729</v>
      </c>
      <c r="J6805" s="1" t="s">
        <v>7432</v>
      </c>
      <c r="L6805" s="1" t="s">
        <v>7500</v>
      </c>
      <c r="N6805" s="1" t="s">
        <v>7653</v>
      </c>
      <c r="P6805" s="1" t="s">
        <v>7692</v>
      </c>
      <c r="Q6805" s="30" t="s">
        <v>2567</v>
      </c>
      <c r="R6805" s="33" t="s">
        <v>3472</v>
      </c>
      <c r="S6805">
        <v>36</v>
      </c>
      <c r="T6805" s="1" t="s">
        <v>12971</v>
      </c>
      <c r="U6805" s="1" t="str">
        <f>HYPERLINK("http://ictvonline.org/taxonomy/p/taxonomy-history?taxnode_id=202111213","ICTVonline=202111213")</f>
        <v>ICTVonline=202111213</v>
      </c>
    </row>
    <row r="6806" spans="1:21" x14ac:dyDescent="0.2">
      <c r="A6806" s="3">
        <v>6805</v>
      </c>
      <c r="B6806" s="1" t="s">
        <v>4226</v>
      </c>
      <c r="D6806" s="1" t="s">
        <v>5412</v>
      </c>
      <c r="F6806" s="1" t="s">
        <v>5466</v>
      </c>
      <c r="H6806" s="1" t="s">
        <v>6729</v>
      </c>
      <c r="J6806" s="1" t="s">
        <v>7432</v>
      </c>
      <c r="L6806" s="1" t="s">
        <v>7500</v>
      </c>
      <c r="N6806" s="1" t="s">
        <v>7653</v>
      </c>
      <c r="P6806" s="1" t="s">
        <v>7693</v>
      </c>
      <c r="Q6806" s="30" t="s">
        <v>2567</v>
      </c>
      <c r="R6806" s="33" t="s">
        <v>3472</v>
      </c>
      <c r="S6806">
        <v>36</v>
      </c>
      <c r="T6806" s="1" t="s">
        <v>12971</v>
      </c>
      <c r="U6806" s="1" t="str">
        <f>HYPERLINK("http://ictvonline.org/taxonomy/p/taxonomy-history?taxnode_id=202111212","ICTVonline=202111212")</f>
        <v>ICTVonline=202111212</v>
      </c>
    </row>
    <row r="6807" spans="1:21" x14ac:dyDescent="0.2">
      <c r="A6807" s="3">
        <v>6806</v>
      </c>
      <c r="B6807" s="1" t="s">
        <v>4226</v>
      </c>
      <c r="D6807" s="1" t="s">
        <v>5412</v>
      </c>
      <c r="F6807" s="1" t="s">
        <v>5466</v>
      </c>
      <c r="H6807" s="1" t="s">
        <v>6729</v>
      </c>
      <c r="J6807" s="1" t="s">
        <v>7432</v>
      </c>
      <c r="L6807" s="1" t="s">
        <v>7500</v>
      </c>
      <c r="N6807" s="1" t="s">
        <v>7653</v>
      </c>
      <c r="P6807" s="1" t="s">
        <v>7694</v>
      </c>
      <c r="Q6807" s="30" t="s">
        <v>2567</v>
      </c>
      <c r="R6807" s="33" t="s">
        <v>3472</v>
      </c>
      <c r="S6807">
        <v>36</v>
      </c>
      <c r="T6807" s="1" t="s">
        <v>12971</v>
      </c>
      <c r="U6807" s="1" t="str">
        <f>HYPERLINK("http://ictvonline.org/taxonomy/p/taxonomy-history?taxnode_id=202111214","ICTVonline=202111214")</f>
        <v>ICTVonline=202111214</v>
      </c>
    </row>
    <row r="6808" spans="1:21" x14ac:dyDescent="0.2">
      <c r="A6808" s="3">
        <v>6807</v>
      </c>
      <c r="B6808" s="1" t="s">
        <v>4226</v>
      </c>
      <c r="D6808" s="1" t="s">
        <v>5412</v>
      </c>
      <c r="F6808" s="1" t="s">
        <v>5466</v>
      </c>
      <c r="H6808" s="1" t="s">
        <v>6729</v>
      </c>
      <c r="J6808" s="1" t="s">
        <v>7432</v>
      </c>
      <c r="L6808" s="1" t="s">
        <v>7500</v>
      </c>
      <c r="N6808" s="1" t="s">
        <v>7653</v>
      </c>
      <c r="P6808" s="1" t="s">
        <v>7695</v>
      </c>
      <c r="Q6808" s="30" t="s">
        <v>2567</v>
      </c>
      <c r="R6808" s="33" t="s">
        <v>3472</v>
      </c>
      <c r="S6808">
        <v>36</v>
      </c>
      <c r="T6808" s="1" t="s">
        <v>12971</v>
      </c>
      <c r="U6808" s="1" t="str">
        <f>HYPERLINK("http://ictvonline.org/taxonomy/p/taxonomy-history?taxnode_id=202111215","ICTVonline=202111215")</f>
        <v>ICTVonline=202111215</v>
      </c>
    </row>
    <row r="6809" spans="1:21" x14ac:dyDescent="0.2">
      <c r="A6809" s="3">
        <v>6808</v>
      </c>
      <c r="B6809" s="1" t="s">
        <v>4226</v>
      </c>
      <c r="D6809" s="1" t="s">
        <v>5412</v>
      </c>
      <c r="F6809" s="1" t="s">
        <v>5466</v>
      </c>
      <c r="H6809" s="1" t="s">
        <v>6729</v>
      </c>
      <c r="J6809" s="1" t="s">
        <v>7432</v>
      </c>
      <c r="L6809" s="1" t="s">
        <v>7500</v>
      </c>
      <c r="N6809" s="1" t="s">
        <v>7653</v>
      </c>
      <c r="P6809" s="1" t="s">
        <v>7696</v>
      </c>
      <c r="Q6809" s="30" t="s">
        <v>2567</v>
      </c>
      <c r="R6809" s="33" t="s">
        <v>3472</v>
      </c>
      <c r="S6809">
        <v>36</v>
      </c>
      <c r="T6809" s="1" t="s">
        <v>12971</v>
      </c>
      <c r="U6809" s="1" t="str">
        <f>HYPERLINK("http://ictvonline.org/taxonomy/p/taxonomy-history?taxnode_id=202111216","ICTVonline=202111216")</f>
        <v>ICTVonline=202111216</v>
      </c>
    </row>
    <row r="6810" spans="1:21" x14ac:dyDescent="0.2">
      <c r="A6810" s="3">
        <v>6809</v>
      </c>
      <c r="B6810" s="1" t="s">
        <v>4226</v>
      </c>
      <c r="D6810" s="1" t="s">
        <v>5412</v>
      </c>
      <c r="F6810" s="1" t="s">
        <v>5466</v>
      </c>
      <c r="H6810" s="1" t="s">
        <v>6729</v>
      </c>
      <c r="J6810" s="1" t="s">
        <v>7432</v>
      </c>
      <c r="L6810" s="1" t="s">
        <v>7500</v>
      </c>
      <c r="N6810" s="1" t="s">
        <v>7653</v>
      </c>
      <c r="P6810" s="1" t="s">
        <v>7697</v>
      </c>
      <c r="Q6810" s="30" t="s">
        <v>2567</v>
      </c>
      <c r="R6810" s="33" t="s">
        <v>3472</v>
      </c>
      <c r="S6810">
        <v>36</v>
      </c>
      <c r="T6810" s="1" t="s">
        <v>12971</v>
      </c>
      <c r="U6810" s="1" t="str">
        <f>HYPERLINK("http://ictvonline.org/taxonomy/p/taxonomy-history?taxnode_id=202111152","ICTVonline=202111152")</f>
        <v>ICTVonline=202111152</v>
      </c>
    </row>
    <row r="6811" spans="1:21" x14ac:dyDescent="0.2">
      <c r="A6811" s="3">
        <v>6810</v>
      </c>
      <c r="B6811" s="1" t="s">
        <v>4226</v>
      </c>
      <c r="D6811" s="1" t="s">
        <v>5412</v>
      </c>
      <c r="F6811" s="1" t="s">
        <v>5466</v>
      </c>
      <c r="H6811" s="1" t="s">
        <v>6729</v>
      </c>
      <c r="J6811" s="1" t="s">
        <v>7432</v>
      </c>
      <c r="L6811" s="1" t="s">
        <v>7500</v>
      </c>
      <c r="N6811" s="1" t="s">
        <v>7653</v>
      </c>
      <c r="P6811" s="1" t="s">
        <v>7698</v>
      </c>
      <c r="Q6811" s="30" t="s">
        <v>2567</v>
      </c>
      <c r="R6811" s="33" t="s">
        <v>3472</v>
      </c>
      <c r="S6811">
        <v>36</v>
      </c>
      <c r="T6811" s="1" t="s">
        <v>12971</v>
      </c>
      <c r="U6811" s="1" t="str">
        <f>HYPERLINK("http://ictvonline.org/taxonomy/p/taxonomy-history?taxnode_id=202111151","ICTVonline=202111151")</f>
        <v>ICTVonline=202111151</v>
      </c>
    </row>
    <row r="6812" spans="1:21" x14ac:dyDescent="0.2">
      <c r="A6812" s="3">
        <v>6811</v>
      </c>
      <c r="B6812" s="1" t="s">
        <v>4226</v>
      </c>
      <c r="D6812" s="1" t="s">
        <v>5412</v>
      </c>
      <c r="F6812" s="1" t="s">
        <v>5466</v>
      </c>
      <c r="H6812" s="1" t="s">
        <v>6729</v>
      </c>
      <c r="J6812" s="1" t="s">
        <v>7432</v>
      </c>
      <c r="L6812" s="1" t="s">
        <v>7500</v>
      </c>
      <c r="N6812" s="1" t="s">
        <v>7653</v>
      </c>
      <c r="P6812" s="1" t="s">
        <v>7699</v>
      </c>
      <c r="Q6812" s="30" t="s">
        <v>2567</v>
      </c>
      <c r="R6812" s="33" t="s">
        <v>3472</v>
      </c>
      <c r="S6812">
        <v>36</v>
      </c>
      <c r="T6812" s="1" t="s">
        <v>12971</v>
      </c>
      <c r="U6812" s="1" t="str">
        <f>HYPERLINK("http://ictvonline.org/taxonomy/p/taxonomy-history?taxnode_id=202111153","ICTVonline=202111153")</f>
        <v>ICTVonline=202111153</v>
      </c>
    </row>
    <row r="6813" spans="1:21" x14ac:dyDescent="0.2">
      <c r="A6813" s="3">
        <v>6812</v>
      </c>
      <c r="B6813" s="1" t="s">
        <v>4226</v>
      </c>
      <c r="D6813" s="1" t="s">
        <v>5412</v>
      </c>
      <c r="F6813" s="1" t="s">
        <v>5466</v>
      </c>
      <c r="H6813" s="1" t="s">
        <v>6729</v>
      </c>
      <c r="J6813" s="1" t="s">
        <v>7432</v>
      </c>
      <c r="L6813" s="1" t="s">
        <v>7500</v>
      </c>
      <c r="N6813" s="1" t="s">
        <v>7653</v>
      </c>
      <c r="P6813" s="1" t="s">
        <v>7700</v>
      </c>
      <c r="Q6813" s="30" t="s">
        <v>2567</v>
      </c>
      <c r="R6813" s="33" t="s">
        <v>3472</v>
      </c>
      <c r="S6813">
        <v>36</v>
      </c>
      <c r="T6813" s="1" t="s">
        <v>12971</v>
      </c>
      <c r="U6813" s="1" t="str">
        <f>HYPERLINK("http://ictvonline.org/taxonomy/p/taxonomy-history?taxnode_id=202111154","ICTVonline=202111154")</f>
        <v>ICTVonline=202111154</v>
      </c>
    </row>
    <row r="6814" spans="1:21" x14ac:dyDescent="0.2">
      <c r="A6814" s="3">
        <v>6813</v>
      </c>
      <c r="B6814" s="1" t="s">
        <v>4226</v>
      </c>
      <c r="D6814" s="1" t="s">
        <v>5412</v>
      </c>
      <c r="F6814" s="1" t="s">
        <v>5466</v>
      </c>
      <c r="H6814" s="1" t="s">
        <v>6729</v>
      </c>
      <c r="J6814" s="1" t="s">
        <v>7432</v>
      </c>
      <c r="L6814" s="1" t="s">
        <v>7500</v>
      </c>
      <c r="N6814" s="1" t="s">
        <v>7653</v>
      </c>
      <c r="P6814" s="1" t="s">
        <v>7701</v>
      </c>
      <c r="Q6814" s="30" t="s">
        <v>2567</v>
      </c>
      <c r="R6814" s="33" t="s">
        <v>3472</v>
      </c>
      <c r="S6814">
        <v>36</v>
      </c>
      <c r="T6814" s="1" t="s">
        <v>12971</v>
      </c>
      <c r="U6814" s="1" t="str">
        <f>HYPERLINK("http://ictvonline.org/taxonomy/p/taxonomy-history?taxnode_id=202111155","ICTVonline=202111155")</f>
        <v>ICTVonline=202111155</v>
      </c>
    </row>
    <row r="6815" spans="1:21" x14ac:dyDescent="0.2">
      <c r="A6815" s="3">
        <v>6814</v>
      </c>
      <c r="B6815" s="1" t="s">
        <v>4226</v>
      </c>
      <c r="D6815" s="1" t="s">
        <v>5412</v>
      </c>
      <c r="F6815" s="1" t="s">
        <v>5466</v>
      </c>
      <c r="H6815" s="1" t="s">
        <v>6729</v>
      </c>
      <c r="J6815" s="1" t="s">
        <v>7432</v>
      </c>
      <c r="L6815" s="1" t="s">
        <v>7500</v>
      </c>
      <c r="N6815" s="1" t="s">
        <v>7653</v>
      </c>
      <c r="P6815" s="1" t="s">
        <v>7702</v>
      </c>
      <c r="Q6815" s="30" t="s">
        <v>2567</v>
      </c>
      <c r="R6815" s="33" t="s">
        <v>3472</v>
      </c>
      <c r="S6815">
        <v>36</v>
      </c>
      <c r="T6815" s="1" t="s">
        <v>12971</v>
      </c>
      <c r="U6815" s="1" t="str">
        <f>HYPERLINK("http://ictvonline.org/taxonomy/p/taxonomy-history?taxnode_id=202111156","ICTVonline=202111156")</f>
        <v>ICTVonline=202111156</v>
      </c>
    </row>
    <row r="6816" spans="1:21" x14ac:dyDescent="0.2">
      <c r="A6816" s="3">
        <v>6815</v>
      </c>
      <c r="B6816" s="1" t="s">
        <v>4226</v>
      </c>
      <c r="D6816" s="1" t="s">
        <v>5412</v>
      </c>
      <c r="F6816" s="1" t="s">
        <v>5466</v>
      </c>
      <c r="H6816" s="1" t="s">
        <v>6729</v>
      </c>
      <c r="J6816" s="1" t="s">
        <v>7432</v>
      </c>
      <c r="L6816" s="1" t="s">
        <v>7500</v>
      </c>
      <c r="N6816" s="1" t="s">
        <v>7653</v>
      </c>
      <c r="P6816" s="1" t="s">
        <v>7703</v>
      </c>
      <c r="Q6816" s="30" t="s">
        <v>2567</v>
      </c>
      <c r="R6816" s="33" t="s">
        <v>3472</v>
      </c>
      <c r="S6816">
        <v>36</v>
      </c>
      <c r="T6816" s="1" t="s">
        <v>12971</v>
      </c>
      <c r="U6816" s="1" t="str">
        <f>HYPERLINK("http://ictvonline.org/taxonomy/p/taxonomy-history?taxnode_id=202111158","ICTVonline=202111158")</f>
        <v>ICTVonline=202111158</v>
      </c>
    </row>
    <row r="6817" spans="1:21" x14ac:dyDescent="0.2">
      <c r="A6817" s="3">
        <v>6816</v>
      </c>
      <c r="B6817" s="1" t="s">
        <v>4226</v>
      </c>
      <c r="D6817" s="1" t="s">
        <v>5412</v>
      </c>
      <c r="F6817" s="1" t="s">
        <v>5466</v>
      </c>
      <c r="H6817" s="1" t="s">
        <v>6729</v>
      </c>
      <c r="J6817" s="1" t="s">
        <v>7432</v>
      </c>
      <c r="L6817" s="1" t="s">
        <v>7500</v>
      </c>
      <c r="N6817" s="1" t="s">
        <v>7653</v>
      </c>
      <c r="P6817" s="1" t="s">
        <v>7704</v>
      </c>
      <c r="Q6817" s="30" t="s">
        <v>2567</v>
      </c>
      <c r="R6817" s="33" t="s">
        <v>3472</v>
      </c>
      <c r="S6817">
        <v>36</v>
      </c>
      <c r="T6817" s="1" t="s">
        <v>12971</v>
      </c>
      <c r="U6817" s="1" t="str">
        <f>HYPERLINK("http://ictvonline.org/taxonomy/p/taxonomy-history?taxnode_id=202111157","ICTVonline=202111157")</f>
        <v>ICTVonline=202111157</v>
      </c>
    </row>
    <row r="6818" spans="1:21" x14ac:dyDescent="0.2">
      <c r="A6818" s="3">
        <v>6817</v>
      </c>
      <c r="B6818" s="1" t="s">
        <v>4226</v>
      </c>
      <c r="D6818" s="1" t="s">
        <v>5412</v>
      </c>
      <c r="F6818" s="1" t="s">
        <v>5466</v>
      </c>
      <c r="H6818" s="1" t="s">
        <v>6729</v>
      </c>
      <c r="J6818" s="1" t="s">
        <v>7432</v>
      </c>
      <c r="L6818" s="1" t="s">
        <v>7500</v>
      </c>
      <c r="N6818" s="1" t="s">
        <v>7653</v>
      </c>
      <c r="P6818" s="1" t="s">
        <v>7705</v>
      </c>
      <c r="Q6818" s="30" t="s">
        <v>2567</v>
      </c>
      <c r="R6818" s="33" t="s">
        <v>3472</v>
      </c>
      <c r="S6818">
        <v>36</v>
      </c>
      <c r="T6818" s="1" t="s">
        <v>12971</v>
      </c>
      <c r="U6818" s="1" t="str">
        <f>HYPERLINK("http://ictvonline.org/taxonomy/p/taxonomy-history?taxnode_id=202111159","ICTVonline=202111159")</f>
        <v>ICTVonline=202111159</v>
      </c>
    </row>
    <row r="6819" spans="1:21" x14ac:dyDescent="0.2">
      <c r="A6819" s="3">
        <v>6818</v>
      </c>
      <c r="B6819" s="1" t="s">
        <v>4226</v>
      </c>
      <c r="D6819" s="1" t="s">
        <v>5412</v>
      </c>
      <c r="F6819" s="1" t="s">
        <v>5466</v>
      </c>
      <c r="H6819" s="1" t="s">
        <v>6729</v>
      </c>
      <c r="J6819" s="1" t="s">
        <v>7432</v>
      </c>
      <c r="L6819" s="1" t="s">
        <v>7500</v>
      </c>
      <c r="N6819" s="1" t="s">
        <v>7653</v>
      </c>
      <c r="P6819" s="1" t="s">
        <v>7706</v>
      </c>
      <c r="Q6819" s="30" t="s">
        <v>2567</v>
      </c>
      <c r="R6819" s="33" t="s">
        <v>3472</v>
      </c>
      <c r="S6819">
        <v>36</v>
      </c>
      <c r="T6819" s="1" t="s">
        <v>12971</v>
      </c>
      <c r="U6819" s="1" t="str">
        <f>HYPERLINK("http://ictvonline.org/taxonomy/p/taxonomy-history?taxnode_id=202111160","ICTVonline=202111160")</f>
        <v>ICTVonline=202111160</v>
      </c>
    </row>
    <row r="6820" spans="1:21" x14ac:dyDescent="0.2">
      <c r="A6820" s="3">
        <v>6819</v>
      </c>
      <c r="B6820" s="1" t="s">
        <v>4226</v>
      </c>
      <c r="D6820" s="1" t="s">
        <v>5412</v>
      </c>
      <c r="F6820" s="1" t="s">
        <v>5466</v>
      </c>
      <c r="H6820" s="1" t="s">
        <v>6729</v>
      </c>
      <c r="J6820" s="1" t="s">
        <v>7432</v>
      </c>
      <c r="L6820" s="1" t="s">
        <v>7500</v>
      </c>
      <c r="N6820" s="1" t="s">
        <v>7653</v>
      </c>
      <c r="P6820" s="1" t="s">
        <v>7707</v>
      </c>
      <c r="Q6820" s="30" t="s">
        <v>2567</v>
      </c>
      <c r="R6820" s="33" t="s">
        <v>3472</v>
      </c>
      <c r="S6820">
        <v>36</v>
      </c>
      <c r="T6820" s="1" t="s">
        <v>12971</v>
      </c>
      <c r="U6820" s="1" t="str">
        <f>HYPERLINK("http://ictvonline.org/taxonomy/p/taxonomy-history?taxnode_id=202111161","ICTVonline=202111161")</f>
        <v>ICTVonline=202111161</v>
      </c>
    </row>
    <row r="6821" spans="1:21" x14ac:dyDescent="0.2">
      <c r="A6821" s="3">
        <v>6820</v>
      </c>
      <c r="B6821" s="1" t="s">
        <v>4226</v>
      </c>
      <c r="D6821" s="1" t="s">
        <v>5412</v>
      </c>
      <c r="F6821" s="1" t="s">
        <v>5466</v>
      </c>
      <c r="H6821" s="1" t="s">
        <v>6729</v>
      </c>
      <c r="J6821" s="1" t="s">
        <v>7432</v>
      </c>
      <c r="L6821" s="1" t="s">
        <v>7500</v>
      </c>
      <c r="N6821" s="1" t="s">
        <v>7653</v>
      </c>
      <c r="P6821" s="1" t="s">
        <v>7708</v>
      </c>
      <c r="Q6821" s="30" t="s">
        <v>2567</v>
      </c>
      <c r="R6821" s="33" t="s">
        <v>3472</v>
      </c>
      <c r="S6821">
        <v>36</v>
      </c>
      <c r="T6821" s="1" t="s">
        <v>12971</v>
      </c>
      <c r="U6821" s="1" t="str">
        <f>HYPERLINK("http://ictvonline.org/taxonomy/p/taxonomy-history?taxnode_id=202111145","ICTVonline=202111145")</f>
        <v>ICTVonline=202111145</v>
      </c>
    </row>
    <row r="6822" spans="1:21" x14ac:dyDescent="0.2">
      <c r="A6822" s="3">
        <v>6821</v>
      </c>
      <c r="B6822" s="1" t="s">
        <v>4226</v>
      </c>
      <c r="D6822" s="1" t="s">
        <v>5412</v>
      </c>
      <c r="F6822" s="1" t="s">
        <v>5466</v>
      </c>
      <c r="H6822" s="1" t="s">
        <v>6729</v>
      </c>
      <c r="J6822" s="1" t="s">
        <v>7432</v>
      </c>
      <c r="L6822" s="1" t="s">
        <v>7500</v>
      </c>
      <c r="N6822" s="1" t="s">
        <v>7653</v>
      </c>
      <c r="P6822" s="1" t="s">
        <v>7709</v>
      </c>
      <c r="Q6822" s="30" t="s">
        <v>2567</v>
      </c>
      <c r="R6822" s="33" t="s">
        <v>3472</v>
      </c>
      <c r="S6822">
        <v>36</v>
      </c>
      <c r="T6822" s="1" t="s">
        <v>12971</v>
      </c>
      <c r="U6822" s="1" t="str">
        <f>HYPERLINK("http://ictvonline.org/taxonomy/p/taxonomy-history?taxnode_id=202111147","ICTVonline=202111147")</f>
        <v>ICTVonline=202111147</v>
      </c>
    </row>
    <row r="6823" spans="1:21" x14ac:dyDescent="0.2">
      <c r="A6823" s="3">
        <v>6822</v>
      </c>
      <c r="B6823" s="1" t="s">
        <v>4226</v>
      </c>
      <c r="D6823" s="1" t="s">
        <v>5412</v>
      </c>
      <c r="F6823" s="1" t="s">
        <v>5466</v>
      </c>
      <c r="H6823" s="1" t="s">
        <v>6729</v>
      </c>
      <c r="J6823" s="1" t="s">
        <v>7432</v>
      </c>
      <c r="L6823" s="1" t="s">
        <v>7500</v>
      </c>
      <c r="N6823" s="1" t="s">
        <v>7653</v>
      </c>
      <c r="P6823" s="1" t="s">
        <v>7710</v>
      </c>
      <c r="Q6823" s="30" t="s">
        <v>2567</v>
      </c>
      <c r="R6823" s="33" t="s">
        <v>3472</v>
      </c>
      <c r="S6823">
        <v>36</v>
      </c>
      <c r="T6823" s="1" t="s">
        <v>12971</v>
      </c>
      <c r="U6823" s="1" t="str">
        <f>HYPERLINK("http://ictvonline.org/taxonomy/p/taxonomy-history?taxnode_id=202111146","ICTVonline=202111146")</f>
        <v>ICTVonline=202111146</v>
      </c>
    </row>
    <row r="6824" spans="1:21" x14ac:dyDescent="0.2">
      <c r="A6824" s="3">
        <v>6823</v>
      </c>
      <c r="B6824" s="1" t="s">
        <v>4226</v>
      </c>
      <c r="D6824" s="1" t="s">
        <v>5412</v>
      </c>
      <c r="F6824" s="1" t="s">
        <v>5466</v>
      </c>
      <c r="H6824" s="1" t="s">
        <v>6729</v>
      </c>
      <c r="J6824" s="1" t="s">
        <v>7432</v>
      </c>
      <c r="L6824" s="1" t="s">
        <v>7500</v>
      </c>
      <c r="N6824" s="1" t="s">
        <v>7653</v>
      </c>
      <c r="P6824" s="1" t="s">
        <v>7711</v>
      </c>
      <c r="Q6824" s="30" t="s">
        <v>2567</v>
      </c>
      <c r="R6824" s="33" t="s">
        <v>3472</v>
      </c>
      <c r="S6824">
        <v>36</v>
      </c>
      <c r="T6824" s="1" t="s">
        <v>12971</v>
      </c>
      <c r="U6824" s="1" t="str">
        <f>HYPERLINK("http://ictvonline.org/taxonomy/p/taxonomy-history?taxnode_id=202111148","ICTVonline=202111148")</f>
        <v>ICTVonline=202111148</v>
      </c>
    </row>
    <row r="6825" spans="1:21" x14ac:dyDescent="0.2">
      <c r="A6825" s="3">
        <v>6824</v>
      </c>
      <c r="B6825" s="1" t="s">
        <v>4226</v>
      </c>
      <c r="D6825" s="1" t="s">
        <v>5412</v>
      </c>
      <c r="F6825" s="1" t="s">
        <v>5466</v>
      </c>
      <c r="H6825" s="1" t="s">
        <v>6729</v>
      </c>
      <c r="J6825" s="1" t="s">
        <v>7432</v>
      </c>
      <c r="L6825" s="1" t="s">
        <v>7500</v>
      </c>
      <c r="N6825" s="1" t="s">
        <v>7653</v>
      </c>
      <c r="P6825" s="1" t="s">
        <v>7712</v>
      </c>
      <c r="Q6825" s="30" t="s">
        <v>2567</v>
      </c>
      <c r="R6825" s="33" t="s">
        <v>3472</v>
      </c>
      <c r="S6825">
        <v>36</v>
      </c>
      <c r="T6825" s="1" t="s">
        <v>12971</v>
      </c>
      <c r="U6825" s="1" t="str">
        <f>HYPERLINK("http://ictvonline.org/taxonomy/p/taxonomy-history?taxnode_id=202111149","ICTVonline=202111149")</f>
        <v>ICTVonline=202111149</v>
      </c>
    </row>
    <row r="6826" spans="1:21" x14ac:dyDescent="0.2">
      <c r="A6826" s="3">
        <v>6825</v>
      </c>
      <c r="B6826" s="1" t="s">
        <v>4226</v>
      </c>
      <c r="D6826" s="1" t="s">
        <v>5412</v>
      </c>
      <c r="F6826" s="1" t="s">
        <v>5466</v>
      </c>
      <c r="H6826" s="1" t="s">
        <v>6729</v>
      </c>
      <c r="J6826" s="1" t="s">
        <v>7432</v>
      </c>
      <c r="L6826" s="1" t="s">
        <v>7500</v>
      </c>
      <c r="N6826" s="1" t="s">
        <v>7653</v>
      </c>
      <c r="P6826" s="1" t="s">
        <v>7713</v>
      </c>
      <c r="Q6826" s="30" t="s">
        <v>2567</v>
      </c>
      <c r="R6826" s="33" t="s">
        <v>3472</v>
      </c>
      <c r="S6826">
        <v>36</v>
      </c>
      <c r="T6826" s="1" t="s">
        <v>12971</v>
      </c>
      <c r="U6826" s="1" t="str">
        <f>HYPERLINK("http://ictvonline.org/taxonomy/p/taxonomy-history?taxnode_id=202111150","ICTVonline=202111150")</f>
        <v>ICTVonline=202111150</v>
      </c>
    </row>
    <row r="6827" spans="1:21" x14ac:dyDescent="0.2">
      <c r="A6827" s="3">
        <v>6826</v>
      </c>
      <c r="B6827" s="1" t="s">
        <v>4226</v>
      </c>
      <c r="D6827" s="1" t="s">
        <v>5412</v>
      </c>
      <c r="F6827" s="1" t="s">
        <v>5466</v>
      </c>
      <c r="H6827" s="1" t="s">
        <v>6729</v>
      </c>
      <c r="J6827" s="1" t="s">
        <v>7432</v>
      </c>
      <c r="L6827" s="1" t="s">
        <v>7500</v>
      </c>
      <c r="N6827" s="1" t="s">
        <v>7653</v>
      </c>
      <c r="P6827" s="1" t="s">
        <v>7714</v>
      </c>
      <c r="Q6827" s="30" t="s">
        <v>2567</v>
      </c>
      <c r="R6827" s="33" t="s">
        <v>3472</v>
      </c>
      <c r="S6827">
        <v>36</v>
      </c>
      <c r="T6827" s="1" t="s">
        <v>12971</v>
      </c>
      <c r="U6827" s="1" t="str">
        <f>HYPERLINK("http://ictvonline.org/taxonomy/p/taxonomy-history?taxnode_id=202111135","ICTVonline=202111135")</f>
        <v>ICTVonline=202111135</v>
      </c>
    </row>
    <row r="6828" spans="1:21" x14ac:dyDescent="0.2">
      <c r="A6828" s="3">
        <v>6827</v>
      </c>
      <c r="B6828" s="1" t="s">
        <v>4226</v>
      </c>
      <c r="D6828" s="1" t="s">
        <v>5412</v>
      </c>
      <c r="F6828" s="1" t="s">
        <v>5466</v>
      </c>
      <c r="H6828" s="1" t="s">
        <v>6729</v>
      </c>
      <c r="J6828" s="1" t="s">
        <v>7432</v>
      </c>
      <c r="L6828" s="1" t="s">
        <v>7500</v>
      </c>
      <c r="N6828" s="1" t="s">
        <v>7653</v>
      </c>
      <c r="P6828" s="1" t="s">
        <v>7715</v>
      </c>
      <c r="Q6828" s="30" t="s">
        <v>2567</v>
      </c>
      <c r="R6828" s="33" t="s">
        <v>3472</v>
      </c>
      <c r="S6828">
        <v>36</v>
      </c>
      <c r="T6828" s="1" t="s">
        <v>12971</v>
      </c>
      <c r="U6828" s="1" t="str">
        <f>HYPERLINK("http://ictvonline.org/taxonomy/p/taxonomy-history?taxnode_id=202111134","ICTVonline=202111134")</f>
        <v>ICTVonline=202111134</v>
      </c>
    </row>
    <row r="6829" spans="1:21" x14ac:dyDescent="0.2">
      <c r="A6829" s="3">
        <v>6828</v>
      </c>
      <c r="B6829" s="1" t="s">
        <v>4226</v>
      </c>
      <c r="D6829" s="1" t="s">
        <v>5412</v>
      </c>
      <c r="F6829" s="1" t="s">
        <v>5466</v>
      </c>
      <c r="H6829" s="1" t="s">
        <v>6729</v>
      </c>
      <c r="J6829" s="1" t="s">
        <v>7432</v>
      </c>
      <c r="L6829" s="1" t="s">
        <v>7500</v>
      </c>
      <c r="N6829" s="1" t="s">
        <v>7653</v>
      </c>
      <c r="P6829" s="1" t="s">
        <v>7716</v>
      </c>
      <c r="Q6829" s="30" t="s">
        <v>2567</v>
      </c>
      <c r="R6829" s="33" t="s">
        <v>3472</v>
      </c>
      <c r="S6829">
        <v>36</v>
      </c>
      <c r="T6829" s="1" t="s">
        <v>12971</v>
      </c>
      <c r="U6829" s="1" t="str">
        <f>HYPERLINK("http://ictvonline.org/taxonomy/p/taxonomy-history?taxnode_id=202111136","ICTVonline=202111136")</f>
        <v>ICTVonline=202111136</v>
      </c>
    </row>
    <row r="6830" spans="1:21" x14ac:dyDescent="0.2">
      <c r="A6830" s="3">
        <v>6829</v>
      </c>
      <c r="B6830" s="1" t="s">
        <v>4226</v>
      </c>
      <c r="D6830" s="1" t="s">
        <v>5412</v>
      </c>
      <c r="F6830" s="1" t="s">
        <v>5466</v>
      </c>
      <c r="H6830" s="1" t="s">
        <v>6729</v>
      </c>
      <c r="J6830" s="1" t="s">
        <v>7432</v>
      </c>
      <c r="L6830" s="1" t="s">
        <v>7500</v>
      </c>
      <c r="N6830" s="1" t="s">
        <v>7653</v>
      </c>
      <c r="P6830" s="1" t="s">
        <v>7717</v>
      </c>
      <c r="Q6830" s="30" t="s">
        <v>2567</v>
      </c>
      <c r="R6830" s="33" t="s">
        <v>3472</v>
      </c>
      <c r="S6830">
        <v>36</v>
      </c>
      <c r="T6830" s="1" t="s">
        <v>12971</v>
      </c>
      <c r="U6830" s="1" t="str">
        <f>HYPERLINK("http://ictvonline.org/taxonomy/p/taxonomy-history?taxnode_id=202111137","ICTVonline=202111137")</f>
        <v>ICTVonline=202111137</v>
      </c>
    </row>
    <row r="6831" spans="1:21" x14ac:dyDescent="0.2">
      <c r="A6831" s="3">
        <v>6830</v>
      </c>
      <c r="B6831" s="1" t="s">
        <v>4226</v>
      </c>
      <c r="D6831" s="1" t="s">
        <v>5412</v>
      </c>
      <c r="F6831" s="1" t="s">
        <v>5466</v>
      </c>
      <c r="H6831" s="1" t="s">
        <v>6729</v>
      </c>
      <c r="J6831" s="1" t="s">
        <v>7432</v>
      </c>
      <c r="L6831" s="1" t="s">
        <v>7500</v>
      </c>
      <c r="N6831" s="1" t="s">
        <v>7653</v>
      </c>
      <c r="P6831" s="1" t="s">
        <v>7718</v>
      </c>
      <c r="Q6831" s="30" t="s">
        <v>2567</v>
      </c>
      <c r="R6831" s="33" t="s">
        <v>3472</v>
      </c>
      <c r="S6831">
        <v>36</v>
      </c>
      <c r="T6831" s="1" t="s">
        <v>12971</v>
      </c>
      <c r="U6831" s="1" t="str">
        <f>HYPERLINK("http://ictvonline.org/taxonomy/p/taxonomy-history?taxnode_id=202111138","ICTVonline=202111138")</f>
        <v>ICTVonline=202111138</v>
      </c>
    </row>
    <row r="6832" spans="1:21" x14ac:dyDescent="0.2">
      <c r="A6832" s="3">
        <v>6831</v>
      </c>
      <c r="B6832" s="1" t="s">
        <v>4226</v>
      </c>
      <c r="D6832" s="1" t="s">
        <v>5412</v>
      </c>
      <c r="F6832" s="1" t="s">
        <v>5466</v>
      </c>
      <c r="H6832" s="1" t="s">
        <v>6729</v>
      </c>
      <c r="J6832" s="1" t="s">
        <v>7432</v>
      </c>
      <c r="L6832" s="1" t="s">
        <v>7500</v>
      </c>
      <c r="N6832" s="1" t="s">
        <v>7653</v>
      </c>
      <c r="P6832" s="1" t="s">
        <v>7719</v>
      </c>
      <c r="Q6832" s="30" t="s">
        <v>2567</v>
      </c>
      <c r="R6832" s="33" t="s">
        <v>3472</v>
      </c>
      <c r="S6832">
        <v>36</v>
      </c>
      <c r="T6832" s="1" t="s">
        <v>12971</v>
      </c>
      <c r="U6832" s="1" t="str">
        <f>HYPERLINK("http://ictvonline.org/taxonomy/p/taxonomy-history?taxnode_id=202111139","ICTVonline=202111139")</f>
        <v>ICTVonline=202111139</v>
      </c>
    </row>
    <row r="6833" spans="1:21" x14ac:dyDescent="0.2">
      <c r="A6833" s="3">
        <v>6832</v>
      </c>
      <c r="B6833" s="1" t="s">
        <v>4226</v>
      </c>
      <c r="D6833" s="1" t="s">
        <v>5412</v>
      </c>
      <c r="F6833" s="1" t="s">
        <v>5466</v>
      </c>
      <c r="H6833" s="1" t="s">
        <v>6729</v>
      </c>
      <c r="J6833" s="1" t="s">
        <v>7432</v>
      </c>
      <c r="L6833" s="1" t="s">
        <v>7500</v>
      </c>
      <c r="N6833" s="1" t="s">
        <v>7653</v>
      </c>
      <c r="P6833" s="1" t="s">
        <v>7720</v>
      </c>
      <c r="Q6833" s="30" t="s">
        <v>2567</v>
      </c>
      <c r="R6833" s="33" t="s">
        <v>3472</v>
      </c>
      <c r="S6833">
        <v>36</v>
      </c>
      <c r="T6833" s="1" t="s">
        <v>12971</v>
      </c>
      <c r="U6833" s="1" t="str">
        <f>HYPERLINK("http://ictvonline.org/taxonomy/p/taxonomy-history?taxnode_id=202111141","ICTVonline=202111141")</f>
        <v>ICTVonline=202111141</v>
      </c>
    </row>
    <row r="6834" spans="1:21" x14ac:dyDescent="0.2">
      <c r="A6834" s="3">
        <v>6833</v>
      </c>
      <c r="B6834" s="1" t="s">
        <v>4226</v>
      </c>
      <c r="D6834" s="1" t="s">
        <v>5412</v>
      </c>
      <c r="F6834" s="1" t="s">
        <v>5466</v>
      </c>
      <c r="H6834" s="1" t="s">
        <v>6729</v>
      </c>
      <c r="J6834" s="1" t="s">
        <v>7432</v>
      </c>
      <c r="L6834" s="1" t="s">
        <v>7500</v>
      </c>
      <c r="N6834" s="1" t="s">
        <v>7653</v>
      </c>
      <c r="P6834" s="1" t="s">
        <v>7721</v>
      </c>
      <c r="Q6834" s="30" t="s">
        <v>2567</v>
      </c>
      <c r="R6834" s="33" t="s">
        <v>3472</v>
      </c>
      <c r="S6834">
        <v>36</v>
      </c>
      <c r="T6834" s="1" t="s">
        <v>12971</v>
      </c>
      <c r="U6834" s="1" t="str">
        <f>HYPERLINK("http://ictvonline.org/taxonomy/p/taxonomy-history?taxnode_id=202111140","ICTVonline=202111140")</f>
        <v>ICTVonline=202111140</v>
      </c>
    </row>
    <row r="6835" spans="1:21" x14ac:dyDescent="0.2">
      <c r="A6835" s="3">
        <v>6834</v>
      </c>
      <c r="B6835" s="1" t="s">
        <v>4226</v>
      </c>
      <c r="D6835" s="1" t="s">
        <v>5412</v>
      </c>
      <c r="F6835" s="1" t="s">
        <v>5466</v>
      </c>
      <c r="H6835" s="1" t="s">
        <v>6729</v>
      </c>
      <c r="J6835" s="1" t="s">
        <v>7432</v>
      </c>
      <c r="L6835" s="1" t="s">
        <v>7500</v>
      </c>
      <c r="N6835" s="1" t="s">
        <v>7653</v>
      </c>
      <c r="P6835" s="1" t="s">
        <v>7722</v>
      </c>
      <c r="Q6835" s="30" t="s">
        <v>2567</v>
      </c>
      <c r="R6835" s="33" t="s">
        <v>3472</v>
      </c>
      <c r="S6835">
        <v>36</v>
      </c>
      <c r="T6835" s="1" t="s">
        <v>12971</v>
      </c>
      <c r="U6835" s="1" t="str">
        <f>HYPERLINK("http://ictvonline.org/taxonomy/p/taxonomy-history?taxnode_id=202111142","ICTVonline=202111142")</f>
        <v>ICTVonline=202111142</v>
      </c>
    </row>
    <row r="6836" spans="1:21" x14ac:dyDescent="0.2">
      <c r="A6836" s="3">
        <v>6835</v>
      </c>
      <c r="B6836" s="1" t="s">
        <v>4226</v>
      </c>
      <c r="D6836" s="1" t="s">
        <v>5412</v>
      </c>
      <c r="F6836" s="1" t="s">
        <v>5466</v>
      </c>
      <c r="H6836" s="1" t="s">
        <v>6729</v>
      </c>
      <c r="J6836" s="1" t="s">
        <v>7432</v>
      </c>
      <c r="L6836" s="1" t="s">
        <v>7500</v>
      </c>
      <c r="N6836" s="1" t="s">
        <v>7653</v>
      </c>
      <c r="P6836" s="1" t="s">
        <v>7723</v>
      </c>
      <c r="Q6836" s="30" t="s">
        <v>2567</v>
      </c>
      <c r="R6836" s="33" t="s">
        <v>3472</v>
      </c>
      <c r="S6836">
        <v>36</v>
      </c>
      <c r="T6836" s="1" t="s">
        <v>12971</v>
      </c>
      <c r="U6836" s="1" t="str">
        <f>HYPERLINK("http://ictvonline.org/taxonomy/p/taxonomy-history?taxnode_id=202111143","ICTVonline=202111143")</f>
        <v>ICTVonline=202111143</v>
      </c>
    </row>
    <row r="6837" spans="1:21" x14ac:dyDescent="0.2">
      <c r="A6837" s="3">
        <v>6836</v>
      </c>
      <c r="B6837" s="1" t="s">
        <v>4226</v>
      </c>
      <c r="D6837" s="1" t="s">
        <v>5412</v>
      </c>
      <c r="F6837" s="1" t="s">
        <v>5466</v>
      </c>
      <c r="H6837" s="1" t="s">
        <v>6729</v>
      </c>
      <c r="J6837" s="1" t="s">
        <v>7432</v>
      </c>
      <c r="L6837" s="1" t="s">
        <v>7500</v>
      </c>
      <c r="N6837" s="1" t="s">
        <v>7653</v>
      </c>
      <c r="P6837" s="1" t="s">
        <v>7724</v>
      </c>
      <c r="Q6837" s="30" t="s">
        <v>2567</v>
      </c>
      <c r="R6837" s="33" t="s">
        <v>3472</v>
      </c>
      <c r="S6837">
        <v>36</v>
      </c>
      <c r="T6837" s="1" t="s">
        <v>12971</v>
      </c>
      <c r="U6837" s="1" t="str">
        <f>HYPERLINK("http://ictvonline.org/taxonomy/p/taxonomy-history?taxnode_id=202111144","ICTVonline=202111144")</f>
        <v>ICTVonline=202111144</v>
      </c>
    </row>
    <row r="6838" spans="1:21" x14ac:dyDescent="0.2">
      <c r="A6838" s="3">
        <v>6837</v>
      </c>
      <c r="B6838" s="1" t="s">
        <v>4226</v>
      </c>
      <c r="D6838" s="1" t="s">
        <v>5412</v>
      </c>
      <c r="F6838" s="1" t="s">
        <v>5466</v>
      </c>
      <c r="H6838" s="1" t="s">
        <v>6729</v>
      </c>
      <c r="J6838" s="1" t="s">
        <v>7432</v>
      </c>
      <c r="L6838" s="1" t="s">
        <v>7500</v>
      </c>
      <c r="N6838" s="1" t="s">
        <v>7653</v>
      </c>
      <c r="P6838" s="1" t="s">
        <v>12973</v>
      </c>
      <c r="Q6838" s="30" t="s">
        <v>2567</v>
      </c>
      <c r="R6838" s="33" t="s">
        <v>3472</v>
      </c>
      <c r="S6838">
        <v>36</v>
      </c>
      <c r="T6838" s="1" t="s">
        <v>12971</v>
      </c>
      <c r="U6838" s="1" t="str">
        <f>HYPERLINK("http://ictvonline.org/taxonomy/p/taxonomy-history?taxnode_id=202111133","ICTVonline=202111133")</f>
        <v>ICTVonline=202111133</v>
      </c>
    </row>
    <row r="6839" spans="1:21" x14ac:dyDescent="0.2">
      <c r="A6839" s="3">
        <v>6838</v>
      </c>
      <c r="B6839" s="1" t="s">
        <v>4226</v>
      </c>
      <c r="D6839" s="1" t="s">
        <v>5412</v>
      </c>
      <c r="F6839" s="1" t="s">
        <v>5466</v>
      </c>
      <c r="H6839" s="1" t="s">
        <v>6729</v>
      </c>
      <c r="J6839" s="1" t="s">
        <v>7432</v>
      </c>
      <c r="L6839" s="1" t="s">
        <v>7500</v>
      </c>
      <c r="N6839" s="1" t="s">
        <v>7653</v>
      </c>
      <c r="P6839" s="1" t="s">
        <v>7725</v>
      </c>
      <c r="Q6839" s="30" t="s">
        <v>2567</v>
      </c>
      <c r="R6839" s="33" t="s">
        <v>3472</v>
      </c>
      <c r="S6839">
        <v>36</v>
      </c>
      <c r="T6839" s="1" t="s">
        <v>12971</v>
      </c>
      <c r="U6839" s="1" t="str">
        <f>HYPERLINK("http://ictvonline.org/taxonomy/p/taxonomy-history?taxnode_id=202111174","ICTVonline=202111174")</f>
        <v>ICTVonline=202111174</v>
      </c>
    </row>
    <row r="6840" spans="1:21" x14ac:dyDescent="0.2">
      <c r="A6840" s="3">
        <v>6839</v>
      </c>
      <c r="B6840" s="1" t="s">
        <v>4226</v>
      </c>
      <c r="D6840" s="1" t="s">
        <v>5412</v>
      </c>
      <c r="F6840" s="1" t="s">
        <v>5466</v>
      </c>
      <c r="H6840" s="1" t="s">
        <v>6729</v>
      </c>
      <c r="J6840" s="1" t="s">
        <v>7432</v>
      </c>
      <c r="L6840" s="1" t="s">
        <v>7500</v>
      </c>
      <c r="N6840" s="1" t="s">
        <v>7653</v>
      </c>
      <c r="P6840" s="1" t="s">
        <v>7726</v>
      </c>
      <c r="Q6840" s="30" t="s">
        <v>2567</v>
      </c>
      <c r="R6840" s="33" t="s">
        <v>3472</v>
      </c>
      <c r="S6840">
        <v>36</v>
      </c>
      <c r="T6840" s="1" t="s">
        <v>12971</v>
      </c>
      <c r="U6840" s="1" t="str">
        <f>HYPERLINK("http://ictvonline.org/taxonomy/p/taxonomy-history?taxnode_id=202111176","ICTVonline=202111176")</f>
        <v>ICTVonline=202111176</v>
      </c>
    </row>
    <row r="6841" spans="1:21" x14ac:dyDescent="0.2">
      <c r="A6841" s="3">
        <v>6840</v>
      </c>
      <c r="B6841" s="1" t="s">
        <v>4226</v>
      </c>
      <c r="D6841" s="1" t="s">
        <v>5412</v>
      </c>
      <c r="F6841" s="1" t="s">
        <v>5466</v>
      </c>
      <c r="H6841" s="1" t="s">
        <v>6729</v>
      </c>
      <c r="J6841" s="1" t="s">
        <v>7432</v>
      </c>
      <c r="L6841" s="1" t="s">
        <v>7500</v>
      </c>
      <c r="N6841" s="1" t="s">
        <v>7653</v>
      </c>
      <c r="P6841" s="1" t="s">
        <v>7727</v>
      </c>
      <c r="Q6841" s="30" t="s">
        <v>2567</v>
      </c>
      <c r="R6841" s="33" t="s">
        <v>3472</v>
      </c>
      <c r="S6841">
        <v>36</v>
      </c>
      <c r="T6841" s="1" t="s">
        <v>12971</v>
      </c>
      <c r="U6841" s="1" t="str">
        <f>HYPERLINK("http://ictvonline.org/taxonomy/p/taxonomy-history?taxnode_id=202111175","ICTVonline=202111175")</f>
        <v>ICTVonline=202111175</v>
      </c>
    </row>
    <row r="6842" spans="1:21" x14ac:dyDescent="0.2">
      <c r="A6842" s="3">
        <v>6841</v>
      </c>
      <c r="B6842" s="1" t="s">
        <v>4226</v>
      </c>
      <c r="D6842" s="1" t="s">
        <v>5412</v>
      </c>
      <c r="F6842" s="1" t="s">
        <v>5466</v>
      </c>
      <c r="H6842" s="1" t="s">
        <v>6729</v>
      </c>
      <c r="J6842" s="1" t="s">
        <v>7432</v>
      </c>
      <c r="L6842" s="1" t="s">
        <v>7500</v>
      </c>
      <c r="N6842" s="1" t="s">
        <v>7653</v>
      </c>
      <c r="P6842" s="1" t="s">
        <v>7728</v>
      </c>
      <c r="Q6842" s="30" t="s">
        <v>2567</v>
      </c>
      <c r="R6842" s="33" t="s">
        <v>3472</v>
      </c>
      <c r="S6842">
        <v>36</v>
      </c>
      <c r="T6842" s="1" t="s">
        <v>12971</v>
      </c>
      <c r="U6842" s="1" t="str">
        <f>HYPERLINK("http://ictvonline.org/taxonomy/p/taxonomy-history?taxnode_id=202111177","ICTVonline=202111177")</f>
        <v>ICTVonline=202111177</v>
      </c>
    </row>
    <row r="6843" spans="1:21" x14ac:dyDescent="0.2">
      <c r="A6843" s="3">
        <v>6842</v>
      </c>
      <c r="B6843" s="1" t="s">
        <v>4226</v>
      </c>
      <c r="D6843" s="1" t="s">
        <v>5412</v>
      </c>
      <c r="F6843" s="1" t="s">
        <v>5466</v>
      </c>
      <c r="H6843" s="1" t="s">
        <v>6729</v>
      </c>
      <c r="J6843" s="1" t="s">
        <v>7432</v>
      </c>
      <c r="L6843" s="1" t="s">
        <v>7500</v>
      </c>
      <c r="N6843" s="1" t="s">
        <v>7653</v>
      </c>
      <c r="P6843" s="1" t="s">
        <v>7729</v>
      </c>
      <c r="Q6843" s="30" t="s">
        <v>2567</v>
      </c>
      <c r="R6843" s="33" t="s">
        <v>3472</v>
      </c>
      <c r="S6843">
        <v>36</v>
      </c>
      <c r="T6843" s="1" t="s">
        <v>12971</v>
      </c>
      <c r="U6843" s="1" t="str">
        <f>HYPERLINK("http://ictvonline.org/taxonomy/p/taxonomy-history?taxnode_id=202111178","ICTVonline=202111178")</f>
        <v>ICTVonline=202111178</v>
      </c>
    </row>
    <row r="6844" spans="1:21" x14ac:dyDescent="0.2">
      <c r="A6844" s="3">
        <v>6843</v>
      </c>
      <c r="B6844" s="1" t="s">
        <v>4226</v>
      </c>
      <c r="D6844" s="1" t="s">
        <v>5412</v>
      </c>
      <c r="F6844" s="1" t="s">
        <v>5466</v>
      </c>
      <c r="H6844" s="1" t="s">
        <v>6729</v>
      </c>
      <c r="J6844" s="1" t="s">
        <v>7432</v>
      </c>
      <c r="L6844" s="1" t="s">
        <v>7500</v>
      </c>
      <c r="N6844" s="1" t="s">
        <v>7653</v>
      </c>
      <c r="P6844" s="1" t="s">
        <v>7730</v>
      </c>
      <c r="Q6844" s="30" t="s">
        <v>2567</v>
      </c>
      <c r="R6844" s="33" t="s">
        <v>3472</v>
      </c>
      <c r="S6844">
        <v>36</v>
      </c>
      <c r="T6844" s="1" t="s">
        <v>12971</v>
      </c>
      <c r="U6844" s="1" t="str">
        <f>HYPERLINK("http://ictvonline.org/taxonomy/p/taxonomy-history?taxnode_id=202111179","ICTVonline=202111179")</f>
        <v>ICTVonline=202111179</v>
      </c>
    </row>
    <row r="6845" spans="1:21" x14ac:dyDescent="0.2">
      <c r="A6845" s="3">
        <v>6844</v>
      </c>
      <c r="B6845" s="1" t="s">
        <v>4226</v>
      </c>
      <c r="D6845" s="1" t="s">
        <v>5412</v>
      </c>
      <c r="F6845" s="1" t="s">
        <v>5466</v>
      </c>
      <c r="H6845" s="1" t="s">
        <v>6729</v>
      </c>
      <c r="J6845" s="1" t="s">
        <v>7432</v>
      </c>
      <c r="L6845" s="1" t="s">
        <v>7500</v>
      </c>
      <c r="N6845" s="1" t="s">
        <v>7653</v>
      </c>
      <c r="P6845" s="1" t="s">
        <v>7731</v>
      </c>
      <c r="Q6845" s="30" t="s">
        <v>2567</v>
      </c>
      <c r="R6845" s="33" t="s">
        <v>3472</v>
      </c>
      <c r="S6845">
        <v>36</v>
      </c>
      <c r="T6845" s="1" t="s">
        <v>12971</v>
      </c>
      <c r="U6845" s="1" t="str">
        <f>HYPERLINK("http://ictvonline.org/taxonomy/p/taxonomy-history?taxnode_id=202111180","ICTVonline=202111180")</f>
        <v>ICTVonline=202111180</v>
      </c>
    </row>
    <row r="6846" spans="1:21" x14ac:dyDescent="0.2">
      <c r="A6846" s="3">
        <v>6845</v>
      </c>
      <c r="B6846" s="1" t="s">
        <v>4226</v>
      </c>
      <c r="D6846" s="1" t="s">
        <v>5412</v>
      </c>
      <c r="F6846" s="1" t="s">
        <v>5466</v>
      </c>
      <c r="H6846" s="1" t="s">
        <v>6729</v>
      </c>
      <c r="J6846" s="1" t="s">
        <v>7432</v>
      </c>
      <c r="L6846" s="1" t="s">
        <v>7500</v>
      </c>
      <c r="N6846" s="1" t="s">
        <v>7653</v>
      </c>
      <c r="P6846" s="1" t="s">
        <v>7732</v>
      </c>
      <c r="Q6846" s="30" t="s">
        <v>2567</v>
      </c>
      <c r="R6846" s="33" t="s">
        <v>3472</v>
      </c>
      <c r="S6846">
        <v>36</v>
      </c>
      <c r="T6846" s="1" t="s">
        <v>12971</v>
      </c>
      <c r="U6846" s="1" t="str">
        <f>HYPERLINK("http://ictvonline.org/taxonomy/p/taxonomy-history?taxnode_id=202111182","ICTVonline=202111182")</f>
        <v>ICTVonline=202111182</v>
      </c>
    </row>
    <row r="6847" spans="1:21" x14ac:dyDescent="0.2">
      <c r="A6847" s="3">
        <v>6846</v>
      </c>
      <c r="B6847" s="1" t="s">
        <v>4226</v>
      </c>
      <c r="D6847" s="1" t="s">
        <v>5412</v>
      </c>
      <c r="F6847" s="1" t="s">
        <v>5466</v>
      </c>
      <c r="H6847" s="1" t="s">
        <v>6729</v>
      </c>
      <c r="J6847" s="1" t="s">
        <v>7432</v>
      </c>
      <c r="L6847" s="1" t="s">
        <v>7500</v>
      </c>
      <c r="N6847" s="1" t="s">
        <v>7653</v>
      </c>
      <c r="P6847" s="1" t="s">
        <v>7733</v>
      </c>
      <c r="Q6847" s="30" t="s">
        <v>2567</v>
      </c>
      <c r="R6847" s="33" t="s">
        <v>3472</v>
      </c>
      <c r="S6847">
        <v>36</v>
      </c>
      <c r="T6847" s="1" t="s">
        <v>12971</v>
      </c>
      <c r="U6847" s="1" t="str">
        <f>HYPERLINK("http://ictvonline.org/taxonomy/p/taxonomy-history?taxnode_id=202111181","ICTVonline=202111181")</f>
        <v>ICTVonline=202111181</v>
      </c>
    </row>
    <row r="6848" spans="1:21" x14ac:dyDescent="0.2">
      <c r="A6848" s="3">
        <v>6847</v>
      </c>
      <c r="B6848" s="1" t="s">
        <v>4226</v>
      </c>
      <c r="D6848" s="1" t="s">
        <v>5412</v>
      </c>
      <c r="F6848" s="1" t="s">
        <v>5466</v>
      </c>
      <c r="H6848" s="1" t="s">
        <v>6729</v>
      </c>
      <c r="J6848" s="1" t="s">
        <v>7432</v>
      </c>
      <c r="L6848" s="1" t="s">
        <v>7500</v>
      </c>
      <c r="N6848" s="1" t="s">
        <v>7653</v>
      </c>
      <c r="P6848" s="1" t="s">
        <v>7734</v>
      </c>
      <c r="Q6848" s="30" t="s">
        <v>2567</v>
      </c>
      <c r="R6848" s="33" t="s">
        <v>3472</v>
      </c>
      <c r="S6848">
        <v>36</v>
      </c>
      <c r="T6848" s="1" t="s">
        <v>12971</v>
      </c>
      <c r="U6848" s="1" t="str">
        <f>HYPERLINK("http://ictvonline.org/taxonomy/p/taxonomy-history?taxnode_id=202111183","ICTVonline=202111183")</f>
        <v>ICTVonline=202111183</v>
      </c>
    </row>
    <row r="6849" spans="1:21" x14ac:dyDescent="0.2">
      <c r="A6849" s="3">
        <v>6848</v>
      </c>
      <c r="B6849" s="1" t="s">
        <v>4226</v>
      </c>
      <c r="D6849" s="1" t="s">
        <v>5412</v>
      </c>
      <c r="F6849" s="1" t="s">
        <v>5466</v>
      </c>
      <c r="H6849" s="1" t="s">
        <v>6729</v>
      </c>
      <c r="J6849" s="1" t="s">
        <v>7432</v>
      </c>
      <c r="L6849" s="1" t="s">
        <v>7500</v>
      </c>
      <c r="N6849" s="1" t="s">
        <v>7653</v>
      </c>
      <c r="P6849" s="1" t="s">
        <v>7735</v>
      </c>
      <c r="Q6849" s="30" t="s">
        <v>2567</v>
      </c>
      <c r="R6849" s="33" t="s">
        <v>3472</v>
      </c>
      <c r="S6849">
        <v>36</v>
      </c>
      <c r="T6849" s="1" t="s">
        <v>12971</v>
      </c>
      <c r="U6849" s="1" t="str">
        <f>HYPERLINK("http://ictvonline.org/taxonomy/p/taxonomy-history?taxnode_id=202111184","ICTVonline=202111184")</f>
        <v>ICTVonline=202111184</v>
      </c>
    </row>
    <row r="6850" spans="1:21" x14ac:dyDescent="0.2">
      <c r="A6850" s="3">
        <v>6849</v>
      </c>
      <c r="B6850" s="1" t="s">
        <v>4226</v>
      </c>
      <c r="D6850" s="1" t="s">
        <v>5412</v>
      </c>
      <c r="F6850" s="1" t="s">
        <v>5466</v>
      </c>
      <c r="H6850" s="1" t="s">
        <v>6729</v>
      </c>
      <c r="J6850" s="1" t="s">
        <v>7432</v>
      </c>
      <c r="L6850" s="1" t="s">
        <v>7500</v>
      </c>
      <c r="N6850" s="1" t="s">
        <v>7653</v>
      </c>
      <c r="P6850" s="1" t="s">
        <v>7736</v>
      </c>
      <c r="Q6850" s="30" t="s">
        <v>2567</v>
      </c>
      <c r="R6850" s="33" t="s">
        <v>3472</v>
      </c>
      <c r="S6850">
        <v>36</v>
      </c>
      <c r="T6850" s="1" t="s">
        <v>12971</v>
      </c>
      <c r="U6850" s="1" t="str">
        <f>HYPERLINK("http://ictvonline.org/taxonomy/p/taxonomy-history?taxnode_id=202111185","ICTVonline=202111185")</f>
        <v>ICTVonline=202111185</v>
      </c>
    </row>
    <row r="6851" spans="1:21" x14ac:dyDescent="0.2">
      <c r="A6851" s="3">
        <v>6850</v>
      </c>
      <c r="B6851" s="1" t="s">
        <v>4226</v>
      </c>
      <c r="D6851" s="1" t="s">
        <v>5412</v>
      </c>
      <c r="F6851" s="1" t="s">
        <v>5466</v>
      </c>
      <c r="H6851" s="1" t="s">
        <v>6729</v>
      </c>
      <c r="J6851" s="1" t="s">
        <v>7432</v>
      </c>
      <c r="L6851" s="1" t="s">
        <v>7500</v>
      </c>
      <c r="N6851" s="1" t="s">
        <v>7653</v>
      </c>
      <c r="P6851" s="1" t="s">
        <v>7737</v>
      </c>
      <c r="Q6851" s="30" t="s">
        <v>2567</v>
      </c>
      <c r="R6851" s="33" t="s">
        <v>3472</v>
      </c>
      <c r="S6851">
        <v>36</v>
      </c>
      <c r="T6851" s="1" t="s">
        <v>12971</v>
      </c>
      <c r="U6851" s="1" t="str">
        <f>HYPERLINK("http://ictvonline.org/taxonomy/p/taxonomy-history?taxnode_id=202111198","ICTVonline=202111198")</f>
        <v>ICTVonline=202111198</v>
      </c>
    </row>
    <row r="6852" spans="1:21" x14ac:dyDescent="0.2">
      <c r="A6852" s="3">
        <v>6851</v>
      </c>
      <c r="B6852" s="1" t="s">
        <v>4226</v>
      </c>
      <c r="D6852" s="1" t="s">
        <v>5412</v>
      </c>
      <c r="F6852" s="1" t="s">
        <v>5466</v>
      </c>
      <c r="H6852" s="1" t="s">
        <v>6729</v>
      </c>
      <c r="J6852" s="1" t="s">
        <v>7432</v>
      </c>
      <c r="L6852" s="1" t="s">
        <v>7500</v>
      </c>
      <c r="N6852" s="1" t="s">
        <v>7653</v>
      </c>
      <c r="P6852" s="1" t="s">
        <v>7738</v>
      </c>
      <c r="Q6852" s="30" t="s">
        <v>2567</v>
      </c>
      <c r="R6852" s="33" t="s">
        <v>3472</v>
      </c>
      <c r="S6852">
        <v>36</v>
      </c>
      <c r="T6852" s="1" t="s">
        <v>12971</v>
      </c>
      <c r="U6852" s="1" t="str">
        <f>HYPERLINK("http://ictvonline.org/taxonomy/p/taxonomy-history?taxnode_id=202111200","ICTVonline=202111200")</f>
        <v>ICTVonline=202111200</v>
      </c>
    </row>
    <row r="6853" spans="1:21" x14ac:dyDescent="0.2">
      <c r="A6853" s="3">
        <v>6852</v>
      </c>
      <c r="B6853" s="1" t="s">
        <v>4226</v>
      </c>
      <c r="D6853" s="1" t="s">
        <v>5412</v>
      </c>
      <c r="F6853" s="1" t="s">
        <v>5466</v>
      </c>
      <c r="H6853" s="1" t="s">
        <v>6729</v>
      </c>
      <c r="J6853" s="1" t="s">
        <v>7432</v>
      </c>
      <c r="L6853" s="1" t="s">
        <v>7500</v>
      </c>
      <c r="N6853" s="1" t="s">
        <v>7653</v>
      </c>
      <c r="P6853" s="1" t="s">
        <v>7739</v>
      </c>
      <c r="Q6853" s="30" t="s">
        <v>2567</v>
      </c>
      <c r="R6853" s="33" t="s">
        <v>3472</v>
      </c>
      <c r="S6853">
        <v>36</v>
      </c>
      <c r="T6853" s="1" t="s">
        <v>12971</v>
      </c>
      <c r="U6853" s="1" t="str">
        <f>HYPERLINK("http://ictvonline.org/taxonomy/p/taxonomy-history?taxnode_id=202111199","ICTVonline=202111199")</f>
        <v>ICTVonline=202111199</v>
      </c>
    </row>
    <row r="6854" spans="1:21" x14ac:dyDescent="0.2">
      <c r="A6854" s="3">
        <v>6853</v>
      </c>
      <c r="B6854" s="1" t="s">
        <v>4226</v>
      </c>
      <c r="D6854" s="1" t="s">
        <v>5412</v>
      </c>
      <c r="F6854" s="1" t="s">
        <v>5466</v>
      </c>
      <c r="H6854" s="1" t="s">
        <v>6729</v>
      </c>
      <c r="J6854" s="1" t="s">
        <v>7432</v>
      </c>
      <c r="L6854" s="1" t="s">
        <v>7500</v>
      </c>
      <c r="N6854" s="1" t="s">
        <v>7653</v>
      </c>
      <c r="P6854" s="1" t="s">
        <v>7740</v>
      </c>
      <c r="Q6854" s="30" t="s">
        <v>2567</v>
      </c>
      <c r="R6854" s="33" t="s">
        <v>3472</v>
      </c>
      <c r="S6854">
        <v>36</v>
      </c>
      <c r="T6854" s="1" t="s">
        <v>12971</v>
      </c>
      <c r="U6854" s="1" t="str">
        <f>HYPERLINK("http://ictvonline.org/taxonomy/p/taxonomy-history?taxnode_id=202111201","ICTVonline=202111201")</f>
        <v>ICTVonline=202111201</v>
      </c>
    </row>
    <row r="6855" spans="1:21" x14ac:dyDescent="0.2">
      <c r="A6855" s="3">
        <v>6854</v>
      </c>
      <c r="B6855" s="1" t="s">
        <v>4226</v>
      </c>
      <c r="D6855" s="1" t="s">
        <v>5412</v>
      </c>
      <c r="F6855" s="1" t="s">
        <v>5466</v>
      </c>
      <c r="H6855" s="1" t="s">
        <v>6729</v>
      </c>
      <c r="J6855" s="1" t="s">
        <v>7432</v>
      </c>
      <c r="L6855" s="1" t="s">
        <v>7500</v>
      </c>
      <c r="N6855" s="1" t="s">
        <v>7653</v>
      </c>
      <c r="P6855" s="1" t="s">
        <v>7741</v>
      </c>
      <c r="Q6855" s="30" t="s">
        <v>2567</v>
      </c>
      <c r="R6855" s="33" t="s">
        <v>3472</v>
      </c>
      <c r="S6855">
        <v>36</v>
      </c>
      <c r="T6855" s="1" t="s">
        <v>12971</v>
      </c>
      <c r="U6855" s="1" t="str">
        <f>HYPERLINK("http://ictvonline.org/taxonomy/p/taxonomy-history?taxnode_id=202111202","ICTVonline=202111202")</f>
        <v>ICTVonline=202111202</v>
      </c>
    </row>
    <row r="6856" spans="1:21" x14ac:dyDescent="0.2">
      <c r="A6856" s="3">
        <v>6855</v>
      </c>
      <c r="B6856" s="1" t="s">
        <v>4226</v>
      </c>
      <c r="D6856" s="1" t="s">
        <v>5412</v>
      </c>
      <c r="F6856" s="1" t="s">
        <v>5466</v>
      </c>
      <c r="H6856" s="1" t="s">
        <v>6729</v>
      </c>
      <c r="J6856" s="1" t="s">
        <v>7432</v>
      </c>
      <c r="L6856" s="1" t="s">
        <v>7500</v>
      </c>
      <c r="N6856" s="1" t="s">
        <v>7653</v>
      </c>
      <c r="P6856" s="1" t="s">
        <v>7742</v>
      </c>
      <c r="Q6856" s="30" t="s">
        <v>2567</v>
      </c>
      <c r="R6856" s="33" t="s">
        <v>3472</v>
      </c>
      <c r="S6856">
        <v>36</v>
      </c>
      <c r="T6856" s="1" t="s">
        <v>12971</v>
      </c>
      <c r="U6856" s="1" t="str">
        <f>HYPERLINK("http://ictvonline.org/taxonomy/p/taxonomy-history?taxnode_id=202111203","ICTVonline=202111203")</f>
        <v>ICTVonline=202111203</v>
      </c>
    </row>
    <row r="6857" spans="1:21" x14ac:dyDescent="0.2">
      <c r="A6857" s="3">
        <v>6856</v>
      </c>
      <c r="B6857" s="1" t="s">
        <v>4226</v>
      </c>
      <c r="D6857" s="1" t="s">
        <v>5412</v>
      </c>
      <c r="F6857" s="1" t="s">
        <v>5466</v>
      </c>
      <c r="H6857" s="1" t="s">
        <v>6729</v>
      </c>
      <c r="J6857" s="1" t="s">
        <v>7432</v>
      </c>
      <c r="L6857" s="1" t="s">
        <v>7500</v>
      </c>
      <c r="N6857" s="1" t="s">
        <v>7653</v>
      </c>
      <c r="P6857" s="1" t="s">
        <v>7743</v>
      </c>
      <c r="Q6857" s="30" t="s">
        <v>2567</v>
      </c>
      <c r="R6857" s="33" t="s">
        <v>3472</v>
      </c>
      <c r="S6857">
        <v>36</v>
      </c>
      <c r="T6857" s="1" t="s">
        <v>12971</v>
      </c>
      <c r="U6857" s="1" t="str">
        <f>HYPERLINK("http://ictvonline.org/taxonomy/p/taxonomy-history?taxnode_id=202111204","ICTVonline=202111204")</f>
        <v>ICTVonline=202111204</v>
      </c>
    </row>
    <row r="6858" spans="1:21" x14ac:dyDescent="0.2">
      <c r="A6858" s="3">
        <v>6857</v>
      </c>
      <c r="B6858" s="1" t="s">
        <v>4226</v>
      </c>
      <c r="D6858" s="1" t="s">
        <v>5412</v>
      </c>
      <c r="F6858" s="1" t="s">
        <v>5466</v>
      </c>
      <c r="H6858" s="1" t="s">
        <v>6729</v>
      </c>
      <c r="J6858" s="1" t="s">
        <v>7432</v>
      </c>
      <c r="L6858" s="1" t="s">
        <v>7500</v>
      </c>
      <c r="N6858" s="1" t="s">
        <v>7653</v>
      </c>
      <c r="P6858" s="1" t="s">
        <v>7744</v>
      </c>
      <c r="Q6858" s="30" t="s">
        <v>2567</v>
      </c>
      <c r="R6858" s="33" t="s">
        <v>3472</v>
      </c>
      <c r="S6858">
        <v>36</v>
      </c>
      <c r="T6858" s="1" t="s">
        <v>12971</v>
      </c>
      <c r="U6858" s="1" t="str">
        <f>HYPERLINK("http://ictvonline.org/taxonomy/p/taxonomy-history?taxnode_id=202111206","ICTVonline=202111206")</f>
        <v>ICTVonline=202111206</v>
      </c>
    </row>
    <row r="6859" spans="1:21" x14ac:dyDescent="0.2">
      <c r="A6859" s="3">
        <v>6858</v>
      </c>
      <c r="B6859" s="1" t="s">
        <v>4226</v>
      </c>
      <c r="D6859" s="1" t="s">
        <v>5412</v>
      </c>
      <c r="F6859" s="1" t="s">
        <v>5466</v>
      </c>
      <c r="H6859" s="1" t="s">
        <v>6729</v>
      </c>
      <c r="J6859" s="1" t="s">
        <v>7432</v>
      </c>
      <c r="L6859" s="1" t="s">
        <v>7500</v>
      </c>
      <c r="N6859" s="1" t="s">
        <v>7653</v>
      </c>
      <c r="P6859" s="1" t="s">
        <v>7745</v>
      </c>
      <c r="Q6859" s="30" t="s">
        <v>2567</v>
      </c>
      <c r="R6859" s="33" t="s">
        <v>3472</v>
      </c>
      <c r="S6859">
        <v>36</v>
      </c>
      <c r="T6859" s="1" t="s">
        <v>12971</v>
      </c>
      <c r="U6859" s="1" t="str">
        <f>HYPERLINK("http://ictvonline.org/taxonomy/p/taxonomy-history?taxnode_id=202111205","ICTVonline=202111205")</f>
        <v>ICTVonline=202111205</v>
      </c>
    </row>
    <row r="6860" spans="1:21" x14ac:dyDescent="0.2">
      <c r="A6860" s="3">
        <v>6859</v>
      </c>
      <c r="B6860" s="1" t="s">
        <v>4226</v>
      </c>
      <c r="D6860" s="1" t="s">
        <v>5412</v>
      </c>
      <c r="F6860" s="1" t="s">
        <v>5466</v>
      </c>
      <c r="H6860" s="1" t="s">
        <v>6729</v>
      </c>
      <c r="J6860" s="1" t="s">
        <v>7432</v>
      </c>
      <c r="L6860" s="1" t="s">
        <v>7500</v>
      </c>
      <c r="N6860" s="1" t="s">
        <v>7653</v>
      </c>
      <c r="P6860" s="1" t="s">
        <v>7746</v>
      </c>
      <c r="Q6860" s="30" t="s">
        <v>2567</v>
      </c>
      <c r="R6860" s="33" t="s">
        <v>3472</v>
      </c>
      <c r="S6860">
        <v>36</v>
      </c>
      <c r="T6860" s="1" t="s">
        <v>12971</v>
      </c>
      <c r="U6860" s="1" t="str">
        <f>HYPERLINK("http://ictvonline.org/taxonomy/p/taxonomy-history?taxnode_id=202111207","ICTVonline=202111207")</f>
        <v>ICTVonline=202111207</v>
      </c>
    </row>
    <row r="6861" spans="1:21" x14ac:dyDescent="0.2">
      <c r="A6861" s="3">
        <v>6860</v>
      </c>
      <c r="B6861" s="1" t="s">
        <v>4226</v>
      </c>
      <c r="D6861" s="1" t="s">
        <v>5412</v>
      </c>
      <c r="F6861" s="1" t="s">
        <v>5466</v>
      </c>
      <c r="H6861" s="1" t="s">
        <v>6729</v>
      </c>
      <c r="J6861" s="1" t="s">
        <v>7432</v>
      </c>
      <c r="L6861" s="1" t="s">
        <v>7500</v>
      </c>
      <c r="N6861" s="1" t="s">
        <v>7653</v>
      </c>
      <c r="P6861" s="1" t="s">
        <v>7747</v>
      </c>
      <c r="Q6861" s="30" t="s">
        <v>2567</v>
      </c>
      <c r="R6861" s="33" t="s">
        <v>3472</v>
      </c>
      <c r="S6861">
        <v>36</v>
      </c>
      <c r="T6861" s="1" t="s">
        <v>12971</v>
      </c>
      <c r="U6861" s="1" t="str">
        <f>HYPERLINK("http://ictvonline.org/taxonomy/p/taxonomy-history?taxnode_id=202111209","ICTVonline=202111209")</f>
        <v>ICTVonline=202111209</v>
      </c>
    </row>
    <row r="6862" spans="1:21" x14ac:dyDescent="0.2">
      <c r="A6862" s="3">
        <v>6861</v>
      </c>
      <c r="B6862" s="1" t="s">
        <v>4226</v>
      </c>
      <c r="D6862" s="1" t="s">
        <v>5412</v>
      </c>
      <c r="F6862" s="1" t="s">
        <v>5466</v>
      </c>
      <c r="H6862" s="1" t="s">
        <v>6729</v>
      </c>
      <c r="J6862" s="1" t="s">
        <v>7432</v>
      </c>
      <c r="L6862" s="1" t="s">
        <v>7500</v>
      </c>
      <c r="N6862" s="1" t="s">
        <v>7653</v>
      </c>
      <c r="P6862" s="1" t="s">
        <v>7748</v>
      </c>
      <c r="Q6862" s="30" t="s">
        <v>2567</v>
      </c>
      <c r="R6862" s="33" t="s">
        <v>3472</v>
      </c>
      <c r="S6862">
        <v>36</v>
      </c>
      <c r="T6862" s="1" t="s">
        <v>12971</v>
      </c>
      <c r="U6862" s="1" t="str">
        <f>HYPERLINK("http://ictvonline.org/taxonomy/p/taxonomy-history?taxnode_id=202111210","ICTVonline=202111210")</f>
        <v>ICTVonline=202111210</v>
      </c>
    </row>
    <row r="6863" spans="1:21" x14ac:dyDescent="0.2">
      <c r="A6863" s="3">
        <v>6862</v>
      </c>
      <c r="B6863" s="1" t="s">
        <v>4226</v>
      </c>
      <c r="D6863" s="1" t="s">
        <v>5412</v>
      </c>
      <c r="F6863" s="1" t="s">
        <v>5466</v>
      </c>
      <c r="H6863" s="1" t="s">
        <v>6729</v>
      </c>
      <c r="J6863" s="1" t="s">
        <v>7432</v>
      </c>
      <c r="L6863" s="1" t="s">
        <v>7500</v>
      </c>
      <c r="N6863" s="1" t="s">
        <v>7749</v>
      </c>
      <c r="P6863" s="1" t="s">
        <v>7750</v>
      </c>
      <c r="Q6863" s="30" t="s">
        <v>2567</v>
      </c>
      <c r="R6863" s="33" t="s">
        <v>3472</v>
      </c>
      <c r="S6863">
        <v>36</v>
      </c>
      <c r="T6863" s="1" t="s">
        <v>12971</v>
      </c>
      <c r="U6863" s="1" t="str">
        <f>HYPERLINK("http://ictvonline.org/taxonomy/p/taxonomy-history?taxnode_id=202111231","ICTVonline=202111231")</f>
        <v>ICTVonline=202111231</v>
      </c>
    </row>
    <row r="6864" spans="1:21" x14ac:dyDescent="0.2">
      <c r="A6864" s="3">
        <v>6863</v>
      </c>
      <c r="B6864" s="1" t="s">
        <v>4226</v>
      </c>
      <c r="D6864" s="1" t="s">
        <v>5412</v>
      </c>
      <c r="F6864" s="1" t="s">
        <v>5466</v>
      </c>
      <c r="H6864" s="1" t="s">
        <v>6729</v>
      </c>
      <c r="J6864" s="1" t="s">
        <v>7432</v>
      </c>
      <c r="L6864" s="1" t="s">
        <v>7500</v>
      </c>
      <c r="N6864" s="1" t="s">
        <v>7749</v>
      </c>
      <c r="P6864" s="1" t="s">
        <v>7751</v>
      </c>
      <c r="Q6864" s="30" t="s">
        <v>2567</v>
      </c>
      <c r="R6864" s="33" t="s">
        <v>3472</v>
      </c>
      <c r="S6864">
        <v>36</v>
      </c>
      <c r="T6864" s="1" t="s">
        <v>12971</v>
      </c>
      <c r="U6864" s="1" t="str">
        <f>HYPERLINK("http://ictvonline.org/taxonomy/p/taxonomy-history?taxnode_id=202111233","ICTVonline=202111233")</f>
        <v>ICTVonline=202111233</v>
      </c>
    </row>
    <row r="6865" spans="1:21" x14ac:dyDescent="0.2">
      <c r="A6865" s="3">
        <v>6864</v>
      </c>
      <c r="B6865" s="1" t="s">
        <v>4226</v>
      </c>
      <c r="D6865" s="1" t="s">
        <v>5412</v>
      </c>
      <c r="F6865" s="1" t="s">
        <v>5466</v>
      </c>
      <c r="H6865" s="1" t="s">
        <v>6729</v>
      </c>
      <c r="J6865" s="1" t="s">
        <v>7432</v>
      </c>
      <c r="L6865" s="1" t="s">
        <v>7500</v>
      </c>
      <c r="N6865" s="1" t="s">
        <v>7749</v>
      </c>
      <c r="P6865" s="1" t="s">
        <v>7752</v>
      </c>
      <c r="Q6865" s="30" t="s">
        <v>2567</v>
      </c>
      <c r="R6865" s="33" t="s">
        <v>3472</v>
      </c>
      <c r="S6865">
        <v>36</v>
      </c>
      <c r="T6865" s="1" t="s">
        <v>12971</v>
      </c>
      <c r="U6865" s="1" t="str">
        <f>HYPERLINK("http://ictvonline.org/taxonomy/p/taxonomy-history?taxnode_id=202111232","ICTVonline=202111232")</f>
        <v>ICTVonline=202111232</v>
      </c>
    </row>
    <row r="6866" spans="1:21" x14ac:dyDescent="0.2">
      <c r="A6866" s="3">
        <v>6865</v>
      </c>
      <c r="B6866" s="1" t="s">
        <v>4226</v>
      </c>
      <c r="D6866" s="1" t="s">
        <v>5412</v>
      </c>
      <c r="F6866" s="1" t="s">
        <v>5466</v>
      </c>
      <c r="H6866" s="1" t="s">
        <v>6729</v>
      </c>
      <c r="J6866" s="1" t="s">
        <v>7432</v>
      </c>
      <c r="L6866" s="1" t="s">
        <v>7500</v>
      </c>
      <c r="N6866" s="1" t="s">
        <v>7749</v>
      </c>
      <c r="P6866" s="1" t="s">
        <v>7753</v>
      </c>
      <c r="Q6866" s="30" t="s">
        <v>2567</v>
      </c>
      <c r="R6866" s="33" t="s">
        <v>3472</v>
      </c>
      <c r="S6866">
        <v>36</v>
      </c>
      <c r="T6866" s="1" t="s">
        <v>12971</v>
      </c>
      <c r="U6866" s="1" t="str">
        <f>HYPERLINK("http://ictvonline.org/taxonomy/p/taxonomy-history?taxnode_id=202111236","ICTVonline=202111236")</f>
        <v>ICTVonline=202111236</v>
      </c>
    </row>
    <row r="6867" spans="1:21" x14ac:dyDescent="0.2">
      <c r="A6867" s="3">
        <v>6866</v>
      </c>
      <c r="B6867" s="1" t="s">
        <v>4226</v>
      </c>
      <c r="D6867" s="1" t="s">
        <v>5412</v>
      </c>
      <c r="F6867" s="1" t="s">
        <v>5466</v>
      </c>
      <c r="H6867" s="1" t="s">
        <v>6729</v>
      </c>
      <c r="J6867" s="1" t="s">
        <v>7432</v>
      </c>
      <c r="L6867" s="1" t="s">
        <v>7500</v>
      </c>
      <c r="N6867" s="1" t="s">
        <v>7749</v>
      </c>
      <c r="P6867" s="1" t="s">
        <v>7754</v>
      </c>
      <c r="Q6867" s="30" t="s">
        <v>2567</v>
      </c>
      <c r="R6867" s="33" t="s">
        <v>3472</v>
      </c>
      <c r="S6867">
        <v>36</v>
      </c>
      <c r="T6867" s="1" t="s">
        <v>12971</v>
      </c>
      <c r="U6867" s="1" t="str">
        <f>HYPERLINK("http://ictvonline.org/taxonomy/p/taxonomy-history?taxnode_id=202111237","ICTVonline=202111237")</f>
        <v>ICTVonline=202111237</v>
      </c>
    </row>
    <row r="6868" spans="1:21" x14ac:dyDescent="0.2">
      <c r="A6868" s="3">
        <v>6867</v>
      </c>
      <c r="B6868" s="1" t="s">
        <v>4226</v>
      </c>
      <c r="D6868" s="1" t="s">
        <v>5412</v>
      </c>
      <c r="F6868" s="1" t="s">
        <v>5466</v>
      </c>
      <c r="H6868" s="1" t="s">
        <v>6729</v>
      </c>
      <c r="J6868" s="1" t="s">
        <v>7432</v>
      </c>
      <c r="L6868" s="1" t="s">
        <v>7500</v>
      </c>
      <c r="N6868" s="1" t="s">
        <v>7749</v>
      </c>
      <c r="P6868" s="1" t="s">
        <v>7755</v>
      </c>
      <c r="Q6868" s="30" t="s">
        <v>2567</v>
      </c>
      <c r="R6868" s="33" t="s">
        <v>3472</v>
      </c>
      <c r="S6868">
        <v>36</v>
      </c>
      <c r="T6868" s="1" t="s">
        <v>12971</v>
      </c>
      <c r="U6868" s="1" t="str">
        <f>HYPERLINK("http://ictvonline.org/taxonomy/p/taxonomy-history?taxnode_id=202111234","ICTVonline=202111234")</f>
        <v>ICTVonline=202111234</v>
      </c>
    </row>
    <row r="6869" spans="1:21" x14ac:dyDescent="0.2">
      <c r="A6869" s="3">
        <v>6868</v>
      </c>
      <c r="B6869" s="1" t="s">
        <v>4226</v>
      </c>
      <c r="D6869" s="1" t="s">
        <v>5412</v>
      </c>
      <c r="F6869" s="1" t="s">
        <v>5466</v>
      </c>
      <c r="H6869" s="1" t="s">
        <v>6729</v>
      </c>
      <c r="J6869" s="1" t="s">
        <v>7432</v>
      </c>
      <c r="L6869" s="1" t="s">
        <v>7500</v>
      </c>
      <c r="N6869" s="1" t="s">
        <v>7749</v>
      </c>
      <c r="P6869" s="1" t="s">
        <v>7756</v>
      </c>
      <c r="Q6869" s="30" t="s">
        <v>2567</v>
      </c>
      <c r="R6869" s="33" t="s">
        <v>3472</v>
      </c>
      <c r="S6869">
        <v>36</v>
      </c>
      <c r="T6869" s="1" t="s">
        <v>12971</v>
      </c>
      <c r="U6869" s="1" t="str">
        <f>HYPERLINK("http://ictvonline.org/taxonomy/p/taxonomy-history?taxnode_id=202111235","ICTVonline=202111235")</f>
        <v>ICTVonline=202111235</v>
      </c>
    </row>
    <row r="6870" spans="1:21" x14ac:dyDescent="0.2">
      <c r="A6870" s="3">
        <v>6869</v>
      </c>
      <c r="B6870" s="1" t="s">
        <v>4226</v>
      </c>
      <c r="D6870" s="1" t="s">
        <v>5412</v>
      </c>
      <c r="F6870" s="1" t="s">
        <v>5466</v>
      </c>
      <c r="H6870" s="1" t="s">
        <v>6729</v>
      </c>
      <c r="J6870" s="1" t="s">
        <v>7432</v>
      </c>
      <c r="L6870" s="1" t="s">
        <v>7500</v>
      </c>
      <c r="N6870" s="1" t="s">
        <v>7749</v>
      </c>
      <c r="P6870" s="1" t="s">
        <v>7757</v>
      </c>
      <c r="Q6870" s="30" t="s">
        <v>2567</v>
      </c>
      <c r="R6870" s="33" t="s">
        <v>3472</v>
      </c>
      <c r="S6870">
        <v>36</v>
      </c>
      <c r="T6870" s="1" t="s">
        <v>12971</v>
      </c>
      <c r="U6870" s="1" t="str">
        <f>HYPERLINK("http://ictvonline.org/taxonomy/p/taxonomy-history?taxnode_id=202111230","ICTVonline=202111230")</f>
        <v>ICTVonline=202111230</v>
      </c>
    </row>
    <row r="6871" spans="1:21" x14ac:dyDescent="0.2">
      <c r="A6871" s="3">
        <v>6870</v>
      </c>
      <c r="B6871" s="1" t="s">
        <v>4226</v>
      </c>
      <c r="D6871" s="1" t="s">
        <v>5412</v>
      </c>
      <c r="F6871" s="1" t="s">
        <v>5466</v>
      </c>
      <c r="H6871" s="1" t="s">
        <v>6729</v>
      </c>
      <c r="J6871" s="1" t="s">
        <v>7432</v>
      </c>
      <c r="L6871" s="1" t="s">
        <v>7500</v>
      </c>
      <c r="N6871" s="1" t="s">
        <v>7758</v>
      </c>
      <c r="P6871" s="1" t="s">
        <v>7759</v>
      </c>
      <c r="Q6871" s="30" t="s">
        <v>2567</v>
      </c>
      <c r="R6871" s="33" t="s">
        <v>3472</v>
      </c>
      <c r="S6871">
        <v>36</v>
      </c>
      <c r="T6871" s="1" t="s">
        <v>12971</v>
      </c>
      <c r="U6871" s="1" t="str">
        <f>HYPERLINK("http://ictvonline.org/taxonomy/p/taxonomy-history?taxnode_id=202111239","ICTVonline=202111239")</f>
        <v>ICTVonline=202111239</v>
      </c>
    </row>
    <row r="6872" spans="1:21" x14ac:dyDescent="0.2">
      <c r="A6872" s="3">
        <v>6871</v>
      </c>
      <c r="B6872" s="1" t="s">
        <v>4226</v>
      </c>
      <c r="D6872" s="1" t="s">
        <v>5412</v>
      </c>
      <c r="F6872" s="1" t="s">
        <v>5466</v>
      </c>
      <c r="H6872" s="1" t="s">
        <v>6729</v>
      </c>
      <c r="J6872" s="1" t="s">
        <v>7432</v>
      </c>
      <c r="L6872" s="1" t="s">
        <v>7500</v>
      </c>
      <c r="N6872" s="1" t="s">
        <v>7760</v>
      </c>
      <c r="P6872" s="1" t="s">
        <v>7761</v>
      </c>
      <c r="Q6872" s="30" t="s">
        <v>2567</v>
      </c>
      <c r="R6872" s="33" t="s">
        <v>3472</v>
      </c>
      <c r="S6872">
        <v>36</v>
      </c>
      <c r="T6872" s="1" t="s">
        <v>12971</v>
      </c>
      <c r="U6872" s="1" t="str">
        <f>HYPERLINK("http://ictvonline.org/taxonomy/p/taxonomy-history?taxnode_id=202111241","ICTVonline=202111241")</f>
        <v>ICTVonline=202111241</v>
      </c>
    </row>
    <row r="6873" spans="1:21" x14ac:dyDescent="0.2">
      <c r="A6873" s="3">
        <v>6872</v>
      </c>
      <c r="B6873" s="1" t="s">
        <v>4226</v>
      </c>
      <c r="D6873" s="1" t="s">
        <v>5412</v>
      </c>
      <c r="F6873" s="1" t="s">
        <v>5466</v>
      </c>
      <c r="H6873" s="1" t="s">
        <v>6729</v>
      </c>
      <c r="J6873" s="1" t="s">
        <v>7432</v>
      </c>
      <c r="L6873" s="1" t="s">
        <v>7500</v>
      </c>
      <c r="N6873" s="1" t="s">
        <v>7760</v>
      </c>
      <c r="P6873" s="1" t="s">
        <v>7762</v>
      </c>
      <c r="Q6873" s="30" t="s">
        <v>2567</v>
      </c>
      <c r="R6873" s="33" t="s">
        <v>3472</v>
      </c>
      <c r="S6873">
        <v>36</v>
      </c>
      <c r="T6873" s="1" t="s">
        <v>12971</v>
      </c>
      <c r="U6873" s="1" t="str">
        <f>HYPERLINK("http://ictvonline.org/taxonomy/p/taxonomy-history?taxnode_id=202111242","ICTVonline=202111242")</f>
        <v>ICTVonline=202111242</v>
      </c>
    </row>
    <row r="6874" spans="1:21" x14ac:dyDescent="0.2">
      <c r="A6874" s="3">
        <v>6873</v>
      </c>
      <c r="B6874" s="1" t="s">
        <v>4226</v>
      </c>
      <c r="D6874" s="1" t="s">
        <v>5412</v>
      </c>
      <c r="F6874" s="1" t="s">
        <v>5466</v>
      </c>
      <c r="H6874" s="1" t="s">
        <v>6729</v>
      </c>
      <c r="J6874" s="1" t="s">
        <v>7432</v>
      </c>
      <c r="L6874" s="1" t="s">
        <v>7500</v>
      </c>
      <c r="N6874" s="1" t="s">
        <v>7763</v>
      </c>
      <c r="P6874" s="1" t="s">
        <v>7764</v>
      </c>
      <c r="Q6874" s="30" t="s">
        <v>2567</v>
      </c>
      <c r="R6874" s="33" t="s">
        <v>3472</v>
      </c>
      <c r="S6874">
        <v>36</v>
      </c>
      <c r="T6874" s="1" t="s">
        <v>12971</v>
      </c>
      <c r="U6874" s="1" t="str">
        <f>HYPERLINK("http://ictvonline.org/taxonomy/p/taxonomy-history?taxnode_id=202111244","ICTVonline=202111244")</f>
        <v>ICTVonline=202111244</v>
      </c>
    </row>
    <row r="6875" spans="1:21" x14ac:dyDescent="0.2">
      <c r="A6875" s="3">
        <v>6874</v>
      </c>
      <c r="B6875" s="1" t="s">
        <v>4226</v>
      </c>
      <c r="D6875" s="1" t="s">
        <v>5412</v>
      </c>
      <c r="F6875" s="1" t="s">
        <v>5466</v>
      </c>
      <c r="H6875" s="1" t="s">
        <v>6729</v>
      </c>
      <c r="J6875" s="1" t="s">
        <v>7432</v>
      </c>
      <c r="L6875" s="1" t="s">
        <v>7500</v>
      </c>
      <c r="N6875" s="1" t="s">
        <v>7763</v>
      </c>
      <c r="P6875" s="1" t="s">
        <v>7765</v>
      </c>
      <c r="Q6875" s="30" t="s">
        <v>2567</v>
      </c>
      <c r="R6875" s="33" t="s">
        <v>3472</v>
      </c>
      <c r="S6875">
        <v>36</v>
      </c>
      <c r="T6875" s="1" t="s">
        <v>12971</v>
      </c>
      <c r="U6875" s="1" t="str">
        <f>HYPERLINK("http://ictvonline.org/taxonomy/p/taxonomy-history?taxnode_id=202111245","ICTVonline=202111245")</f>
        <v>ICTVonline=202111245</v>
      </c>
    </row>
    <row r="6876" spans="1:21" x14ac:dyDescent="0.2">
      <c r="A6876" s="3">
        <v>6875</v>
      </c>
      <c r="B6876" s="1" t="s">
        <v>4226</v>
      </c>
      <c r="D6876" s="1" t="s">
        <v>5412</v>
      </c>
      <c r="F6876" s="1" t="s">
        <v>5466</v>
      </c>
      <c r="H6876" s="1" t="s">
        <v>6729</v>
      </c>
      <c r="J6876" s="1" t="s">
        <v>7432</v>
      </c>
      <c r="L6876" s="1" t="s">
        <v>7500</v>
      </c>
      <c r="N6876" s="1" t="s">
        <v>7766</v>
      </c>
      <c r="P6876" s="1" t="s">
        <v>7767</v>
      </c>
      <c r="Q6876" s="30" t="s">
        <v>2567</v>
      </c>
      <c r="R6876" s="33" t="s">
        <v>3472</v>
      </c>
      <c r="S6876">
        <v>36</v>
      </c>
      <c r="T6876" s="1" t="s">
        <v>12971</v>
      </c>
      <c r="U6876" s="1" t="str">
        <f>HYPERLINK("http://ictvonline.org/taxonomy/p/taxonomy-history?taxnode_id=202111258","ICTVonline=202111258")</f>
        <v>ICTVonline=202111258</v>
      </c>
    </row>
    <row r="6877" spans="1:21" x14ac:dyDescent="0.2">
      <c r="A6877" s="3">
        <v>6876</v>
      </c>
      <c r="B6877" s="1" t="s">
        <v>4226</v>
      </c>
      <c r="D6877" s="1" t="s">
        <v>5412</v>
      </c>
      <c r="F6877" s="1" t="s">
        <v>5466</v>
      </c>
      <c r="H6877" s="1" t="s">
        <v>6729</v>
      </c>
      <c r="J6877" s="1" t="s">
        <v>7432</v>
      </c>
      <c r="L6877" s="1" t="s">
        <v>7500</v>
      </c>
      <c r="N6877" s="1" t="s">
        <v>7766</v>
      </c>
      <c r="P6877" s="1" t="s">
        <v>7768</v>
      </c>
      <c r="Q6877" s="30" t="s">
        <v>2567</v>
      </c>
      <c r="R6877" s="33" t="s">
        <v>3472</v>
      </c>
      <c r="S6877">
        <v>36</v>
      </c>
      <c r="T6877" s="1" t="s">
        <v>12971</v>
      </c>
      <c r="U6877" s="1" t="str">
        <f>HYPERLINK("http://ictvonline.org/taxonomy/p/taxonomy-history?taxnode_id=202111247","ICTVonline=202111247")</f>
        <v>ICTVonline=202111247</v>
      </c>
    </row>
    <row r="6878" spans="1:21" x14ac:dyDescent="0.2">
      <c r="A6878" s="3">
        <v>6877</v>
      </c>
      <c r="B6878" s="1" t="s">
        <v>4226</v>
      </c>
      <c r="D6878" s="1" t="s">
        <v>5412</v>
      </c>
      <c r="F6878" s="1" t="s">
        <v>5466</v>
      </c>
      <c r="H6878" s="1" t="s">
        <v>6729</v>
      </c>
      <c r="J6878" s="1" t="s">
        <v>7432</v>
      </c>
      <c r="L6878" s="1" t="s">
        <v>7500</v>
      </c>
      <c r="N6878" s="1" t="s">
        <v>7766</v>
      </c>
      <c r="P6878" s="1" t="s">
        <v>7769</v>
      </c>
      <c r="Q6878" s="30" t="s">
        <v>2567</v>
      </c>
      <c r="R6878" s="33" t="s">
        <v>3472</v>
      </c>
      <c r="S6878">
        <v>36</v>
      </c>
      <c r="T6878" s="1" t="s">
        <v>12971</v>
      </c>
      <c r="U6878" s="1" t="str">
        <f>HYPERLINK("http://ictvonline.org/taxonomy/p/taxonomy-history?taxnode_id=202111248","ICTVonline=202111248")</f>
        <v>ICTVonline=202111248</v>
      </c>
    </row>
    <row r="6879" spans="1:21" x14ac:dyDescent="0.2">
      <c r="A6879" s="3">
        <v>6878</v>
      </c>
      <c r="B6879" s="1" t="s">
        <v>4226</v>
      </c>
      <c r="D6879" s="1" t="s">
        <v>5412</v>
      </c>
      <c r="F6879" s="1" t="s">
        <v>5466</v>
      </c>
      <c r="H6879" s="1" t="s">
        <v>6729</v>
      </c>
      <c r="J6879" s="1" t="s">
        <v>7432</v>
      </c>
      <c r="L6879" s="1" t="s">
        <v>7500</v>
      </c>
      <c r="N6879" s="1" t="s">
        <v>7766</v>
      </c>
      <c r="P6879" s="1" t="s">
        <v>7770</v>
      </c>
      <c r="Q6879" s="30" t="s">
        <v>2567</v>
      </c>
      <c r="R6879" s="33" t="s">
        <v>3472</v>
      </c>
      <c r="S6879">
        <v>36</v>
      </c>
      <c r="T6879" s="1" t="s">
        <v>12971</v>
      </c>
      <c r="U6879" s="1" t="str">
        <f>HYPERLINK("http://ictvonline.org/taxonomy/p/taxonomy-history?taxnode_id=202111249","ICTVonline=202111249")</f>
        <v>ICTVonline=202111249</v>
      </c>
    </row>
    <row r="6880" spans="1:21" x14ac:dyDescent="0.2">
      <c r="A6880" s="3">
        <v>6879</v>
      </c>
      <c r="B6880" s="1" t="s">
        <v>4226</v>
      </c>
      <c r="D6880" s="1" t="s">
        <v>5412</v>
      </c>
      <c r="F6880" s="1" t="s">
        <v>5466</v>
      </c>
      <c r="H6880" s="1" t="s">
        <v>6729</v>
      </c>
      <c r="J6880" s="1" t="s">
        <v>7432</v>
      </c>
      <c r="L6880" s="1" t="s">
        <v>7500</v>
      </c>
      <c r="N6880" s="1" t="s">
        <v>7766</v>
      </c>
      <c r="P6880" s="1" t="s">
        <v>7771</v>
      </c>
      <c r="Q6880" s="30" t="s">
        <v>2567</v>
      </c>
      <c r="R6880" s="33" t="s">
        <v>3472</v>
      </c>
      <c r="S6880">
        <v>36</v>
      </c>
      <c r="T6880" s="1" t="s">
        <v>12971</v>
      </c>
      <c r="U6880" s="1" t="str">
        <f>HYPERLINK("http://ictvonline.org/taxonomy/p/taxonomy-history?taxnode_id=202111259","ICTVonline=202111259")</f>
        <v>ICTVonline=202111259</v>
      </c>
    </row>
    <row r="6881" spans="1:21" x14ac:dyDescent="0.2">
      <c r="A6881" s="3">
        <v>6880</v>
      </c>
      <c r="B6881" s="1" t="s">
        <v>4226</v>
      </c>
      <c r="D6881" s="1" t="s">
        <v>5412</v>
      </c>
      <c r="F6881" s="1" t="s">
        <v>5466</v>
      </c>
      <c r="H6881" s="1" t="s">
        <v>6729</v>
      </c>
      <c r="J6881" s="1" t="s">
        <v>7432</v>
      </c>
      <c r="L6881" s="1" t="s">
        <v>7500</v>
      </c>
      <c r="N6881" s="1" t="s">
        <v>7766</v>
      </c>
      <c r="P6881" s="1" t="s">
        <v>7772</v>
      </c>
      <c r="Q6881" s="30" t="s">
        <v>2567</v>
      </c>
      <c r="R6881" s="33" t="s">
        <v>3472</v>
      </c>
      <c r="S6881">
        <v>36</v>
      </c>
      <c r="T6881" s="1" t="s">
        <v>12971</v>
      </c>
      <c r="U6881" s="1" t="str">
        <f>HYPERLINK("http://ictvonline.org/taxonomy/p/taxonomy-history?taxnode_id=202111250","ICTVonline=202111250")</f>
        <v>ICTVonline=202111250</v>
      </c>
    </row>
    <row r="6882" spans="1:21" x14ac:dyDescent="0.2">
      <c r="A6882" s="3">
        <v>6881</v>
      </c>
      <c r="B6882" s="1" t="s">
        <v>4226</v>
      </c>
      <c r="D6882" s="1" t="s">
        <v>5412</v>
      </c>
      <c r="F6882" s="1" t="s">
        <v>5466</v>
      </c>
      <c r="H6882" s="1" t="s">
        <v>6729</v>
      </c>
      <c r="J6882" s="1" t="s">
        <v>7432</v>
      </c>
      <c r="L6882" s="1" t="s">
        <v>7500</v>
      </c>
      <c r="N6882" s="1" t="s">
        <v>7766</v>
      </c>
      <c r="P6882" s="1" t="s">
        <v>7773</v>
      </c>
      <c r="Q6882" s="30" t="s">
        <v>2567</v>
      </c>
      <c r="R6882" s="33" t="s">
        <v>3472</v>
      </c>
      <c r="S6882">
        <v>36</v>
      </c>
      <c r="T6882" s="1" t="s">
        <v>12971</v>
      </c>
      <c r="U6882" s="1" t="str">
        <f>HYPERLINK("http://ictvonline.org/taxonomy/p/taxonomy-history?taxnode_id=202111252","ICTVonline=202111252")</f>
        <v>ICTVonline=202111252</v>
      </c>
    </row>
    <row r="6883" spans="1:21" x14ac:dyDescent="0.2">
      <c r="A6883" s="3">
        <v>6882</v>
      </c>
      <c r="B6883" s="1" t="s">
        <v>4226</v>
      </c>
      <c r="D6883" s="1" t="s">
        <v>5412</v>
      </c>
      <c r="F6883" s="1" t="s">
        <v>5466</v>
      </c>
      <c r="H6883" s="1" t="s">
        <v>6729</v>
      </c>
      <c r="J6883" s="1" t="s">
        <v>7432</v>
      </c>
      <c r="L6883" s="1" t="s">
        <v>7500</v>
      </c>
      <c r="N6883" s="1" t="s">
        <v>7766</v>
      </c>
      <c r="P6883" s="1" t="s">
        <v>7774</v>
      </c>
      <c r="Q6883" s="30" t="s">
        <v>2567</v>
      </c>
      <c r="R6883" s="33" t="s">
        <v>3472</v>
      </c>
      <c r="S6883">
        <v>36</v>
      </c>
      <c r="T6883" s="1" t="s">
        <v>12971</v>
      </c>
      <c r="U6883" s="1" t="str">
        <f>HYPERLINK("http://ictvonline.org/taxonomy/p/taxonomy-history?taxnode_id=202111251","ICTVonline=202111251")</f>
        <v>ICTVonline=202111251</v>
      </c>
    </row>
    <row r="6884" spans="1:21" x14ac:dyDescent="0.2">
      <c r="A6884" s="3">
        <v>6883</v>
      </c>
      <c r="B6884" s="1" t="s">
        <v>4226</v>
      </c>
      <c r="D6884" s="1" t="s">
        <v>5412</v>
      </c>
      <c r="F6884" s="1" t="s">
        <v>5466</v>
      </c>
      <c r="H6884" s="1" t="s">
        <v>6729</v>
      </c>
      <c r="J6884" s="1" t="s">
        <v>7432</v>
      </c>
      <c r="L6884" s="1" t="s">
        <v>7500</v>
      </c>
      <c r="N6884" s="1" t="s">
        <v>7766</v>
      </c>
      <c r="P6884" s="1" t="s">
        <v>7775</v>
      </c>
      <c r="Q6884" s="30" t="s">
        <v>2567</v>
      </c>
      <c r="R6884" s="33" t="s">
        <v>3472</v>
      </c>
      <c r="S6884">
        <v>36</v>
      </c>
      <c r="T6884" s="1" t="s">
        <v>12971</v>
      </c>
      <c r="U6884" s="1" t="str">
        <f>HYPERLINK("http://ictvonline.org/taxonomy/p/taxonomy-history?taxnode_id=202111253","ICTVonline=202111253")</f>
        <v>ICTVonline=202111253</v>
      </c>
    </row>
    <row r="6885" spans="1:21" x14ac:dyDescent="0.2">
      <c r="A6885" s="3">
        <v>6884</v>
      </c>
      <c r="B6885" s="1" t="s">
        <v>4226</v>
      </c>
      <c r="D6885" s="1" t="s">
        <v>5412</v>
      </c>
      <c r="F6885" s="1" t="s">
        <v>5466</v>
      </c>
      <c r="H6885" s="1" t="s">
        <v>6729</v>
      </c>
      <c r="J6885" s="1" t="s">
        <v>7432</v>
      </c>
      <c r="L6885" s="1" t="s">
        <v>7500</v>
      </c>
      <c r="N6885" s="1" t="s">
        <v>7766</v>
      </c>
      <c r="P6885" s="1" t="s">
        <v>7776</v>
      </c>
      <c r="Q6885" s="30" t="s">
        <v>2567</v>
      </c>
      <c r="R6885" s="33" t="s">
        <v>3472</v>
      </c>
      <c r="S6885">
        <v>36</v>
      </c>
      <c r="T6885" s="1" t="s">
        <v>12971</v>
      </c>
      <c r="U6885" s="1" t="str">
        <f>HYPERLINK("http://ictvonline.org/taxonomy/p/taxonomy-history?taxnode_id=202111254","ICTVonline=202111254")</f>
        <v>ICTVonline=202111254</v>
      </c>
    </row>
    <row r="6886" spans="1:21" x14ac:dyDescent="0.2">
      <c r="A6886" s="3">
        <v>6885</v>
      </c>
      <c r="B6886" s="1" t="s">
        <v>4226</v>
      </c>
      <c r="D6886" s="1" t="s">
        <v>5412</v>
      </c>
      <c r="F6886" s="1" t="s">
        <v>5466</v>
      </c>
      <c r="H6886" s="1" t="s">
        <v>6729</v>
      </c>
      <c r="J6886" s="1" t="s">
        <v>7432</v>
      </c>
      <c r="L6886" s="1" t="s">
        <v>7500</v>
      </c>
      <c r="N6886" s="1" t="s">
        <v>7766</v>
      </c>
      <c r="P6886" s="1" t="s">
        <v>7777</v>
      </c>
      <c r="Q6886" s="30" t="s">
        <v>2567</v>
      </c>
      <c r="R6886" s="33" t="s">
        <v>3472</v>
      </c>
      <c r="S6886">
        <v>36</v>
      </c>
      <c r="T6886" s="1" t="s">
        <v>12971</v>
      </c>
      <c r="U6886" s="1" t="str">
        <f>HYPERLINK("http://ictvonline.org/taxonomy/p/taxonomy-history?taxnode_id=202111255","ICTVonline=202111255")</f>
        <v>ICTVonline=202111255</v>
      </c>
    </row>
    <row r="6887" spans="1:21" x14ac:dyDescent="0.2">
      <c r="A6887" s="3">
        <v>6886</v>
      </c>
      <c r="B6887" s="1" t="s">
        <v>4226</v>
      </c>
      <c r="D6887" s="1" t="s">
        <v>5412</v>
      </c>
      <c r="F6887" s="1" t="s">
        <v>5466</v>
      </c>
      <c r="H6887" s="1" t="s">
        <v>6729</v>
      </c>
      <c r="J6887" s="1" t="s">
        <v>7432</v>
      </c>
      <c r="L6887" s="1" t="s">
        <v>7500</v>
      </c>
      <c r="N6887" s="1" t="s">
        <v>7766</v>
      </c>
      <c r="P6887" s="1" t="s">
        <v>7778</v>
      </c>
      <c r="Q6887" s="30" t="s">
        <v>2567</v>
      </c>
      <c r="R6887" s="33" t="s">
        <v>3472</v>
      </c>
      <c r="S6887">
        <v>36</v>
      </c>
      <c r="T6887" s="1" t="s">
        <v>12971</v>
      </c>
      <c r="U6887" s="1" t="str">
        <f>HYPERLINK("http://ictvonline.org/taxonomy/p/taxonomy-history?taxnode_id=202111256","ICTVonline=202111256")</f>
        <v>ICTVonline=202111256</v>
      </c>
    </row>
    <row r="6888" spans="1:21" x14ac:dyDescent="0.2">
      <c r="A6888" s="3">
        <v>6887</v>
      </c>
      <c r="B6888" s="1" t="s">
        <v>4226</v>
      </c>
      <c r="D6888" s="1" t="s">
        <v>5412</v>
      </c>
      <c r="F6888" s="1" t="s">
        <v>5466</v>
      </c>
      <c r="H6888" s="1" t="s">
        <v>6729</v>
      </c>
      <c r="J6888" s="1" t="s">
        <v>7432</v>
      </c>
      <c r="L6888" s="1" t="s">
        <v>7500</v>
      </c>
      <c r="N6888" s="1" t="s">
        <v>7766</v>
      </c>
      <c r="P6888" s="1" t="s">
        <v>7779</v>
      </c>
      <c r="Q6888" s="30" t="s">
        <v>2567</v>
      </c>
      <c r="R6888" s="33" t="s">
        <v>3472</v>
      </c>
      <c r="S6888">
        <v>36</v>
      </c>
      <c r="T6888" s="1" t="s">
        <v>12971</v>
      </c>
      <c r="U6888" s="1" t="str">
        <f>HYPERLINK("http://ictvonline.org/taxonomy/p/taxonomy-history?taxnode_id=202111260","ICTVonline=202111260")</f>
        <v>ICTVonline=202111260</v>
      </c>
    </row>
    <row r="6889" spans="1:21" x14ac:dyDescent="0.2">
      <c r="A6889" s="3">
        <v>6888</v>
      </c>
      <c r="B6889" s="1" t="s">
        <v>4226</v>
      </c>
      <c r="D6889" s="1" t="s">
        <v>5412</v>
      </c>
      <c r="F6889" s="1" t="s">
        <v>5466</v>
      </c>
      <c r="H6889" s="1" t="s">
        <v>6729</v>
      </c>
      <c r="J6889" s="1" t="s">
        <v>7432</v>
      </c>
      <c r="L6889" s="1" t="s">
        <v>7500</v>
      </c>
      <c r="N6889" s="1" t="s">
        <v>7766</v>
      </c>
      <c r="P6889" s="1" t="s">
        <v>7780</v>
      </c>
      <c r="Q6889" s="30" t="s">
        <v>2567</v>
      </c>
      <c r="R6889" s="33" t="s">
        <v>3472</v>
      </c>
      <c r="S6889">
        <v>36</v>
      </c>
      <c r="T6889" s="1" t="s">
        <v>12971</v>
      </c>
      <c r="U6889" s="1" t="str">
        <f>HYPERLINK("http://ictvonline.org/taxonomy/p/taxonomy-history?taxnode_id=202111257","ICTVonline=202111257")</f>
        <v>ICTVonline=202111257</v>
      </c>
    </row>
    <row r="6890" spans="1:21" x14ac:dyDescent="0.2">
      <c r="A6890" s="3">
        <v>6889</v>
      </c>
      <c r="B6890" s="1" t="s">
        <v>4226</v>
      </c>
      <c r="D6890" s="1" t="s">
        <v>5412</v>
      </c>
      <c r="F6890" s="1" t="s">
        <v>5466</v>
      </c>
      <c r="H6890" s="1" t="s">
        <v>6729</v>
      </c>
      <c r="J6890" s="1" t="s">
        <v>7432</v>
      </c>
      <c r="L6890" s="1" t="s">
        <v>7500</v>
      </c>
      <c r="N6890" s="1" t="s">
        <v>7766</v>
      </c>
      <c r="P6890" s="1" t="s">
        <v>7781</v>
      </c>
      <c r="Q6890" s="30" t="s">
        <v>2567</v>
      </c>
      <c r="R6890" s="33" t="s">
        <v>3472</v>
      </c>
      <c r="S6890">
        <v>36</v>
      </c>
      <c r="T6890" s="1" t="s">
        <v>12971</v>
      </c>
      <c r="U6890" s="1" t="str">
        <f>HYPERLINK("http://ictvonline.org/taxonomy/p/taxonomy-history?taxnode_id=202111261","ICTVonline=202111261")</f>
        <v>ICTVonline=202111261</v>
      </c>
    </row>
    <row r="6891" spans="1:21" x14ac:dyDescent="0.2">
      <c r="A6891" s="3">
        <v>6890</v>
      </c>
      <c r="B6891" s="1" t="s">
        <v>4226</v>
      </c>
      <c r="D6891" s="1" t="s">
        <v>5412</v>
      </c>
      <c r="F6891" s="1" t="s">
        <v>5466</v>
      </c>
      <c r="H6891" s="1" t="s">
        <v>6729</v>
      </c>
      <c r="J6891" s="1" t="s">
        <v>7432</v>
      </c>
      <c r="L6891" s="1" t="s">
        <v>7500</v>
      </c>
      <c r="N6891" s="1" t="s">
        <v>7782</v>
      </c>
      <c r="P6891" s="1" t="s">
        <v>7783</v>
      </c>
      <c r="Q6891" s="30" t="s">
        <v>2567</v>
      </c>
      <c r="R6891" s="33" t="s">
        <v>3472</v>
      </c>
      <c r="S6891">
        <v>36</v>
      </c>
      <c r="T6891" s="1" t="s">
        <v>12971</v>
      </c>
      <c r="U6891" s="1" t="str">
        <f>HYPERLINK("http://ictvonline.org/taxonomy/p/taxonomy-history?taxnode_id=202111266","ICTVonline=202111266")</f>
        <v>ICTVonline=202111266</v>
      </c>
    </row>
    <row r="6892" spans="1:21" x14ac:dyDescent="0.2">
      <c r="A6892" s="3">
        <v>6891</v>
      </c>
      <c r="B6892" s="1" t="s">
        <v>4226</v>
      </c>
      <c r="D6892" s="1" t="s">
        <v>5412</v>
      </c>
      <c r="F6892" s="1" t="s">
        <v>5466</v>
      </c>
      <c r="H6892" s="1" t="s">
        <v>6729</v>
      </c>
      <c r="J6892" s="1" t="s">
        <v>7432</v>
      </c>
      <c r="L6892" s="1" t="s">
        <v>7500</v>
      </c>
      <c r="N6892" s="1" t="s">
        <v>7782</v>
      </c>
      <c r="P6892" s="1" t="s">
        <v>7784</v>
      </c>
      <c r="Q6892" s="30" t="s">
        <v>2567</v>
      </c>
      <c r="R6892" s="33" t="s">
        <v>3472</v>
      </c>
      <c r="S6892">
        <v>36</v>
      </c>
      <c r="T6892" s="1" t="s">
        <v>12971</v>
      </c>
      <c r="U6892" s="1" t="str">
        <f>HYPERLINK("http://ictvonline.org/taxonomy/p/taxonomy-history?taxnode_id=202111267","ICTVonline=202111267")</f>
        <v>ICTVonline=202111267</v>
      </c>
    </row>
    <row r="6893" spans="1:21" x14ac:dyDescent="0.2">
      <c r="A6893" s="3">
        <v>6892</v>
      </c>
      <c r="B6893" s="1" t="s">
        <v>4226</v>
      </c>
      <c r="D6893" s="1" t="s">
        <v>5412</v>
      </c>
      <c r="F6893" s="1" t="s">
        <v>5466</v>
      </c>
      <c r="H6893" s="1" t="s">
        <v>6729</v>
      </c>
      <c r="J6893" s="1" t="s">
        <v>7432</v>
      </c>
      <c r="L6893" s="1" t="s">
        <v>7500</v>
      </c>
      <c r="N6893" s="1" t="s">
        <v>7782</v>
      </c>
      <c r="P6893" s="1" t="s">
        <v>7785</v>
      </c>
      <c r="Q6893" s="30" t="s">
        <v>2567</v>
      </c>
      <c r="R6893" s="33" t="s">
        <v>3472</v>
      </c>
      <c r="S6893">
        <v>36</v>
      </c>
      <c r="T6893" s="1" t="s">
        <v>12971</v>
      </c>
      <c r="U6893" s="1" t="str">
        <f>HYPERLINK("http://ictvonline.org/taxonomy/p/taxonomy-history?taxnode_id=202111263","ICTVonline=202111263")</f>
        <v>ICTVonline=202111263</v>
      </c>
    </row>
    <row r="6894" spans="1:21" x14ac:dyDescent="0.2">
      <c r="A6894" s="3">
        <v>6893</v>
      </c>
      <c r="B6894" s="1" t="s">
        <v>4226</v>
      </c>
      <c r="D6894" s="1" t="s">
        <v>5412</v>
      </c>
      <c r="F6894" s="1" t="s">
        <v>5466</v>
      </c>
      <c r="H6894" s="1" t="s">
        <v>6729</v>
      </c>
      <c r="J6894" s="1" t="s">
        <v>7432</v>
      </c>
      <c r="L6894" s="1" t="s">
        <v>7500</v>
      </c>
      <c r="N6894" s="1" t="s">
        <v>7782</v>
      </c>
      <c r="P6894" s="1" t="s">
        <v>7786</v>
      </c>
      <c r="Q6894" s="30" t="s">
        <v>2567</v>
      </c>
      <c r="R6894" s="33" t="s">
        <v>3472</v>
      </c>
      <c r="S6894">
        <v>36</v>
      </c>
      <c r="T6894" s="1" t="s">
        <v>12971</v>
      </c>
      <c r="U6894" s="1" t="str">
        <f>HYPERLINK("http://ictvonline.org/taxonomy/p/taxonomy-history?taxnode_id=202111268","ICTVonline=202111268")</f>
        <v>ICTVonline=202111268</v>
      </c>
    </row>
    <row r="6895" spans="1:21" x14ac:dyDescent="0.2">
      <c r="A6895" s="3">
        <v>6894</v>
      </c>
      <c r="B6895" s="1" t="s">
        <v>4226</v>
      </c>
      <c r="D6895" s="1" t="s">
        <v>5412</v>
      </c>
      <c r="F6895" s="1" t="s">
        <v>5466</v>
      </c>
      <c r="H6895" s="1" t="s">
        <v>6729</v>
      </c>
      <c r="J6895" s="1" t="s">
        <v>7432</v>
      </c>
      <c r="L6895" s="1" t="s">
        <v>7500</v>
      </c>
      <c r="N6895" s="1" t="s">
        <v>7782</v>
      </c>
      <c r="P6895" s="1" t="s">
        <v>7787</v>
      </c>
      <c r="Q6895" s="30" t="s">
        <v>2567</v>
      </c>
      <c r="R6895" s="33" t="s">
        <v>3472</v>
      </c>
      <c r="S6895">
        <v>36</v>
      </c>
      <c r="T6895" s="1" t="s">
        <v>12971</v>
      </c>
      <c r="U6895" s="1" t="str">
        <f>HYPERLINK("http://ictvonline.org/taxonomy/p/taxonomy-history?taxnode_id=202111269","ICTVonline=202111269")</f>
        <v>ICTVonline=202111269</v>
      </c>
    </row>
    <row r="6896" spans="1:21" x14ac:dyDescent="0.2">
      <c r="A6896" s="3">
        <v>6895</v>
      </c>
      <c r="B6896" s="1" t="s">
        <v>4226</v>
      </c>
      <c r="D6896" s="1" t="s">
        <v>5412</v>
      </c>
      <c r="F6896" s="1" t="s">
        <v>5466</v>
      </c>
      <c r="H6896" s="1" t="s">
        <v>6729</v>
      </c>
      <c r="J6896" s="1" t="s">
        <v>7432</v>
      </c>
      <c r="L6896" s="1" t="s">
        <v>7500</v>
      </c>
      <c r="N6896" s="1" t="s">
        <v>7782</v>
      </c>
      <c r="P6896" s="1" t="s">
        <v>7788</v>
      </c>
      <c r="Q6896" s="30" t="s">
        <v>2567</v>
      </c>
      <c r="R6896" s="33" t="s">
        <v>3472</v>
      </c>
      <c r="S6896">
        <v>36</v>
      </c>
      <c r="T6896" s="1" t="s">
        <v>12971</v>
      </c>
      <c r="U6896" s="1" t="str">
        <f>HYPERLINK("http://ictvonline.org/taxonomy/p/taxonomy-history?taxnode_id=202111270","ICTVonline=202111270")</f>
        <v>ICTVonline=202111270</v>
      </c>
    </row>
    <row r="6897" spans="1:21" x14ac:dyDescent="0.2">
      <c r="A6897" s="3">
        <v>6896</v>
      </c>
      <c r="B6897" s="1" t="s">
        <v>4226</v>
      </c>
      <c r="D6897" s="1" t="s">
        <v>5412</v>
      </c>
      <c r="F6897" s="1" t="s">
        <v>5466</v>
      </c>
      <c r="H6897" s="1" t="s">
        <v>6729</v>
      </c>
      <c r="J6897" s="1" t="s">
        <v>7432</v>
      </c>
      <c r="L6897" s="1" t="s">
        <v>7500</v>
      </c>
      <c r="N6897" s="1" t="s">
        <v>7782</v>
      </c>
      <c r="P6897" s="1" t="s">
        <v>7789</v>
      </c>
      <c r="Q6897" s="30" t="s">
        <v>2567</v>
      </c>
      <c r="R6897" s="33" t="s">
        <v>3472</v>
      </c>
      <c r="S6897">
        <v>36</v>
      </c>
      <c r="T6897" s="1" t="s">
        <v>12971</v>
      </c>
      <c r="U6897" s="1" t="str">
        <f>HYPERLINK("http://ictvonline.org/taxonomy/p/taxonomy-history?taxnode_id=202111271","ICTVonline=202111271")</f>
        <v>ICTVonline=202111271</v>
      </c>
    </row>
    <row r="6898" spans="1:21" x14ac:dyDescent="0.2">
      <c r="A6898" s="3">
        <v>6897</v>
      </c>
      <c r="B6898" s="1" t="s">
        <v>4226</v>
      </c>
      <c r="D6898" s="1" t="s">
        <v>5412</v>
      </c>
      <c r="F6898" s="1" t="s">
        <v>5466</v>
      </c>
      <c r="H6898" s="1" t="s">
        <v>6729</v>
      </c>
      <c r="J6898" s="1" t="s">
        <v>7432</v>
      </c>
      <c r="L6898" s="1" t="s">
        <v>7500</v>
      </c>
      <c r="N6898" s="1" t="s">
        <v>7782</v>
      </c>
      <c r="P6898" s="1" t="s">
        <v>7790</v>
      </c>
      <c r="Q6898" s="30" t="s">
        <v>2567</v>
      </c>
      <c r="R6898" s="33" t="s">
        <v>3472</v>
      </c>
      <c r="S6898">
        <v>36</v>
      </c>
      <c r="T6898" s="1" t="s">
        <v>12971</v>
      </c>
      <c r="U6898" s="1" t="str">
        <f>HYPERLINK("http://ictvonline.org/taxonomy/p/taxonomy-history?taxnode_id=202111264","ICTVonline=202111264")</f>
        <v>ICTVonline=202111264</v>
      </c>
    </row>
    <row r="6899" spans="1:21" x14ac:dyDescent="0.2">
      <c r="A6899" s="3">
        <v>6898</v>
      </c>
      <c r="B6899" s="1" t="s">
        <v>4226</v>
      </c>
      <c r="D6899" s="1" t="s">
        <v>5412</v>
      </c>
      <c r="F6899" s="1" t="s">
        <v>5466</v>
      </c>
      <c r="H6899" s="1" t="s">
        <v>6729</v>
      </c>
      <c r="J6899" s="1" t="s">
        <v>7432</v>
      </c>
      <c r="L6899" s="1" t="s">
        <v>7500</v>
      </c>
      <c r="N6899" s="1" t="s">
        <v>7782</v>
      </c>
      <c r="P6899" s="1" t="s">
        <v>7791</v>
      </c>
      <c r="Q6899" s="30" t="s">
        <v>2567</v>
      </c>
      <c r="R6899" s="33" t="s">
        <v>3472</v>
      </c>
      <c r="S6899">
        <v>36</v>
      </c>
      <c r="T6899" s="1" t="s">
        <v>12971</v>
      </c>
      <c r="U6899" s="1" t="str">
        <f>HYPERLINK("http://ictvonline.org/taxonomy/p/taxonomy-history?taxnode_id=202111265","ICTVonline=202111265")</f>
        <v>ICTVonline=202111265</v>
      </c>
    </row>
    <row r="6900" spans="1:21" x14ac:dyDescent="0.2">
      <c r="A6900" s="3">
        <v>6899</v>
      </c>
      <c r="B6900" s="1" t="s">
        <v>4226</v>
      </c>
      <c r="D6900" s="1" t="s">
        <v>5412</v>
      </c>
      <c r="F6900" s="1" t="s">
        <v>5466</v>
      </c>
      <c r="H6900" s="1" t="s">
        <v>6729</v>
      </c>
      <c r="J6900" s="1" t="s">
        <v>7432</v>
      </c>
      <c r="L6900" s="1" t="s">
        <v>7500</v>
      </c>
      <c r="N6900" s="1" t="s">
        <v>7792</v>
      </c>
      <c r="P6900" s="1" t="s">
        <v>7793</v>
      </c>
      <c r="Q6900" s="30" t="s">
        <v>2567</v>
      </c>
      <c r="R6900" s="33" t="s">
        <v>3472</v>
      </c>
      <c r="S6900">
        <v>36</v>
      </c>
      <c r="T6900" s="1" t="s">
        <v>12971</v>
      </c>
      <c r="U6900" s="1" t="str">
        <f>HYPERLINK("http://ictvonline.org/taxonomy/p/taxonomy-history?taxnode_id=202111273","ICTVonline=202111273")</f>
        <v>ICTVonline=202111273</v>
      </c>
    </row>
    <row r="6901" spans="1:21" x14ac:dyDescent="0.2">
      <c r="A6901" s="3">
        <v>6900</v>
      </c>
      <c r="B6901" s="1" t="s">
        <v>4226</v>
      </c>
      <c r="D6901" s="1" t="s">
        <v>5412</v>
      </c>
      <c r="F6901" s="1" t="s">
        <v>5466</v>
      </c>
      <c r="H6901" s="1" t="s">
        <v>6729</v>
      </c>
      <c r="J6901" s="1" t="s">
        <v>7432</v>
      </c>
      <c r="L6901" s="1" t="s">
        <v>7500</v>
      </c>
      <c r="N6901" s="1" t="s">
        <v>7794</v>
      </c>
      <c r="P6901" s="1" t="s">
        <v>7795</v>
      </c>
      <c r="Q6901" s="30" t="s">
        <v>2567</v>
      </c>
      <c r="R6901" s="33" t="s">
        <v>3472</v>
      </c>
      <c r="S6901">
        <v>36</v>
      </c>
      <c r="T6901" s="1" t="s">
        <v>12971</v>
      </c>
      <c r="U6901" s="1" t="str">
        <f>HYPERLINK("http://ictvonline.org/taxonomy/p/taxonomy-history?taxnode_id=202111275","ICTVonline=202111275")</f>
        <v>ICTVonline=202111275</v>
      </c>
    </row>
    <row r="6902" spans="1:21" x14ac:dyDescent="0.2">
      <c r="A6902" s="3">
        <v>6901</v>
      </c>
      <c r="B6902" s="1" t="s">
        <v>4226</v>
      </c>
      <c r="D6902" s="1" t="s">
        <v>5412</v>
      </c>
      <c r="F6902" s="1" t="s">
        <v>5466</v>
      </c>
      <c r="H6902" s="1" t="s">
        <v>6729</v>
      </c>
      <c r="J6902" s="1" t="s">
        <v>7432</v>
      </c>
      <c r="L6902" s="1" t="s">
        <v>7500</v>
      </c>
      <c r="N6902" s="1" t="s">
        <v>7796</v>
      </c>
      <c r="P6902" s="1" t="s">
        <v>7797</v>
      </c>
      <c r="Q6902" s="30" t="s">
        <v>2567</v>
      </c>
      <c r="R6902" s="33" t="s">
        <v>3472</v>
      </c>
      <c r="S6902">
        <v>36</v>
      </c>
      <c r="T6902" s="1" t="s">
        <v>12971</v>
      </c>
      <c r="U6902" s="1" t="str">
        <f>HYPERLINK("http://ictvonline.org/taxonomy/p/taxonomy-history?taxnode_id=202111277","ICTVonline=202111277")</f>
        <v>ICTVonline=202111277</v>
      </c>
    </row>
    <row r="6903" spans="1:21" x14ac:dyDescent="0.2">
      <c r="A6903" s="3">
        <v>6902</v>
      </c>
      <c r="B6903" s="1" t="s">
        <v>4226</v>
      </c>
      <c r="D6903" s="1" t="s">
        <v>5412</v>
      </c>
      <c r="F6903" s="1" t="s">
        <v>5466</v>
      </c>
      <c r="H6903" s="1" t="s">
        <v>6729</v>
      </c>
      <c r="J6903" s="1" t="s">
        <v>7432</v>
      </c>
      <c r="L6903" s="1" t="s">
        <v>7500</v>
      </c>
      <c r="N6903" s="1" t="s">
        <v>7798</v>
      </c>
      <c r="P6903" s="1" t="s">
        <v>7799</v>
      </c>
      <c r="Q6903" s="30" t="s">
        <v>2567</v>
      </c>
      <c r="R6903" s="33" t="s">
        <v>3472</v>
      </c>
      <c r="S6903">
        <v>36</v>
      </c>
      <c r="T6903" s="1" t="s">
        <v>12971</v>
      </c>
      <c r="U6903" s="1" t="str">
        <f>HYPERLINK("http://ictvonline.org/taxonomy/p/taxonomy-history?taxnode_id=202111279","ICTVonline=202111279")</f>
        <v>ICTVonline=202111279</v>
      </c>
    </row>
    <row r="6904" spans="1:21" x14ac:dyDescent="0.2">
      <c r="A6904" s="3">
        <v>6903</v>
      </c>
      <c r="B6904" s="1" t="s">
        <v>4226</v>
      </c>
      <c r="D6904" s="1" t="s">
        <v>5412</v>
      </c>
      <c r="F6904" s="1" t="s">
        <v>5466</v>
      </c>
      <c r="H6904" s="1" t="s">
        <v>6729</v>
      </c>
      <c r="J6904" s="1" t="s">
        <v>7432</v>
      </c>
      <c r="L6904" s="1" t="s">
        <v>7500</v>
      </c>
      <c r="N6904" s="1" t="s">
        <v>7800</v>
      </c>
      <c r="P6904" s="1" t="s">
        <v>7801</v>
      </c>
      <c r="Q6904" s="30" t="s">
        <v>2567</v>
      </c>
      <c r="R6904" s="33" t="s">
        <v>3472</v>
      </c>
      <c r="S6904">
        <v>36</v>
      </c>
      <c r="T6904" s="1" t="s">
        <v>12971</v>
      </c>
      <c r="U6904" s="1" t="str">
        <f>HYPERLINK("http://ictvonline.org/taxonomy/p/taxonomy-history?taxnode_id=202111281","ICTVonline=202111281")</f>
        <v>ICTVonline=202111281</v>
      </c>
    </row>
    <row r="6905" spans="1:21" x14ac:dyDescent="0.2">
      <c r="A6905" s="3">
        <v>6904</v>
      </c>
      <c r="B6905" s="1" t="s">
        <v>4226</v>
      </c>
      <c r="D6905" s="1" t="s">
        <v>5412</v>
      </c>
      <c r="F6905" s="1" t="s">
        <v>5466</v>
      </c>
      <c r="H6905" s="1" t="s">
        <v>6729</v>
      </c>
      <c r="J6905" s="1" t="s">
        <v>7432</v>
      </c>
      <c r="L6905" s="1" t="s">
        <v>7500</v>
      </c>
      <c r="N6905" s="1" t="s">
        <v>7802</v>
      </c>
      <c r="P6905" s="1" t="s">
        <v>7803</v>
      </c>
      <c r="Q6905" s="30" t="s">
        <v>2567</v>
      </c>
      <c r="R6905" s="33" t="s">
        <v>3472</v>
      </c>
      <c r="S6905">
        <v>36</v>
      </c>
      <c r="T6905" s="1" t="s">
        <v>12971</v>
      </c>
      <c r="U6905" s="1" t="str">
        <f>HYPERLINK("http://ictvonline.org/taxonomy/p/taxonomy-history?taxnode_id=202111283","ICTVonline=202111283")</f>
        <v>ICTVonline=202111283</v>
      </c>
    </row>
    <row r="6906" spans="1:21" x14ac:dyDescent="0.2">
      <c r="A6906" s="3">
        <v>6905</v>
      </c>
      <c r="B6906" s="1" t="s">
        <v>4226</v>
      </c>
      <c r="D6906" s="1" t="s">
        <v>5412</v>
      </c>
      <c r="F6906" s="1" t="s">
        <v>5466</v>
      </c>
      <c r="H6906" s="1" t="s">
        <v>6729</v>
      </c>
      <c r="J6906" s="1" t="s">
        <v>7432</v>
      </c>
      <c r="L6906" s="1" t="s">
        <v>7500</v>
      </c>
      <c r="N6906" s="1" t="s">
        <v>7804</v>
      </c>
      <c r="P6906" s="1" t="s">
        <v>7805</v>
      </c>
      <c r="Q6906" s="30" t="s">
        <v>2567</v>
      </c>
      <c r="R6906" s="33" t="s">
        <v>3472</v>
      </c>
      <c r="S6906">
        <v>36</v>
      </c>
      <c r="T6906" s="1" t="s">
        <v>12971</v>
      </c>
      <c r="U6906" s="1" t="str">
        <f>HYPERLINK("http://ictvonline.org/taxonomy/p/taxonomy-history?taxnode_id=202111285","ICTVonline=202111285")</f>
        <v>ICTVonline=202111285</v>
      </c>
    </row>
    <row r="6907" spans="1:21" x14ac:dyDescent="0.2">
      <c r="A6907" s="3">
        <v>6906</v>
      </c>
      <c r="B6907" s="1" t="s">
        <v>4226</v>
      </c>
      <c r="D6907" s="1" t="s">
        <v>5412</v>
      </c>
      <c r="F6907" s="1" t="s">
        <v>5466</v>
      </c>
      <c r="H6907" s="1" t="s">
        <v>6729</v>
      </c>
      <c r="J6907" s="1" t="s">
        <v>7432</v>
      </c>
      <c r="L6907" s="1" t="s">
        <v>7500</v>
      </c>
      <c r="N6907" s="1" t="s">
        <v>7806</v>
      </c>
      <c r="P6907" s="1" t="s">
        <v>7807</v>
      </c>
      <c r="Q6907" s="30" t="s">
        <v>2567</v>
      </c>
      <c r="R6907" s="33" t="s">
        <v>3472</v>
      </c>
      <c r="S6907">
        <v>36</v>
      </c>
      <c r="T6907" s="1" t="s">
        <v>12971</v>
      </c>
      <c r="U6907" s="1" t="str">
        <f>HYPERLINK("http://ictvonline.org/taxonomy/p/taxonomy-history?taxnode_id=202111287","ICTVonline=202111287")</f>
        <v>ICTVonline=202111287</v>
      </c>
    </row>
    <row r="6908" spans="1:21" x14ac:dyDescent="0.2">
      <c r="A6908" s="3">
        <v>6907</v>
      </c>
      <c r="B6908" s="1" t="s">
        <v>4226</v>
      </c>
      <c r="D6908" s="1" t="s">
        <v>5412</v>
      </c>
      <c r="F6908" s="1" t="s">
        <v>5466</v>
      </c>
      <c r="H6908" s="1" t="s">
        <v>6729</v>
      </c>
      <c r="J6908" s="1" t="s">
        <v>7432</v>
      </c>
      <c r="L6908" s="1" t="s">
        <v>7500</v>
      </c>
      <c r="N6908" s="1" t="s">
        <v>7806</v>
      </c>
      <c r="P6908" s="1" t="s">
        <v>7808</v>
      </c>
      <c r="Q6908" s="30" t="s">
        <v>2567</v>
      </c>
      <c r="R6908" s="33" t="s">
        <v>3472</v>
      </c>
      <c r="S6908">
        <v>36</v>
      </c>
      <c r="T6908" s="1" t="s">
        <v>12971</v>
      </c>
      <c r="U6908" s="1" t="str">
        <f>HYPERLINK("http://ictvonline.org/taxonomy/p/taxonomy-history?taxnode_id=202111289","ICTVonline=202111289")</f>
        <v>ICTVonline=202111289</v>
      </c>
    </row>
    <row r="6909" spans="1:21" x14ac:dyDescent="0.2">
      <c r="A6909" s="3">
        <v>6908</v>
      </c>
      <c r="B6909" s="1" t="s">
        <v>4226</v>
      </c>
      <c r="D6909" s="1" t="s">
        <v>5412</v>
      </c>
      <c r="F6909" s="1" t="s">
        <v>5466</v>
      </c>
      <c r="H6909" s="1" t="s">
        <v>6729</v>
      </c>
      <c r="J6909" s="1" t="s">
        <v>7432</v>
      </c>
      <c r="L6909" s="1" t="s">
        <v>7500</v>
      </c>
      <c r="N6909" s="1" t="s">
        <v>7806</v>
      </c>
      <c r="P6909" s="1" t="s">
        <v>7809</v>
      </c>
      <c r="Q6909" s="30" t="s">
        <v>2567</v>
      </c>
      <c r="R6909" s="33" t="s">
        <v>3472</v>
      </c>
      <c r="S6909">
        <v>36</v>
      </c>
      <c r="T6909" s="1" t="s">
        <v>12971</v>
      </c>
      <c r="U6909" s="1" t="str">
        <f>HYPERLINK("http://ictvonline.org/taxonomy/p/taxonomy-history?taxnode_id=202111288","ICTVonline=202111288")</f>
        <v>ICTVonline=202111288</v>
      </c>
    </row>
    <row r="6910" spans="1:21" x14ac:dyDescent="0.2">
      <c r="A6910" s="3">
        <v>6909</v>
      </c>
      <c r="B6910" s="1" t="s">
        <v>4226</v>
      </c>
      <c r="D6910" s="1" t="s">
        <v>5412</v>
      </c>
      <c r="F6910" s="1" t="s">
        <v>5466</v>
      </c>
      <c r="H6910" s="1" t="s">
        <v>6729</v>
      </c>
      <c r="J6910" s="1" t="s">
        <v>7432</v>
      </c>
      <c r="L6910" s="1" t="s">
        <v>7500</v>
      </c>
      <c r="N6910" s="1" t="s">
        <v>7810</v>
      </c>
      <c r="P6910" s="1" t="s">
        <v>7811</v>
      </c>
      <c r="Q6910" s="30" t="s">
        <v>2567</v>
      </c>
      <c r="R6910" s="33" t="s">
        <v>3472</v>
      </c>
      <c r="S6910">
        <v>36</v>
      </c>
      <c r="T6910" s="1" t="s">
        <v>12971</v>
      </c>
      <c r="U6910" s="1" t="str">
        <f>HYPERLINK("http://ictvonline.org/taxonomy/p/taxonomy-history?taxnode_id=202111298","ICTVonline=202111298")</f>
        <v>ICTVonline=202111298</v>
      </c>
    </row>
    <row r="6911" spans="1:21" x14ac:dyDescent="0.2">
      <c r="A6911" s="3">
        <v>6910</v>
      </c>
      <c r="B6911" s="1" t="s">
        <v>4226</v>
      </c>
      <c r="D6911" s="1" t="s">
        <v>5412</v>
      </c>
      <c r="F6911" s="1" t="s">
        <v>5466</v>
      </c>
      <c r="H6911" s="1" t="s">
        <v>6729</v>
      </c>
      <c r="J6911" s="1" t="s">
        <v>7432</v>
      </c>
      <c r="L6911" s="1" t="s">
        <v>7500</v>
      </c>
      <c r="N6911" s="1" t="s">
        <v>7810</v>
      </c>
      <c r="P6911" s="1" t="s">
        <v>7812</v>
      </c>
      <c r="Q6911" s="30" t="s">
        <v>2567</v>
      </c>
      <c r="R6911" s="33" t="s">
        <v>3472</v>
      </c>
      <c r="S6911">
        <v>36</v>
      </c>
      <c r="T6911" s="1" t="s">
        <v>12971</v>
      </c>
      <c r="U6911" s="1" t="str">
        <f>HYPERLINK("http://ictvonline.org/taxonomy/p/taxonomy-history?taxnode_id=202111299","ICTVonline=202111299")</f>
        <v>ICTVonline=202111299</v>
      </c>
    </row>
    <row r="6912" spans="1:21" x14ac:dyDescent="0.2">
      <c r="A6912" s="3">
        <v>6911</v>
      </c>
      <c r="B6912" s="1" t="s">
        <v>4226</v>
      </c>
      <c r="D6912" s="1" t="s">
        <v>5412</v>
      </c>
      <c r="F6912" s="1" t="s">
        <v>5466</v>
      </c>
      <c r="H6912" s="1" t="s">
        <v>6729</v>
      </c>
      <c r="J6912" s="1" t="s">
        <v>7432</v>
      </c>
      <c r="L6912" s="1" t="s">
        <v>7500</v>
      </c>
      <c r="N6912" s="1" t="s">
        <v>7810</v>
      </c>
      <c r="P6912" s="1" t="s">
        <v>7813</v>
      </c>
      <c r="Q6912" s="30" t="s">
        <v>2567</v>
      </c>
      <c r="R6912" s="33" t="s">
        <v>3472</v>
      </c>
      <c r="S6912">
        <v>36</v>
      </c>
      <c r="T6912" s="1" t="s">
        <v>12971</v>
      </c>
      <c r="U6912" s="1" t="str">
        <f>HYPERLINK("http://ictvonline.org/taxonomy/p/taxonomy-history?taxnode_id=202111291","ICTVonline=202111291")</f>
        <v>ICTVonline=202111291</v>
      </c>
    </row>
    <row r="6913" spans="1:21" x14ac:dyDescent="0.2">
      <c r="A6913" s="3">
        <v>6912</v>
      </c>
      <c r="B6913" s="1" t="s">
        <v>4226</v>
      </c>
      <c r="D6913" s="1" t="s">
        <v>5412</v>
      </c>
      <c r="F6913" s="1" t="s">
        <v>5466</v>
      </c>
      <c r="H6913" s="1" t="s">
        <v>6729</v>
      </c>
      <c r="J6913" s="1" t="s">
        <v>7432</v>
      </c>
      <c r="L6913" s="1" t="s">
        <v>7500</v>
      </c>
      <c r="N6913" s="1" t="s">
        <v>7810</v>
      </c>
      <c r="P6913" s="1" t="s">
        <v>7814</v>
      </c>
      <c r="Q6913" s="30" t="s">
        <v>2567</v>
      </c>
      <c r="R6913" s="33" t="s">
        <v>3472</v>
      </c>
      <c r="S6913">
        <v>36</v>
      </c>
      <c r="T6913" s="1" t="s">
        <v>12971</v>
      </c>
      <c r="U6913" s="1" t="str">
        <f>HYPERLINK("http://ictvonline.org/taxonomy/p/taxonomy-history?taxnode_id=202111294","ICTVonline=202111294")</f>
        <v>ICTVonline=202111294</v>
      </c>
    </row>
    <row r="6914" spans="1:21" x14ac:dyDescent="0.2">
      <c r="A6914" s="3">
        <v>6913</v>
      </c>
      <c r="B6914" s="1" t="s">
        <v>4226</v>
      </c>
      <c r="D6914" s="1" t="s">
        <v>5412</v>
      </c>
      <c r="F6914" s="1" t="s">
        <v>5466</v>
      </c>
      <c r="H6914" s="1" t="s">
        <v>6729</v>
      </c>
      <c r="J6914" s="1" t="s">
        <v>7432</v>
      </c>
      <c r="L6914" s="1" t="s">
        <v>7500</v>
      </c>
      <c r="N6914" s="1" t="s">
        <v>7810</v>
      </c>
      <c r="P6914" s="1" t="s">
        <v>7815</v>
      </c>
      <c r="Q6914" s="30" t="s">
        <v>2567</v>
      </c>
      <c r="R6914" s="33" t="s">
        <v>3472</v>
      </c>
      <c r="S6914">
        <v>36</v>
      </c>
      <c r="T6914" s="1" t="s">
        <v>12971</v>
      </c>
      <c r="U6914" s="1" t="str">
        <f>HYPERLINK("http://ictvonline.org/taxonomy/p/taxonomy-history?taxnode_id=202111293","ICTVonline=202111293")</f>
        <v>ICTVonline=202111293</v>
      </c>
    </row>
    <row r="6915" spans="1:21" x14ac:dyDescent="0.2">
      <c r="A6915" s="3">
        <v>6914</v>
      </c>
      <c r="B6915" s="1" t="s">
        <v>4226</v>
      </c>
      <c r="D6915" s="1" t="s">
        <v>5412</v>
      </c>
      <c r="F6915" s="1" t="s">
        <v>5466</v>
      </c>
      <c r="H6915" s="1" t="s">
        <v>6729</v>
      </c>
      <c r="J6915" s="1" t="s">
        <v>7432</v>
      </c>
      <c r="L6915" s="1" t="s">
        <v>7500</v>
      </c>
      <c r="N6915" s="1" t="s">
        <v>7810</v>
      </c>
      <c r="P6915" s="1" t="s">
        <v>7816</v>
      </c>
      <c r="Q6915" s="30" t="s">
        <v>2567</v>
      </c>
      <c r="R6915" s="33" t="s">
        <v>3472</v>
      </c>
      <c r="S6915">
        <v>36</v>
      </c>
      <c r="T6915" s="1" t="s">
        <v>12971</v>
      </c>
      <c r="U6915" s="1" t="str">
        <f>HYPERLINK("http://ictvonline.org/taxonomy/p/taxonomy-history?taxnode_id=202111295","ICTVonline=202111295")</f>
        <v>ICTVonline=202111295</v>
      </c>
    </row>
    <row r="6916" spans="1:21" x14ac:dyDescent="0.2">
      <c r="A6916" s="3">
        <v>6915</v>
      </c>
      <c r="B6916" s="1" t="s">
        <v>4226</v>
      </c>
      <c r="D6916" s="1" t="s">
        <v>5412</v>
      </c>
      <c r="F6916" s="1" t="s">
        <v>5466</v>
      </c>
      <c r="H6916" s="1" t="s">
        <v>6729</v>
      </c>
      <c r="J6916" s="1" t="s">
        <v>7432</v>
      </c>
      <c r="L6916" s="1" t="s">
        <v>7500</v>
      </c>
      <c r="N6916" s="1" t="s">
        <v>7810</v>
      </c>
      <c r="P6916" s="1" t="s">
        <v>7817</v>
      </c>
      <c r="Q6916" s="30" t="s">
        <v>2567</v>
      </c>
      <c r="R6916" s="33" t="s">
        <v>3472</v>
      </c>
      <c r="S6916">
        <v>36</v>
      </c>
      <c r="T6916" s="1" t="s">
        <v>12971</v>
      </c>
      <c r="U6916" s="1" t="str">
        <f>HYPERLINK("http://ictvonline.org/taxonomy/p/taxonomy-history?taxnode_id=202111296","ICTVonline=202111296")</f>
        <v>ICTVonline=202111296</v>
      </c>
    </row>
    <row r="6917" spans="1:21" x14ac:dyDescent="0.2">
      <c r="A6917" s="3">
        <v>6916</v>
      </c>
      <c r="B6917" s="1" t="s">
        <v>4226</v>
      </c>
      <c r="D6917" s="1" t="s">
        <v>5412</v>
      </c>
      <c r="F6917" s="1" t="s">
        <v>5466</v>
      </c>
      <c r="H6917" s="1" t="s">
        <v>6729</v>
      </c>
      <c r="J6917" s="1" t="s">
        <v>7432</v>
      </c>
      <c r="L6917" s="1" t="s">
        <v>7500</v>
      </c>
      <c r="N6917" s="1" t="s">
        <v>7810</v>
      </c>
      <c r="P6917" s="1" t="s">
        <v>7818</v>
      </c>
      <c r="Q6917" s="30" t="s">
        <v>2567</v>
      </c>
      <c r="R6917" s="33" t="s">
        <v>3472</v>
      </c>
      <c r="S6917">
        <v>36</v>
      </c>
      <c r="T6917" s="1" t="s">
        <v>12971</v>
      </c>
      <c r="U6917" s="1" t="str">
        <f>HYPERLINK("http://ictvonline.org/taxonomy/p/taxonomy-history?taxnode_id=202111297","ICTVonline=202111297")</f>
        <v>ICTVonline=202111297</v>
      </c>
    </row>
    <row r="6918" spans="1:21" x14ac:dyDescent="0.2">
      <c r="A6918" s="3">
        <v>6917</v>
      </c>
      <c r="B6918" s="1" t="s">
        <v>4226</v>
      </c>
      <c r="D6918" s="1" t="s">
        <v>5412</v>
      </c>
      <c r="F6918" s="1" t="s">
        <v>5466</v>
      </c>
      <c r="H6918" s="1" t="s">
        <v>6729</v>
      </c>
      <c r="J6918" s="1" t="s">
        <v>7432</v>
      </c>
      <c r="L6918" s="1" t="s">
        <v>7500</v>
      </c>
      <c r="N6918" s="1" t="s">
        <v>7810</v>
      </c>
      <c r="P6918" s="1" t="s">
        <v>7819</v>
      </c>
      <c r="Q6918" s="30" t="s">
        <v>2567</v>
      </c>
      <c r="R6918" s="33" t="s">
        <v>3472</v>
      </c>
      <c r="S6918">
        <v>36</v>
      </c>
      <c r="T6918" s="1" t="s">
        <v>12971</v>
      </c>
      <c r="U6918" s="1" t="str">
        <f>HYPERLINK("http://ictvonline.org/taxonomy/p/taxonomy-history?taxnode_id=202111292","ICTVonline=202111292")</f>
        <v>ICTVonline=202111292</v>
      </c>
    </row>
    <row r="6919" spans="1:21" x14ac:dyDescent="0.2">
      <c r="A6919" s="3">
        <v>6918</v>
      </c>
      <c r="B6919" s="1" t="s">
        <v>4226</v>
      </c>
      <c r="D6919" s="1" t="s">
        <v>5412</v>
      </c>
      <c r="F6919" s="1" t="s">
        <v>5466</v>
      </c>
      <c r="H6919" s="1" t="s">
        <v>6729</v>
      </c>
      <c r="J6919" s="1" t="s">
        <v>7432</v>
      </c>
      <c r="L6919" s="1" t="s">
        <v>7500</v>
      </c>
      <c r="N6919" s="1" t="s">
        <v>7820</v>
      </c>
      <c r="P6919" s="1" t="s">
        <v>7821</v>
      </c>
      <c r="Q6919" s="30" t="s">
        <v>2567</v>
      </c>
      <c r="R6919" s="33" t="s">
        <v>3472</v>
      </c>
      <c r="S6919">
        <v>36</v>
      </c>
      <c r="T6919" s="1" t="s">
        <v>12971</v>
      </c>
      <c r="U6919" s="1" t="str">
        <f>HYPERLINK("http://ictvonline.org/taxonomy/p/taxonomy-history?taxnode_id=202111301","ICTVonline=202111301")</f>
        <v>ICTVonline=202111301</v>
      </c>
    </row>
    <row r="6920" spans="1:21" x14ac:dyDescent="0.2">
      <c r="A6920" s="3">
        <v>6919</v>
      </c>
      <c r="B6920" s="1" t="s">
        <v>4226</v>
      </c>
      <c r="D6920" s="1" t="s">
        <v>5412</v>
      </c>
      <c r="F6920" s="1" t="s">
        <v>5466</v>
      </c>
      <c r="H6920" s="1" t="s">
        <v>6729</v>
      </c>
      <c r="J6920" s="1" t="s">
        <v>7432</v>
      </c>
      <c r="L6920" s="1" t="s">
        <v>7500</v>
      </c>
      <c r="N6920" s="1" t="s">
        <v>7822</v>
      </c>
      <c r="P6920" s="1" t="s">
        <v>7823</v>
      </c>
      <c r="Q6920" s="30" t="s">
        <v>2567</v>
      </c>
      <c r="R6920" s="33" t="s">
        <v>3472</v>
      </c>
      <c r="S6920">
        <v>36</v>
      </c>
      <c r="T6920" s="1" t="s">
        <v>12971</v>
      </c>
      <c r="U6920" s="1" t="str">
        <f>HYPERLINK("http://ictvonline.org/taxonomy/p/taxonomy-history?taxnode_id=202111303","ICTVonline=202111303")</f>
        <v>ICTVonline=202111303</v>
      </c>
    </row>
    <row r="6921" spans="1:21" x14ac:dyDescent="0.2">
      <c r="A6921" s="3">
        <v>6920</v>
      </c>
      <c r="B6921" s="1" t="s">
        <v>4226</v>
      </c>
      <c r="D6921" s="1" t="s">
        <v>5412</v>
      </c>
      <c r="F6921" s="1" t="s">
        <v>5466</v>
      </c>
      <c r="H6921" s="1" t="s">
        <v>6729</v>
      </c>
      <c r="J6921" s="1" t="s">
        <v>7432</v>
      </c>
      <c r="L6921" s="1" t="s">
        <v>7500</v>
      </c>
      <c r="N6921" s="1" t="s">
        <v>7824</v>
      </c>
      <c r="P6921" s="1" t="s">
        <v>7825</v>
      </c>
      <c r="Q6921" s="30" t="s">
        <v>2567</v>
      </c>
      <c r="R6921" s="33" t="s">
        <v>3472</v>
      </c>
      <c r="S6921">
        <v>36</v>
      </c>
      <c r="T6921" s="1" t="s">
        <v>12971</v>
      </c>
      <c r="U6921" s="1" t="str">
        <f>HYPERLINK("http://ictvonline.org/taxonomy/p/taxonomy-history?taxnode_id=202111306","ICTVonline=202111306")</f>
        <v>ICTVonline=202111306</v>
      </c>
    </row>
    <row r="6922" spans="1:21" x14ac:dyDescent="0.2">
      <c r="A6922" s="3">
        <v>6921</v>
      </c>
      <c r="B6922" s="1" t="s">
        <v>4226</v>
      </c>
      <c r="D6922" s="1" t="s">
        <v>5412</v>
      </c>
      <c r="F6922" s="1" t="s">
        <v>5466</v>
      </c>
      <c r="H6922" s="1" t="s">
        <v>6729</v>
      </c>
      <c r="J6922" s="1" t="s">
        <v>7432</v>
      </c>
      <c r="L6922" s="1" t="s">
        <v>7500</v>
      </c>
      <c r="N6922" s="1" t="s">
        <v>7824</v>
      </c>
      <c r="P6922" s="1" t="s">
        <v>7826</v>
      </c>
      <c r="Q6922" s="30" t="s">
        <v>2567</v>
      </c>
      <c r="R6922" s="33" t="s">
        <v>3472</v>
      </c>
      <c r="S6922">
        <v>36</v>
      </c>
      <c r="T6922" s="1" t="s">
        <v>12971</v>
      </c>
      <c r="U6922" s="1" t="str">
        <f>HYPERLINK("http://ictvonline.org/taxonomy/p/taxonomy-history?taxnode_id=202111305","ICTVonline=202111305")</f>
        <v>ICTVonline=202111305</v>
      </c>
    </row>
    <row r="6923" spans="1:21" x14ac:dyDescent="0.2">
      <c r="A6923" s="3">
        <v>6922</v>
      </c>
      <c r="B6923" s="1" t="s">
        <v>4226</v>
      </c>
      <c r="D6923" s="1" t="s">
        <v>5412</v>
      </c>
      <c r="F6923" s="1" t="s">
        <v>5466</v>
      </c>
      <c r="H6923" s="1" t="s">
        <v>6729</v>
      </c>
      <c r="J6923" s="1" t="s">
        <v>7432</v>
      </c>
      <c r="L6923" s="1" t="s">
        <v>7500</v>
      </c>
      <c r="N6923" s="1" t="s">
        <v>7827</v>
      </c>
      <c r="P6923" s="1" t="s">
        <v>7828</v>
      </c>
      <c r="Q6923" s="30" t="s">
        <v>2567</v>
      </c>
      <c r="R6923" s="33" t="s">
        <v>3472</v>
      </c>
      <c r="S6923">
        <v>36</v>
      </c>
      <c r="T6923" s="1" t="s">
        <v>12971</v>
      </c>
      <c r="U6923" s="1" t="str">
        <f>HYPERLINK("http://ictvonline.org/taxonomy/p/taxonomy-history?taxnode_id=202111308","ICTVonline=202111308")</f>
        <v>ICTVonline=202111308</v>
      </c>
    </row>
    <row r="6924" spans="1:21" x14ac:dyDescent="0.2">
      <c r="A6924" s="3">
        <v>6923</v>
      </c>
      <c r="B6924" s="1" t="s">
        <v>4226</v>
      </c>
      <c r="D6924" s="1" t="s">
        <v>5412</v>
      </c>
      <c r="F6924" s="1" t="s">
        <v>5466</v>
      </c>
      <c r="H6924" s="1" t="s">
        <v>6729</v>
      </c>
      <c r="J6924" s="1" t="s">
        <v>7432</v>
      </c>
      <c r="L6924" s="1" t="s">
        <v>7500</v>
      </c>
      <c r="N6924" s="1" t="s">
        <v>7829</v>
      </c>
      <c r="P6924" s="1" t="s">
        <v>7830</v>
      </c>
      <c r="Q6924" s="30" t="s">
        <v>2567</v>
      </c>
      <c r="R6924" s="33" t="s">
        <v>3472</v>
      </c>
      <c r="S6924">
        <v>36</v>
      </c>
      <c r="T6924" s="1" t="s">
        <v>12971</v>
      </c>
      <c r="U6924" s="1" t="str">
        <f>HYPERLINK("http://ictvonline.org/taxonomy/p/taxonomy-history?taxnode_id=202111310","ICTVonline=202111310")</f>
        <v>ICTVonline=202111310</v>
      </c>
    </row>
    <row r="6925" spans="1:21" x14ac:dyDescent="0.2">
      <c r="A6925" s="3">
        <v>6924</v>
      </c>
      <c r="B6925" s="1" t="s">
        <v>4226</v>
      </c>
      <c r="D6925" s="1" t="s">
        <v>5412</v>
      </c>
      <c r="F6925" s="1" t="s">
        <v>5466</v>
      </c>
      <c r="H6925" s="1" t="s">
        <v>6729</v>
      </c>
      <c r="J6925" s="1" t="s">
        <v>7432</v>
      </c>
      <c r="L6925" s="1" t="s">
        <v>7500</v>
      </c>
      <c r="N6925" s="1" t="s">
        <v>7831</v>
      </c>
      <c r="P6925" s="1" t="s">
        <v>7832</v>
      </c>
      <c r="Q6925" s="30" t="s">
        <v>2567</v>
      </c>
      <c r="R6925" s="33" t="s">
        <v>3472</v>
      </c>
      <c r="S6925">
        <v>36</v>
      </c>
      <c r="T6925" s="1" t="s">
        <v>12971</v>
      </c>
      <c r="U6925" s="1" t="str">
        <f>HYPERLINK("http://ictvonline.org/taxonomy/p/taxonomy-history?taxnode_id=202111313","ICTVonline=202111313")</f>
        <v>ICTVonline=202111313</v>
      </c>
    </row>
    <row r="6926" spans="1:21" x14ac:dyDescent="0.2">
      <c r="A6926" s="3">
        <v>6925</v>
      </c>
      <c r="B6926" s="1" t="s">
        <v>4226</v>
      </c>
      <c r="D6926" s="1" t="s">
        <v>5412</v>
      </c>
      <c r="F6926" s="1" t="s">
        <v>5466</v>
      </c>
      <c r="H6926" s="1" t="s">
        <v>6729</v>
      </c>
      <c r="J6926" s="1" t="s">
        <v>7432</v>
      </c>
      <c r="L6926" s="1" t="s">
        <v>7500</v>
      </c>
      <c r="N6926" s="1" t="s">
        <v>7831</v>
      </c>
      <c r="P6926" s="1" t="s">
        <v>7833</v>
      </c>
      <c r="Q6926" s="30" t="s">
        <v>2567</v>
      </c>
      <c r="R6926" s="33" t="s">
        <v>3472</v>
      </c>
      <c r="S6926">
        <v>36</v>
      </c>
      <c r="T6926" s="1" t="s">
        <v>12971</v>
      </c>
      <c r="U6926" s="1" t="str">
        <f>HYPERLINK("http://ictvonline.org/taxonomy/p/taxonomy-history?taxnode_id=202111314","ICTVonline=202111314")</f>
        <v>ICTVonline=202111314</v>
      </c>
    </row>
    <row r="6927" spans="1:21" x14ac:dyDescent="0.2">
      <c r="A6927" s="3">
        <v>6926</v>
      </c>
      <c r="B6927" s="1" t="s">
        <v>4226</v>
      </c>
      <c r="D6927" s="1" t="s">
        <v>5412</v>
      </c>
      <c r="F6927" s="1" t="s">
        <v>5466</v>
      </c>
      <c r="H6927" s="1" t="s">
        <v>6729</v>
      </c>
      <c r="J6927" s="1" t="s">
        <v>7432</v>
      </c>
      <c r="L6927" s="1" t="s">
        <v>7500</v>
      </c>
      <c r="N6927" s="1" t="s">
        <v>7831</v>
      </c>
      <c r="P6927" s="1" t="s">
        <v>7834</v>
      </c>
      <c r="Q6927" s="30" t="s">
        <v>2567</v>
      </c>
      <c r="R6927" s="33" t="s">
        <v>3472</v>
      </c>
      <c r="S6927">
        <v>36</v>
      </c>
      <c r="T6927" s="1" t="s">
        <v>12971</v>
      </c>
      <c r="U6927" s="1" t="str">
        <f>HYPERLINK("http://ictvonline.org/taxonomy/p/taxonomy-history?taxnode_id=202111315","ICTVonline=202111315")</f>
        <v>ICTVonline=202111315</v>
      </c>
    </row>
    <row r="6928" spans="1:21" x14ac:dyDescent="0.2">
      <c r="A6928" s="3">
        <v>6927</v>
      </c>
      <c r="B6928" s="1" t="s">
        <v>4226</v>
      </c>
      <c r="D6928" s="1" t="s">
        <v>5412</v>
      </c>
      <c r="F6928" s="1" t="s">
        <v>5466</v>
      </c>
      <c r="H6928" s="1" t="s">
        <v>6729</v>
      </c>
      <c r="J6928" s="1" t="s">
        <v>7432</v>
      </c>
      <c r="L6928" s="1" t="s">
        <v>7500</v>
      </c>
      <c r="N6928" s="1" t="s">
        <v>7831</v>
      </c>
      <c r="P6928" s="1" t="s">
        <v>7835</v>
      </c>
      <c r="Q6928" s="30" t="s">
        <v>2567</v>
      </c>
      <c r="R6928" s="33" t="s">
        <v>3472</v>
      </c>
      <c r="S6928">
        <v>36</v>
      </c>
      <c r="T6928" s="1" t="s">
        <v>12971</v>
      </c>
      <c r="U6928" s="1" t="str">
        <f>HYPERLINK("http://ictvonline.org/taxonomy/p/taxonomy-history?taxnode_id=202111316","ICTVonline=202111316")</f>
        <v>ICTVonline=202111316</v>
      </c>
    </row>
    <row r="6929" spans="1:21" x14ac:dyDescent="0.2">
      <c r="A6929" s="3">
        <v>6928</v>
      </c>
      <c r="B6929" s="1" t="s">
        <v>4226</v>
      </c>
      <c r="D6929" s="1" t="s">
        <v>5412</v>
      </c>
      <c r="F6929" s="1" t="s">
        <v>5466</v>
      </c>
      <c r="H6929" s="1" t="s">
        <v>6729</v>
      </c>
      <c r="J6929" s="1" t="s">
        <v>7432</v>
      </c>
      <c r="L6929" s="1" t="s">
        <v>7500</v>
      </c>
      <c r="N6929" s="1" t="s">
        <v>7831</v>
      </c>
      <c r="P6929" s="1" t="s">
        <v>7836</v>
      </c>
      <c r="Q6929" s="30" t="s">
        <v>2567</v>
      </c>
      <c r="R6929" s="33" t="s">
        <v>3472</v>
      </c>
      <c r="S6929">
        <v>36</v>
      </c>
      <c r="T6929" s="1" t="s">
        <v>12971</v>
      </c>
      <c r="U6929" s="1" t="str">
        <f>HYPERLINK("http://ictvonline.org/taxonomy/p/taxonomy-history?taxnode_id=202111317","ICTVonline=202111317")</f>
        <v>ICTVonline=202111317</v>
      </c>
    </row>
    <row r="6930" spans="1:21" x14ac:dyDescent="0.2">
      <c r="A6930" s="3">
        <v>6929</v>
      </c>
      <c r="B6930" s="1" t="s">
        <v>4226</v>
      </c>
      <c r="D6930" s="1" t="s">
        <v>5412</v>
      </c>
      <c r="F6930" s="1" t="s">
        <v>5466</v>
      </c>
      <c r="H6930" s="1" t="s">
        <v>6729</v>
      </c>
      <c r="J6930" s="1" t="s">
        <v>7432</v>
      </c>
      <c r="L6930" s="1" t="s">
        <v>7500</v>
      </c>
      <c r="N6930" s="1" t="s">
        <v>7831</v>
      </c>
      <c r="P6930" s="1" t="s">
        <v>7837</v>
      </c>
      <c r="Q6930" s="30" t="s">
        <v>2567</v>
      </c>
      <c r="R6930" s="33" t="s">
        <v>3472</v>
      </c>
      <c r="S6930">
        <v>36</v>
      </c>
      <c r="T6930" s="1" t="s">
        <v>12971</v>
      </c>
      <c r="U6930" s="1" t="str">
        <f>HYPERLINK("http://ictvonline.org/taxonomy/p/taxonomy-history?taxnode_id=202111312","ICTVonline=202111312")</f>
        <v>ICTVonline=202111312</v>
      </c>
    </row>
    <row r="6931" spans="1:21" x14ac:dyDescent="0.2">
      <c r="A6931" s="3">
        <v>6930</v>
      </c>
      <c r="B6931" s="1" t="s">
        <v>4226</v>
      </c>
      <c r="D6931" s="1" t="s">
        <v>5412</v>
      </c>
      <c r="F6931" s="1" t="s">
        <v>5466</v>
      </c>
      <c r="H6931" s="1" t="s">
        <v>6729</v>
      </c>
      <c r="J6931" s="1" t="s">
        <v>7432</v>
      </c>
      <c r="L6931" s="1" t="s">
        <v>7500</v>
      </c>
      <c r="N6931" s="1" t="s">
        <v>7838</v>
      </c>
      <c r="P6931" s="1" t="s">
        <v>7839</v>
      </c>
      <c r="Q6931" s="30" t="s">
        <v>2567</v>
      </c>
      <c r="R6931" s="33" t="s">
        <v>3472</v>
      </c>
      <c r="S6931">
        <v>36</v>
      </c>
      <c r="T6931" s="1" t="s">
        <v>12971</v>
      </c>
      <c r="U6931" s="1" t="str">
        <f>HYPERLINK("http://ictvonline.org/taxonomy/p/taxonomy-history?taxnode_id=202111319","ICTVonline=202111319")</f>
        <v>ICTVonline=202111319</v>
      </c>
    </row>
    <row r="6932" spans="1:21" x14ac:dyDescent="0.2">
      <c r="A6932" s="3">
        <v>6931</v>
      </c>
      <c r="B6932" s="1" t="s">
        <v>4226</v>
      </c>
      <c r="D6932" s="1" t="s">
        <v>5412</v>
      </c>
      <c r="F6932" s="1" t="s">
        <v>5466</v>
      </c>
      <c r="H6932" s="1" t="s">
        <v>6729</v>
      </c>
      <c r="J6932" s="1" t="s">
        <v>7432</v>
      </c>
      <c r="L6932" s="1" t="s">
        <v>7500</v>
      </c>
      <c r="N6932" s="1" t="s">
        <v>7840</v>
      </c>
      <c r="P6932" s="1" t="s">
        <v>7841</v>
      </c>
      <c r="Q6932" s="30" t="s">
        <v>2567</v>
      </c>
      <c r="R6932" s="33" t="s">
        <v>3472</v>
      </c>
      <c r="S6932">
        <v>36</v>
      </c>
      <c r="T6932" s="1" t="s">
        <v>12971</v>
      </c>
      <c r="U6932" s="1" t="str">
        <f>HYPERLINK("http://ictvonline.org/taxonomy/p/taxonomy-history?taxnode_id=202111321","ICTVonline=202111321")</f>
        <v>ICTVonline=202111321</v>
      </c>
    </row>
    <row r="6933" spans="1:21" x14ac:dyDescent="0.2">
      <c r="A6933" s="3">
        <v>6932</v>
      </c>
      <c r="B6933" s="1" t="s">
        <v>4226</v>
      </c>
      <c r="D6933" s="1" t="s">
        <v>5412</v>
      </c>
      <c r="F6933" s="1" t="s">
        <v>5466</v>
      </c>
      <c r="H6933" s="1" t="s">
        <v>6729</v>
      </c>
      <c r="J6933" s="1" t="s">
        <v>7432</v>
      </c>
      <c r="L6933" s="1" t="s">
        <v>7500</v>
      </c>
      <c r="N6933" s="1" t="s">
        <v>7840</v>
      </c>
      <c r="P6933" s="1" t="s">
        <v>7842</v>
      </c>
      <c r="Q6933" s="30" t="s">
        <v>2567</v>
      </c>
      <c r="R6933" s="33" t="s">
        <v>3472</v>
      </c>
      <c r="S6933">
        <v>36</v>
      </c>
      <c r="T6933" s="1" t="s">
        <v>12971</v>
      </c>
      <c r="U6933" s="1" t="str">
        <f>HYPERLINK("http://ictvonline.org/taxonomy/p/taxonomy-history?taxnode_id=202111322","ICTVonline=202111322")</f>
        <v>ICTVonline=202111322</v>
      </c>
    </row>
    <row r="6934" spans="1:21" x14ac:dyDescent="0.2">
      <c r="A6934" s="3">
        <v>6933</v>
      </c>
      <c r="B6934" s="1" t="s">
        <v>4226</v>
      </c>
      <c r="D6934" s="1" t="s">
        <v>5412</v>
      </c>
      <c r="F6934" s="1" t="s">
        <v>5466</v>
      </c>
      <c r="H6934" s="1" t="s">
        <v>6729</v>
      </c>
      <c r="J6934" s="1" t="s">
        <v>7432</v>
      </c>
      <c r="L6934" s="1" t="s">
        <v>7500</v>
      </c>
      <c r="N6934" s="1" t="s">
        <v>7843</v>
      </c>
      <c r="P6934" s="1" t="s">
        <v>7844</v>
      </c>
      <c r="Q6934" s="30" t="s">
        <v>2567</v>
      </c>
      <c r="R6934" s="33" t="s">
        <v>3472</v>
      </c>
      <c r="S6934">
        <v>36</v>
      </c>
      <c r="T6934" s="1" t="s">
        <v>12971</v>
      </c>
      <c r="U6934" s="1" t="str">
        <f>HYPERLINK("http://ictvonline.org/taxonomy/p/taxonomy-history?taxnode_id=202111324","ICTVonline=202111324")</f>
        <v>ICTVonline=202111324</v>
      </c>
    </row>
    <row r="6935" spans="1:21" x14ac:dyDescent="0.2">
      <c r="A6935" s="3">
        <v>6934</v>
      </c>
      <c r="B6935" s="1" t="s">
        <v>4226</v>
      </c>
      <c r="D6935" s="1" t="s">
        <v>5412</v>
      </c>
      <c r="F6935" s="1" t="s">
        <v>5466</v>
      </c>
      <c r="H6935" s="1" t="s">
        <v>6729</v>
      </c>
      <c r="J6935" s="1" t="s">
        <v>7432</v>
      </c>
      <c r="L6935" s="1" t="s">
        <v>7500</v>
      </c>
      <c r="N6935" s="1" t="s">
        <v>7845</v>
      </c>
      <c r="P6935" s="1" t="s">
        <v>7846</v>
      </c>
      <c r="Q6935" s="30" t="s">
        <v>2567</v>
      </c>
      <c r="R6935" s="33" t="s">
        <v>3472</v>
      </c>
      <c r="S6935">
        <v>36</v>
      </c>
      <c r="T6935" s="1" t="s">
        <v>12971</v>
      </c>
      <c r="U6935" s="1" t="str">
        <f>HYPERLINK("http://ictvonline.org/taxonomy/p/taxonomy-history?taxnode_id=202111326","ICTVonline=202111326")</f>
        <v>ICTVonline=202111326</v>
      </c>
    </row>
    <row r="6936" spans="1:21" x14ac:dyDescent="0.2">
      <c r="A6936" s="3">
        <v>6935</v>
      </c>
      <c r="B6936" s="1" t="s">
        <v>4226</v>
      </c>
      <c r="D6936" s="1" t="s">
        <v>5412</v>
      </c>
      <c r="F6936" s="1" t="s">
        <v>5466</v>
      </c>
      <c r="H6936" s="1" t="s">
        <v>6729</v>
      </c>
      <c r="J6936" s="1" t="s">
        <v>7432</v>
      </c>
      <c r="L6936" s="1" t="s">
        <v>7500</v>
      </c>
      <c r="N6936" s="1" t="s">
        <v>7845</v>
      </c>
      <c r="P6936" s="1" t="s">
        <v>7847</v>
      </c>
      <c r="Q6936" s="30" t="s">
        <v>2567</v>
      </c>
      <c r="R6936" s="33" t="s">
        <v>3472</v>
      </c>
      <c r="S6936">
        <v>36</v>
      </c>
      <c r="T6936" s="1" t="s">
        <v>12971</v>
      </c>
      <c r="U6936" s="1" t="str">
        <f>HYPERLINK("http://ictvonline.org/taxonomy/p/taxonomy-history?taxnode_id=202111328","ICTVonline=202111328")</f>
        <v>ICTVonline=202111328</v>
      </c>
    </row>
    <row r="6937" spans="1:21" x14ac:dyDescent="0.2">
      <c r="A6937" s="3">
        <v>6936</v>
      </c>
      <c r="B6937" s="1" t="s">
        <v>4226</v>
      </c>
      <c r="D6937" s="1" t="s">
        <v>5412</v>
      </c>
      <c r="F6937" s="1" t="s">
        <v>5466</v>
      </c>
      <c r="H6937" s="1" t="s">
        <v>6729</v>
      </c>
      <c r="J6937" s="1" t="s">
        <v>7432</v>
      </c>
      <c r="L6937" s="1" t="s">
        <v>7500</v>
      </c>
      <c r="N6937" s="1" t="s">
        <v>7845</v>
      </c>
      <c r="P6937" s="1" t="s">
        <v>7848</v>
      </c>
      <c r="Q6937" s="30" t="s">
        <v>2567</v>
      </c>
      <c r="R6937" s="33" t="s">
        <v>3472</v>
      </c>
      <c r="S6937">
        <v>36</v>
      </c>
      <c r="T6937" s="1" t="s">
        <v>12971</v>
      </c>
      <c r="U6937" s="1" t="str">
        <f>HYPERLINK("http://ictvonline.org/taxonomy/p/taxonomy-history?taxnode_id=202111327","ICTVonline=202111327")</f>
        <v>ICTVonline=202111327</v>
      </c>
    </row>
    <row r="6938" spans="1:21" x14ac:dyDescent="0.2">
      <c r="A6938" s="3">
        <v>6937</v>
      </c>
      <c r="B6938" s="1" t="s">
        <v>4226</v>
      </c>
      <c r="D6938" s="1" t="s">
        <v>5412</v>
      </c>
      <c r="F6938" s="1" t="s">
        <v>5466</v>
      </c>
      <c r="H6938" s="1" t="s">
        <v>6729</v>
      </c>
      <c r="J6938" s="1" t="s">
        <v>7432</v>
      </c>
      <c r="L6938" s="1" t="s">
        <v>7500</v>
      </c>
      <c r="N6938" s="1" t="s">
        <v>7849</v>
      </c>
      <c r="P6938" s="1" t="s">
        <v>7850</v>
      </c>
      <c r="Q6938" s="30" t="s">
        <v>2567</v>
      </c>
      <c r="R6938" s="33" t="s">
        <v>3472</v>
      </c>
      <c r="S6938">
        <v>36</v>
      </c>
      <c r="T6938" s="1" t="s">
        <v>12971</v>
      </c>
      <c r="U6938" s="1" t="str">
        <f>HYPERLINK("http://ictvonline.org/taxonomy/p/taxonomy-history?taxnode_id=202111332","ICTVonline=202111332")</f>
        <v>ICTVonline=202111332</v>
      </c>
    </row>
    <row r="6939" spans="1:21" x14ac:dyDescent="0.2">
      <c r="A6939" s="3">
        <v>6938</v>
      </c>
      <c r="B6939" s="1" t="s">
        <v>4226</v>
      </c>
      <c r="D6939" s="1" t="s">
        <v>5412</v>
      </c>
      <c r="F6939" s="1" t="s">
        <v>5466</v>
      </c>
      <c r="H6939" s="1" t="s">
        <v>6729</v>
      </c>
      <c r="J6939" s="1" t="s">
        <v>7432</v>
      </c>
      <c r="L6939" s="1" t="s">
        <v>7500</v>
      </c>
      <c r="N6939" s="1" t="s">
        <v>7849</v>
      </c>
      <c r="P6939" s="1" t="s">
        <v>7851</v>
      </c>
      <c r="Q6939" s="30" t="s">
        <v>2567</v>
      </c>
      <c r="R6939" s="33" t="s">
        <v>3472</v>
      </c>
      <c r="S6939">
        <v>36</v>
      </c>
      <c r="T6939" s="1" t="s">
        <v>12971</v>
      </c>
      <c r="U6939" s="1" t="str">
        <f>HYPERLINK("http://ictvonline.org/taxonomy/p/taxonomy-history?taxnode_id=202111331","ICTVonline=202111331")</f>
        <v>ICTVonline=202111331</v>
      </c>
    </row>
    <row r="6940" spans="1:21" x14ac:dyDescent="0.2">
      <c r="A6940" s="3">
        <v>6939</v>
      </c>
      <c r="B6940" s="1" t="s">
        <v>4226</v>
      </c>
      <c r="D6940" s="1" t="s">
        <v>5412</v>
      </c>
      <c r="F6940" s="1" t="s">
        <v>5466</v>
      </c>
      <c r="H6940" s="1" t="s">
        <v>6729</v>
      </c>
      <c r="J6940" s="1" t="s">
        <v>7432</v>
      </c>
      <c r="L6940" s="1" t="s">
        <v>7500</v>
      </c>
      <c r="N6940" s="1" t="s">
        <v>7849</v>
      </c>
      <c r="P6940" s="1" t="s">
        <v>7852</v>
      </c>
      <c r="Q6940" s="30" t="s">
        <v>2567</v>
      </c>
      <c r="R6940" s="33" t="s">
        <v>3472</v>
      </c>
      <c r="S6940">
        <v>36</v>
      </c>
      <c r="T6940" s="1" t="s">
        <v>12971</v>
      </c>
      <c r="U6940" s="1" t="str">
        <f>HYPERLINK("http://ictvonline.org/taxonomy/p/taxonomy-history?taxnode_id=202111330","ICTVonline=202111330")</f>
        <v>ICTVonline=202111330</v>
      </c>
    </row>
    <row r="6941" spans="1:21" x14ac:dyDescent="0.2">
      <c r="A6941" s="3">
        <v>6940</v>
      </c>
      <c r="B6941" s="1" t="s">
        <v>4226</v>
      </c>
      <c r="D6941" s="1" t="s">
        <v>5412</v>
      </c>
      <c r="F6941" s="1" t="s">
        <v>5466</v>
      </c>
      <c r="H6941" s="1" t="s">
        <v>6729</v>
      </c>
      <c r="J6941" s="1" t="s">
        <v>7432</v>
      </c>
      <c r="L6941" s="1" t="s">
        <v>7500</v>
      </c>
      <c r="N6941" s="1" t="s">
        <v>7849</v>
      </c>
      <c r="P6941" s="1" t="s">
        <v>7853</v>
      </c>
      <c r="Q6941" s="30" t="s">
        <v>2567</v>
      </c>
      <c r="R6941" s="33" t="s">
        <v>3472</v>
      </c>
      <c r="S6941">
        <v>36</v>
      </c>
      <c r="T6941" s="1" t="s">
        <v>12971</v>
      </c>
      <c r="U6941" s="1" t="str">
        <f>HYPERLINK("http://ictvonline.org/taxonomy/p/taxonomy-history?taxnode_id=202111333","ICTVonline=202111333")</f>
        <v>ICTVonline=202111333</v>
      </c>
    </row>
    <row r="6942" spans="1:21" x14ac:dyDescent="0.2">
      <c r="A6942" s="3">
        <v>6941</v>
      </c>
      <c r="B6942" s="1" t="s">
        <v>4226</v>
      </c>
      <c r="D6942" s="1" t="s">
        <v>5412</v>
      </c>
      <c r="F6942" s="1" t="s">
        <v>5466</v>
      </c>
      <c r="H6942" s="1" t="s">
        <v>6729</v>
      </c>
      <c r="J6942" s="1" t="s">
        <v>7432</v>
      </c>
      <c r="L6942" s="1" t="s">
        <v>7500</v>
      </c>
      <c r="N6942" s="1" t="s">
        <v>7854</v>
      </c>
      <c r="P6942" s="1" t="s">
        <v>7855</v>
      </c>
      <c r="Q6942" s="30" t="s">
        <v>2567</v>
      </c>
      <c r="R6942" s="33" t="s">
        <v>3472</v>
      </c>
      <c r="S6942">
        <v>36</v>
      </c>
      <c r="T6942" s="1" t="s">
        <v>12971</v>
      </c>
      <c r="U6942" s="1" t="str">
        <f>HYPERLINK("http://ictvonline.org/taxonomy/p/taxonomy-history?taxnode_id=202111335","ICTVonline=202111335")</f>
        <v>ICTVonline=202111335</v>
      </c>
    </row>
    <row r="6943" spans="1:21" x14ac:dyDescent="0.2">
      <c r="A6943" s="3">
        <v>6942</v>
      </c>
      <c r="B6943" s="1" t="s">
        <v>4226</v>
      </c>
      <c r="D6943" s="1" t="s">
        <v>5412</v>
      </c>
      <c r="F6943" s="1" t="s">
        <v>5466</v>
      </c>
      <c r="H6943" s="1" t="s">
        <v>6729</v>
      </c>
      <c r="J6943" s="1" t="s">
        <v>7432</v>
      </c>
      <c r="L6943" s="1" t="s">
        <v>7500</v>
      </c>
      <c r="N6943" s="1" t="s">
        <v>7856</v>
      </c>
      <c r="P6943" s="1" t="s">
        <v>7857</v>
      </c>
      <c r="Q6943" s="30" t="s">
        <v>2567</v>
      </c>
      <c r="R6943" s="33" t="s">
        <v>3472</v>
      </c>
      <c r="S6943">
        <v>36</v>
      </c>
      <c r="T6943" s="1" t="s">
        <v>12971</v>
      </c>
      <c r="U6943" s="1" t="str">
        <f>HYPERLINK("http://ictvonline.org/taxonomy/p/taxonomy-history?taxnode_id=202111337","ICTVonline=202111337")</f>
        <v>ICTVonline=202111337</v>
      </c>
    </row>
    <row r="6944" spans="1:21" x14ac:dyDescent="0.2">
      <c r="A6944" s="3">
        <v>6943</v>
      </c>
      <c r="B6944" s="1" t="s">
        <v>4226</v>
      </c>
      <c r="D6944" s="1" t="s">
        <v>5412</v>
      </c>
      <c r="F6944" s="1" t="s">
        <v>5466</v>
      </c>
      <c r="H6944" s="1" t="s">
        <v>6729</v>
      </c>
      <c r="J6944" s="1" t="s">
        <v>7432</v>
      </c>
      <c r="L6944" s="1" t="s">
        <v>7500</v>
      </c>
      <c r="N6944" s="1" t="s">
        <v>7858</v>
      </c>
      <c r="P6944" s="1" t="s">
        <v>7859</v>
      </c>
      <c r="Q6944" s="30" t="s">
        <v>2567</v>
      </c>
      <c r="R6944" s="33" t="s">
        <v>3472</v>
      </c>
      <c r="S6944">
        <v>36</v>
      </c>
      <c r="T6944" s="1" t="s">
        <v>12971</v>
      </c>
      <c r="U6944" s="1" t="str">
        <f>HYPERLINK("http://ictvonline.org/taxonomy/p/taxonomy-history?taxnode_id=202111339","ICTVonline=202111339")</f>
        <v>ICTVonline=202111339</v>
      </c>
    </row>
    <row r="6945" spans="1:21" x14ac:dyDescent="0.2">
      <c r="A6945" s="3">
        <v>6944</v>
      </c>
      <c r="B6945" s="1" t="s">
        <v>4226</v>
      </c>
      <c r="D6945" s="1" t="s">
        <v>5412</v>
      </c>
      <c r="F6945" s="1" t="s">
        <v>5466</v>
      </c>
      <c r="H6945" s="1" t="s">
        <v>6729</v>
      </c>
      <c r="J6945" s="1" t="s">
        <v>7432</v>
      </c>
      <c r="L6945" s="1" t="s">
        <v>7500</v>
      </c>
      <c r="N6945" s="1" t="s">
        <v>7860</v>
      </c>
      <c r="P6945" s="1" t="s">
        <v>7861</v>
      </c>
      <c r="Q6945" s="30" t="s">
        <v>2567</v>
      </c>
      <c r="R6945" s="33" t="s">
        <v>3472</v>
      </c>
      <c r="S6945">
        <v>36</v>
      </c>
      <c r="T6945" s="1" t="s">
        <v>12971</v>
      </c>
      <c r="U6945" s="1" t="str">
        <f>HYPERLINK("http://ictvonline.org/taxonomy/p/taxonomy-history?taxnode_id=202111341","ICTVonline=202111341")</f>
        <v>ICTVonline=202111341</v>
      </c>
    </row>
    <row r="6946" spans="1:21" x14ac:dyDescent="0.2">
      <c r="A6946" s="3">
        <v>6945</v>
      </c>
      <c r="B6946" s="1" t="s">
        <v>4226</v>
      </c>
      <c r="D6946" s="1" t="s">
        <v>5412</v>
      </c>
      <c r="F6946" s="1" t="s">
        <v>5466</v>
      </c>
      <c r="H6946" s="1" t="s">
        <v>6729</v>
      </c>
      <c r="J6946" s="1" t="s">
        <v>7432</v>
      </c>
      <c r="L6946" s="1" t="s">
        <v>7500</v>
      </c>
      <c r="N6946" s="1" t="s">
        <v>7862</v>
      </c>
      <c r="P6946" s="1" t="s">
        <v>7863</v>
      </c>
      <c r="Q6946" s="30" t="s">
        <v>2567</v>
      </c>
      <c r="R6946" s="33" t="s">
        <v>3472</v>
      </c>
      <c r="S6946">
        <v>36</v>
      </c>
      <c r="T6946" s="1" t="s">
        <v>12971</v>
      </c>
      <c r="U6946" s="1" t="str">
        <f>HYPERLINK("http://ictvonline.org/taxonomy/p/taxonomy-history?taxnode_id=202111343","ICTVonline=202111343")</f>
        <v>ICTVonline=202111343</v>
      </c>
    </row>
    <row r="6947" spans="1:21" x14ac:dyDescent="0.2">
      <c r="A6947" s="3">
        <v>6946</v>
      </c>
      <c r="B6947" s="1" t="s">
        <v>4226</v>
      </c>
      <c r="D6947" s="1" t="s">
        <v>5412</v>
      </c>
      <c r="F6947" s="1" t="s">
        <v>5466</v>
      </c>
      <c r="H6947" s="1" t="s">
        <v>6729</v>
      </c>
      <c r="J6947" s="1" t="s">
        <v>7432</v>
      </c>
      <c r="L6947" s="1" t="s">
        <v>7500</v>
      </c>
      <c r="N6947" s="1" t="s">
        <v>7864</v>
      </c>
      <c r="P6947" s="1" t="s">
        <v>7865</v>
      </c>
      <c r="Q6947" s="30" t="s">
        <v>2567</v>
      </c>
      <c r="R6947" s="33" t="s">
        <v>3472</v>
      </c>
      <c r="S6947">
        <v>36</v>
      </c>
      <c r="T6947" s="1" t="s">
        <v>12971</v>
      </c>
      <c r="U6947" s="1" t="str">
        <f>HYPERLINK("http://ictvonline.org/taxonomy/p/taxonomy-history?taxnode_id=202111345","ICTVonline=202111345")</f>
        <v>ICTVonline=202111345</v>
      </c>
    </row>
    <row r="6948" spans="1:21" x14ac:dyDescent="0.2">
      <c r="A6948" s="3">
        <v>6947</v>
      </c>
      <c r="B6948" s="1" t="s">
        <v>4226</v>
      </c>
      <c r="D6948" s="1" t="s">
        <v>5412</v>
      </c>
      <c r="F6948" s="1" t="s">
        <v>5466</v>
      </c>
      <c r="H6948" s="1" t="s">
        <v>6729</v>
      </c>
      <c r="J6948" s="1" t="s">
        <v>7432</v>
      </c>
      <c r="L6948" s="1" t="s">
        <v>7500</v>
      </c>
      <c r="N6948" s="1" t="s">
        <v>7866</v>
      </c>
      <c r="P6948" s="1" t="s">
        <v>7867</v>
      </c>
      <c r="Q6948" s="30" t="s">
        <v>2567</v>
      </c>
      <c r="R6948" s="33" t="s">
        <v>3472</v>
      </c>
      <c r="S6948">
        <v>36</v>
      </c>
      <c r="T6948" s="1" t="s">
        <v>12971</v>
      </c>
      <c r="U6948" s="1" t="str">
        <f>HYPERLINK("http://ictvonline.org/taxonomy/p/taxonomy-history?taxnode_id=202111347","ICTVonline=202111347")</f>
        <v>ICTVonline=202111347</v>
      </c>
    </row>
    <row r="6949" spans="1:21" x14ac:dyDescent="0.2">
      <c r="A6949" s="3">
        <v>6948</v>
      </c>
      <c r="B6949" s="1" t="s">
        <v>4226</v>
      </c>
      <c r="D6949" s="1" t="s">
        <v>5412</v>
      </c>
      <c r="F6949" s="1" t="s">
        <v>5466</v>
      </c>
      <c r="H6949" s="1" t="s">
        <v>6729</v>
      </c>
      <c r="J6949" s="1" t="s">
        <v>7432</v>
      </c>
      <c r="L6949" s="1" t="s">
        <v>7500</v>
      </c>
      <c r="N6949" s="1" t="s">
        <v>7868</v>
      </c>
      <c r="P6949" s="1" t="s">
        <v>7869</v>
      </c>
      <c r="Q6949" s="30" t="s">
        <v>2567</v>
      </c>
      <c r="R6949" s="33" t="s">
        <v>3472</v>
      </c>
      <c r="S6949">
        <v>36</v>
      </c>
      <c r="T6949" s="1" t="s">
        <v>12971</v>
      </c>
      <c r="U6949" s="1" t="str">
        <f>HYPERLINK("http://ictvonline.org/taxonomy/p/taxonomy-history?taxnode_id=202111351","ICTVonline=202111351")</f>
        <v>ICTVonline=202111351</v>
      </c>
    </row>
    <row r="6950" spans="1:21" x14ac:dyDescent="0.2">
      <c r="A6950" s="3">
        <v>6949</v>
      </c>
      <c r="B6950" s="1" t="s">
        <v>4226</v>
      </c>
      <c r="D6950" s="1" t="s">
        <v>5412</v>
      </c>
      <c r="F6950" s="1" t="s">
        <v>5466</v>
      </c>
      <c r="H6950" s="1" t="s">
        <v>6729</v>
      </c>
      <c r="J6950" s="1" t="s">
        <v>7432</v>
      </c>
      <c r="L6950" s="1" t="s">
        <v>7500</v>
      </c>
      <c r="N6950" s="1" t="s">
        <v>7868</v>
      </c>
      <c r="P6950" s="1" t="s">
        <v>7870</v>
      </c>
      <c r="Q6950" s="30" t="s">
        <v>2567</v>
      </c>
      <c r="R6950" s="33" t="s">
        <v>3472</v>
      </c>
      <c r="S6950">
        <v>36</v>
      </c>
      <c r="T6950" s="1" t="s">
        <v>12971</v>
      </c>
      <c r="U6950" s="1" t="str">
        <f>HYPERLINK("http://ictvonline.org/taxonomy/p/taxonomy-history?taxnode_id=202111349","ICTVonline=202111349")</f>
        <v>ICTVonline=202111349</v>
      </c>
    </row>
    <row r="6951" spans="1:21" x14ac:dyDescent="0.2">
      <c r="A6951" s="3">
        <v>6950</v>
      </c>
      <c r="B6951" s="1" t="s">
        <v>4226</v>
      </c>
      <c r="D6951" s="1" t="s">
        <v>5412</v>
      </c>
      <c r="F6951" s="1" t="s">
        <v>5466</v>
      </c>
      <c r="H6951" s="1" t="s">
        <v>6729</v>
      </c>
      <c r="J6951" s="1" t="s">
        <v>7432</v>
      </c>
      <c r="L6951" s="1" t="s">
        <v>7500</v>
      </c>
      <c r="N6951" s="1" t="s">
        <v>7868</v>
      </c>
      <c r="P6951" s="1" t="s">
        <v>7871</v>
      </c>
      <c r="Q6951" s="30" t="s">
        <v>2567</v>
      </c>
      <c r="R6951" s="33" t="s">
        <v>3472</v>
      </c>
      <c r="S6951">
        <v>36</v>
      </c>
      <c r="T6951" s="1" t="s">
        <v>12971</v>
      </c>
      <c r="U6951" s="1" t="str">
        <f>HYPERLINK("http://ictvonline.org/taxonomy/p/taxonomy-history?taxnode_id=202111350","ICTVonline=202111350")</f>
        <v>ICTVonline=202111350</v>
      </c>
    </row>
    <row r="6952" spans="1:21" x14ac:dyDescent="0.2">
      <c r="A6952" s="3">
        <v>6951</v>
      </c>
      <c r="B6952" s="1" t="s">
        <v>4226</v>
      </c>
      <c r="D6952" s="1" t="s">
        <v>5412</v>
      </c>
      <c r="F6952" s="1" t="s">
        <v>5466</v>
      </c>
      <c r="H6952" s="1" t="s">
        <v>6729</v>
      </c>
      <c r="J6952" s="1" t="s">
        <v>7432</v>
      </c>
      <c r="L6952" s="1" t="s">
        <v>7500</v>
      </c>
      <c r="N6952" s="1" t="s">
        <v>7872</v>
      </c>
      <c r="P6952" s="1" t="s">
        <v>7873</v>
      </c>
      <c r="Q6952" s="30" t="s">
        <v>2567</v>
      </c>
      <c r="R6952" s="33" t="s">
        <v>3472</v>
      </c>
      <c r="S6952">
        <v>36</v>
      </c>
      <c r="T6952" s="1" t="s">
        <v>12971</v>
      </c>
      <c r="U6952" s="1" t="str">
        <f>HYPERLINK("http://ictvonline.org/taxonomy/p/taxonomy-history?taxnode_id=202111353","ICTVonline=202111353")</f>
        <v>ICTVonline=202111353</v>
      </c>
    </row>
    <row r="6953" spans="1:21" x14ac:dyDescent="0.2">
      <c r="A6953" s="3">
        <v>6952</v>
      </c>
      <c r="B6953" s="1" t="s">
        <v>4226</v>
      </c>
      <c r="D6953" s="1" t="s">
        <v>5412</v>
      </c>
      <c r="F6953" s="1" t="s">
        <v>5466</v>
      </c>
      <c r="H6953" s="1" t="s">
        <v>6729</v>
      </c>
      <c r="J6953" s="1" t="s">
        <v>7432</v>
      </c>
      <c r="L6953" s="1" t="s">
        <v>7500</v>
      </c>
      <c r="N6953" s="1" t="s">
        <v>7872</v>
      </c>
      <c r="P6953" s="1" t="s">
        <v>7874</v>
      </c>
      <c r="Q6953" s="30" t="s">
        <v>2567</v>
      </c>
      <c r="R6953" s="33" t="s">
        <v>3472</v>
      </c>
      <c r="S6953">
        <v>36</v>
      </c>
      <c r="T6953" s="1" t="s">
        <v>12971</v>
      </c>
      <c r="U6953" s="1" t="str">
        <f>HYPERLINK("http://ictvonline.org/taxonomy/p/taxonomy-history?taxnode_id=202111354","ICTVonline=202111354")</f>
        <v>ICTVonline=202111354</v>
      </c>
    </row>
    <row r="6954" spans="1:21" x14ac:dyDescent="0.2">
      <c r="A6954" s="3">
        <v>6953</v>
      </c>
      <c r="B6954" s="1" t="s">
        <v>4226</v>
      </c>
      <c r="D6954" s="1" t="s">
        <v>5412</v>
      </c>
      <c r="F6954" s="1" t="s">
        <v>5466</v>
      </c>
      <c r="H6954" s="1" t="s">
        <v>6729</v>
      </c>
      <c r="J6954" s="1" t="s">
        <v>7432</v>
      </c>
      <c r="L6954" s="1" t="s">
        <v>7500</v>
      </c>
      <c r="N6954" s="1" t="s">
        <v>7872</v>
      </c>
      <c r="P6954" s="1" t="s">
        <v>7875</v>
      </c>
      <c r="Q6954" s="30" t="s">
        <v>2567</v>
      </c>
      <c r="R6954" s="33" t="s">
        <v>3472</v>
      </c>
      <c r="S6954">
        <v>36</v>
      </c>
      <c r="T6954" s="1" t="s">
        <v>12971</v>
      </c>
      <c r="U6954" s="1" t="str">
        <f>HYPERLINK("http://ictvonline.org/taxonomy/p/taxonomy-history?taxnode_id=202111355","ICTVonline=202111355")</f>
        <v>ICTVonline=202111355</v>
      </c>
    </row>
    <row r="6955" spans="1:21" x14ac:dyDescent="0.2">
      <c r="A6955" s="3">
        <v>6954</v>
      </c>
      <c r="B6955" s="1" t="s">
        <v>4226</v>
      </c>
      <c r="D6955" s="1" t="s">
        <v>5412</v>
      </c>
      <c r="F6955" s="1" t="s">
        <v>5466</v>
      </c>
      <c r="H6955" s="1" t="s">
        <v>6729</v>
      </c>
      <c r="J6955" s="1" t="s">
        <v>7432</v>
      </c>
      <c r="L6955" s="1" t="s">
        <v>7500</v>
      </c>
      <c r="N6955" s="1" t="s">
        <v>7872</v>
      </c>
      <c r="P6955" s="1" t="s">
        <v>7876</v>
      </c>
      <c r="Q6955" s="30" t="s">
        <v>2567</v>
      </c>
      <c r="R6955" s="33" t="s">
        <v>3472</v>
      </c>
      <c r="S6955">
        <v>36</v>
      </c>
      <c r="T6955" s="1" t="s">
        <v>12971</v>
      </c>
      <c r="U6955" s="1" t="str">
        <f>HYPERLINK("http://ictvonline.org/taxonomy/p/taxonomy-history?taxnode_id=202111356","ICTVonline=202111356")</f>
        <v>ICTVonline=202111356</v>
      </c>
    </row>
    <row r="6956" spans="1:21" x14ac:dyDescent="0.2">
      <c r="A6956" s="3">
        <v>6955</v>
      </c>
      <c r="B6956" s="1" t="s">
        <v>4226</v>
      </c>
      <c r="D6956" s="1" t="s">
        <v>5412</v>
      </c>
      <c r="F6956" s="1" t="s">
        <v>5466</v>
      </c>
      <c r="H6956" s="1" t="s">
        <v>6729</v>
      </c>
      <c r="J6956" s="1" t="s">
        <v>7432</v>
      </c>
      <c r="L6956" s="1" t="s">
        <v>7500</v>
      </c>
      <c r="N6956" s="1" t="s">
        <v>7877</v>
      </c>
      <c r="P6956" s="1" t="s">
        <v>7878</v>
      </c>
      <c r="Q6956" s="30" t="s">
        <v>2567</v>
      </c>
      <c r="R6956" s="33" t="s">
        <v>3472</v>
      </c>
      <c r="S6956">
        <v>36</v>
      </c>
      <c r="T6956" s="1" t="s">
        <v>12971</v>
      </c>
      <c r="U6956" s="1" t="str">
        <f>HYPERLINK("http://ictvonline.org/taxonomy/p/taxonomy-history?taxnode_id=202111358","ICTVonline=202111358")</f>
        <v>ICTVonline=202111358</v>
      </c>
    </row>
    <row r="6957" spans="1:21" x14ac:dyDescent="0.2">
      <c r="A6957" s="3">
        <v>6956</v>
      </c>
      <c r="B6957" s="1" t="s">
        <v>4226</v>
      </c>
      <c r="D6957" s="1" t="s">
        <v>5412</v>
      </c>
      <c r="F6957" s="1" t="s">
        <v>5466</v>
      </c>
      <c r="H6957" s="1" t="s">
        <v>6729</v>
      </c>
      <c r="J6957" s="1" t="s">
        <v>7432</v>
      </c>
      <c r="L6957" s="1" t="s">
        <v>7500</v>
      </c>
      <c r="N6957" s="1" t="s">
        <v>7879</v>
      </c>
      <c r="P6957" s="1" t="s">
        <v>7880</v>
      </c>
      <c r="Q6957" s="30" t="s">
        <v>2567</v>
      </c>
      <c r="R6957" s="33" t="s">
        <v>3472</v>
      </c>
      <c r="S6957">
        <v>36</v>
      </c>
      <c r="T6957" s="1" t="s">
        <v>12971</v>
      </c>
      <c r="U6957" s="1" t="str">
        <f>HYPERLINK("http://ictvonline.org/taxonomy/p/taxonomy-history?taxnode_id=202111360","ICTVonline=202111360")</f>
        <v>ICTVonline=202111360</v>
      </c>
    </row>
    <row r="6958" spans="1:21" x14ac:dyDescent="0.2">
      <c r="A6958" s="3">
        <v>6957</v>
      </c>
      <c r="B6958" s="1" t="s">
        <v>4226</v>
      </c>
      <c r="D6958" s="1" t="s">
        <v>5412</v>
      </c>
      <c r="F6958" s="1" t="s">
        <v>5466</v>
      </c>
      <c r="H6958" s="1" t="s">
        <v>6729</v>
      </c>
      <c r="J6958" s="1" t="s">
        <v>7432</v>
      </c>
      <c r="L6958" s="1" t="s">
        <v>7500</v>
      </c>
      <c r="N6958" s="1" t="s">
        <v>7879</v>
      </c>
      <c r="P6958" s="1" t="s">
        <v>7881</v>
      </c>
      <c r="Q6958" s="30" t="s">
        <v>2567</v>
      </c>
      <c r="R6958" s="33" t="s">
        <v>3472</v>
      </c>
      <c r="S6958">
        <v>36</v>
      </c>
      <c r="T6958" s="1" t="s">
        <v>12971</v>
      </c>
      <c r="U6958" s="1" t="str">
        <f>HYPERLINK("http://ictvonline.org/taxonomy/p/taxonomy-history?taxnode_id=202111361","ICTVonline=202111361")</f>
        <v>ICTVonline=202111361</v>
      </c>
    </row>
    <row r="6959" spans="1:21" x14ac:dyDescent="0.2">
      <c r="A6959" s="3">
        <v>6958</v>
      </c>
      <c r="B6959" s="1" t="s">
        <v>4226</v>
      </c>
      <c r="D6959" s="1" t="s">
        <v>5412</v>
      </c>
      <c r="F6959" s="1" t="s">
        <v>5466</v>
      </c>
      <c r="H6959" s="1" t="s">
        <v>6729</v>
      </c>
      <c r="J6959" s="1" t="s">
        <v>7432</v>
      </c>
      <c r="L6959" s="1" t="s">
        <v>7500</v>
      </c>
      <c r="N6959" s="1" t="s">
        <v>7882</v>
      </c>
      <c r="P6959" s="1" t="s">
        <v>7883</v>
      </c>
      <c r="Q6959" s="30" t="s">
        <v>2567</v>
      </c>
      <c r="R6959" s="33" t="s">
        <v>3472</v>
      </c>
      <c r="S6959">
        <v>36</v>
      </c>
      <c r="T6959" s="1" t="s">
        <v>12971</v>
      </c>
      <c r="U6959" s="1" t="str">
        <f>HYPERLINK("http://ictvonline.org/taxonomy/p/taxonomy-history?taxnode_id=202111363","ICTVonline=202111363")</f>
        <v>ICTVonline=202111363</v>
      </c>
    </row>
    <row r="6960" spans="1:21" x14ac:dyDescent="0.2">
      <c r="A6960" s="3">
        <v>6959</v>
      </c>
      <c r="B6960" s="1" t="s">
        <v>4226</v>
      </c>
      <c r="D6960" s="1" t="s">
        <v>5412</v>
      </c>
      <c r="F6960" s="1" t="s">
        <v>5466</v>
      </c>
      <c r="H6960" s="1" t="s">
        <v>6729</v>
      </c>
      <c r="J6960" s="1" t="s">
        <v>7432</v>
      </c>
      <c r="L6960" s="1" t="s">
        <v>7500</v>
      </c>
      <c r="N6960" s="1" t="s">
        <v>7884</v>
      </c>
      <c r="P6960" s="1" t="s">
        <v>7885</v>
      </c>
      <c r="Q6960" s="30" t="s">
        <v>2567</v>
      </c>
      <c r="R6960" s="33" t="s">
        <v>3472</v>
      </c>
      <c r="S6960">
        <v>36</v>
      </c>
      <c r="T6960" s="1" t="s">
        <v>12971</v>
      </c>
      <c r="U6960" s="1" t="str">
        <f>HYPERLINK("http://ictvonline.org/taxonomy/p/taxonomy-history?taxnode_id=202111365","ICTVonline=202111365")</f>
        <v>ICTVonline=202111365</v>
      </c>
    </row>
    <row r="6961" spans="1:21" x14ac:dyDescent="0.2">
      <c r="A6961" s="3">
        <v>6960</v>
      </c>
      <c r="B6961" s="1" t="s">
        <v>4226</v>
      </c>
      <c r="D6961" s="1" t="s">
        <v>5412</v>
      </c>
      <c r="F6961" s="1" t="s">
        <v>5466</v>
      </c>
      <c r="H6961" s="1" t="s">
        <v>6729</v>
      </c>
      <c r="J6961" s="1" t="s">
        <v>7432</v>
      </c>
      <c r="L6961" s="1" t="s">
        <v>7500</v>
      </c>
      <c r="N6961" s="1" t="s">
        <v>7886</v>
      </c>
      <c r="P6961" s="1" t="s">
        <v>7887</v>
      </c>
      <c r="Q6961" s="30" t="s">
        <v>2567</v>
      </c>
      <c r="R6961" s="33" t="s">
        <v>3472</v>
      </c>
      <c r="S6961">
        <v>36</v>
      </c>
      <c r="T6961" s="1" t="s">
        <v>12971</v>
      </c>
      <c r="U6961" s="1" t="str">
        <f>HYPERLINK("http://ictvonline.org/taxonomy/p/taxonomy-history?taxnode_id=202111367","ICTVonline=202111367")</f>
        <v>ICTVonline=202111367</v>
      </c>
    </row>
    <row r="6962" spans="1:21" x14ac:dyDescent="0.2">
      <c r="A6962" s="3">
        <v>6961</v>
      </c>
      <c r="B6962" s="1" t="s">
        <v>4226</v>
      </c>
      <c r="D6962" s="1" t="s">
        <v>5412</v>
      </c>
      <c r="F6962" s="1" t="s">
        <v>5466</v>
      </c>
      <c r="H6962" s="1" t="s">
        <v>6729</v>
      </c>
      <c r="J6962" s="1" t="s">
        <v>7432</v>
      </c>
      <c r="L6962" s="1" t="s">
        <v>7500</v>
      </c>
      <c r="N6962" s="1" t="s">
        <v>7888</v>
      </c>
      <c r="P6962" s="1" t="s">
        <v>7889</v>
      </c>
      <c r="Q6962" s="30" t="s">
        <v>2567</v>
      </c>
      <c r="R6962" s="33" t="s">
        <v>3472</v>
      </c>
      <c r="S6962">
        <v>36</v>
      </c>
      <c r="T6962" s="1" t="s">
        <v>12971</v>
      </c>
      <c r="U6962" s="1" t="str">
        <f>HYPERLINK("http://ictvonline.org/taxonomy/p/taxonomy-history?taxnode_id=202111369","ICTVonline=202111369")</f>
        <v>ICTVonline=202111369</v>
      </c>
    </row>
    <row r="6963" spans="1:21" x14ac:dyDescent="0.2">
      <c r="A6963" s="3">
        <v>6962</v>
      </c>
      <c r="B6963" s="1" t="s">
        <v>4226</v>
      </c>
      <c r="D6963" s="1" t="s">
        <v>5412</v>
      </c>
      <c r="F6963" s="1" t="s">
        <v>5466</v>
      </c>
      <c r="H6963" s="1" t="s">
        <v>6729</v>
      </c>
      <c r="J6963" s="1" t="s">
        <v>7432</v>
      </c>
      <c r="L6963" s="1" t="s">
        <v>7500</v>
      </c>
      <c r="N6963" s="1" t="s">
        <v>7890</v>
      </c>
      <c r="P6963" s="1" t="s">
        <v>7891</v>
      </c>
      <c r="Q6963" s="30" t="s">
        <v>2567</v>
      </c>
      <c r="R6963" s="33" t="s">
        <v>3472</v>
      </c>
      <c r="S6963">
        <v>36</v>
      </c>
      <c r="T6963" s="1" t="s">
        <v>12971</v>
      </c>
      <c r="U6963" s="1" t="str">
        <f>HYPERLINK("http://ictvonline.org/taxonomy/p/taxonomy-history?taxnode_id=202111371","ICTVonline=202111371")</f>
        <v>ICTVonline=202111371</v>
      </c>
    </row>
    <row r="6964" spans="1:21" x14ac:dyDescent="0.2">
      <c r="A6964" s="3">
        <v>6963</v>
      </c>
      <c r="B6964" s="1" t="s">
        <v>4226</v>
      </c>
      <c r="D6964" s="1" t="s">
        <v>5412</v>
      </c>
      <c r="F6964" s="1" t="s">
        <v>5466</v>
      </c>
      <c r="H6964" s="1" t="s">
        <v>6729</v>
      </c>
      <c r="J6964" s="1" t="s">
        <v>7432</v>
      </c>
      <c r="L6964" s="1" t="s">
        <v>7500</v>
      </c>
      <c r="N6964" s="1" t="s">
        <v>7892</v>
      </c>
      <c r="P6964" s="1" t="s">
        <v>7893</v>
      </c>
      <c r="Q6964" s="30" t="s">
        <v>2567</v>
      </c>
      <c r="R6964" s="33" t="s">
        <v>3472</v>
      </c>
      <c r="S6964">
        <v>36</v>
      </c>
      <c r="T6964" s="1" t="s">
        <v>12971</v>
      </c>
      <c r="U6964" s="1" t="str">
        <f>HYPERLINK("http://ictvonline.org/taxonomy/p/taxonomy-history?taxnode_id=202111374","ICTVonline=202111374")</f>
        <v>ICTVonline=202111374</v>
      </c>
    </row>
    <row r="6965" spans="1:21" x14ac:dyDescent="0.2">
      <c r="A6965" s="3">
        <v>6964</v>
      </c>
      <c r="B6965" s="1" t="s">
        <v>4226</v>
      </c>
      <c r="D6965" s="1" t="s">
        <v>5412</v>
      </c>
      <c r="F6965" s="1" t="s">
        <v>5466</v>
      </c>
      <c r="H6965" s="1" t="s">
        <v>6729</v>
      </c>
      <c r="J6965" s="1" t="s">
        <v>7432</v>
      </c>
      <c r="L6965" s="1" t="s">
        <v>7500</v>
      </c>
      <c r="N6965" s="1" t="s">
        <v>7892</v>
      </c>
      <c r="P6965" s="1" t="s">
        <v>7894</v>
      </c>
      <c r="Q6965" s="30" t="s">
        <v>2567</v>
      </c>
      <c r="R6965" s="33" t="s">
        <v>3472</v>
      </c>
      <c r="S6965">
        <v>36</v>
      </c>
      <c r="T6965" s="1" t="s">
        <v>12971</v>
      </c>
      <c r="U6965" s="1" t="str">
        <f>HYPERLINK("http://ictvonline.org/taxonomy/p/taxonomy-history?taxnode_id=202111373","ICTVonline=202111373")</f>
        <v>ICTVonline=202111373</v>
      </c>
    </row>
    <row r="6966" spans="1:21" x14ac:dyDescent="0.2">
      <c r="A6966" s="3">
        <v>6965</v>
      </c>
      <c r="B6966" s="1" t="s">
        <v>4226</v>
      </c>
      <c r="D6966" s="1" t="s">
        <v>5412</v>
      </c>
      <c r="F6966" s="1" t="s">
        <v>5466</v>
      </c>
      <c r="H6966" s="1" t="s">
        <v>6729</v>
      </c>
      <c r="J6966" s="1" t="s">
        <v>7432</v>
      </c>
      <c r="L6966" s="1" t="s">
        <v>7500</v>
      </c>
      <c r="N6966" s="1" t="s">
        <v>7892</v>
      </c>
      <c r="P6966" s="1" t="s">
        <v>7895</v>
      </c>
      <c r="Q6966" s="30" t="s">
        <v>2567</v>
      </c>
      <c r="R6966" s="33" t="s">
        <v>3472</v>
      </c>
      <c r="S6966">
        <v>36</v>
      </c>
      <c r="T6966" s="1" t="s">
        <v>12971</v>
      </c>
      <c r="U6966" s="1" t="str">
        <f>HYPERLINK("http://ictvonline.org/taxonomy/p/taxonomy-history?taxnode_id=202111375","ICTVonline=202111375")</f>
        <v>ICTVonline=202111375</v>
      </c>
    </row>
    <row r="6967" spans="1:21" x14ac:dyDescent="0.2">
      <c r="A6967" s="3">
        <v>6966</v>
      </c>
      <c r="B6967" s="1" t="s">
        <v>4226</v>
      </c>
      <c r="D6967" s="1" t="s">
        <v>5412</v>
      </c>
      <c r="F6967" s="1" t="s">
        <v>5466</v>
      </c>
      <c r="H6967" s="1" t="s">
        <v>6729</v>
      </c>
      <c r="J6967" s="1" t="s">
        <v>7432</v>
      </c>
      <c r="L6967" s="1" t="s">
        <v>7500</v>
      </c>
      <c r="N6967" s="1" t="s">
        <v>7896</v>
      </c>
      <c r="P6967" s="1" t="s">
        <v>7897</v>
      </c>
      <c r="Q6967" s="30" t="s">
        <v>2567</v>
      </c>
      <c r="R6967" s="33" t="s">
        <v>3472</v>
      </c>
      <c r="S6967">
        <v>36</v>
      </c>
      <c r="T6967" s="1" t="s">
        <v>12971</v>
      </c>
      <c r="U6967" s="1" t="str">
        <f>HYPERLINK("http://ictvonline.org/taxonomy/p/taxonomy-history?taxnode_id=202111377","ICTVonline=202111377")</f>
        <v>ICTVonline=202111377</v>
      </c>
    </row>
    <row r="6968" spans="1:21" x14ac:dyDescent="0.2">
      <c r="A6968" s="3">
        <v>6967</v>
      </c>
      <c r="B6968" s="1" t="s">
        <v>4226</v>
      </c>
      <c r="D6968" s="1" t="s">
        <v>5412</v>
      </c>
      <c r="F6968" s="1" t="s">
        <v>5466</v>
      </c>
      <c r="H6968" s="1" t="s">
        <v>6729</v>
      </c>
      <c r="J6968" s="1" t="s">
        <v>7432</v>
      </c>
      <c r="L6968" s="1" t="s">
        <v>7500</v>
      </c>
      <c r="N6968" s="1" t="s">
        <v>7898</v>
      </c>
      <c r="P6968" s="1" t="s">
        <v>7899</v>
      </c>
      <c r="Q6968" s="30" t="s">
        <v>2567</v>
      </c>
      <c r="R6968" s="33" t="s">
        <v>3472</v>
      </c>
      <c r="S6968">
        <v>36</v>
      </c>
      <c r="T6968" s="1" t="s">
        <v>12971</v>
      </c>
      <c r="U6968" s="1" t="str">
        <f>HYPERLINK("http://ictvonline.org/taxonomy/p/taxonomy-history?taxnode_id=202111379","ICTVonline=202111379")</f>
        <v>ICTVonline=202111379</v>
      </c>
    </row>
    <row r="6969" spans="1:21" x14ac:dyDescent="0.2">
      <c r="A6969" s="3">
        <v>6968</v>
      </c>
      <c r="B6969" s="1" t="s">
        <v>4226</v>
      </c>
      <c r="D6969" s="1" t="s">
        <v>5412</v>
      </c>
      <c r="F6969" s="1" t="s">
        <v>5466</v>
      </c>
      <c r="H6969" s="1" t="s">
        <v>6729</v>
      </c>
      <c r="J6969" s="1" t="s">
        <v>7432</v>
      </c>
      <c r="L6969" s="1" t="s">
        <v>7500</v>
      </c>
      <c r="N6969" s="1" t="s">
        <v>7900</v>
      </c>
      <c r="P6969" s="1" t="s">
        <v>7901</v>
      </c>
      <c r="Q6969" s="30" t="s">
        <v>2567</v>
      </c>
      <c r="R6969" s="33" t="s">
        <v>3472</v>
      </c>
      <c r="S6969">
        <v>36</v>
      </c>
      <c r="T6969" s="1" t="s">
        <v>12971</v>
      </c>
      <c r="U6969" s="1" t="str">
        <f>HYPERLINK("http://ictvonline.org/taxonomy/p/taxonomy-history?taxnode_id=202111381","ICTVonline=202111381")</f>
        <v>ICTVonline=202111381</v>
      </c>
    </row>
    <row r="6970" spans="1:21" x14ac:dyDescent="0.2">
      <c r="A6970" s="3">
        <v>6969</v>
      </c>
      <c r="B6970" s="1" t="s">
        <v>4226</v>
      </c>
      <c r="D6970" s="1" t="s">
        <v>5412</v>
      </c>
      <c r="F6970" s="1" t="s">
        <v>5466</v>
      </c>
      <c r="H6970" s="1" t="s">
        <v>6729</v>
      </c>
      <c r="J6970" s="1" t="s">
        <v>7432</v>
      </c>
      <c r="L6970" s="1" t="s">
        <v>7500</v>
      </c>
      <c r="N6970" s="1" t="s">
        <v>7902</v>
      </c>
      <c r="P6970" s="1" t="s">
        <v>7903</v>
      </c>
      <c r="Q6970" s="30" t="s">
        <v>2567</v>
      </c>
      <c r="R6970" s="33" t="s">
        <v>3472</v>
      </c>
      <c r="S6970">
        <v>36</v>
      </c>
      <c r="T6970" s="1" t="s">
        <v>12971</v>
      </c>
      <c r="U6970" s="1" t="str">
        <f>HYPERLINK("http://ictvonline.org/taxonomy/p/taxonomy-history?taxnode_id=202111384","ICTVonline=202111384")</f>
        <v>ICTVonline=202111384</v>
      </c>
    </row>
    <row r="6971" spans="1:21" x14ac:dyDescent="0.2">
      <c r="A6971" s="3">
        <v>6970</v>
      </c>
      <c r="B6971" s="1" t="s">
        <v>4226</v>
      </c>
      <c r="D6971" s="1" t="s">
        <v>5412</v>
      </c>
      <c r="F6971" s="1" t="s">
        <v>5466</v>
      </c>
      <c r="H6971" s="1" t="s">
        <v>6729</v>
      </c>
      <c r="J6971" s="1" t="s">
        <v>7432</v>
      </c>
      <c r="L6971" s="1" t="s">
        <v>7500</v>
      </c>
      <c r="N6971" s="1" t="s">
        <v>7902</v>
      </c>
      <c r="P6971" s="1" t="s">
        <v>7904</v>
      </c>
      <c r="Q6971" s="30" t="s">
        <v>2567</v>
      </c>
      <c r="R6971" s="33" t="s">
        <v>3472</v>
      </c>
      <c r="S6971">
        <v>36</v>
      </c>
      <c r="T6971" s="1" t="s">
        <v>12971</v>
      </c>
      <c r="U6971" s="1" t="str">
        <f>HYPERLINK("http://ictvonline.org/taxonomy/p/taxonomy-history?taxnode_id=202111385","ICTVonline=202111385")</f>
        <v>ICTVonline=202111385</v>
      </c>
    </row>
    <row r="6972" spans="1:21" x14ac:dyDescent="0.2">
      <c r="A6972" s="3">
        <v>6971</v>
      </c>
      <c r="B6972" s="1" t="s">
        <v>4226</v>
      </c>
      <c r="D6972" s="1" t="s">
        <v>5412</v>
      </c>
      <c r="F6972" s="1" t="s">
        <v>5466</v>
      </c>
      <c r="H6972" s="1" t="s">
        <v>6729</v>
      </c>
      <c r="J6972" s="1" t="s">
        <v>7432</v>
      </c>
      <c r="L6972" s="1" t="s">
        <v>7500</v>
      </c>
      <c r="N6972" s="1" t="s">
        <v>7902</v>
      </c>
      <c r="P6972" s="1" t="s">
        <v>7905</v>
      </c>
      <c r="Q6972" s="30" t="s">
        <v>2567</v>
      </c>
      <c r="R6972" s="33" t="s">
        <v>3472</v>
      </c>
      <c r="S6972">
        <v>36</v>
      </c>
      <c r="T6972" s="1" t="s">
        <v>12971</v>
      </c>
      <c r="U6972" s="1" t="str">
        <f>HYPERLINK("http://ictvonline.org/taxonomy/p/taxonomy-history?taxnode_id=202111386","ICTVonline=202111386")</f>
        <v>ICTVonline=202111386</v>
      </c>
    </row>
    <row r="6973" spans="1:21" x14ac:dyDescent="0.2">
      <c r="A6973" s="3">
        <v>6972</v>
      </c>
      <c r="B6973" s="1" t="s">
        <v>4226</v>
      </c>
      <c r="D6973" s="1" t="s">
        <v>5412</v>
      </c>
      <c r="F6973" s="1" t="s">
        <v>5466</v>
      </c>
      <c r="H6973" s="1" t="s">
        <v>6729</v>
      </c>
      <c r="J6973" s="1" t="s">
        <v>7432</v>
      </c>
      <c r="L6973" s="1" t="s">
        <v>7500</v>
      </c>
      <c r="N6973" s="1" t="s">
        <v>7902</v>
      </c>
      <c r="P6973" s="1" t="s">
        <v>7906</v>
      </c>
      <c r="Q6973" s="30" t="s">
        <v>2567</v>
      </c>
      <c r="R6973" s="33" t="s">
        <v>3472</v>
      </c>
      <c r="S6973">
        <v>36</v>
      </c>
      <c r="T6973" s="1" t="s">
        <v>12971</v>
      </c>
      <c r="U6973" s="1" t="str">
        <f>HYPERLINK("http://ictvonline.org/taxonomy/p/taxonomy-history?taxnode_id=202111387","ICTVonline=202111387")</f>
        <v>ICTVonline=202111387</v>
      </c>
    </row>
    <row r="6974" spans="1:21" x14ac:dyDescent="0.2">
      <c r="A6974" s="3">
        <v>6973</v>
      </c>
      <c r="B6974" s="1" t="s">
        <v>4226</v>
      </c>
      <c r="D6974" s="1" t="s">
        <v>5412</v>
      </c>
      <c r="F6974" s="1" t="s">
        <v>5466</v>
      </c>
      <c r="H6974" s="1" t="s">
        <v>6729</v>
      </c>
      <c r="J6974" s="1" t="s">
        <v>7432</v>
      </c>
      <c r="L6974" s="1" t="s">
        <v>7500</v>
      </c>
      <c r="N6974" s="1" t="s">
        <v>7902</v>
      </c>
      <c r="P6974" s="1" t="s">
        <v>7907</v>
      </c>
      <c r="Q6974" s="30" t="s">
        <v>2567</v>
      </c>
      <c r="R6974" s="33" t="s">
        <v>3472</v>
      </c>
      <c r="S6974">
        <v>36</v>
      </c>
      <c r="T6974" s="1" t="s">
        <v>12971</v>
      </c>
      <c r="U6974" s="1" t="str">
        <f>HYPERLINK("http://ictvonline.org/taxonomy/p/taxonomy-history?taxnode_id=202111388","ICTVonline=202111388")</f>
        <v>ICTVonline=202111388</v>
      </c>
    </row>
    <row r="6975" spans="1:21" x14ac:dyDescent="0.2">
      <c r="A6975" s="3">
        <v>6974</v>
      </c>
      <c r="B6975" s="1" t="s">
        <v>4226</v>
      </c>
      <c r="D6975" s="1" t="s">
        <v>5412</v>
      </c>
      <c r="F6975" s="1" t="s">
        <v>5466</v>
      </c>
      <c r="H6975" s="1" t="s">
        <v>6729</v>
      </c>
      <c r="J6975" s="1" t="s">
        <v>7432</v>
      </c>
      <c r="L6975" s="1" t="s">
        <v>7500</v>
      </c>
      <c r="N6975" s="1" t="s">
        <v>7902</v>
      </c>
      <c r="P6975" s="1" t="s">
        <v>7908</v>
      </c>
      <c r="Q6975" s="30" t="s">
        <v>2567</v>
      </c>
      <c r="R6975" s="33" t="s">
        <v>3472</v>
      </c>
      <c r="S6975">
        <v>36</v>
      </c>
      <c r="T6975" s="1" t="s">
        <v>12971</v>
      </c>
      <c r="U6975" s="1" t="str">
        <f>HYPERLINK("http://ictvonline.org/taxonomy/p/taxonomy-history?taxnode_id=202111383","ICTVonline=202111383")</f>
        <v>ICTVonline=202111383</v>
      </c>
    </row>
    <row r="6976" spans="1:21" x14ac:dyDescent="0.2">
      <c r="A6976" s="3">
        <v>6975</v>
      </c>
      <c r="B6976" s="1" t="s">
        <v>4226</v>
      </c>
      <c r="D6976" s="1" t="s">
        <v>5412</v>
      </c>
      <c r="F6976" s="1" t="s">
        <v>5466</v>
      </c>
      <c r="H6976" s="1" t="s">
        <v>6729</v>
      </c>
      <c r="J6976" s="1" t="s">
        <v>7432</v>
      </c>
      <c r="L6976" s="1" t="s">
        <v>7500</v>
      </c>
      <c r="N6976" s="1" t="s">
        <v>7902</v>
      </c>
      <c r="P6976" s="1" t="s">
        <v>7909</v>
      </c>
      <c r="Q6976" s="30" t="s">
        <v>2567</v>
      </c>
      <c r="R6976" s="33" t="s">
        <v>3472</v>
      </c>
      <c r="S6976">
        <v>36</v>
      </c>
      <c r="T6976" s="1" t="s">
        <v>12971</v>
      </c>
      <c r="U6976" s="1" t="str">
        <f>HYPERLINK("http://ictvonline.org/taxonomy/p/taxonomy-history?taxnode_id=202111389","ICTVonline=202111389")</f>
        <v>ICTVonline=202111389</v>
      </c>
    </row>
    <row r="6977" spans="1:21" x14ac:dyDescent="0.2">
      <c r="A6977" s="3">
        <v>6976</v>
      </c>
      <c r="B6977" s="1" t="s">
        <v>4226</v>
      </c>
      <c r="D6977" s="1" t="s">
        <v>5412</v>
      </c>
      <c r="F6977" s="1" t="s">
        <v>5466</v>
      </c>
      <c r="H6977" s="1" t="s">
        <v>6729</v>
      </c>
      <c r="J6977" s="1" t="s">
        <v>7432</v>
      </c>
      <c r="L6977" s="1" t="s">
        <v>7500</v>
      </c>
      <c r="N6977" s="1" t="s">
        <v>7910</v>
      </c>
      <c r="P6977" s="1" t="s">
        <v>7911</v>
      </c>
      <c r="Q6977" s="30" t="s">
        <v>2567</v>
      </c>
      <c r="R6977" s="33" t="s">
        <v>3472</v>
      </c>
      <c r="S6977">
        <v>36</v>
      </c>
      <c r="T6977" s="1" t="s">
        <v>12971</v>
      </c>
      <c r="U6977" s="1" t="str">
        <f>HYPERLINK("http://ictvonline.org/taxonomy/p/taxonomy-history?taxnode_id=202111391","ICTVonline=202111391")</f>
        <v>ICTVonline=202111391</v>
      </c>
    </row>
    <row r="6978" spans="1:21" x14ac:dyDescent="0.2">
      <c r="A6978" s="3">
        <v>6977</v>
      </c>
      <c r="B6978" s="1" t="s">
        <v>4226</v>
      </c>
      <c r="D6978" s="1" t="s">
        <v>5412</v>
      </c>
      <c r="F6978" s="1" t="s">
        <v>5466</v>
      </c>
      <c r="H6978" s="1" t="s">
        <v>6729</v>
      </c>
      <c r="J6978" s="1" t="s">
        <v>7432</v>
      </c>
      <c r="L6978" s="1" t="s">
        <v>7500</v>
      </c>
      <c r="N6978" s="1" t="s">
        <v>7912</v>
      </c>
      <c r="P6978" s="1" t="s">
        <v>7913</v>
      </c>
      <c r="Q6978" s="30" t="s">
        <v>2567</v>
      </c>
      <c r="R6978" s="33" t="s">
        <v>3472</v>
      </c>
      <c r="S6978">
        <v>36</v>
      </c>
      <c r="T6978" s="1" t="s">
        <v>12971</v>
      </c>
      <c r="U6978" s="1" t="str">
        <f>HYPERLINK("http://ictvonline.org/taxonomy/p/taxonomy-history?taxnode_id=202111399","ICTVonline=202111399")</f>
        <v>ICTVonline=202111399</v>
      </c>
    </row>
    <row r="6979" spans="1:21" x14ac:dyDescent="0.2">
      <c r="A6979" s="3">
        <v>6978</v>
      </c>
      <c r="B6979" s="1" t="s">
        <v>4226</v>
      </c>
      <c r="D6979" s="1" t="s">
        <v>5412</v>
      </c>
      <c r="F6979" s="1" t="s">
        <v>5466</v>
      </c>
      <c r="H6979" s="1" t="s">
        <v>6729</v>
      </c>
      <c r="J6979" s="1" t="s">
        <v>7432</v>
      </c>
      <c r="L6979" s="1" t="s">
        <v>7500</v>
      </c>
      <c r="N6979" s="1" t="s">
        <v>7912</v>
      </c>
      <c r="P6979" s="1" t="s">
        <v>7914</v>
      </c>
      <c r="Q6979" s="30" t="s">
        <v>2567</v>
      </c>
      <c r="R6979" s="33" t="s">
        <v>3472</v>
      </c>
      <c r="S6979">
        <v>36</v>
      </c>
      <c r="T6979" s="1" t="s">
        <v>12971</v>
      </c>
      <c r="U6979" s="1" t="str">
        <f>HYPERLINK("http://ictvonline.org/taxonomy/p/taxonomy-history?taxnode_id=202111401","ICTVonline=202111401")</f>
        <v>ICTVonline=202111401</v>
      </c>
    </row>
    <row r="6980" spans="1:21" x14ac:dyDescent="0.2">
      <c r="A6980" s="3">
        <v>6979</v>
      </c>
      <c r="B6980" s="1" t="s">
        <v>4226</v>
      </c>
      <c r="D6980" s="1" t="s">
        <v>5412</v>
      </c>
      <c r="F6980" s="1" t="s">
        <v>5466</v>
      </c>
      <c r="H6980" s="1" t="s">
        <v>6729</v>
      </c>
      <c r="J6980" s="1" t="s">
        <v>7432</v>
      </c>
      <c r="L6980" s="1" t="s">
        <v>7500</v>
      </c>
      <c r="N6980" s="1" t="s">
        <v>7912</v>
      </c>
      <c r="P6980" s="1" t="s">
        <v>7915</v>
      </c>
      <c r="Q6980" s="30" t="s">
        <v>2567</v>
      </c>
      <c r="R6980" s="33" t="s">
        <v>3472</v>
      </c>
      <c r="S6980">
        <v>36</v>
      </c>
      <c r="T6980" s="1" t="s">
        <v>12971</v>
      </c>
      <c r="U6980" s="1" t="str">
        <f>HYPERLINK("http://ictvonline.org/taxonomy/p/taxonomy-history?taxnode_id=202111400","ICTVonline=202111400")</f>
        <v>ICTVonline=202111400</v>
      </c>
    </row>
    <row r="6981" spans="1:21" x14ac:dyDescent="0.2">
      <c r="A6981" s="3">
        <v>6980</v>
      </c>
      <c r="B6981" s="1" t="s">
        <v>4226</v>
      </c>
      <c r="D6981" s="1" t="s">
        <v>5412</v>
      </c>
      <c r="F6981" s="1" t="s">
        <v>5466</v>
      </c>
      <c r="H6981" s="1" t="s">
        <v>6729</v>
      </c>
      <c r="J6981" s="1" t="s">
        <v>7432</v>
      </c>
      <c r="L6981" s="1" t="s">
        <v>7500</v>
      </c>
      <c r="N6981" s="1" t="s">
        <v>7912</v>
      </c>
      <c r="P6981" s="1" t="s">
        <v>7916</v>
      </c>
      <c r="Q6981" s="30" t="s">
        <v>2567</v>
      </c>
      <c r="R6981" s="33" t="s">
        <v>3472</v>
      </c>
      <c r="S6981">
        <v>36</v>
      </c>
      <c r="T6981" s="1" t="s">
        <v>12971</v>
      </c>
      <c r="U6981" s="1" t="str">
        <f>HYPERLINK("http://ictvonline.org/taxonomy/p/taxonomy-history?taxnode_id=202111402","ICTVonline=202111402")</f>
        <v>ICTVonline=202111402</v>
      </c>
    </row>
    <row r="6982" spans="1:21" x14ac:dyDescent="0.2">
      <c r="A6982" s="3">
        <v>6981</v>
      </c>
      <c r="B6982" s="1" t="s">
        <v>4226</v>
      </c>
      <c r="D6982" s="1" t="s">
        <v>5412</v>
      </c>
      <c r="F6982" s="1" t="s">
        <v>5466</v>
      </c>
      <c r="H6982" s="1" t="s">
        <v>6729</v>
      </c>
      <c r="J6982" s="1" t="s">
        <v>7432</v>
      </c>
      <c r="L6982" s="1" t="s">
        <v>7500</v>
      </c>
      <c r="N6982" s="1" t="s">
        <v>7912</v>
      </c>
      <c r="P6982" s="1" t="s">
        <v>7917</v>
      </c>
      <c r="Q6982" s="30" t="s">
        <v>2567</v>
      </c>
      <c r="R6982" s="33" t="s">
        <v>3472</v>
      </c>
      <c r="S6982">
        <v>36</v>
      </c>
      <c r="T6982" s="1" t="s">
        <v>12971</v>
      </c>
      <c r="U6982" s="1" t="str">
        <f>HYPERLINK("http://ictvonline.org/taxonomy/p/taxonomy-history?taxnode_id=202111403","ICTVonline=202111403")</f>
        <v>ICTVonline=202111403</v>
      </c>
    </row>
    <row r="6983" spans="1:21" x14ac:dyDescent="0.2">
      <c r="A6983" s="3">
        <v>6982</v>
      </c>
      <c r="B6983" s="1" t="s">
        <v>4226</v>
      </c>
      <c r="D6983" s="1" t="s">
        <v>5412</v>
      </c>
      <c r="F6983" s="1" t="s">
        <v>5466</v>
      </c>
      <c r="H6983" s="1" t="s">
        <v>6729</v>
      </c>
      <c r="J6983" s="1" t="s">
        <v>7432</v>
      </c>
      <c r="L6983" s="1" t="s">
        <v>7500</v>
      </c>
      <c r="N6983" s="1" t="s">
        <v>7912</v>
      </c>
      <c r="P6983" s="1" t="s">
        <v>7918</v>
      </c>
      <c r="Q6983" s="30" t="s">
        <v>2567</v>
      </c>
      <c r="R6983" s="33" t="s">
        <v>3472</v>
      </c>
      <c r="S6983">
        <v>36</v>
      </c>
      <c r="T6983" s="1" t="s">
        <v>12971</v>
      </c>
      <c r="U6983" s="1" t="str">
        <f>HYPERLINK("http://ictvonline.org/taxonomy/p/taxonomy-history?taxnode_id=202111404","ICTVonline=202111404")</f>
        <v>ICTVonline=202111404</v>
      </c>
    </row>
    <row r="6984" spans="1:21" x14ac:dyDescent="0.2">
      <c r="A6984" s="3">
        <v>6983</v>
      </c>
      <c r="B6984" s="1" t="s">
        <v>4226</v>
      </c>
      <c r="D6984" s="1" t="s">
        <v>5412</v>
      </c>
      <c r="F6984" s="1" t="s">
        <v>5466</v>
      </c>
      <c r="H6984" s="1" t="s">
        <v>6729</v>
      </c>
      <c r="J6984" s="1" t="s">
        <v>7432</v>
      </c>
      <c r="L6984" s="1" t="s">
        <v>7500</v>
      </c>
      <c r="N6984" s="1" t="s">
        <v>7912</v>
      </c>
      <c r="P6984" s="1" t="s">
        <v>7919</v>
      </c>
      <c r="Q6984" s="30" t="s">
        <v>2567</v>
      </c>
      <c r="R6984" s="33" t="s">
        <v>3472</v>
      </c>
      <c r="S6984">
        <v>36</v>
      </c>
      <c r="T6984" s="1" t="s">
        <v>12971</v>
      </c>
      <c r="U6984" s="1" t="str">
        <f>HYPERLINK("http://ictvonline.org/taxonomy/p/taxonomy-history?taxnode_id=202111405","ICTVonline=202111405")</f>
        <v>ICTVonline=202111405</v>
      </c>
    </row>
    <row r="6985" spans="1:21" x14ac:dyDescent="0.2">
      <c r="A6985" s="3">
        <v>6984</v>
      </c>
      <c r="B6985" s="1" t="s">
        <v>4226</v>
      </c>
      <c r="D6985" s="1" t="s">
        <v>5412</v>
      </c>
      <c r="F6985" s="1" t="s">
        <v>5466</v>
      </c>
      <c r="H6985" s="1" t="s">
        <v>6729</v>
      </c>
      <c r="J6985" s="1" t="s">
        <v>7432</v>
      </c>
      <c r="L6985" s="1" t="s">
        <v>7500</v>
      </c>
      <c r="N6985" s="1" t="s">
        <v>7912</v>
      </c>
      <c r="P6985" s="1" t="s">
        <v>7920</v>
      </c>
      <c r="Q6985" s="30" t="s">
        <v>2567</v>
      </c>
      <c r="R6985" s="33" t="s">
        <v>3472</v>
      </c>
      <c r="S6985">
        <v>36</v>
      </c>
      <c r="T6985" s="1" t="s">
        <v>12971</v>
      </c>
      <c r="U6985" s="1" t="str">
        <f>HYPERLINK("http://ictvonline.org/taxonomy/p/taxonomy-history?taxnode_id=202111406","ICTVonline=202111406")</f>
        <v>ICTVonline=202111406</v>
      </c>
    </row>
    <row r="6986" spans="1:21" x14ac:dyDescent="0.2">
      <c r="A6986" s="3">
        <v>6985</v>
      </c>
      <c r="B6986" s="1" t="s">
        <v>4226</v>
      </c>
      <c r="D6986" s="1" t="s">
        <v>5412</v>
      </c>
      <c r="F6986" s="1" t="s">
        <v>5466</v>
      </c>
      <c r="H6986" s="1" t="s">
        <v>6729</v>
      </c>
      <c r="J6986" s="1" t="s">
        <v>7432</v>
      </c>
      <c r="L6986" s="1" t="s">
        <v>7500</v>
      </c>
      <c r="N6986" s="1" t="s">
        <v>7912</v>
      </c>
      <c r="P6986" s="1" t="s">
        <v>7921</v>
      </c>
      <c r="Q6986" s="30" t="s">
        <v>2567</v>
      </c>
      <c r="R6986" s="33" t="s">
        <v>3472</v>
      </c>
      <c r="S6986">
        <v>36</v>
      </c>
      <c r="T6986" s="1" t="s">
        <v>12971</v>
      </c>
      <c r="U6986" s="1" t="str">
        <f>HYPERLINK("http://ictvonline.org/taxonomy/p/taxonomy-history?taxnode_id=202111407","ICTVonline=202111407")</f>
        <v>ICTVonline=202111407</v>
      </c>
    </row>
    <row r="6987" spans="1:21" x14ac:dyDescent="0.2">
      <c r="A6987" s="3">
        <v>6986</v>
      </c>
      <c r="B6987" s="1" t="s">
        <v>4226</v>
      </c>
      <c r="D6987" s="1" t="s">
        <v>5412</v>
      </c>
      <c r="F6987" s="1" t="s">
        <v>5466</v>
      </c>
      <c r="H6987" s="1" t="s">
        <v>6729</v>
      </c>
      <c r="J6987" s="1" t="s">
        <v>7432</v>
      </c>
      <c r="L6987" s="1" t="s">
        <v>7500</v>
      </c>
      <c r="N6987" s="1" t="s">
        <v>7912</v>
      </c>
      <c r="P6987" s="1" t="s">
        <v>7922</v>
      </c>
      <c r="Q6987" s="30" t="s">
        <v>2567</v>
      </c>
      <c r="R6987" s="33" t="s">
        <v>3472</v>
      </c>
      <c r="S6987">
        <v>36</v>
      </c>
      <c r="T6987" s="1" t="s">
        <v>12971</v>
      </c>
      <c r="U6987" s="1" t="str">
        <f>HYPERLINK("http://ictvonline.org/taxonomy/p/taxonomy-history?taxnode_id=202111408","ICTVonline=202111408")</f>
        <v>ICTVonline=202111408</v>
      </c>
    </row>
    <row r="6988" spans="1:21" x14ac:dyDescent="0.2">
      <c r="A6988" s="3">
        <v>6987</v>
      </c>
      <c r="B6988" s="1" t="s">
        <v>4226</v>
      </c>
      <c r="D6988" s="1" t="s">
        <v>5412</v>
      </c>
      <c r="F6988" s="1" t="s">
        <v>5466</v>
      </c>
      <c r="H6988" s="1" t="s">
        <v>6729</v>
      </c>
      <c r="J6988" s="1" t="s">
        <v>7432</v>
      </c>
      <c r="L6988" s="1" t="s">
        <v>7500</v>
      </c>
      <c r="N6988" s="1" t="s">
        <v>7912</v>
      </c>
      <c r="P6988" s="1" t="s">
        <v>7923</v>
      </c>
      <c r="Q6988" s="30" t="s">
        <v>2567</v>
      </c>
      <c r="R6988" s="33" t="s">
        <v>3472</v>
      </c>
      <c r="S6988">
        <v>36</v>
      </c>
      <c r="T6988" s="1" t="s">
        <v>12971</v>
      </c>
      <c r="U6988" s="1" t="str">
        <f>HYPERLINK("http://ictvonline.org/taxonomy/p/taxonomy-history?taxnode_id=202111409","ICTVonline=202111409")</f>
        <v>ICTVonline=202111409</v>
      </c>
    </row>
    <row r="6989" spans="1:21" x14ac:dyDescent="0.2">
      <c r="A6989" s="3">
        <v>6988</v>
      </c>
      <c r="B6989" s="1" t="s">
        <v>4226</v>
      </c>
      <c r="D6989" s="1" t="s">
        <v>5412</v>
      </c>
      <c r="F6989" s="1" t="s">
        <v>5466</v>
      </c>
      <c r="H6989" s="1" t="s">
        <v>6729</v>
      </c>
      <c r="J6989" s="1" t="s">
        <v>7432</v>
      </c>
      <c r="L6989" s="1" t="s">
        <v>7500</v>
      </c>
      <c r="N6989" s="1" t="s">
        <v>7912</v>
      </c>
      <c r="P6989" s="1" t="s">
        <v>7924</v>
      </c>
      <c r="Q6989" s="30" t="s">
        <v>2567</v>
      </c>
      <c r="R6989" s="33" t="s">
        <v>3472</v>
      </c>
      <c r="S6989">
        <v>36</v>
      </c>
      <c r="T6989" s="1" t="s">
        <v>12971</v>
      </c>
      <c r="U6989" s="1" t="str">
        <f>HYPERLINK("http://ictvonline.org/taxonomy/p/taxonomy-history?taxnode_id=202111410","ICTVonline=202111410")</f>
        <v>ICTVonline=202111410</v>
      </c>
    </row>
    <row r="6990" spans="1:21" x14ac:dyDescent="0.2">
      <c r="A6990" s="3">
        <v>6989</v>
      </c>
      <c r="B6990" s="1" t="s">
        <v>4226</v>
      </c>
      <c r="D6990" s="1" t="s">
        <v>5412</v>
      </c>
      <c r="F6990" s="1" t="s">
        <v>5466</v>
      </c>
      <c r="H6990" s="1" t="s">
        <v>6729</v>
      </c>
      <c r="J6990" s="1" t="s">
        <v>7432</v>
      </c>
      <c r="L6990" s="1" t="s">
        <v>7500</v>
      </c>
      <c r="N6990" s="1" t="s">
        <v>7912</v>
      </c>
      <c r="P6990" s="1" t="s">
        <v>7925</v>
      </c>
      <c r="Q6990" s="30" t="s">
        <v>2567</v>
      </c>
      <c r="R6990" s="33" t="s">
        <v>3472</v>
      </c>
      <c r="S6990">
        <v>36</v>
      </c>
      <c r="T6990" s="1" t="s">
        <v>12971</v>
      </c>
      <c r="U6990" s="1" t="str">
        <f>HYPERLINK("http://ictvonline.org/taxonomy/p/taxonomy-history?taxnode_id=202111394","ICTVonline=202111394")</f>
        <v>ICTVonline=202111394</v>
      </c>
    </row>
    <row r="6991" spans="1:21" x14ac:dyDescent="0.2">
      <c r="A6991" s="3">
        <v>6990</v>
      </c>
      <c r="B6991" s="1" t="s">
        <v>4226</v>
      </c>
      <c r="D6991" s="1" t="s">
        <v>5412</v>
      </c>
      <c r="F6991" s="1" t="s">
        <v>5466</v>
      </c>
      <c r="H6991" s="1" t="s">
        <v>6729</v>
      </c>
      <c r="J6991" s="1" t="s">
        <v>7432</v>
      </c>
      <c r="L6991" s="1" t="s">
        <v>7500</v>
      </c>
      <c r="N6991" s="1" t="s">
        <v>7912</v>
      </c>
      <c r="P6991" s="1" t="s">
        <v>7926</v>
      </c>
      <c r="Q6991" s="30" t="s">
        <v>2567</v>
      </c>
      <c r="R6991" s="33" t="s">
        <v>3472</v>
      </c>
      <c r="S6991">
        <v>36</v>
      </c>
      <c r="T6991" s="1" t="s">
        <v>12971</v>
      </c>
      <c r="U6991" s="1" t="str">
        <f>HYPERLINK("http://ictvonline.org/taxonomy/p/taxonomy-history?taxnode_id=202111393","ICTVonline=202111393")</f>
        <v>ICTVonline=202111393</v>
      </c>
    </row>
    <row r="6992" spans="1:21" x14ac:dyDescent="0.2">
      <c r="A6992" s="3">
        <v>6991</v>
      </c>
      <c r="B6992" s="1" t="s">
        <v>4226</v>
      </c>
      <c r="D6992" s="1" t="s">
        <v>5412</v>
      </c>
      <c r="F6992" s="1" t="s">
        <v>5466</v>
      </c>
      <c r="H6992" s="1" t="s">
        <v>6729</v>
      </c>
      <c r="J6992" s="1" t="s">
        <v>7432</v>
      </c>
      <c r="L6992" s="1" t="s">
        <v>7500</v>
      </c>
      <c r="N6992" s="1" t="s">
        <v>7912</v>
      </c>
      <c r="P6992" s="1" t="s">
        <v>7927</v>
      </c>
      <c r="Q6992" s="30" t="s">
        <v>2567</v>
      </c>
      <c r="R6992" s="33" t="s">
        <v>3472</v>
      </c>
      <c r="S6992">
        <v>36</v>
      </c>
      <c r="T6992" s="1" t="s">
        <v>12971</v>
      </c>
      <c r="U6992" s="1" t="str">
        <f>HYPERLINK("http://ictvonline.org/taxonomy/p/taxonomy-history?taxnode_id=202111395","ICTVonline=202111395")</f>
        <v>ICTVonline=202111395</v>
      </c>
    </row>
    <row r="6993" spans="1:21" x14ac:dyDescent="0.2">
      <c r="A6993" s="3">
        <v>6992</v>
      </c>
      <c r="B6993" s="1" t="s">
        <v>4226</v>
      </c>
      <c r="D6993" s="1" t="s">
        <v>5412</v>
      </c>
      <c r="F6993" s="1" t="s">
        <v>5466</v>
      </c>
      <c r="H6993" s="1" t="s">
        <v>6729</v>
      </c>
      <c r="J6993" s="1" t="s">
        <v>7432</v>
      </c>
      <c r="L6993" s="1" t="s">
        <v>7500</v>
      </c>
      <c r="N6993" s="1" t="s">
        <v>7912</v>
      </c>
      <c r="P6993" s="1" t="s">
        <v>7928</v>
      </c>
      <c r="Q6993" s="30" t="s">
        <v>2567</v>
      </c>
      <c r="R6993" s="33" t="s">
        <v>3472</v>
      </c>
      <c r="S6993">
        <v>36</v>
      </c>
      <c r="T6993" s="1" t="s">
        <v>12971</v>
      </c>
      <c r="U6993" s="1" t="str">
        <f>HYPERLINK("http://ictvonline.org/taxonomy/p/taxonomy-history?taxnode_id=202111396","ICTVonline=202111396")</f>
        <v>ICTVonline=202111396</v>
      </c>
    </row>
    <row r="6994" spans="1:21" x14ac:dyDescent="0.2">
      <c r="A6994" s="3">
        <v>6993</v>
      </c>
      <c r="B6994" s="1" t="s">
        <v>4226</v>
      </c>
      <c r="D6994" s="1" t="s">
        <v>5412</v>
      </c>
      <c r="F6994" s="1" t="s">
        <v>5466</v>
      </c>
      <c r="H6994" s="1" t="s">
        <v>6729</v>
      </c>
      <c r="J6994" s="1" t="s">
        <v>7432</v>
      </c>
      <c r="L6994" s="1" t="s">
        <v>7500</v>
      </c>
      <c r="N6994" s="1" t="s">
        <v>7912</v>
      </c>
      <c r="P6994" s="1" t="s">
        <v>7929</v>
      </c>
      <c r="Q6994" s="30" t="s">
        <v>2567</v>
      </c>
      <c r="R6994" s="33" t="s">
        <v>3472</v>
      </c>
      <c r="S6994">
        <v>36</v>
      </c>
      <c r="T6994" s="1" t="s">
        <v>12971</v>
      </c>
      <c r="U6994" s="1" t="str">
        <f>HYPERLINK("http://ictvonline.org/taxonomy/p/taxonomy-history?taxnode_id=202111397","ICTVonline=202111397")</f>
        <v>ICTVonline=202111397</v>
      </c>
    </row>
    <row r="6995" spans="1:21" x14ac:dyDescent="0.2">
      <c r="A6995" s="3">
        <v>6994</v>
      </c>
      <c r="B6995" s="1" t="s">
        <v>4226</v>
      </c>
      <c r="D6995" s="1" t="s">
        <v>5412</v>
      </c>
      <c r="F6995" s="1" t="s">
        <v>5466</v>
      </c>
      <c r="H6995" s="1" t="s">
        <v>6729</v>
      </c>
      <c r="J6995" s="1" t="s">
        <v>7432</v>
      </c>
      <c r="L6995" s="1" t="s">
        <v>7500</v>
      </c>
      <c r="N6995" s="1" t="s">
        <v>7912</v>
      </c>
      <c r="P6995" s="1" t="s">
        <v>7930</v>
      </c>
      <c r="Q6995" s="30" t="s">
        <v>2567</v>
      </c>
      <c r="R6995" s="33" t="s">
        <v>3472</v>
      </c>
      <c r="S6995">
        <v>36</v>
      </c>
      <c r="T6995" s="1" t="s">
        <v>12971</v>
      </c>
      <c r="U6995" s="1" t="str">
        <f>HYPERLINK("http://ictvonline.org/taxonomy/p/taxonomy-history?taxnode_id=202111398","ICTVonline=202111398")</f>
        <v>ICTVonline=202111398</v>
      </c>
    </row>
    <row r="6996" spans="1:21" x14ac:dyDescent="0.2">
      <c r="A6996" s="3">
        <v>6995</v>
      </c>
      <c r="B6996" s="1" t="s">
        <v>4226</v>
      </c>
      <c r="D6996" s="1" t="s">
        <v>5412</v>
      </c>
      <c r="F6996" s="1" t="s">
        <v>5466</v>
      </c>
      <c r="H6996" s="1" t="s">
        <v>6729</v>
      </c>
      <c r="J6996" s="1" t="s">
        <v>7432</v>
      </c>
      <c r="L6996" s="1" t="s">
        <v>7500</v>
      </c>
      <c r="N6996" s="1" t="s">
        <v>7912</v>
      </c>
      <c r="P6996" s="1" t="s">
        <v>7931</v>
      </c>
      <c r="Q6996" s="30" t="s">
        <v>2567</v>
      </c>
      <c r="R6996" s="33" t="s">
        <v>3472</v>
      </c>
      <c r="S6996">
        <v>36</v>
      </c>
      <c r="T6996" s="1" t="s">
        <v>12971</v>
      </c>
      <c r="U6996" s="1" t="str">
        <f>HYPERLINK("http://ictvonline.org/taxonomy/p/taxonomy-history?taxnode_id=202111411","ICTVonline=202111411")</f>
        <v>ICTVonline=202111411</v>
      </c>
    </row>
    <row r="6997" spans="1:21" x14ac:dyDescent="0.2">
      <c r="A6997" s="3">
        <v>6996</v>
      </c>
      <c r="B6997" s="1" t="s">
        <v>4226</v>
      </c>
      <c r="D6997" s="1" t="s">
        <v>5412</v>
      </c>
      <c r="F6997" s="1" t="s">
        <v>5466</v>
      </c>
      <c r="H6997" s="1" t="s">
        <v>6729</v>
      </c>
      <c r="J6997" s="1" t="s">
        <v>7432</v>
      </c>
      <c r="L6997" s="1" t="s">
        <v>7500</v>
      </c>
      <c r="N6997" s="1" t="s">
        <v>7932</v>
      </c>
      <c r="P6997" s="1" t="s">
        <v>7933</v>
      </c>
      <c r="Q6997" s="30" t="s">
        <v>2567</v>
      </c>
      <c r="R6997" s="33" t="s">
        <v>3472</v>
      </c>
      <c r="S6997">
        <v>36</v>
      </c>
      <c r="T6997" s="1" t="s">
        <v>12971</v>
      </c>
      <c r="U6997" s="1" t="str">
        <f>HYPERLINK("http://ictvonline.org/taxonomy/p/taxonomy-history?taxnode_id=202111413","ICTVonline=202111413")</f>
        <v>ICTVonline=202111413</v>
      </c>
    </row>
    <row r="6998" spans="1:21" x14ac:dyDescent="0.2">
      <c r="A6998" s="3">
        <v>6997</v>
      </c>
      <c r="B6998" s="1" t="s">
        <v>4226</v>
      </c>
      <c r="D6998" s="1" t="s">
        <v>5412</v>
      </c>
      <c r="F6998" s="1" t="s">
        <v>5466</v>
      </c>
      <c r="H6998" s="1" t="s">
        <v>6729</v>
      </c>
      <c r="J6998" s="1" t="s">
        <v>7432</v>
      </c>
      <c r="L6998" s="1" t="s">
        <v>7500</v>
      </c>
      <c r="N6998" s="1" t="s">
        <v>7934</v>
      </c>
      <c r="P6998" s="1" t="s">
        <v>7935</v>
      </c>
      <c r="Q6998" s="30" t="s">
        <v>2567</v>
      </c>
      <c r="R6998" s="33" t="s">
        <v>3472</v>
      </c>
      <c r="S6998">
        <v>36</v>
      </c>
      <c r="T6998" s="1" t="s">
        <v>12971</v>
      </c>
      <c r="U6998" s="1" t="str">
        <f>HYPERLINK("http://ictvonline.org/taxonomy/p/taxonomy-history?taxnode_id=202111416","ICTVonline=202111416")</f>
        <v>ICTVonline=202111416</v>
      </c>
    </row>
    <row r="6999" spans="1:21" x14ac:dyDescent="0.2">
      <c r="A6999" s="3">
        <v>6998</v>
      </c>
      <c r="B6999" s="1" t="s">
        <v>4226</v>
      </c>
      <c r="D6999" s="1" t="s">
        <v>5412</v>
      </c>
      <c r="F6999" s="1" t="s">
        <v>5466</v>
      </c>
      <c r="H6999" s="1" t="s">
        <v>6729</v>
      </c>
      <c r="J6999" s="1" t="s">
        <v>7432</v>
      </c>
      <c r="L6999" s="1" t="s">
        <v>7500</v>
      </c>
      <c r="N6999" s="1" t="s">
        <v>7934</v>
      </c>
      <c r="P6999" s="1" t="s">
        <v>7936</v>
      </c>
      <c r="Q6999" s="30" t="s">
        <v>2567</v>
      </c>
      <c r="R6999" s="33" t="s">
        <v>3472</v>
      </c>
      <c r="S6999">
        <v>36</v>
      </c>
      <c r="T6999" s="1" t="s">
        <v>12971</v>
      </c>
      <c r="U6999" s="1" t="str">
        <f>HYPERLINK("http://ictvonline.org/taxonomy/p/taxonomy-history?taxnode_id=202111415","ICTVonline=202111415")</f>
        <v>ICTVonline=202111415</v>
      </c>
    </row>
    <row r="7000" spans="1:21" x14ac:dyDescent="0.2">
      <c r="A7000" s="3">
        <v>6999</v>
      </c>
      <c r="B7000" s="1" t="s">
        <v>4226</v>
      </c>
      <c r="D7000" s="1" t="s">
        <v>5412</v>
      </c>
      <c r="F7000" s="1" t="s">
        <v>5466</v>
      </c>
      <c r="H7000" s="1" t="s">
        <v>6729</v>
      </c>
      <c r="J7000" s="1" t="s">
        <v>7432</v>
      </c>
      <c r="L7000" s="1" t="s">
        <v>7500</v>
      </c>
      <c r="N7000" s="1" t="s">
        <v>7937</v>
      </c>
      <c r="P7000" s="1" t="s">
        <v>7938</v>
      </c>
      <c r="Q7000" s="30" t="s">
        <v>2567</v>
      </c>
      <c r="R7000" s="33" t="s">
        <v>3472</v>
      </c>
      <c r="S7000">
        <v>36</v>
      </c>
      <c r="T7000" s="1" t="s">
        <v>12971</v>
      </c>
      <c r="U7000" s="1" t="str">
        <f>HYPERLINK("http://ictvonline.org/taxonomy/p/taxonomy-history?taxnode_id=202111418","ICTVonline=202111418")</f>
        <v>ICTVonline=202111418</v>
      </c>
    </row>
    <row r="7001" spans="1:21" x14ac:dyDescent="0.2">
      <c r="A7001" s="3">
        <v>7000</v>
      </c>
      <c r="B7001" s="1" t="s">
        <v>4226</v>
      </c>
      <c r="D7001" s="1" t="s">
        <v>5412</v>
      </c>
      <c r="F7001" s="1" t="s">
        <v>5466</v>
      </c>
      <c r="H7001" s="1" t="s">
        <v>6729</v>
      </c>
      <c r="J7001" s="1" t="s">
        <v>7432</v>
      </c>
      <c r="L7001" s="1" t="s">
        <v>7500</v>
      </c>
      <c r="N7001" s="1" t="s">
        <v>7939</v>
      </c>
      <c r="P7001" s="1" t="s">
        <v>7940</v>
      </c>
      <c r="Q7001" s="30" t="s">
        <v>2567</v>
      </c>
      <c r="R7001" s="33" t="s">
        <v>3472</v>
      </c>
      <c r="S7001">
        <v>36</v>
      </c>
      <c r="T7001" s="1" t="s">
        <v>12971</v>
      </c>
      <c r="U7001" s="1" t="str">
        <f>HYPERLINK("http://ictvonline.org/taxonomy/p/taxonomy-history?taxnode_id=202111421","ICTVonline=202111421")</f>
        <v>ICTVonline=202111421</v>
      </c>
    </row>
    <row r="7002" spans="1:21" x14ac:dyDescent="0.2">
      <c r="A7002" s="3">
        <v>7001</v>
      </c>
      <c r="B7002" s="1" t="s">
        <v>4226</v>
      </c>
      <c r="D7002" s="1" t="s">
        <v>5412</v>
      </c>
      <c r="F7002" s="1" t="s">
        <v>5466</v>
      </c>
      <c r="H7002" s="1" t="s">
        <v>6729</v>
      </c>
      <c r="J7002" s="1" t="s">
        <v>7432</v>
      </c>
      <c r="L7002" s="1" t="s">
        <v>7500</v>
      </c>
      <c r="N7002" s="1" t="s">
        <v>7939</v>
      </c>
      <c r="P7002" s="1" t="s">
        <v>7941</v>
      </c>
      <c r="Q7002" s="30" t="s">
        <v>2567</v>
      </c>
      <c r="R7002" s="33" t="s">
        <v>3472</v>
      </c>
      <c r="S7002">
        <v>36</v>
      </c>
      <c r="T7002" s="1" t="s">
        <v>12971</v>
      </c>
      <c r="U7002" s="1" t="str">
        <f>HYPERLINK("http://ictvonline.org/taxonomy/p/taxonomy-history?taxnode_id=202111420","ICTVonline=202111420")</f>
        <v>ICTVonline=202111420</v>
      </c>
    </row>
    <row r="7003" spans="1:21" x14ac:dyDescent="0.2">
      <c r="A7003" s="3">
        <v>7002</v>
      </c>
      <c r="B7003" s="1" t="s">
        <v>4226</v>
      </c>
      <c r="D7003" s="1" t="s">
        <v>5412</v>
      </c>
      <c r="F7003" s="1" t="s">
        <v>5466</v>
      </c>
      <c r="H7003" s="1" t="s">
        <v>6729</v>
      </c>
      <c r="J7003" s="1" t="s">
        <v>7432</v>
      </c>
      <c r="L7003" s="1" t="s">
        <v>7500</v>
      </c>
      <c r="N7003" s="1" t="s">
        <v>7942</v>
      </c>
      <c r="P7003" s="1" t="s">
        <v>7943</v>
      </c>
      <c r="Q7003" s="30" t="s">
        <v>2567</v>
      </c>
      <c r="R7003" s="33" t="s">
        <v>3472</v>
      </c>
      <c r="S7003">
        <v>36</v>
      </c>
      <c r="T7003" s="1" t="s">
        <v>12971</v>
      </c>
      <c r="U7003" s="1" t="str">
        <f>HYPERLINK("http://ictvonline.org/taxonomy/p/taxonomy-history?taxnode_id=202111423","ICTVonline=202111423")</f>
        <v>ICTVonline=202111423</v>
      </c>
    </row>
    <row r="7004" spans="1:21" x14ac:dyDescent="0.2">
      <c r="A7004" s="3">
        <v>7003</v>
      </c>
      <c r="B7004" s="1" t="s">
        <v>4226</v>
      </c>
      <c r="D7004" s="1" t="s">
        <v>5412</v>
      </c>
      <c r="F7004" s="1" t="s">
        <v>5466</v>
      </c>
      <c r="H7004" s="1" t="s">
        <v>6729</v>
      </c>
      <c r="J7004" s="1" t="s">
        <v>7432</v>
      </c>
      <c r="L7004" s="1" t="s">
        <v>7500</v>
      </c>
      <c r="N7004" s="1" t="s">
        <v>7944</v>
      </c>
      <c r="P7004" s="1" t="s">
        <v>7945</v>
      </c>
      <c r="Q7004" s="30" t="s">
        <v>2567</v>
      </c>
      <c r="R7004" s="33" t="s">
        <v>3472</v>
      </c>
      <c r="S7004">
        <v>36</v>
      </c>
      <c r="T7004" s="1" t="s">
        <v>12971</v>
      </c>
      <c r="U7004" s="1" t="str">
        <f>HYPERLINK("http://ictvonline.org/taxonomy/p/taxonomy-history?taxnode_id=202111425","ICTVonline=202111425")</f>
        <v>ICTVonline=202111425</v>
      </c>
    </row>
    <row r="7005" spans="1:21" x14ac:dyDescent="0.2">
      <c r="A7005" s="3">
        <v>7004</v>
      </c>
      <c r="B7005" s="1" t="s">
        <v>4226</v>
      </c>
      <c r="D7005" s="1" t="s">
        <v>5412</v>
      </c>
      <c r="F7005" s="1" t="s">
        <v>5466</v>
      </c>
      <c r="H7005" s="1" t="s">
        <v>6729</v>
      </c>
      <c r="J7005" s="1" t="s">
        <v>7432</v>
      </c>
      <c r="L7005" s="1" t="s">
        <v>7500</v>
      </c>
      <c r="N7005" s="1" t="s">
        <v>7946</v>
      </c>
      <c r="P7005" s="1" t="s">
        <v>7947</v>
      </c>
      <c r="Q7005" s="30" t="s">
        <v>2567</v>
      </c>
      <c r="R7005" s="33" t="s">
        <v>3472</v>
      </c>
      <c r="S7005">
        <v>36</v>
      </c>
      <c r="T7005" s="1" t="s">
        <v>12971</v>
      </c>
      <c r="U7005" s="1" t="str">
        <f>HYPERLINK("http://ictvonline.org/taxonomy/p/taxonomy-history?taxnode_id=202111427","ICTVonline=202111427")</f>
        <v>ICTVonline=202111427</v>
      </c>
    </row>
    <row r="7006" spans="1:21" x14ac:dyDescent="0.2">
      <c r="A7006" s="3">
        <v>7005</v>
      </c>
      <c r="B7006" s="1" t="s">
        <v>4226</v>
      </c>
      <c r="D7006" s="1" t="s">
        <v>5412</v>
      </c>
      <c r="F7006" s="1" t="s">
        <v>5466</v>
      </c>
      <c r="H7006" s="1" t="s">
        <v>6729</v>
      </c>
      <c r="J7006" s="1" t="s">
        <v>7432</v>
      </c>
      <c r="L7006" s="1" t="s">
        <v>7500</v>
      </c>
      <c r="N7006" s="1" t="s">
        <v>7948</v>
      </c>
      <c r="P7006" s="1" t="s">
        <v>7949</v>
      </c>
      <c r="Q7006" s="30" t="s">
        <v>2567</v>
      </c>
      <c r="R7006" s="33" t="s">
        <v>3472</v>
      </c>
      <c r="S7006">
        <v>36</v>
      </c>
      <c r="T7006" s="1" t="s">
        <v>12971</v>
      </c>
      <c r="U7006" s="1" t="str">
        <f>HYPERLINK("http://ictvonline.org/taxonomy/p/taxonomy-history?taxnode_id=202111429","ICTVonline=202111429")</f>
        <v>ICTVonline=202111429</v>
      </c>
    </row>
    <row r="7007" spans="1:21" x14ac:dyDescent="0.2">
      <c r="A7007" s="3">
        <v>7006</v>
      </c>
      <c r="B7007" s="1" t="s">
        <v>4226</v>
      </c>
      <c r="D7007" s="1" t="s">
        <v>5412</v>
      </c>
      <c r="F7007" s="1" t="s">
        <v>5466</v>
      </c>
      <c r="H7007" s="1" t="s">
        <v>6729</v>
      </c>
      <c r="J7007" s="1" t="s">
        <v>7432</v>
      </c>
      <c r="L7007" s="1" t="s">
        <v>7500</v>
      </c>
      <c r="N7007" s="1" t="s">
        <v>7948</v>
      </c>
      <c r="P7007" s="1" t="s">
        <v>7950</v>
      </c>
      <c r="Q7007" s="30" t="s">
        <v>2567</v>
      </c>
      <c r="R7007" s="33" t="s">
        <v>3472</v>
      </c>
      <c r="S7007">
        <v>36</v>
      </c>
      <c r="T7007" s="1" t="s">
        <v>12971</v>
      </c>
      <c r="U7007" s="1" t="str">
        <f>HYPERLINK("http://ictvonline.org/taxonomy/p/taxonomy-history?taxnode_id=202111430","ICTVonline=202111430")</f>
        <v>ICTVonline=202111430</v>
      </c>
    </row>
    <row r="7008" spans="1:21" x14ac:dyDescent="0.2">
      <c r="A7008" s="3">
        <v>7007</v>
      </c>
      <c r="B7008" s="1" t="s">
        <v>4226</v>
      </c>
      <c r="D7008" s="1" t="s">
        <v>5412</v>
      </c>
      <c r="F7008" s="1" t="s">
        <v>5466</v>
      </c>
      <c r="H7008" s="1" t="s">
        <v>6729</v>
      </c>
      <c r="J7008" s="1" t="s">
        <v>7432</v>
      </c>
      <c r="L7008" s="1" t="s">
        <v>7500</v>
      </c>
      <c r="N7008" s="1" t="s">
        <v>7948</v>
      </c>
      <c r="P7008" s="1" t="s">
        <v>7951</v>
      </c>
      <c r="Q7008" s="30" t="s">
        <v>2567</v>
      </c>
      <c r="R7008" s="33" t="s">
        <v>3472</v>
      </c>
      <c r="S7008">
        <v>36</v>
      </c>
      <c r="T7008" s="1" t="s">
        <v>12971</v>
      </c>
      <c r="U7008" s="1" t="str">
        <f>HYPERLINK("http://ictvonline.org/taxonomy/p/taxonomy-history?taxnode_id=202111432","ICTVonline=202111432")</f>
        <v>ICTVonline=202111432</v>
      </c>
    </row>
    <row r="7009" spans="1:21" x14ac:dyDescent="0.2">
      <c r="A7009" s="3">
        <v>7008</v>
      </c>
      <c r="B7009" s="1" t="s">
        <v>4226</v>
      </c>
      <c r="D7009" s="1" t="s">
        <v>5412</v>
      </c>
      <c r="F7009" s="1" t="s">
        <v>5466</v>
      </c>
      <c r="H7009" s="1" t="s">
        <v>6729</v>
      </c>
      <c r="J7009" s="1" t="s">
        <v>7432</v>
      </c>
      <c r="L7009" s="1" t="s">
        <v>7500</v>
      </c>
      <c r="N7009" s="1" t="s">
        <v>7948</v>
      </c>
      <c r="P7009" s="1" t="s">
        <v>7952</v>
      </c>
      <c r="Q7009" s="30" t="s">
        <v>2567</v>
      </c>
      <c r="R7009" s="33" t="s">
        <v>3472</v>
      </c>
      <c r="S7009">
        <v>36</v>
      </c>
      <c r="T7009" s="1" t="s">
        <v>12971</v>
      </c>
      <c r="U7009" s="1" t="str">
        <f>HYPERLINK("http://ictvonline.org/taxonomy/p/taxonomy-history?taxnode_id=202111431","ICTVonline=202111431")</f>
        <v>ICTVonline=202111431</v>
      </c>
    </row>
    <row r="7010" spans="1:21" x14ac:dyDescent="0.2">
      <c r="A7010" s="3">
        <v>7009</v>
      </c>
      <c r="B7010" s="1" t="s">
        <v>4226</v>
      </c>
      <c r="D7010" s="1" t="s">
        <v>5412</v>
      </c>
      <c r="F7010" s="1" t="s">
        <v>5466</v>
      </c>
      <c r="H7010" s="1" t="s">
        <v>6729</v>
      </c>
      <c r="J7010" s="1" t="s">
        <v>7432</v>
      </c>
      <c r="L7010" s="1" t="s">
        <v>7500</v>
      </c>
      <c r="N7010" s="1" t="s">
        <v>7953</v>
      </c>
      <c r="P7010" s="1" t="s">
        <v>7954</v>
      </c>
      <c r="Q7010" s="30" t="s">
        <v>2567</v>
      </c>
      <c r="R7010" s="33" t="s">
        <v>3472</v>
      </c>
      <c r="S7010">
        <v>36</v>
      </c>
      <c r="T7010" s="1" t="s">
        <v>12971</v>
      </c>
      <c r="U7010" s="1" t="str">
        <f>HYPERLINK("http://ictvonline.org/taxonomy/p/taxonomy-history?taxnode_id=202111434","ICTVonline=202111434")</f>
        <v>ICTVonline=202111434</v>
      </c>
    </row>
    <row r="7011" spans="1:21" x14ac:dyDescent="0.2">
      <c r="A7011" s="3">
        <v>7010</v>
      </c>
      <c r="B7011" s="1" t="s">
        <v>4226</v>
      </c>
      <c r="D7011" s="1" t="s">
        <v>5412</v>
      </c>
      <c r="F7011" s="1" t="s">
        <v>5466</v>
      </c>
      <c r="H7011" s="1" t="s">
        <v>6729</v>
      </c>
      <c r="J7011" s="1" t="s">
        <v>7432</v>
      </c>
      <c r="L7011" s="1" t="s">
        <v>7500</v>
      </c>
      <c r="N7011" s="1" t="s">
        <v>7953</v>
      </c>
      <c r="P7011" s="1" t="s">
        <v>7955</v>
      </c>
      <c r="Q7011" s="30" t="s">
        <v>2567</v>
      </c>
      <c r="R7011" s="33" t="s">
        <v>3472</v>
      </c>
      <c r="S7011">
        <v>36</v>
      </c>
      <c r="T7011" s="1" t="s">
        <v>12971</v>
      </c>
      <c r="U7011" s="1" t="str">
        <f>HYPERLINK("http://ictvonline.org/taxonomy/p/taxonomy-history?taxnode_id=202111435","ICTVonline=202111435")</f>
        <v>ICTVonline=202111435</v>
      </c>
    </row>
    <row r="7012" spans="1:21" x14ac:dyDescent="0.2">
      <c r="A7012" s="3">
        <v>7011</v>
      </c>
      <c r="B7012" s="1" t="s">
        <v>4226</v>
      </c>
      <c r="D7012" s="1" t="s">
        <v>5412</v>
      </c>
      <c r="F7012" s="1" t="s">
        <v>5466</v>
      </c>
      <c r="H7012" s="1" t="s">
        <v>6729</v>
      </c>
      <c r="J7012" s="1" t="s">
        <v>7432</v>
      </c>
      <c r="L7012" s="1" t="s">
        <v>7500</v>
      </c>
      <c r="N7012" s="1" t="s">
        <v>7956</v>
      </c>
      <c r="P7012" s="1" t="s">
        <v>7957</v>
      </c>
      <c r="Q7012" s="30" t="s">
        <v>2567</v>
      </c>
      <c r="R7012" s="33" t="s">
        <v>3472</v>
      </c>
      <c r="S7012">
        <v>36</v>
      </c>
      <c r="T7012" s="1" t="s">
        <v>12971</v>
      </c>
      <c r="U7012" s="1" t="str">
        <f>HYPERLINK("http://ictvonline.org/taxonomy/p/taxonomy-history?taxnode_id=202111438","ICTVonline=202111438")</f>
        <v>ICTVonline=202111438</v>
      </c>
    </row>
    <row r="7013" spans="1:21" x14ac:dyDescent="0.2">
      <c r="A7013" s="3">
        <v>7012</v>
      </c>
      <c r="B7013" s="1" t="s">
        <v>4226</v>
      </c>
      <c r="D7013" s="1" t="s">
        <v>5412</v>
      </c>
      <c r="F7013" s="1" t="s">
        <v>5466</v>
      </c>
      <c r="H7013" s="1" t="s">
        <v>6729</v>
      </c>
      <c r="J7013" s="1" t="s">
        <v>7432</v>
      </c>
      <c r="L7013" s="1" t="s">
        <v>7500</v>
      </c>
      <c r="N7013" s="1" t="s">
        <v>7956</v>
      </c>
      <c r="P7013" s="1" t="s">
        <v>7958</v>
      </c>
      <c r="Q7013" s="30" t="s">
        <v>2567</v>
      </c>
      <c r="R7013" s="33" t="s">
        <v>3472</v>
      </c>
      <c r="S7013">
        <v>36</v>
      </c>
      <c r="T7013" s="1" t="s">
        <v>12971</v>
      </c>
      <c r="U7013" s="1" t="str">
        <f>HYPERLINK("http://ictvonline.org/taxonomy/p/taxonomy-history?taxnode_id=202111437","ICTVonline=202111437")</f>
        <v>ICTVonline=202111437</v>
      </c>
    </row>
    <row r="7014" spans="1:21" x14ac:dyDescent="0.2">
      <c r="A7014" s="3">
        <v>7013</v>
      </c>
      <c r="B7014" s="1" t="s">
        <v>4226</v>
      </c>
      <c r="D7014" s="1" t="s">
        <v>5412</v>
      </c>
      <c r="F7014" s="1" t="s">
        <v>5466</v>
      </c>
      <c r="H7014" s="1" t="s">
        <v>6729</v>
      </c>
      <c r="J7014" s="1" t="s">
        <v>7432</v>
      </c>
      <c r="L7014" s="1" t="s">
        <v>7500</v>
      </c>
      <c r="N7014" s="1" t="s">
        <v>7959</v>
      </c>
      <c r="P7014" s="1" t="s">
        <v>7960</v>
      </c>
      <c r="Q7014" s="30" t="s">
        <v>2567</v>
      </c>
      <c r="R7014" s="33" t="s">
        <v>3472</v>
      </c>
      <c r="S7014">
        <v>36</v>
      </c>
      <c r="T7014" s="1" t="s">
        <v>12971</v>
      </c>
      <c r="U7014" s="1" t="str">
        <f>HYPERLINK("http://ictvonline.org/taxonomy/p/taxonomy-history?taxnode_id=202111440","ICTVonline=202111440")</f>
        <v>ICTVonline=202111440</v>
      </c>
    </row>
    <row r="7015" spans="1:21" x14ac:dyDescent="0.2">
      <c r="A7015" s="3">
        <v>7014</v>
      </c>
      <c r="B7015" s="1" t="s">
        <v>4226</v>
      </c>
      <c r="D7015" s="1" t="s">
        <v>5412</v>
      </c>
      <c r="F7015" s="1" t="s">
        <v>5466</v>
      </c>
      <c r="H7015" s="1" t="s">
        <v>6729</v>
      </c>
      <c r="J7015" s="1" t="s">
        <v>7432</v>
      </c>
      <c r="L7015" s="1" t="s">
        <v>7500</v>
      </c>
      <c r="N7015" s="1" t="s">
        <v>7961</v>
      </c>
      <c r="P7015" s="1" t="s">
        <v>7962</v>
      </c>
      <c r="Q7015" s="30" t="s">
        <v>2567</v>
      </c>
      <c r="R7015" s="33" t="s">
        <v>3472</v>
      </c>
      <c r="S7015">
        <v>36</v>
      </c>
      <c r="T7015" s="1" t="s">
        <v>12971</v>
      </c>
      <c r="U7015" s="1" t="str">
        <f>HYPERLINK("http://ictvonline.org/taxonomy/p/taxonomy-history?taxnode_id=202111442","ICTVonline=202111442")</f>
        <v>ICTVonline=202111442</v>
      </c>
    </row>
    <row r="7016" spans="1:21" x14ac:dyDescent="0.2">
      <c r="A7016" s="3">
        <v>7015</v>
      </c>
      <c r="B7016" s="1" t="s">
        <v>4226</v>
      </c>
      <c r="D7016" s="1" t="s">
        <v>5412</v>
      </c>
      <c r="F7016" s="1" t="s">
        <v>5466</v>
      </c>
      <c r="H7016" s="1" t="s">
        <v>6729</v>
      </c>
      <c r="J7016" s="1" t="s">
        <v>7432</v>
      </c>
      <c r="L7016" s="1" t="s">
        <v>7500</v>
      </c>
      <c r="N7016" s="1" t="s">
        <v>7963</v>
      </c>
      <c r="P7016" s="1" t="s">
        <v>7964</v>
      </c>
      <c r="Q7016" s="30" t="s">
        <v>2567</v>
      </c>
      <c r="R7016" s="33" t="s">
        <v>3472</v>
      </c>
      <c r="S7016">
        <v>36</v>
      </c>
      <c r="T7016" s="1" t="s">
        <v>12971</v>
      </c>
      <c r="U7016" s="1" t="str">
        <f>HYPERLINK("http://ictvonline.org/taxonomy/p/taxonomy-history?taxnode_id=202111446","ICTVonline=202111446")</f>
        <v>ICTVonline=202111446</v>
      </c>
    </row>
    <row r="7017" spans="1:21" x14ac:dyDescent="0.2">
      <c r="A7017" s="3">
        <v>7016</v>
      </c>
      <c r="B7017" s="1" t="s">
        <v>4226</v>
      </c>
      <c r="D7017" s="1" t="s">
        <v>5412</v>
      </c>
      <c r="F7017" s="1" t="s">
        <v>5466</v>
      </c>
      <c r="H7017" s="1" t="s">
        <v>6729</v>
      </c>
      <c r="J7017" s="1" t="s">
        <v>7432</v>
      </c>
      <c r="L7017" s="1" t="s">
        <v>7500</v>
      </c>
      <c r="N7017" s="1" t="s">
        <v>7963</v>
      </c>
      <c r="P7017" s="1" t="s">
        <v>7965</v>
      </c>
      <c r="Q7017" s="30" t="s">
        <v>2567</v>
      </c>
      <c r="R7017" s="33" t="s">
        <v>3472</v>
      </c>
      <c r="S7017">
        <v>36</v>
      </c>
      <c r="T7017" s="1" t="s">
        <v>12971</v>
      </c>
      <c r="U7017" s="1" t="str">
        <f>HYPERLINK("http://ictvonline.org/taxonomy/p/taxonomy-history?taxnode_id=202111445","ICTVonline=202111445")</f>
        <v>ICTVonline=202111445</v>
      </c>
    </row>
    <row r="7018" spans="1:21" x14ac:dyDescent="0.2">
      <c r="A7018" s="3">
        <v>7017</v>
      </c>
      <c r="B7018" s="1" t="s">
        <v>4226</v>
      </c>
      <c r="D7018" s="1" t="s">
        <v>5412</v>
      </c>
      <c r="F7018" s="1" t="s">
        <v>5466</v>
      </c>
      <c r="H7018" s="1" t="s">
        <v>6729</v>
      </c>
      <c r="J7018" s="1" t="s">
        <v>7432</v>
      </c>
      <c r="L7018" s="1" t="s">
        <v>7500</v>
      </c>
      <c r="N7018" s="1" t="s">
        <v>7963</v>
      </c>
      <c r="P7018" s="1" t="s">
        <v>7966</v>
      </c>
      <c r="Q7018" s="30" t="s">
        <v>2567</v>
      </c>
      <c r="R7018" s="33" t="s">
        <v>3472</v>
      </c>
      <c r="S7018">
        <v>36</v>
      </c>
      <c r="T7018" s="1" t="s">
        <v>12971</v>
      </c>
      <c r="U7018" s="1" t="str">
        <f>HYPERLINK("http://ictvonline.org/taxonomy/p/taxonomy-history?taxnode_id=202111444","ICTVonline=202111444")</f>
        <v>ICTVonline=202111444</v>
      </c>
    </row>
    <row r="7019" spans="1:21" x14ac:dyDescent="0.2">
      <c r="A7019" s="3">
        <v>7018</v>
      </c>
      <c r="B7019" s="1" t="s">
        <v>4226</v>
      </c>
      <c r="D7019" s="1" t="s">
        <v>5412</v>
      </c>
      <c r="F7019" s="1" t="s">
        <v>5466</v>
      </c>
      <c r="H7019" s="1" t="s">
        <v>6729</v>
      </c>
      <c r="J7019" s="1" t="s">
        <v>7432</v>
      </c>
      <c r="L7019" s="1" t="s">
        <v>7500</v>
      </c>
      <c r="N7019" s="1" t="s">
        <v>7963</v>
      </c>
      <c r="P7019" s="1" t="s">
        <v>7967</v>
      </c>
      <c r="Q7019" s="30" t="s">
        <v>2567</v>
      </c>
      <c r="R7019" s="33" t="s">
        <v>3472</v>
      </c>
      <c r="S7019">
        <v>36</v>
      </c>
      <c r="T7019" s="1" t="s">
        <v>12971</v>
      </c>
      <c r="U7019" s="1" t="str">
        <f>HYPERLINK("http://ictvonline.org/taxonomy/p/taxonomy-history?taxnode_id=202111447","ICTVonline=202111447")</f>
        <v>ICTVonline=202111447</v>
      </c>
    </row>
    <row r="7020" spans="1:21" x14ac:dyDescent="0.2">
      <c r="A7020" s="3">
        <v>7019</v>
      </c>
      <c r="B7020" s="1" t="s">
        <v>4226</v>
      </c>
      <c r="D7020" s="1" t="s">
        <v>5412</v>
      </c>
      <c r="F7020" s="1" t="s">
        <v>5466</v>
      </c>
      <c r="H7020" s="1" t="s">
        <v>6729</v>
      </c>
      <c r="J7020" s="1" t="s">
        <v>7432</v>
      </c>
      <c r="L7020" s="1" t="s">
        <v>7500</v>
      </c>
      <c r="N7020" s="1" t="s">
        <v>7968</v>
      </c>
      <c r="P7020" s="1" t="s">
        <v>7969</v>
      </c>
      <c r="Q7020" s="30" t="s">
        <v>2567</v>
      </c>
      <c r="R7020" s="33" t="s">
        <v>3472</v>
      </c>
      <c r="S7020">
        <v>36</v>
      </c>
      <c r="T7020" s="1" t="s">
        <v>12971</v>
      </c>
      <c r="U7020" s="1" t="str">
        <f>HYPERLINK("http://ictvonline.org/taxonomy/p/taxonomy-history?taxnode_id=202111449","ICTVonline=202111449")</f>
        <v>ICTVonline=202111449</v>
      </c>
    </row>
    <row r="7021" spans="1:21" x14ac:dyDescent="0.2">
      <c r="A7021" s="3">
        <v>7020</v>
      </c>
      <c r="B7021" s="1" t="s">
        <v>4226</v>
      </c>
      <c r="D7021" s="1" t="s">
        <v>5412</v>
      </c>
      <c r="F7021" s="1" t="s">
        <v>5466</v>
      </c>
      <c r="H7021" s="1" t="s">
        <v>6729</v>
      </c>
      <c r="J7021" s="1" t="s">
        <v>7432</v>
      </c>
      <c r="L7021" s="1" t="s">
        <v>7500</v>
      </c>
      <c r="N7021" s="1" t="s">
        <v>7970</v>
      </c>
      <c r="P7021" s="1" t="s">
        <v>7971</v>
      </c>
      <c r="Q7021" s="30" t="s">
        <v>2567</v>
      </c>
      <c r="R7021" s="33" t="s">
        <v>3472</v>
      </c>
      <c r="S7021">
        <v>36</v>
      </c>
      <c r="T7021" s="1" t="s">
        <v>12971</v>
      </c>
      <c r="U7021" s="1" t="str">
        <f>HYPERLINK("http://ictvonline.org/taxonomy/p/taxonomy-history?taxnode_id=202111451","ICTVonline=202111451")</f>
        <v>ICTVonline=202111451</v>
      </c>
    </row>
    <row r="7022" spans="1:21" x14ac:dyDescent="0.2">
      <c r="A7022" s="3">
        <v>7021</v>
      </c>
      <c r="B7022" s="1" t="s">
        <v>4226</v>
      </c>
      <c r="D7022" s="1" t="s">
        <v>5412</v>
      </c>
      <c r="F7022" s="1" t="s">
        <v>5466</v>
      </c>
      <c r="H7022" s="1" t="s">
        <v>6729</v>
      </c>
      <c r="J7022" s="1" t="s">
        <v>7432</v>
      </c>
      <c r="L7022" s="1" t="s">
        <v>7500</v>
      </c>
      <c r="N7022" s="1" t="s">
        <v>7972</v>
      </c>
      <c r="P7022" s="1" t="s">
        <v>7973</v>
      </c>
      <c r="Q7022" s="30" t="s">
        <v>2567</v>
      </c>
      <c r="R7022" s="33" t="s">
        <v>3472</v>
      </c>
      <c r="S7022">
        <v>36</v>
      </c>
      <c r="T7022" s="1" t="s">
        <v>12971</v>
      </c>
      <c r="U7022" s="1" t="str">
        <f>HYPERLINK("http://ictvonline.org/taxonomy/p/taxonomy-history?taxnode_id=202111453","ICTVonline=202111453")</f>
        <v>ICTVonline=202111453</v>
      </c>
    </row>
    <row r="7023" spans="1:21" x14ac:dyDescent="0.2">
      <c r="A7023" s="3">
        <v>7022</v>
      </c>
      <c r="B7023" s="1" t="s">
        <v>4226</v>
      </c>
      <c r="D7023" s="1" t="s">
        <v>5412</v>
      </c>
      <c r="F7023" s="1" t="s">
        <v>5466</v>
      </c>
      <c r="H7023" s="1" t="s">
        <v>6729</v>
      </c>
      <c r="J7023" s="1" t="s">
        <v>7432</v>
      </c>
      <c r="L7023" s="1" t="s">
        <v>7500</v>
      </c>
      <c r="N7023" s="1" t="s">
        <v>7974</v>
      </c>
      <c r="P7023" s="1" t="s">
        <v>7975</v>
      </c>
      <c r="Q7023" s="30" t="s">
        <v>2567</v>
      </c>
      <c r="R7023" s="33" t="s">
        <v>3472</v>
      </c>
      <c r="S7023">
        <v>36</v>
      </c>
      <c r="T7023" s="1" t="s">
        <v>12971</v>
      </c>
      <c r="U7023" s="1" t="str">
        <f>HYPERLINK("http://ictvonline.org/taxonomy/p/taxonomy-history?taxnode_id=202111455","ICTVonline=202111455")</f>
        <v>ICTVonline=202111455</v>
      </c>
    </row>
    <row r="7024" spans="1:21" x14ac:dyDescent="0.2">
      <c r="A7024" s="3">
        <v>7023</v>
      </c>
      <c r="B7024" s="1" t="s">
        <v>4226</v>
      </c>
      <c r="D7024" s="1" t="s">
        <v>5412</v>
      </c>
      <c r="F7024" s="1" t="s">
        <v>5466</v>
      </c>
      <c r="H7024" s="1" t="s">
        <v>6729</v>
      </c>
      <c r="J7024" s="1" t="s">
        <v>7432</v>
      </c>
      <c r="L7024" s="1" t="s">
        <v>7500</v>
      </c>
      <c r="N7024" s="1" t="s">
        <v>7976</v>
      </c>
      <c r="P7024" s="1" t="s">
        <v>7977</v>
      </c>
      <c r="Q7024" s="30" t="s">
        <v>2567</v>
      </c>
      <c r="R7024" s="33" t="s">
        <v>3472</v>
      </c>
      <c r="S7024">
        <v>36</v>
      </c>
      <c r="T7024" s="1" t="s">
        <v>12971</v>
      </c>
      <c r="U7024" s="1" t="str">
        <f>HYPERLINK("http://ictvonline.org/taxonomy/p/taxonomy-history?taxnode_id=202111457","ICTVonline=202111457")</f>
        <v>ICTVonline=202111457</v>
      </c>
    </row>
    <row r="7025" spans="1:21" x14ac:dyDescent="0.2">
      <c r="A7025" s="3">
        <v>7024</v>
      </c>
      <c r="B7025" s="1" t="s">
        <v>4226</v>
      </c>
      <c r="D7025" s="1" t="s">
        <v>5412</v>
      </c>
      <c r="F7025" s="1" t="s">
        <v>5466</v>
      </c>
      <c r="H7025" s="1" t="s">
        <v>6729</v>
      </c>
      <c r="J7025" s="1" t="s">
        <v>7432</v>
      </c>
      <c r="L7025" s="1" t="s">
        <v>7500</v>
      </c>
      <c r="N7025" s="1" t="s">
        <v>7978</v>
      </c>
      <c r="P7025" s="1" t="s">
        <v>7979</v>
      </c>
      <c r="Q7025" s="30" t="s">
        <v>2567</v>
      </c>
      <c r="R7025" s="33" t="s">
        <v>3472</v>
      </c>
      <c r="S7025">
        <v>36</v>
      </c>
      <c r="T7025" s="1" t="s">
        <v>12971</v>
      </c>
      <c r="U7025" s="1" t="str">
        <f>HYPERLINK("http://ictvonline.org/taxonomy/p/taxonomy-history?taxnode_id=202111459","ICTVonline=202111459")</f>
        <v>ICTVonline=202111459</v>
      </c>
    </row>
    <row r="7026" spans="1:21" x14ac:dyDescent="0.2">
      <c r="A7026" s="3">
        <v>7025</v>
      </c>
      <c r="B7026" s="1" t="s">
        <v>4226</v>
      </c>
      <c r="D7026" s="1" t="s">
        <v>5412</v>
      </c>
      <c r="F7026" s="1" t="s">
        <v>5466</v>
      </c>
      <c r="H7026" s="1" t="s">
        <v>6729</v>
      </c>
      <c r="J7026" s="1" t="s">
        <v>7432</v>
      </c>
      <c r="L7026" s="1" t="s">
        <v>7500</v>
      </c>
      <c r="N7026" s="1" t="s">
        <v>7980</v>
      </c>
      <c r="P7026" s="1" t="s">
        <v>7981</v>
      </c>
      <c r="Q7026" s="30" t="s">
        <v>2567</v>
      </c>
      <c r="R7026" s="33" t="s">
        <v>3472</v>
      </c>
      <c r="S7026">
        <v>36</v>
      </c>
      <c r="T7026" s="1" t="s">
        <v>12971</v>
      </c>
      <c r="U7026" s="1" t="str">
        <f>HYPERLINK("http://ictvonline.org/taxonomy/p/taxonomy-history?taxnode_id=202111461","ICTVonline=202111461")</f>
        <v>ICTVonline=202111461</v>
      </c>
    </row>
    <row r="7027" spans="1:21" x14ac:dyDescent="0.2">
      <c r="A7027" s="3">
        <v>7026</v>
      </c>
      <c r="B7027" s="1" t="s">
        <v>4226</v>
      </c>
      <c r="D7027" s="1" t="s">
        <v>5412</v>
      </c>
      <c r="F7027" s="1" t="s">
        <v>5466</v>
      </c>
      <c r="H7027" s="1" t="s">
        <v>6729</v>
      </c>
      <c r="J7027" s="1" t="s">
        <v>7432</v>
      </c>
      <c r="L7027" s="1" t="s">
        <v>7500</v>
      </c>
      <c r="N7027" s="1" t="s">
        <v>7982</v>
      </c>
      <c r="P7027" s="1" t="s">
        <v>7983</v>
      </c>
      <c r="Q7027" s="30" t="s">
        <v>2567</v>
      </c>
      <c r="R7027" s="33" t="s">
        <v>3472</v>
      </c>
      <c r="S7027">
        <v>36</v>
      </c>
      <c r="T7027" s="1" t="s">
        <v>12971</v>
      </c>
      <c r="U7027" s="1" t="str">
        <f>HYPERLINK("http://ictvonline.org/taxonomy/p/taxonomy-history?taxnode_id=202111463","ICTVonline=202111463")</f>
        <v>ICTVonline=202111463</v>
      </c>
    </row>
    <row r="7028" spans="1:21" x14ac:dyDescent="0.2">
      <c r="A7028" s="3">
        <v>7027</v>
      </c>
      <c r="B7028" s="1" t="s">
        <v>4226</v>
      </c>
      <c r="D7028" s="1" t="s">
        <v>5412</v>
      </c>
      <c r="F7028" s="1" t="s">
        <v>5466</v>
      </c>
      <c r="H7028" s="1" t="s">
        <v>6729</v>
      </c>
      <c r="J7028" s="1" t="s">
        <v>7432</v>
      </c>
      <c r="L7028" s="1" t="s">
        <v>7500</v>
      </c>
      <c r="N7028" s="1" t="s">
        <v>7984</v>
      </c>
      <c r="P7028" s="1" t="s">
        <v>7985</v>
      </c>
      <c r="Q7028" s="30" t="s">
        <v>2567</v>
      </c>
      <c r="R7028" s="33" t="s">
        <v>3472</v>
      </c>
      <c r="S7028">
        <v>36</v>
      </c>
      <c r="T7028" s="1" t="s">
        <v>12971</v>
      </c>
      <c r="U7028" s="1" t="str">
        <f>HYPERLINK("http://ictvonline.org/taxonomy/p/taxonomy-history?taxnode_id=202111465","ICTVonline=202111465")</f>
        <v>ICTVonline=202111465</v>
      </c>
    </row>
    <row r="7029" spans="1:21" x14ac:dyDescent="0.2">
      <c r="A7029" s="3">
        <v>7028</v>
      </c>
      <c r="B7029" s="1" t="s">
        <v>4226</v>
      </c>
      <c r="D7029" s="1" t="s">
        <v>5412</v>
      </c>
      <c r="F7029" s="1" t="s">
        <v>5466</v>
      </c>
      <c r="H7029" s="1" t="s">
        <v>6729</v>
      </c>
      <c r="J7029" s="1" t="s">
        <v>7432</v>
      </c>
      <c r="L7029" s="1" t="s">
        <v>7500</v>
      </c>
      <c r="N7029" s="1" t="s">
        <v>7986</v>
      </c>
      <c r="P7029" s="1" t="s">
        <v>7987</v>
      </c>
      <c r="Q7029" s="30" t="s">
        <v>2567</v>
      </c>
      <c r="R7029" s="33" t="s">
        <v>3472</v>
      </c>
      <c r="S7029">
        <v>36</v>
      </c>
      <c r="T7029" s="1" t="s">
        <v>12971</v>
      </c>
      <c r="U7029" s="1" t="str">
        <f>HYPERLINK("http://ictvonline.org/taxonomy/p/taxonomy-history?taxnode_id=202111467","ICTVonline=202111467")</f>
        <v>ICTVonline=202111467</v>
      </c>
    </row>
    <row r="7030" spans="1:21" x14ac:dyDescent="0.2">
      <c r="A7030" s="3">
        <v>7029</v>
      </c>
      <c r="B7030" s="1" t="s">
        <v>4226</v>
      </c>
      <c r="D7030" s="1" t="s">
        <v>5412</v>
      </c>
      <c r="F7030" s="1" t="s">
        <v>5466</v>
      </c>
      <c r="H7030" s="1" t="s">
        <v>6729</v>
      </c>
      <c r="J7030" s="1" t="s">
        <v>7432</v>
      </c>
      <c r="L7030" s="1" t="s">
        <v>7500</v>
      </c>
      <c r="N7030" s="1" t="s">
        <v>7988</v>
      </c>
      <c r="P7030" s="1" t="s">
        <v>7989</v>
      </c>
      <c r="Q7030" s="30" t="s">
        <v>2567</v>
      </c>
      <c r="R7030" s="33" t="s">
        <v>3472</v>
      </c>
      <c r="S7030">
        <v>36</v>
      </c>
      <c r="T7030" s="1" t="s">
        <v>12971</v>
      </c>
      <c r="U7030" s="1" t="str">
        <f>HYPERLINK("http://ictvonline.org/taxonomy/p/taxonomy-history?taxnode_id=202111473","ICTVonline=202111473")</f>
        <v>ICTVonline=202111473</v>
      </c>
    </row>
    <row r="7031" spans="1:21" x14ac:dyDescent="0.2">
      <c r="A7031" s="3">
        <v>7030</v>
      </c>
      <c r="B7031" s="1" t="s">
        <v>4226</v>
      </c>
      <c r="D7031" s="1" t="s">
        <v>5412</v>
      </c>
      <c r="F7031" s="1" t="s">
        <v>5466</v>
      </c>
      <c r="H7031" s="1" t="s">
        <v>6729</v>
      </c>
      <c r="J7031" s="1" t="s">
        <v>7432</v>
      </c>
      <c r="L7031" s="1" t="s">
        <v>7500</v>
      </c>
      <c r="N7031" s="1" t="s">
        <v>7988</v>
      </c>
      <c r="P7031" s="1" t="s">
        <v>7990</v>
      </c>
      <c r="Q7031" s="30" t="s">
        <v>2567</v>
      </c>
      <c r="R7031" s="33" t="s">
        <v>3472</v>
      </c>
      <c r="S7031">
        <v>36</v>
      </c>
      <c r="T7031" s="1" t="s">
        <v>12971</v>
      </c>
      <c r="U7031" s="1" t="str">
        <f>HYPERLINK("http://ictvonline.org/taxonomy/p/taxonomy-history?taxnode_id=202111475","ICTVonline=202111475")</f>
        <v>ICTVonline=202111475</v>
      </c>
    </row>
    <row r="7032" spans="1:21" x14ac:dyDescent="0.2">
      <c r="A7032" s="3">
        <v>7031</v>
      </c>
      <c r="B7032" s="1" t="s">
        <v>4226</v>
      </c>
      <c r="D7032" s="1" t="s">
        <v>5412</v>
      </c>
      <c r="F7032" s="1" t="s">
        <v>5466</v>
      </c>
      <c r="H7032" s="1" t="s">
        <v>6729</v>
      </c>
      <c r="J7032" s="1" t="s">
        <v>7432</v>
      </c>
      <c r="L7032" s="1" t="s">
        <v>7500</v>
      </c>
      <c r="N7032" s="1" t="s">
        <v>7988</v>
      </c>
      <c r="P7032" s="1" t="s">
        <v>7991</v>
      </c>
      <c r="Q7032" s="30" t="s">
        <v>2567</v>
      </c>
      <c r="R7032" s="33" t="s">
        <v>3472</v>
      </c>
      <c r="S7032">
        <v>36</v>
      </c>
      <c r="T7032" s="1" t="s">
        <v>12971</v>
      </c>
      <c r="U7032" s="1" t="str">
        <f>HYPERLINK("http://ictvonline.org/taxonomy/p/taxonomy-history?taxnode_id=202111474","ICTVonline=202111474")</f>
        <v>ICTVonline=202111474</v>
      </c>
    </row>
    <row r="7033" spans="1:21" x14ac:dyDescent="0.2">
      <c r="A7033" s="3">
        <v>7032</v>
      </c>
      <c r="B7033" s="1" t="s">
        <v>4226</v>
      </c>
      <c r="D7033" s="1" t="s">
        <v>5412</v>
      </c>
      <c r="F7033" s="1" t="s">
        <v>5466</v>
      </c>
      <c r="H7033" s="1" t="s">
        <v>6729</v>
      </c>
      <c r="J7033" s="1" t="s">
        <v>7432</v>
      </c>
      <c r="L7033" s="1" t="s">
        <v>7500</v>
      </c>
      <c r="N7033" s="1" t="s">
        <v>7988</v>
      </c>
      <c r="P7033" s="1" t="s">
        <v>7992</v>
      </c>
      <c r="Q7033" s="30" t="s">
        <v>2567</v>
      </c>
      <c r="R7033" s="33" t="s">
        <v>3472</v>
      </c>
      <c r="S7033">
        <v>36</v>
      </c>
      <c r="T7033" s="1" t="s">
        <v>12971</v>
      </c>
      <c r="U7033" s="1" t="str">
        <f>HYPERLINK("http://ictvonline.org/taxonomy/p/taxonomy-history?taxnode_id=202111476","ICTVonline=202111476")</f>
        <v>ICTVonline=202111476</v>
      </c>
    </row>
    <row r="7034" spans="1:21" x14ac:dyDescent="0.2">
      <c r="A7034" s="3">
        <v>7033</v>
      </c>
      <c r="B7034" s="1" t="s">
        <v>4226</v>
      </c>
      <c r="D7034" s="1" t="s">
        <v>5412</v>
      </c>
      <c r="F7034" s="1" t="s">
        <v>5466</v>
      </c>
      <c r="H7034" s="1" t="s">
        <v>6729</v>
      </c>
      <c r="J7034" s="1" t="s">
        <v>7432</v>
      </c>
      <c r="L7034" s="1" t="s">
        <v>7500</v>
      </c>
      <c r="N7034" s="1" t="s">
        <v>7988</v>
      </c>
      <c r="P7034" s="1" t="s">
        <v>7993</v>
      </c>
      <c r="Q7034" s="30" t="s">
        <v>2567</v>
      </c>
      <c r="R7034" s="33" t="s">
        <v>3472</v>
      </c>
      <c r="S7034">
        <v>36</v>
      </c>
      <c r="T7034" s="1" t="s">
        <v>12971</v>
      </c>
      <c r="U7034" s="1" t="str">
        <f>HYPERLINK("http://ictvonline.org/taxonomy/p/taxonomy-history?taxnode_id=202111477","ICTVonline=202111477")</f>
        <v>ICTVonline=202111477</v>
      </c>
    </row>
    <row r="7035" spans="1:21" x14ac:dyDescent="0.2">
      <c r="A7035" s="3">
        <v>7034</v>
      </c>
      <c r="B7035" s="1" t="s">
        <v>4226</v>
      </c>
      <c r="D7035" s="1" t="s">
        <v>5412</v>
      </c>
      <c r="F7035" s="1" t="s">
        <v>5466</v>
      </c>
      <c r="H7035" s="1" t="s">
        <v>6729</v>
      </c>
      <c r="J7035" s="1" t="s">
        <v>7432</v>
      </c>
      <c r="L7035" s="1" t="s">
        <v>7500</v>
      </c>
      <c r="N7035" s="1" t="s">
        <v>7988</v>
      </c>
      <c r="P7035" s="1" t="s">
        <v>7994</v>
      </c>
      <c r="Q7035" s="30" t="s">
        <v>2567</v>
      </c>
      <c r="R7035" s="33" t="s">
        <v>3472</v>
      </c>
      <c r="S7035">
        <v>36</v>
      </c>
      <c r="T7035" s="1" t="s">
        <v>12971</v>
      </c>
      <c r="U7035" s="1" t="str">
        <f>HYPERLINK("http://ictvonline.org/taxonomy/p/taxonomy-history?taxnode_id=202111478","ICTVonline=202111478")</f>
        <v>ICTVonline=202111478</v>
      </c>
    </row>
    <row r="7036" spans="1:21" x14ac:dyDescent="0.2">
      <c r="A7036" s="3">
        <v>7035</v>
      </c>
      <c r="B7036" s="1" t="s">
        <v>4226</v>
      </c>
      <c r="D7036" s="1" t="s">
        <v>5412</v>
      </c>
      <c r="F7036" s="1" t="s">
        <v>5466</v>
      </c>
      <c r="H7036" s="1" t="s">
        <v>6729</v>
      </c>
      <c r="J7036" s="1" t="s">
        <v>7432</v>
      </c>
      <c r="L7036" s="1" t="s">
        <v>7500</v>
      </c>
      <c r="N7036" s="1" t="s">
        <v>7988</v>
      </c>
      <c r="P7036" s="1" t="s">
        <v>7995</v>
      </c>
      <c r="Q7036" s="30" t="s">
        <v>2567</v>
      </c>
      <c r="R7036" s="33" t="s">
        <v>3472</v>
      </c>
      <c r="S7036">
        <v>36</v>
      </c>
      <c r="T7036" s="1" t="s">
        <v>12971</v>
      </c>
      <c r="U7036" s="1" t="str">
        <f>HYPERLINK("http://ictvonline.org/taxonomy/p/taxonomy-history?taxnode_id=202111479","ICTVonline=202111479")</f>
        <v>ICTVonline=202111479</v>
      </c>
    </row>
    <row r="7037" spans="1:21" x14ac:dyDescent="0.2">
      <c r="A7037" s="3">
        <v>7036</v>
      </c>
      <c r="B7037" s="1" t="s">
        <v>4226</v>
      </c>
      <c r="D7037" s="1" t="s">
        <v>5412</v>
      </c>
      <c r="F7037" s="1" t="s">
        <v>5466</v>
      </c>
      <c r="H7037" s="1" t="s">
        <v>6729</v>
      </c>
      <c r="J7037" s="1" t="s">
        <v>7432</v>
      </c>
      <c r="L7037" s="1" t="s">
        <v>7500</v>
      </c>
      <c r="N7037" s="1" t="s">
        <v>7988</v>
      </c>
      <c r="P7037" s="1" t="s">
        <v>7996</v>
      </c>
      <c r="Q7037" s="30" t="s">
        <v>2567</v>
      </c>
      <c r="R7037" s="33" t="s">
        <v>3472</v>
      </c>
      <c r="S7037">
        <v>36</v>
      </c>
      <c r="T7037" s="1" t="s">
        <v>12971</v>
      </c>
      <c r="U7037" s="1" t="str">
        <f>HYPERLINK("http://ictvonline.org/taxonomy/p/taxonomy-history?taxnode_id=202111480","ICTVonline=202111480")</f>
        <v>ICTVonline=202111480</v>
      </c>
    </row>
    <row r="7038" spans="1:21" x14ac:dyDescent="0.2">
      <c r="A7038" s="3">
        <v>7037</v>
      </c>
      <c r="B7038" s="1" t="s">
        <v>4226</v>
      </c>
      <c r="D7038" s="1" t="s">
        <v>5412</v>
      </c>
      <c r="F7038" s="1" t="s">
        <v>5466</v>
      </c>
      <c r="H7038" s="1" t="s">
        <v>6729</v>
      </c>
      <c r="J7038" s="1" t="s">
        <v>7432</v>
      </c>
      <c r="L7038" s="1" t="s">
        <v>7500</v>
      </c>
      <c r="N7038" s="1" t="s">
        <v>7988</v>
      </c>
      <c r="P7038" s="1" t="s">
        <v>7997</v>
      </c>
      <c r="Q7038" s="30" t="s">
        <v>2567</v>
      </c>
      <c r="R7038" s="33" t="s">
        <v>3472</v>
      </c>
      <c r="S7038">
        <v>36</v>
      </c>
      <c r="T7038" s="1" t="s">
        <v>12971</v>
      </c>
      <c r="U7038" s="1" t="str">
        <f>HYPERLINK("http://ictvonline.org/taxonomy/p/taxonomy-history?taxnode_id=202111481","ICTVonline=202111481")</f>
        <v>ICTVonline=202111481</v>
      </c>
    </row>
    <row r="7039" spans="1:21" x14ac:dyDescent="0.2">
      <c r="A7039" s="3">
        <v>7038</v>
      </c>
      <c r="B7039" s="1" t="s">
        <v>4226</v>
      </c>
      <c r="D7039" s="1" t="s">
        <v>5412</v>
      </c>
      <c r="F7039" s="1" t="s">
        <v>5466</v>
      </c>
      <c r="H7039" s="1" t="s">
        <v>6729</v>
      </c>
      <c r="J7039" s="1" t="s">
        <v>7432</v>
      </c>
      <c r="L7039" s="1" t="s">
        <v>7500</v>
      </c>
      <c r="N7039" s="1" t="s">
        <v>7988</v>
      </c>
      <c r="P7039" s="1" t="s">
        <v>7998</v>
      </c>
      <c r="Q7039" s="30" t="s">
        <v>2567</v>
      </c>
      <c r="R7039" s="33" t="s">
        <v>3472</v>
      </c>
      <c r="S7039">
        <v>36</v>
      </c>
      <c r="T7039" s="1" t="s">
        <v>12971</v>
      </c>
      <c r="U7039" s="1" t="str">
        <f>HYPERLINK("http://ictvonline.org/taxonomy/p/taxonomy-history?taxnode_id=202111482","ICTVonline=202111482")</f>
        <v>ICTVonline=202111482</v>
      </c>
    </row>
    <row r="7040" spans="1:21" x14ac:dyDescent="0.2">
      <c r="A7040" s="3">
        <v>7039</v>
      </c>
      <c r="B7040" s="1" t="s">
        <v>4226</v>
      </c>
      <c r="D7040" s="1" t="s">
        <v>5412</v>
      </c>
      <c r="F7040" s="1" t="s">
        <v>5466</v>
      </c>
      <c r="H7040" s="1" t="s">
        <v>6729</v>
      </c>
      <c r="J7040" s="1" t="s">
        <v>7432</v>
      </c>
      <c r="L7040" s="1" t="s">
        <v>7500</v>
      </c>
      <c r="N7040" s="1" t="s">
        <v>7988</v>
      </c>
      <c r="P7040" s="1" t="s">
        <v>7999</v>
      </c>
      <c r="Q7040" s="30" t="s">
        <v>2567</v>
      </c>
      <c r="R7040" s="33" t="s">
        <v>3472</v>
      </c>
      <c r="S7040">
        <v>36</v>
      </c>
      <c r="T7040" s="1" t="s">
        <v>12971</v>
      </c>
      <c r="U7040" s="1" t="str">
        <f>HYPERLINK("http://ictvonline.org/taxonomy/p/taxonomy-history?taxnode_id=202111483","ICTVonline=202111483")</f>
        <v>ICTVonline=202111483</v>
      </c>
    </row>
    <row r="7041" spans="1:21" x14ac:dyDescent="0.2">
      <c r="A7041" s="3">
        <v>7040</v>
      </c>
      <c r="B7041" s="1" t="s">
        <v>4226</v>
      </c>
      <c r="D7041" s="1" t="s">
        <v>5412</v>
      </c>
      <c r="F7041" s="1" t="s">
        <v>5466</v>
      </c>
      <c r="H7041" s="1" t="s">
        <v>6729</v>
      </c>
      <c r="J7041" s="1" t="s">
        <v>7432</v>
      </c>
      <c r="L7041" s="1" t="s">
        <v>7500</v>
      </c>
      <c r="N7041" s="1" t="s">
        <v>7988</v>
      </c>
      <c r="P7041" s="1" t="s">
        <v>8000</v>
      </c>
      <c r="Q7041" s="30" t="s">
        <v>2567</v>
      </c>
      <c r="R7041" s="33" t="s">
        <v>3472</v>
      </c>
      <c r="S7041">
        <v>36</v>
      </c>
      <c r="T7041" s="1" t="s">
        <v>12971</v>
      </c>
      <c r="U7041" s="1" t="str">
        <f>HYPERLINK("http://ictvonline.org/taxonomy/p/taxonomy-history?taxnode_id=202111484","ICTVonline=202111484")</f>
        <v>ICTVonline=202111484</v>
      </c>
    </row>
    <row r="7042" spans="1:21" x14ac:dyDescent="0.2">
      <c r="A7042" s="3">
        <v>7041</v>
      </c>
      <c r="B7042" s="1" t="s">
        <v>4226</v>
      </c>
      <c r="D7042" s="1" t="s">
        <v>5412</v>
      </c>
      <c r="F7042" s="1" t="s">
        <v>5466</v>
      </c>
      <c r="H7042" s="1" t="s">
        <v>6729</v>
      </c>
      <c r="J7042" s="1" t="s">
        <v>7432</v>
      </c>
      <c r="L7042" s="1" t="s">
        <v>7500</v>
      </c>
      <c r="N7042" s="1" t="s">
        <v>7988</v>
      </c>
      <c r="P7042" s="1" t="s">
        <v>8001</v>
      </c>
      <c r="Q7042" s="30" t="s">
        <v>2567</v>
      </c>
      <c r="R7042" s="33" t="s">
        <v>3472</v>
      </c>
      <c r="S7042">
        <v>36</v>
      </c>
      <c r="T7042" s="1" t="s">
        <v>12971</v>
      </c>
      <c r="U7042" s="1" t="str">
        <f>HYPERLINK("http://ictvonline.org/taxonomy/p/taxonomy-history?taxnode_id=202111491","ICTVonline=202111491")</f>
        <v>ICTVonline=202111491</v>
      </c>
    </row>
    <row r="7043" spans="1:21" x14ac:dyDescent="0.2">
      <c r="A7043" s="3">
        <v>7042</v>
      </c>
      <c r="B7043" s="1" t="s">
        <v>4226</v>
      </c>
      <c r="D7043" s="1" t="s">
        <v>5412</v>
      </c>
      <c r="F7043" s="1" t="s">
        <v>5466</v>
      </c>
      <c r="H7043" s="1" t="s">
        <v>6729</v>
      </c>
      <c r="J7043" s="1" t="s">
        <v>7432</v>
      </c>
      <c r="L7043" s="1" t="s">
        <v>7500</v>
      </c>
      <c r="N7043" s="1" t="s">
        <v>7988</v>
      </c>
      <c r="P7043" s="1" t="s">
        <v>8002</v>
      </c>
      <c r="Q7043" s="30" t="s">
        <v>2567</v>
      </c>
      <c r="R7043" s="33" t="s">
        <v>3472</v>
      </c>
      <c r="S7043">
        <v>36</v>
      </c>
      <c r="T7043" s="1" t="s">
        <v>12971</v>
      </c>
      <c r="U7043" s="1" t="str">
        <f>HYPERLINK("http://ictvonline.org/taxonomy/p/taxonomy-history?taxnode_id=202111492","ICTVonline=202111492")</f>
        <v>ICTVonline=202111492</v>
      </c>
    </row>
    <row r="7044" spans="1:21" x14ac:dyDescent="0.2">
      <c r="A7044" s="3">
        <v>7043</v>
      </c>
      <c r="B7044" s="1" t="s">
        <v>4226</v>
      </c>
      <c r="D7044" s="1" t="s">
        <v>5412</v>
      </c>
      <c r="F7044" s="1" t="s">
        <v>5466</v>
      </c>
      <c r="H7044" s="1" t="s">
        <v>6729</v>
      </c>
      <c r="J7044" s="1" t="s">
        <v>7432</v>
      </c>
      <c r="L7044" s="1" t="s">
        <v>7500</v>
      </c>
      <c r="N7044" s="1" t="s">
        <v>7988</v>
      </c>
      <c r="P7044" s="1" t="s">
        <v>8003</v>
      </c>
      <c r="Q7044" s="30" t="s">
        <v>2567</v>
      </c>
      <c r="R7044" s="33" t="s">
        <v>3472</v>
      </c>
      <c r="S7044">
        <v>36</v>
      </c>
      <c r="T7044" s="1" t="s">
        <v>12971</v>
      </c>
      <c r="U7044" s="1" t="str">
        <f>HYPERLINK("http://ictvonline.org/taxonomy/p/taxonomy-history?taxnode_id=202111469","ICTVonline=202111469")</f>
        <v>ICTVonline=202111469</v>
      </c>
    </row>
    <row r="7045" spans="1:21" x14ac:dyDescent="0.2">
      <c r="A7045" s="3">
        <v>7044</v>
      </c>
      <c r="B7045" s="1" t="s">
        <v>4226</v>
      </c>
      <c r="D7045" s="1" t="s">
        <v>5412</v>
      </c>
      <c r="F7045" s="1" t="s">
        <v>5466</v>
      </c>
      <c r="H7045" s="1" t="s">
        <v>6729</v>
      </c>
      <c r="J7045" s="1" t="s">
        <v>7432</v>
      </c>
      <c r="L7045" s="1" t="s">
        <v>7500</v>
      </c>
      <c r="N7045" s="1" t="s">
        <v>7988</v>
      </c>
      <c r="P7045" s="1" t="s">
        <v>8004</v>
      </c>
      <c r="Q7045" s="30" t="s">
        <v>2567</v>
      </c>
      <c r="R7045" s="33" t="s">
        <v>3472</v>
      </c>
      <c r="S7045">
        <v>36</v>
      </c>
      <c r="T7045" s="1" t="s">
        <v>12971</v>
      </c>
      <c r="U7045" s="1" t="str">
        <f>HYPERLINK("http://ictvonline.org/taxonomy/p/taxonomy-history?taxnode_id=202111493","ICTVonline=202111493")</f>
        <v>ICTVonline=202111493</v>
      </c>
    </row>
    <row r="7046" spans="1:21" x14ac:dyDescent="0.2">
      <c r="A7046" s="3">
        <v>7045</v>
      </c>
      <c r="B7046" s="1" t="s">
        <v>4226</v>
      </c>
      <c r="D7046" s="1" t="s">
        <v>5412</v>
      </c>
      <c r="F7046" s="1" t="s">
        <v>5466</v>
      </c>
      <c r="H7046" s="1" t="s">
        <v>6729</v>
      </c>
      <c r="J7046" s="1" t="s">
        <v>7432</v>
      </c>
      <c r="L7046" s="1" t="s">
        <v>7500</v>
      </c>
      <c r="N7046" s="1" t="s">
        <v>7988</v>
      </c>
      <c r="P7046" s="1" t="s">
        <v>8005</v>
      </c>
      <c r="Q7046" s="30" t="s">
        <v>2567</v>
      </c>
      <c r="R7046" s="33" t="s">
        <v>3472</v>
      </c>
      <c r="S7046">
        <v>36</v>
      </c>
      <c r="T7046" s="1" t="s">
        <v>12971</v>
      </c>
      <c r="U7046" s="1" t="str">
        <f>HYPERLINK("http://ictvonline.org/taxonomy/p/taxonomy-history?taxnode_id=202111494","ICTVonline=202111494")</f>
        <v>ICTVonline=202111494</v>
      </c>
    </row>
    <row r="7047" spans="1:21" x14ac:dyDescent="0.2">
      <c r="A7047" s="3">
        <v>7046</v>
      </c>
      <c r="B7047" s="1" t="s">
        <v>4226</v>
      </c>
      <c r="D7047" s="1" t="s">
        <v>5412</v>
      </c>
      <c r="F7047" s="1" t="s">
        <v>5466</v>
      </c>
      <c r="H7047" s="1" t="s">
        <v>6729</v>
      </c>
      <c r="J7047" s="1" t="s">
        <v>7432</v>
      </c>
      <c r="L7047" s="1" t="s">
        <v>7500</v>
      </c>
      <c r="N7047" s="1" t="s">
        <v>7988</v>
      </c>
      <c r="P7047" s="1" t="s">
        <v>8006</v>
      </c>
      <c r="Q7047" s="30" t="s">
        <v>2567</v>
      </c>
      <c r="R7047" s="33" t="s">
        <v>3472</v>
      </c>
      <c r="S7047">
        <v>36</v>
      </c>
      <c r="T7047" s="1" t="s">
        <v>12971</v>
      </c>
      <c r="U7047" s="1" t="str">
        <f>HYPERLINK("http://ictvonline.org/taxonomy/p/taxonomy-history?taxnode_id=202111495","ICTVonline=202111495")</f>
        <v>ICTVonline=202111495</v>
      </c>
    </row>
    <row r="7048" spans="1:21" x14ac:dyDescent="0.2">
      <c r="A7048" s="3">
        <v>7047</v>
      </c>
      <c r="B7048" s="1" t="s">
        <v>4226</v>
      </c>
      <c r="D7048" s="1" t="s">
        <v>5412</v>
      </c>
      <c r="F7048" s="1" t="s">
        <v>5466</v>
      </c>
      <c r="H7048" s="1" t="s">
        <v>6729</v>
      </c>
      <c r="J7048" s="1" t="s">
        <v>7432</v>
      </c>
      <c r="L7048" s="1" t="s">
        <v>7500</v>
      </c>
      <c r="N7048" s="1" t="s">
        <v>7988</v>
      </c>
      <c r="P7048" s="1" t="s">
        <v>8007</v>
      </c>
      <c r="Q7048" s="30" t="s">
        <v>2567</v>
      </c>
      <c r="R7048" s="33" t="s">
        <v>3472</v>
      </c>
      <c r="S7048">
        <v>36</v>
      </c>
      <c r="T7048" s="1" t="s">
        <v>12971</v>
      </c>
      <c r="U7048" s="1" t="str">
        <f>HYPERLINK("http://ictvonline.org/taxonomy/p/taxonomy-history?taxnode_id=202111470","ICTVonline=202111470")</f>
        <v>ICTVonline=202111470</v>
      </c>
    </row>
    <row r="7049" spans="1:21" x14ac:dyDescent="0.2">
      <c r="A7049" s="3">
        <v>7048</v>
      </c>
      <c r="B7049" s="1" t="s">
        <v>4226</v>
      </c>
      <c r="D7049" s="1" t="s">
        <v>5412</v>
      </c>
      <c r="F7049" s="1" t="s">
        <v>5466</v>
      </c>
      <c r="H7049" s="1" t="s">
        <v>6729</v>
      </c>
      <c r="J7049" s="1" t="s">
        <v>7432</v>
      </c>
      <c r="L7049" s="1" t="s">
        <v>7500</v>
      </c>
      <c r="N7049" s="1" t="s">
        <v>7988</v>
      </c>
      <c r="P7049" s="1" t="s">
        <v>8008</v>
      </c>
      <c r="Q7049" s="30" t="s">
        <v>2567</v>
      </c>
      <c r="R7049" s="33" t="s">
        <v>3472</v>
      </c>
      <c r="S7049">
        <v>36</v>
      </c>
      <c r="T7049" s="1" t="s">
        <v>12971</v>
      </c>
      <c r="U7049" s="1" t="str">
        <f>HYPERLINK("http://ictvonline.org/taxonomy/p/taxonomy-history?taxnode_id=202111471","ICTVonline=202111471")</f>
        <v>ICTVonline=202111471</v>
      </c>
    </row>
    <row r="7050" spans="1:21" x14ac:dyDescent="0.2">
      <c r="A7050" s="3">
        <v>7049</v>
      </c>
      <c r="B7050" s="1" t="s">
        <v>4226</v>
      </c>
      <c r="D7050" s="1" t="s">
        <v>5412</v>
      </c>
      <c r="F7050" s="1" t="s">
        <v>5466</v>
      </c>
      <c r="H7050" s="1" t="s">
        <v>6729</v>
      </c>
      <c r="J7050" s="1" t="s">
        <v>7432</v>
      </c>
      <c r="L7050" s="1" t="s">
        <v>7500</v>
      </c>
      <c r="N7050" s="1" t="s">
        <v>7988</v>
      </c>
      <c r="P7050" s="1" t="s">
        <v>8009</v>
      </c>
      <c r="Q7050" s="30" t="s">
        <v>2567</v>
      </c>
      <c r="R7050" s="33" t="s">
        <v>3472</v>
      </c>
      <c r="S7050">
        <v>36</v>
      </c>
      <c r="T7050" s="1" t="s">
        <v>12971</v>
      </c>
      <c r="U7050" s="1" t="str">
        <f>HYPERLINK("http://ictvonline.org/taxonomy/p/taxonomy-history?taxnode_id=202111472","ICTVonline=202111472")</f>
        <v>ICTVonline=202111472</v>
      </c>
    </row>
    <row r="7051" spans="1:21" x14ac:dyDescent="0.2">
      <c r="A7051" s="3">
        <v>7050</v>
      </c>
      <c r="B7051" s="1" t="s">
        <v>4226</v>
      </c>
      <c r="D7051" s="1" t="s">
        <v>5412</v>
      </c>
      <c r="F7051" s="1" t="s">
        <v>5466</v>
      </c>
      <c r="H7051" s="1" t="s">
        <v>6729</v>
      </c>
      <c r="J7051" s="1" t="s">
        <v>7432</v>
      </c>
      <c r="L7051" s="1" t="s">
        <v>7500</v>
      </c>
      <c r="N7051" s="1" t="s">
        <v>7988</v>
      </c>
      <c r="P7051" s="1" t="s">
        <v>8010</v>
      </c>
      <c r="Q7051" s="30" t="s">
        <v>2567</v>
      </c>
      <c r="R7051" s="33" t="s">
        <v>3472</v>
      </c>
      <c r="S7051">
        <v>36</v>
      </c>
      <c r="T7051" s="1" t="s">
        <v>12971</v>
      </c>
      <c r="U7051" s="1" t="str">
        <f>HYPERLINK("http://ictvonline.org/taxonomy/p/taxonomy-history?taxnode_id=202111485","ICTVonline=202111485")</f>
        <v>ICTVonline=202111485</v>
      </c>
    </row>
    <row r="7052" spans="1:21" x14ac:dyDescent="0.2">
      <c r="A7052" s="3">
        <v>7051</v>
      </c>
      <c r="B7052" s="1" t="s">
        <v>4226</v>
      </c>
      <c r="D7052" s="1" t="s">
        <v>5412</v>
      </c>
      <c r="F7052" s="1" t="s">
        <v>5466</v>
      </c>
      <c r="H7052" s="1" t="s">
        <v>6729</v>
      </c>
      <c r="J7052" s="1" t="s">
        <v>7432</v>
      </c>
      <c r="L7052" s="1" t="s">
        <v>7500</v>
      </c>
      <c r="N7052" s="1" t="s">
        <v>7988</v>
      </c>
      <c r="P7052" s="1" t="s">
        <v>8011</v>
      </c>
      <c r="Q7052" s="30" t="s">
        <v>2567</v>
      </c>
      <c r="R7052" s="33" t="s">
        <v>3472</v>
      </c>
      <c r="S7052">
        <v>36</v>
      </c>
      <c r="T7052" s="1" t="s">
        <v>12971</v>
      </c>
      <c r="U7052" s="1" t="str">
        <f>HYPERLINK("http://ictvonline.org/taxonomy/p/taxonomy-history?taxnode_id=202111487","ICTVonline=202111487")</f>
        <v>ICTVonline=202111487</v>
      </c>
    </row>
    <row r="7053" spans="1:21" x14ac:dyDescent="0.2">
      <c r="A7053" s="3">
        <v>7052</v>
      </c>
      <c r="B7053" s="1" t="s">
        <v>4226</v>
      </c>
      <c r="D7053" s="1" t="s">
        <v>5412</v>
      </c>
      <c r="F7053" s="1" t="s">
        <v>5466</v>
      </c>
      <c r="H7053" s="1" t="s">
        <v>6729</v>
      </c>
      <c r="J7053" s="1" t="s">
        <v>7432</v>
      </c>
      <c r="L7053" s="1" t="s">
        <v>7500</v>
      </c>
      <c r="N7053" s="1" t="s">
        <v>7988</v>
      </c>
      <c r="P7053" s="1" t="s">
        <v>8012</v>
      </c>
      <c r="Q7053" s="30" t="s">
        <v>2567</v>
      </c>
      <c r="R7053" s="33" t="s">
        <v>3472</v>
      </c>
      <c r="S7053">
        <v>36</v>
      </c>
      <c r="T7053" s="1" t="s">
        <v>12971</v>
      </c>
      <c r="U7053" s="1" t="str">
        <f>HYPERLINK("http://ictvonline.org/taxonomy/p/taxonomy-history?taxnode_id=202111486","ICTVonline=202111486")</f>
        <v>ICTVonline=202111486</v>
      </c>
    </row>
    <row r="7054" spans="1:21" x14ac:dyDescent="0.2">
      <c r="A7054" s="3">
        <v>7053</v>
      </c>
      <c r="B7054" s="1" t="s">
        <v>4226</v>
      </c>
      <c r="D7054" s="1" t="s">
        <v>5412</v>
      </c>
      <c r="F7054" s="1" t="s">
        <v>5466</v>
      </c>
      <c r="H7054" s="1" t="s">
        <v>6729</v>
      </c>
      <c r="J7054" s="1" t="s">
        <v>7432</v>
      </c>
      <c r="L7054" s="1" t="s">
        <v>7500</v>
      </c>
      <c r="N7054" s="1" t="s">
        <v>7988</v>
      </c>
      <c r="P7054" s="1" t="s">
        <v>8013</v>
      </c>
      <c r="Q7054" s="30" t="s">
        <v>2567</v>
      </c>
      <c r="R7054" s="33" t="s">
        <v>3472</v>
      </c>
      <c r="S7054">
        <v>36</v>
      </c>
      <c r="T7054" s="1" t="s">
        <v>12971</v>
      </c>
      <c r="U7054" s="1" t="str">
        <f>HYPERLINK("http://ictvonline.org/taxonomy/p/taxonomy-history?taxnode_id=202111488","ICTVonline=202111488")</f>
        <v>ICTVonline=202111488</v>
      </c>
    </row>
    <row r="7055" spans="1:21" x14ac:dyDescent="0.2">
      <c r="A7055" s="3">
        <v>7054</v>
      </c>
      <c r="B7055" s="1" t="s">
        <v>4226</v>
      </c>
      <c r="D7055" s="1" t="s">
        <v>5412</v>
      </c>
      <c r="F7055" s="1" t="s">
        <v>5466</v>
      </c>
      <c r="H7055" s="1" t="s">
        <v>6729</v>
      </c>
      <c r="J7055" s="1" t="s">
        <v>7432</v>
      </c>
      <c r="L7055" s="1" t="s">
        <v>7500</v>
      </c>
      <c r="N7055" s="1" t="s">
        <v>7988</v>
      </c>
      <c r="P7055" s="1" t="s">
        <v>8014</v>
      </c>
      <c r="Q7055" s="30" t="s">
        <v>2567</v>
      </c>
      <c r="R7055" s="33" t="s">
        <v>3472</v>
      </c>
      <c r="S7055">
        <v>36</v>
      </c>
      <c r="T7055" s="1" t="s">
        <v>12971</v>
      </c>
      <c r="U7055" s="1" t="str">
        <f>HYPERLINK("http://ictvonline.org/taxonomy/p/taxonomy-history?taxnode_id=202111489","ICTVonline=202111489")</f>
        <v>ICTVonline=202111489</v>
      </c>
    </row>
    <row r="7056" spans="1:21" x14ac:dyDescent="0.2">
      <c r="A7056" s="3">
        <v>7055</v>
      </c>
      <c r="B7056" s="1" t="s">
        <v>4226</v>
      </c>
      <c r="D7056" s="1" t="s">
        <v>5412</v>
      </c>
      <c r="F7056" s="1" t="s">
        <v>5466</v>
      </c>
      <c r="H7056" s="1" t="s">
        <v>6729</v>
      </c>
      <c r="J7056" s="1" t="s">
        <v>7432</v>
      </c>
      <c r="L7056" s="1" t="s">
        <v>7500</v>
      </c>
      <c r="N7056" s="1" t="s">
        <v>7988</v>
      </c>
      <c r="P7056" s="1" t="s">
        <v>8015</v>
      </c>
      <c r="Q7056" s="30" t="s">
        <v>2567</v>
      </c>
      <c r="R7056" s="33" t="s">
        <v>3472</v>
      </c>
      <c r="S7056">
        <v>36</v>
      </c>
      <c r="T7056" s="1" t="s">
        <v>12971</v>
      </c>
      <c r="U7056" s="1" t="str">
        <f>HYPERLINK("http://ictvonline.org/taxonomy/p/taxonomy-history?taxnode_id=202111490","ICTVonline=202111490")</f>
        <v>ICTVonline=202111490</v>
      </c>
    </row>
    <row r="7057" spans="1:21" x14ac:dyDescent="0.2">
      <c r="A7057" s="3">
        <v>7056</v>
      </c>
      <c r="B7057" s="1" t="s">
        <v>4226</v>
      </c>
      <c r="D7057" s="1" t="s">
        <v>5412</v>
      </c>
      <c r="F7057" s="1" t="s">
        <v>5466</v>
      </c>
      <c r="H7057" s="1" t="s">
        <v>6729</v>
      </c>
      <c r="J7057" s="1" t="s">
        <v>7432</v>
      </c>
      <c r="L7057" s="1" t="s">
        <v>7500</v>
      </c>
      <c r="N7057" s="1" t="s">
        <v>7988</v>
      </c>
      <c r="P7057" s="1" t="s">
        <v>8016</v>
      </c>
      <c r="Q7057" s="30" t="s">
        <v>2567</v>
      </c>
      <c r="R7057" s="33" t="s">
        <v>3472</v>
      </c>
      <c r="S7057">
        <v>36</v>
      </c>
      <c r="T7057" s="1" t="s">
        <v>12971</v>
      </c>
      <c r="U7057" s="1" t="str">
        <f>HYPERLINK("http://ictvonline.org/taxonomy/p/taxonomy-history?taxnode_id=202111496","ICTVonline=202111496")</f>
        <v>ICTVonline=202111496</v>
      </c>
    </row>
    <row r="7058" spans="1:21" x14ac:dyDescent="0.2">
      <c r="A7058" s="3">
        <v>7057</v>
      </c>
      <c r="B7058" s="1" t="s">
        <v>4226</v>
      </c>
      <c r="D7058" s="1" t="s">
        <v>5412</v>
      </c>
      <c r="F7058" s="1" t="s">
        <v>5466</v>
      </c>
      <c r="H7058" s="1" t="s">
        <v>6729</v>
      </c>
      <c r="J7058" s="1" t="s">
        <v>7432</v>
      </c>
      <c r="L7058" s="1" t="s">
        <v>7500</v>
      </c>
      <c r="N7058" s="1" t="s">
        <v>7988</v>
      </c>
      <c r="P7058" s="1" t="s">
        <v>8017</v>
      </c>
      <c r="Q7058" s="30" t="s">
        <v>2567</v>
      </c>
      <c r="R7058" s="33" t="s">
        <v>3472</v>
      </c>
      <c r="S7058">
        <v>36</v>
      </c>
      <c r="T7058" s="1" t="s">
        <v>12971</v>
      </c>
      <c r="U7058" s="1" t="str">
        <f>HYPERLINK("http://ictvonline.org/taxonomy/p/taxonomy-history?taxnode_id=202111498","ICTVonline=202111498")</f>
        <v>ICTVonline=202111498</v>
      </c>
    </row>
    <row r="7059" spans="1:21" x14ac:dyDescent="0.2">
      <c r="A7059" s="3">
        <v>7058</v>
      </c>
      <c r="B7059" s="1" t="s">
        <v>4226</v>
      </c>
      <c r="D7059" s="1" t="s">
        <v>5412</v>
      </c>
      <c r="F7059" s="1" t="s">
        <v>5466</v>
      </c>
      <c r="H7059" s="1" t="s">
        <v>6729</v>
      </c>
      <c r="J7059" s="1" t="s">
        <v>7432</v>
      </c>
      <c r="L7059" s="1" t="s">
        <v>7500</v>
      </c>
      <c r="N7059" s="1" t="s">
        <v>7988</v>
      </c>
      <c r="P7059" s="1" t="s">
        <v>8018</v>
      </c>
      <c r="Q7059" s="30" t="s">
        <v>2567</v>
      </c>
      <c r="R7059" s="33" t="s">
        <v>3472</v>
      </c>
      <c r="S7059">
        <v>36</v>
      </c>
      <c r="T7059" s="1" t="s">
        <v>12971</v>
      </c>
      <c r="U7059" s="1" t="str">
        <f>HYPERLINK("http://ictvonline.org/taxonomy/p/taxonomy-history?taxnode_id=202111497","ICTVonline=202111497")</f>
        <v>ICTVonline=202111497</v>
      </c>
    </row>
    <row r="7060" spans="1:21" x14ac:dyDescent="0.2">
      <c r="A7060" s="3">
        <v>7059</v>
      </c>
      <c r="B7060" s="1" t="s">
        <v>4226</v>
      </c>
      <c r="D7060" s="1" t="s">
        <v>5412</v>
      </c>
      <c r="F7060" s="1" t="s">
        <v>5466</v>
      </c>
      <c r="H7060" s="1" t="s">
        <v>6729</v>
      </c>
      <c r="J7060" s="1" t="s">
        <v>7432</v>
      </c>
      <c r="L7060" s="1" t="s">
        <v>7500</v>
      </c>
      <c r="N7060" s="1" t="s">
        <v>7988</v>
      </c>
      <c r="P7060" s="1" t="s">
        <v>8019</v>
      </c>
      <c r="Q7060" s="30" t="s">
        <v>2567</v>
      </c>
      <c r="R7060" s="33" t="s">
        <v>3472</v>
      </c>
      <c r="S7060">
        <v>36</v>
      </c>
      <c r="T7060" s="1" t="s">
        <v>12971</v>
      </c>
      <c r="U7060" s="1" t="str">
        <f>HYPERLINK("http://ictvonline.org/taxonomy/p/taxonomy-history?taxnode_id=202111499","ICTVonline=202111499")</f>
        <v>ICTVonline=202111499</v>
      </c>
    </row>
    <row r="7061" spans="1:21" x14ac:dyDescent="0.2">
      <c r="A7061" s="3">
        <v>7060</v>
      </c>
      <c r="B7061" s="1" t="s">
        <v>4226</v>
      </c>
      <c r="D7061" s="1" t="s">
        <v>5412</v>
      </c>
      <c r="F7061" s="1" t="s">
        <v>5466</v>
      </c>
      <c r="H7061" s="1" t="s">
        <v>6729</v>
      </c>
      <c r="J7061" s="1" t="s">
        <v>7432</v>
      </c>
      <c r="L7061" s="1" t="s">
        <v>7500</v>
      </c>
      <c r="N7061" s="1" t="s">
        <v>7988</v>
      </c>
      <c r="P7061" s="1" t="s">
        <v>8020</v>
      </c>
      <c r="Q7061" s="30" t="s">
        <v>2567</v>
      </c>
      <c r="R7061" s="33" t="s">
        <v>3472</v>
      </c>
      <c r="S7061">
        <v>36</v>
      </c>
      <c r="T7061" s="1" t="s">
        <v>12971</v>
      </c>
      <c r="U7061" s="1" t="str">
        <f>HYPERLINK("http://ictvonline.org/taxonomy/p/taxonomy-history?taxnode_id=202111500","ICTVonline=202111500")</f>
        <v>ICTVonline=202111500</v>
      </c>
    </row>
    <row r="7062" spans="1:21" x14ac:dyDescent="0.2">
      <c r="A7062" s="3">
        <v>7061</v>
      </c>
      <c r="B7062" s="1" t="s">
        <v>4226</v>
      </c>
      <c r="D7062" s="1" t="s">
        <v>5412</v>
      </c>
      <c r="F7062" s="1" t="s">
        <v>5466</v>
      </c>
      <c r="H7062" s="1" t="s">
        <v>6729</v>
      </c>
      <c r="J7062" s="1" t="s">
        <v>7432</v>
      </c>
      <c r="L7062" s="1" t="s">
        <v>7500</v>
      </c>
      <c r="N7062" s="1" t="s">
        <v>8021</v>
      </c>
      <c r="P7062" s="1" t="s">
        <v>8022</v>
      </c>
      <c r="Q7062" s="30" t="s">
        <v>2567</v>
      </c>
      <c r="R7062" s="33" t="s">
        <v>3472</v>
      </c>
      <c r="S7062">
        <v>36</v>
      </c>
      <c r="T7062" s="1" t="s">
        <v>12971</v>
      </c>
      <c r="U7062" s="1" t="str">
        <f>HYPERLINK("http://ictvonline.org/taxonomy/p/taxonomy-history?taxnode_id=202111502","ICTVonline=202111502")</f>
        <v>ICTVonline=202111502</v>
      </c>
    </row>
    <row r="7063" spans="1:21" x14ac:dyDescent="0.2">
      <c r="A7063" s="3">
        <v>7062</v>
      </c>
      <c r="B7063" s="1" t="s">
        <v>4226</v>
      </c>
      <c r="D7063" s="1" t="s">
        <v>5412</v>
      </c>
      <c r="F7063" s="1" t="s">
        <v>5466</v>
      </c>
      <c r="H7063" s="1" t="s">
        <v>6729</v>
      </c>
      <c r="J7063" s="1" t="s">
        <v>7432</v>
      </c>
      <c r="L7063" s="1" t="s">
        <v>7500</v>
      </c>
      <c r="N7063" s="1" t="s">
        <v>8023</v>
      </c>
      <c r="P7063" s="1" t="s">
        <v>8024</v>
      </c>
      <c r="Q7063" s="30" t="s">
        <v>2567</v>
      </c>
      <c r="R7063" s="33" t="s">
        <v>3472</v>
      </c>
      <c r="S7063">
        <v>36</v>
      </c>
      <c r="T7063" s="1" t="s">
        <v>12971</v>
      </c>
      <c r="U7063" s="1" t="str">
        <f>HYPERLINK("http://ictvonline.org/taxonomy/p/taxonomy-history?taxnode_id=202111504","ICTVonline=202111504")</f>
        <v>ICTVonline=202111504</v>
      </c>
    </row>
    <row r="7064" spans="1:21" x14ac:dyDescent="0.2">
      <c r="A7064" s="3">
        <v>7063</v>
      </c>
      <c r="B7064" s="1" t="s">
        <v>4226</v>
      </c>
      <c r="D7064" s="1" t="s">
        <v>5412</v>
      </c>
      <c r="F7064" s="1" t="s">
        <v>5466</v>
      </c>
      <c r="H7064" s="1" t="s">
        <v>6729</v>
      </c>
      <c r="J7064" s="1" t="s">
        <v>7432</v>
      </c>
      <c r="L7064" s="1" t="s">
        <v>7500</v>
      </c>
      <c r="N7064" s="1" t="s">
        <v>8025</v>
      </c>
      <c r="P7064" s="1" t="s">
        <v>8026</v>
      </c>
      <c r="Q7064" s="30" t="s">
        <v>2567</v>
      </c>
      <c r="R7064" s="33" t="s">
        <v>3472</v>
      </c>
      <c r="S7064">
        <v>36</v>
      </c>
      <c r="T7064" s="1" t="s">
        <v>12971</v>
      </c>
      <c r="U7064" s="1" t="str">
        <f>HYPERLINK("http://ictvonline.org/taxonomy/p/taxonomy-history?taxnode_id=202111506","ICTVonline=202111506")</f>
        <v>ICTVonline=202111506</v>
      </c>
    </row>
    <row r="7065" spans="1:21" x14ac:dyDescent="0.2">
      <c r="A7065" s="3">
        <v>7064</v>
      </c>
      <c r="B7065" s="1" t="s">
        <v>4226</v>
      </c>
      <c r="D7065" s="1" t="s">
        <v>5412</v>
      </c>
      <c r="F7065" s="1" t="s">
        <v>5466</v>
      </c>
      <c r="H7065" s="1" t="s">
        <v>6729</v>
      </c>
      <c r="J7065" s="1" t="s">
        <v>7432</v>
      </c>
      <c r="L7065" s="1" t="s">
        <v>7500</v>
      </c>
      <c r="N7065" s="1" t="s">
        <v>8025</v>
      </c>
      <c r="P7065" s="1" t="s">
        <v>8027</v>
      </c>
      <c r="Q7065" s="30" t="s">
        <v>2567</v>
      </c>
      <c r="R7065" s="33" t="s">
        <v>3472</v>
      </c>
      <c r="S7065">
        <v>36</v>
      </c>
      <c r="T7065" s="1" t="s">
        <v>12971</v>
      </c>
      <c r="U7065" s="1" t="str">
        <f>HYPERLINK("http://ictvonline.org/taxonomy/p/taxonomy-history?taxnode_id=202111507","ICTVonline=202111507")</f>
        <v>ICTVonline=202111507</v>
      </c>
    </row>
    <row r="7066" spans="1:21" x14ac:dyDescent="0.2">
      <c r="A7066" s="3">
        <v>7065</v>
      </c>
      <c r="B7066" s="1" t="s">
        <v>4226</v>
      </c>
      <c r="D7066" s="1" t="s">
        <v>5412</v>
      </c>
      <c r="F7066" s="1" t="s">
        <v>5466</v>
      </c>
      <c r="H7066" s="1" t="s">
        <v>6729</v>
      </c>
      <c r="J7066" s="1" t="s">
        <v>7432</v>
      </c>
      <c r="L7066" s="1" t="s">
        <v>7500</v>
      </c>
      <c r="N7066" s="1" t="s">
        <v>8025</v>
      </c>
      <c r="P7066" s="1" t="s">
        <v>8028</v>
      </c>
      <c r="Q7066" s="30" t="s">
        <v>2567</v>
      </c>
      <c r="R7066" s="33" t="s">
        <v>3472</v>
      </c>
      <c r="S7066">
        <v>36</v>
      </c>
      <c r="T7066" s="1" t="s">
        <v>12971</v>
      </c>
      <c r="U7066" s="1" t="str">
        <f>HYPERLINK("http://ictvonline.org/taxonomy/p/taxonomy-history?taxnode_id=202111508","ICTVonline=202111508")</f>
        <v>ICTVonline=202111508</v>
      </c>
    </row>
    <row r="7067" spans="1:21" x14ac:dyDescent="0.2">
      <c r="A7067" s="3">
        <v>7066</v>
      </c>
      <c r="B7067" s="1" t="s">
        <v>4226</v>
      </c>
      <c r="D7067" s="1" t="s">
        <v>5412</v>
      </c>
      <c r="F7067" s="1" t="s">
        <v>5466</v>
      </c>
      <c r="H7067" s="1" t="s">
        <v>6729</v>
      </c>
      <c r="N7067" s="1" t="s">
        <v>8029</v>
      </c>
      <c r="P7067" s="1" t="s">
        <v>8030</v>
      </c>
      <c r="Q7067" s="30" t="s">
        <v>2567</v>
      </c>
      <c r="R7067" s="33" t="s">
        <v>3472</v>
      </c>
      <c r="S7067">
        <v>36</v>
      </c>
      <c r="T7067" s="1" t="s">
        <v>12971</v>
      </c>
      <c r="U7067" s="1" t="str">
        <f>HYPERLINK("http://ictvonline.org/taxonomy/p/taxonomy-history?taxnode_id=202111510","ICTVonline=202111510")</f>
        <v>ICTVonline=202111510</v>
      </c>
    </row>
    <row r="7068" spans="1:21" x14ac:dyDescent="0.2">
      <c r="A7068" s="3">
        <v>7067</v>
      </c>
      <c r="B7068" s="1" t="s">
        <v>4226</v>
      </c>
      <c r="D7068" s="1" t="s">
        <v>5412</v>
      </c>
      <c r="F7068" s="1" t="s">
        <v>5466</v>
      </c>
      <c r="H7068" s="1" t="s">
        <v>6729</v>
      </c>
      <c r="N7068" s="1" t="s">
        <v>8031</v>
      </c>
      <c r="P7068" s="1" t="s">
        <v>8032</v>
      </c>
      <c r="Q7068" s="30" t="s">
        <v>2567</v>
      </c>
      <c r="R7068" s="33" t="s">
        <v>3472</v>
      </c>
      <c r="S7068">
        <v>36</v>
      </c>
      <c r="T7068" s="1" t="s">
        <v>12971</v>
      </c>
      <c r="U7068" s="1" t="str">
        <f>HYPERLINK("http://ictvonline.org/taxonomy/p/taxonomy-history?taxnode_id=202111512","ICTVonline=202111512")</f>
        <v>ICTVonline=202111512</v>
      </c>
    </row>
    <row r="7069" spans="1:21" x14ac:dyDescent="0.2">
      <c r="A7069" s="3">
        <v>7068</v>
      </c>
      <c r="B7069" s="1" t="s">
        <v>4226</v>
      </c>
      <c r="D7069" s="1" t="s">
        <v>5412</v>
      </c>
      <c r="F7069" s="1" t="s">
        <v>5466</v>
      </c>
      <c r="H7069" s="1" t="s">
        <v>6729</v>
      </c>
      <c r="N7069" s="1" t="s">
        <v>8033</v>
      </c>
      <c r="P7069" s="1" t="s">
        <v>8034</v>
      </c>
      <c r="Q7069" s="30" t="s">
        <v>2567</v>
      </c>
      <c r="R7069" s="33" t="s">
        <v>3472</v>
      </c>
      <c r="S7069">
        <v>36</v>
      </c>
      <c r="T7069" s="1" t="s">
        <v>12971</v>
      </c>
      <c r="U7069" s="1" t="str">
        <f>HYPERLINK("http://ictvonline.org/taxonomy/p/taxonomy-history?taxnode_id=202111514","ICTVonline=202111514")</f>
        <v>ICTVonline=202111514</v>
      </c>
    </row>
    <row r="7070" spans="1:21" x14ac:dyDescent="0.2">
      <c r="A7070" s="3">
        <v>7069</v>
      </c>
      <c r="B7070" s="1" t="s">
        <v>4226</v>
      </c>
      <c r="D7070" s="1" t="s">
        <v>5412</v>
      </c>
      <c r="F7070" s="1" t="s">
        <v>5466</v>
      </c>
      <c r="H7070" s="1" t="s">
        <v>6729</v>
      </c>
      <c r="N7070" s="1" t="s">
        <v>8035</v>
      </c>
      <c r="P7070" s="1" t="s">
        <v>8036</v>
      </c>
      <c r="Q7070" s="30" t="s">
        <v>2567</v>
      </c>
      <c r="R7070" s="33" t="s">
        <v>3472</v>
      </c>
      <c r="S7070">
        <v>36</v>
      </c>
      <c r="T7070" s="1" t="s">
        <v>12971</v>
      </c>
      <c r="U7070" s="1" t="str">
        <f>HYPERLINK("http://ictvonline.org/taxonomy/p/taxonomy-history?taxnode_id=202111516","ICTVonline=202111516")</f>
        <v>ICTVonline=202111516</v>
      </c>
    </row>
    <row r="7071" spans="1:21" x14ac:dyDescent="0.2">
      <c r="A7071" s="3">
        <v>7070</v>
      </c>
      <c r="B7071" s="1" t="s">
        <v>4226</v>
      </c>
      <c r="D7071" s="1" t="s">
        <v>5412</v>
      </c>
      <c r="F7071" s="1" t="s">
        <v>5466</v>
      </c>
      <c r="H7071" s="1" t="s">
        <v>6729</v>
      </c>
      <c r="N7071" s="1" t="s">
        <v>8037</v>
      </c>
      <c r="P7071" s="1" t="s">
        <v>8038</v>
      </c>
      <c r="Q7071" s="30" t="s">
        <v>2567</v>
      </c>
      <c r="R7071" s="33" t="s">
        <v>3472</v>
      </c>
      <c r="S7071">
        <v>36</v>
      </c>
      <c r="T7071" s="1" t="s">
        <v>12971</v>
      </c>
      <c r="U7071" s="1" t="str">
        <f>HYPERLINK("http://ictvonline.org/taxonomy/p/taxonomy-history?taxnode_id=202111518","ICTVonline=202111518")</f>
        <v>ICTVonline=202111518</v>
      </c>
    </row>
    <row r="7072" spans="1:21" x14ac:dyDescent="0.2">
      <c r="A7072" s="3">
        <v>7071</v>
      </c>
      <c r="B7072" s="1" t="s">
        <v>4226</v>
      </c>
      <c r="D7072" s="1" t="s">
        <v>5412</v>
      </c>
      <c r="F7072" s="1" t="s">
        <v>5466</v>
      </c>
      <c r="H7072" s="1" t="s">
        <v>6729</v>
      </c>
      <c r="N7072" s="1" t="s">
        <v>8039</v>
      </c>
      <c r="P7072" s="1" t="s">
        <v>8040</v>
      </c>
      <c r="Q7072" s="30" t="s">
        <v>2567</v>
      </c>
      <c r="R7072" s="33" t="s">
        <v>3472</v>
      </c>
      <c r="S7072">
        <v>36</v>
      </c>
      <c r="T7072" s="1" t="s">
        <v>12971</v>
      </c>
      <c r="U7072" s="1" t="str">
        <f>HYPERLINK("http://ictvonline.org/taxonomy/p/taxonomy-history?taxnode_id=202111520","ICTVonline=202111520")</f>
        <v>ICTVonline=202111520</v>
      </c>
    </row>
    <row r="7073" spans="1:21" x14ac:dyDescent="0.2">
      <c r="A7073" s="3">
        <v>7072</v>
      </c>
      <c r="B7073" s="1" t="s">
        <v>4226</v>
      </c>
      <c r="D7073" s="1" t="s">
        <v>5412</v>
      </c>
      <c r="F7073" s="1" t="s">
        <v>5466</v>
      </c>
      <c r="H7073" s="1" t="s">
        <v>6729</v>
      </c>
      <c r="N7073" s="1" t="s">
        <v>8041</v>
      </c>
      <c r="P7073" s="1" t="s">
        <v>8042</v>
      </c>
      <c r="Q7073" s="30" t="s">
        <v>2567</v>
      </c>
      <c r="R7073" s="33" t="s">
        <v>3472</v>
      </c>
      <c r="S7073">
        <v>36</v>
      </c>
      <c r="T7073" s="1" t="s">
        <v>12971</v>
      </c>
      <c r="U7073" s="1" t="str">
        <f>HYPERLINK("http://ictvonline.org/taxonomy/p/taxonomy-history?taxnode_id=202111522","ICTVonline=202111522")</f>
        <v>ICTVonline=202111522</v>
      </c>
    </row>
    <row r="7074" spans="1:21" x14ac:dyDescent="0.2">
      <c r="A7074" s="3">
        <v>7073</v>
      </c>
      <c r="B7074" s="1" t="s">
        <v>4226</v>
      </c>
      <c r="D7074" s="1" t="s">
        <v>5412</v>
      </c>
      <c r="F7074" s="1" t="s">
        <v>5466</v>
      </c>
      <c r="H7074" s="1" t="s">
        <v>6729</v>
      </c>
      <c r="N7074" s="1" t="s">
        <v>8043</v>
      </c>
      <c r="P7074" s="1" t="s">
        <v>8044</v>
      </c>
      <c r="Q7074" s="30" t="s">
        <v>2567</v>
      </c>
      <c r="R7074" s="33" t="s">
        <v>3472</v>
      </c>
      <c r="S7074">
        <v>36</v>
      </c>
      <c r="T7074" s="1" t="s">
        <v>12971</v>
      </c>
      <c r="U7074" s="1" t="str">
        <f>HYPERLINK("http://ictvonline.org/taxonomy/p/taxonomy-history?taxnode_id=202111524","ICTVonline=202111524")</f>
        <v>ICTVonline=202111524</v>
      </c>
    </row>
    <row r="7075" spans="1:21" x14ac:dyDescent="0.2">
      <c r="A7075" s="3">
        <v>7074</v>
      </c>
      <c r="B7075" s="1" t="s">
        <v>4226</v>
      </c>
      <c r="D7075" s="1" t="s">
        <v>5412</v>
      </c>
      <c r="F7075" s="1" t="s">
        <v>5466</v>
      </c>
      <c r="H7075" s="1" t="s">
        <v>6729</v>
      </c>
      <c r="N7075" s="1" t="s">
        <v>8045</v>
      </c>
      <c r="P7075" s="1" t="s">
        <v>8046</v>
      </c>
      <c r="Q7075" s="30" t="s">
        <v>2567</v>
      </c>
      <c r="R7075" s="33" t="s">
        <v>3472</v>
      </c>
      <c r="S7075">
        <v>36</v>
      </c>
      <c r="T7075" s="1" t="s">
        <v>12971</v>
      </c>
      <c r="U7075" s="1" t="str">
        <f>HYPERLINK("http://ictvonline.org/taxonomy/p/taxonomy-history?taxnode_id=202111526","ICTVonline=202111526")</f>
        <v>ICTVonline=202111526</v>
      </c>
    </row>
    <row r="7076" spans="1:21" x14ac:dyDescent="0.2">
      <c r="A7076" s="3">
        <v>7075</v>
      </c>
      <c r="B7076" s="1" t="s">
        <v>4226</v>
      </c>
      <c r="D7076" s="1" t="s">
        <v>5412</v>
      </c>
      <c r="F7076" s="1" t="s">
        <v>5466</v>
      </c>
      <c r="H7076" s="1" t="s">
        <v>5472</v>
      </c>
      <c r="J7076" s="1" t="s">
        <v>5473</v>
      </c>
      <c r="L7076" s="1" t="s">
        <v>4443</v>
      </c>
      <c r="N7076" s="1" t="s">
        <v>12974</v>
      </c>
      <c r="P7076" s="1" t="s">
        <v>12975</v>
      </c>
      <c r="Q7076" s="30" t="s">
        <v>2567</v>
      </c>
      <c r="R7076" s="33" t="s">
        <v>3472</v>
      </c>
      <c r="S7076">
        <v>37</v>
      </c>
      <c r="T7076" s="1" t="s">
        <v>14004</v>
      </c>
      <c r="U7076" s="1" t="str">
        <f>HYPERLINK("http://ictvonline.org/taxonomy/p/taxonomy-history?taxnode_id=202112532","ICTVonline=202112532")</f>
        <v>ICTVonline=202112532</v>
      </c>
    </row>
    <row r="7077" spans="1:21" x14ac:dyDescent="0.2">
      <c r="A7077" s="3">
        <v>7076</v>
      </c>
      <c r="B7077" s="1" t="s">
        <v>4226</v>
      </c>
      <c r="D7077" s="1" t="s">
        <v>5412</v>
      </c>
      <c r="F7077" s="1" t="s">
        <v>5466</v>
      </c>
      <c r="H7077" s="1" t="s">
        <v>5472</v>
      </c>
      <c r="J7077" s="1" t="s">
        <v>5473</v>
      </c>
      <c r="L7077" s="1" t="s">
        <v>4443</v>
      </c>
      <c r="N7077" s="1" t="s">
        <v>12974</v>
      </c>
      <c r="P7077" s="1" t="s">
        <v>12976</v>
      </c>
      <c r="Q7077" s="30" t="s">
        <v>2567</v>
      </c>
      <c r="R7077" s="33" t="s">
        <v>3472</v>
      </c>
      <c r="S7077">
        <v>37</v>
      </c>
      <c r="T7077" s="1" t="s">
        <v>14004</v>
      </c>
      <c r="U7077" s="1" t="str">
        <f>HYPERLINK("http://ictvonline.org/taxonomy/p/taxonomy-history?taxnode_id=202112533","ICTVonline=202112533")</f>
        <v>ICTVonline=202112533</v>
      </c>
    </row>
    <row r="7078" spans="1:21" x14ac:dyDescent="0.2">
      <c r="A7078" s="3">
        <v>7077</v>
      </c>
      <c r="B7078" s="1" t="s">
        <v>4226</v>
      </c>
      <c r="D7078" s="1" t="s">
        <v>5412</v>
      </c>
      <c r="F7078" s="1" t="s">
        <v>5466</v>
      </c>
      <c r="H7078" s="1" t="s">
        <v>5472</v>
      </c>
      <c r="J7078" s="1" t="s">
        <v>5473</v>
      </c>
      <c r="L7078" s="1" t="s">
        <v>4443</v>
      </c>
      <c r="N7078" s="1" t="s">
        <v>12974</v>
      </c>
      <c r="P7078" s="1" t="s">
        <v>12977</v>
      </c>
      <c r="Q7078" s="30" t="s">
        <v>2567</v>
      </c>
      <c r="R7078" s="33" t="s">
        <v>3472</v>
      </c>
      <c r="S7078">
        <v>37</v>
      </c>
      <c r="T7078" s="1" t="s">
        <v>14004</v>
      </c>
      <c r="U7078" s="1" t="str">
        <f>HYPERLINK("http://ictvonline.org/taxonomy/p/taxonomy-history?taxnode_id=202112535","ICTVonline=202112535")</f>
        <v>ICTVonline=202112535</v>
      </c>
    </row>
    <row r="7079" spans="1:21" x14ac:dyDescent="0.2">
      <c r="A7079" s="3">
        <v>7078</v>
      </c>
      <c r="B7079" s="1" t="s">
        <v>4226</v>
      </c>
      <c r="D7079" s="1" t="s">
        <v>5412</v>
      </c>
      <c r="F7079" s="1" t="s">
        <v>5466</v>
      </c>
      <c r="H7079" s="1" t="s">
        <v>5472</v>
      </c>
      <c r="J7079" s="1" t="s">
        <v>5473</v>
      </c>
      <c r="L7079" s="1" t="s">
        <v>4443</v>
      </c>
      <c r="N7079" s="1" t="s">
        <v>12974</v>
      </c>
      <c r="P7079" s="1" t="s">
        <v>12978</v>
      </c>
      <c r="Q7079" s="30" t="s">
        <v>2567</v>
      </c>
      <c r="R7079" s="33" t="s">
        <v>3473</v>
      </c>
      <c r="S7079">
        <v>37</v>
      </c>
      <c r="T7079" s="1" t="s">
        <v>14004</v>
      </c>
      <c r="U7079" s="1" t="str">
        <f>HYPERLINK("http://ictvonline.org/taxonomy/p/taxonomy-history?taxnode_id=202108723","ICTVonline=202108723")</f>
        <v>ICTVonline=202108723</v>
      </c>
    </row>
    <row r="7080" spans="1:21" x14ac:dyDescent="0.2">
      <c r="A7080" s="3">
        <v>7079</v>
      </c>
      <c r="B7080" s="1" t="s">
        <v>4226</v>
      </c>
      <c r="D7080" s="1" t="s">
        <v>5412</v>
      </c>
      <c r="F7080" s="1" t="s">
        <v>5466</v>
      </c>
      <c r="H7080" s="1" t="s">
        <v>5472</v>
      </c>
      <c r="J7080" s="1" t="s">
        <v>5473</v>
      </c>
      <c r="L7080" s="1" t="s">
        <v>4443</v>
      </c>
      <c r="N7080" s="1" t="s">
        <v>12974</v>
      </c>
      <c r="P7080" s="1" t="s">
        <v>12979</v>
      </c>
      <c r="Q7080" s="30" t="s">
        <v>2567</v>
      </c>
      <c r="R7080" s="33" t="s">
        <v>3472</v>
      </c>
      <c r="S7080">
        <v>37</v>
      </c>
      <c r="T7080" s="1" t="s">
        <v>14004</v>
      </c>
      <c r="U7080" s="1" t="str">
        <f>HYPERLINK("http://ictvonline.org/taxonomy/p/taxonomy-history?taxnode_id=202112536","ICTVonline=202112536")</f>
        <v>ICTVonline=202112536</v>
      </c>
    </row>
    <row r="7081" spans="1:21" x14ac:dyDescent="0.2">
      <c r="A7081" s="3">
        <v>7080</v>
      </c>
      <c r="B7081" s="1" t="s">
        <v>4226</v>
      </c>
      <c r="D7081" s="1" t="s">
        <v>5412</v>
      </c>
      <c r="F7081" s="1" t="s">
        <v>5466</v>
      </c>
      <c r="H7081" s="1" t="s">
        <v>5472</v>
      </c>
      <c r="J7081" s="1" t="s">
        <v>5473</v>
      </c>
      <c r="L7081" s="1" t="s">
        <v>4443</v>
      </c>
      <c r="N7081" s="1" t="s">
        <v>12974</v>
      </c>
      <c r="P7081" s="1" t="s">
        <v>12980</v>
      </c>
      <c r="Q7081" s="30" t="s">
        <v>2567</v>
      </c>
      <c r="R7081" s="33" t="s">
        <v>3472</v>
      </c>
      <c r="S7081">
        <v>37</v>
      </c>
      <c r="T7081" s="1" t="s">
        <v>14004</v>
      </c>
      <c r="U7081" s="1" t="str">
        <f>HYPERLINK("http://ictvonline.org/taxonomy/p/taxonomy-history?taxnode_id=202112538","ICTVonline=202112538")</f>
        <v>ICTVonline=202112538</v>
      </c>
    </row>
    <row r="7082" spans="1:21" x14ac:dyDescent="0.2">
      <c r="A7082" s="3">
        <v>7081</v>
      </c>
      <c r="B7082" s="1" t="s">
        <v>4226</v>
      </c>
      <c r="D7082" s="1" t="s">
        <v>5412</v>
      </c>
      <c r="F7082" s="1" t="s">
        <v>5466</v>
      </c>
      <c r="H7082" s="1" t="s">
        <v>5472</v>
      </c>
      <c r="J7082" s="1" t="s">
        <v>5473</v>
      </c>
      <c r="L7082" s="1" t="s">
        <v>4443</v>
      </c>
      <c r="N7082" s="1" t="s">
        <v>12974</v>
      </c>
      <c r="P7082" s="1" t="s">
        <v>12981</v>
      </c>
      <c r="Q7082" s="30" t="s">
        <v>2567</v>
      </c>
      <c r="R7082" s="33" t="s">
        <v>3472</v>
      </c>
      <c r="S7082">
        <v>37</v>
      </c>
      <c r="T7082" s="1" t="s">
        <v>14004</v>
      </c>
      <c r="U7082" s="1" t="str">
        <f>HYPERLINK("http://ictvonline.org/taxonomy/p/taxonomy-history?taxnode_id=202112534","ICTVonline=202112534")</f>
        <v>ICTVonline=202112534</v>
      </c>
    </row>
    <row r="7083" spans="1:21" x14ac:dyDescent="0.2">
      <c r="A7083" s="3">
        <v>7082</v>
      </c>
      <c r="B7083" s="1" t="s">
        <v>4226</v>
      </c>
      <c r="D7083" s="1" t="s">
        <v>5412</v>
      </c>
      <c r="F7083" s="1" t="s">
        <v>5466</v>
      </c>
      <c r="H7083" s="1" t="s">
        <v>5472</v>
      </c>
      <c r="J7083" s="1" t="s">
        <v>5473</v>
      </c>
      <c r="L7083" s="1" t="s">
        <v>4443</v>
      </c>
      <c r="N7083" s="1" t="s">
        <v>12974</v>
      </c>
      <c r="P7083" s="1" t="s">
        <v>12982</v>
      </c>
      <c r="Q7083" s="30" t="s">
        <v>2567</v>
      </c>
      <c r="R7083" s="33" t="s">
        <v>3473</v>
      </c>
      <c r="S7083">
        <v>37</v>
      </c>
      <c r="T7083" s="1" t="s">
        <v>14004</v>
      </c>
      <c r="U7083" s="1" t="str">
        <f>HYPERLINK("http://ictvonline.org/taxonomy/p/taxonomy-history?taxnode_id=202108724","ICTVonline=202108724")</f>
        <v>ICTVonline=202108724</v>
      </c>
    </row>
    <row r="7084" spans="1:21" x14ac:dyDescent="0.2">
      <c r="A7084" s="3">
        <v>7083</v>
      </c>
      <c r="B7084" s="1" t="s">
        <v>4226</v>
      </c>
      <c r="D7084" s="1" t="s">
        <v>5412</v>
      </c>
      <c r="F7084" s="1" t="s">
        <v>5466</v>
      </c>
      <c r="H7084" s="1" t="s">
        <v>5472</v>
      </c>
      <c r="J7084" s="1" t="s">
        <v>5473</v>
      </c>
      <c r="L7084" s="1" t="s">
        <v>4443</v>
      </c>
      <c r="N7084" s="1" t="s">
        <v>12974</v>
      </c>
      <c r="P7084" s="1" t="s">
        <v>12983</v>
      </c>
      <c r="Q7084" s="30" t="s">
        <v>2567</v>
      </c>
      <c r="R7084" s="33" t="s">
        <v>3472</v>
      </c>
      <c r="S7084">
        <v>37</v>
      </c>
      <c r="T7084" s="1" t="s">
        <v>14004</v>
      </c>
      <c r="U7084" s="1" t="str">
        <f>HYPERLINK("http://ictvonline.org/taxonomy/p/taxonomy-history?taxnode_id=202112539","ICTVonline=202112539")</f>
        <v>ICTVonline=202112539</v>
      </c>
    </row>
    <row r="7085" spans="1:21" x14ac:dyDescent="0.2">
      <c r="A7085" s="3">
        <v>7084</v>
      </c>
      <c r="B7085" s="1" t="s">
        <v>4226</v>
      </c>
      <c r="D7085" s="1" t="s">
        <v>5412</v>
      </c>
      <c r="F7085" s="1" t="s">
        <v>5466</v>
      </c>
      <c r="H7085" s="1" t="s">
        <v>5472</v>
      </c>
      <c r="J7085" s="1" t="s">
        <v>5473</v>
      </c>
      <c r="L7085" s="1" t="s">
        <v>4443</v>
      </c>
      <c r="N7085" s="1" t="s">
        <v>12974</v>
      </c>
      <c r="P7085" s="1" t="s">
        <v>12984</v>
      </c>
      <c r="Q7085" s="30" t="s">
        <v>2567</v>
      </c>
      <c r="R7085" s="33" t="s">
        <v>3472</v>
      </c>
      <c r="S7085">
        <v>37</v>
      </c>
      <c r="T7085" s="1" t="s">
        <v>14004</v>
      </c>
      <c r="U7085" s="1" t="str">
        <f>HYPERLINK("http://ictvonline.org/taxonomy/p/taxonomy-history?taxnode_id=202112537","ICTVonline=202112537")</f>
        <v>ICTVonline=202112537</v>
      </c>
    </row>
    <row r="7086" spans="1:21" x14ac:dyDescent="0.2">
      <c r="A7086" s="3">
        <v>7085</v>
      </c>
      <c r="B7086" s="1" t="s">
        <v>4226</v>
      </c>
      <c r="D7086" s="1" t="s">
        <v>5412</v>
      </c>
      <c r="F7086" s="1" t="s">
        <v>5466</v>
      </c>
      <c r="H7086" s="1" t="s">
        <v>5472</v>
      </c>
      <c r="J7086" s="1" t="s">
        <v>5473</v>
      </c>
      <c r="L7086" s="1" t="s">
        <v>4443</v>
      </c>
      <c r="N7086" s="1" t="s">
        <v>12985</v>
      </c>
      <c r="P7086" s="1" t="s">
        <v>12986</v>
      </c>
      <c r="Q7086" s="30" t="s">
        <v>2567</v>
      </c>
      <c r="R7086" s="33" t="s">
        <v>3472</v>
      </c>
      <c r="S7086">
        <v>37</v>
      </c>
      <c r="T7086" s="1" t="s">
        <v>14004</v>
      </c>
      <c r="U7086" s="1" t="str">
        <f>HYPERLINK("http://ictvonline.org/taxonomy/p/taxonomy-history?taxnode_id=202113250","ICTVonline=202113250")</f>
        <v>ICTVonline=202113250</v>
      </c>
    </row>
    <row r="7087" spans="1:21" x14ac:dyDescent="0.2">
      <c r="A7087" s="3">
        <v>7086</v>
      </c>
      <c r="B7087" s="1" t="s">
        <v>4226</v>
      </c>
      <c r="D7087" s="1" t="s">
        <v>5412</v>
      </c>
      <c r="F7087" s="1" t="s">
        <v>5466</v>
      </c>
      <c r="H7087" s="1" t="s">
        <v>5472</v>
      </c>
      <c r="J7087" s="1" t="s">
        <v>5473</v>
      </c>
      <c r="L7087" s="1" t="s">
        <v>4443</v>
      </c>
      <c r="N7087" s="1" t="s">
        <v>12987</v>
      </c>
      <c r="P7087" s="1" t="s">
        <v>12988</v>
      </c>
      <c r="Q7087" s="30" t="s">
        <v>2567</v>
      </c>
      <c r="R7087" s="33" t="s">
        <v>3472</v>
      </c>
      <c r="S7087">
        <v>37</v>
      </c>
      <c r="T7087" s="1" t="s">
        <v>14004</v>
      </c>
      <c r="U7087" s="1" t="str">
        <f>HYPERLINK("http://ictvonline.org/taxonomy/p/taxonomy-history?taxnode_id=202112557","ICTVonline=202112557")</f>
        <v>ICTVonline=202112557</v>
      </c>
    </row>
    <row r="7088" spans="1:21" x14ac:dyDescent="0.2">
      <c r="A7088" s="3">
        <v>7087</v>
      </c>
      <c r="B7088" s="1" t="s">
        <v>4226</v>
      </c>
      <c r="D7088" s="1" t="s">
        <v>5412</v>
      </c>
      <c r="F7088" s="1" t="s">
        <v>5466</v>
      </c>
      <c r="H7088" s="1" t="s">
        <v>5472</v>
      </c>
      <c r="J7088" s="1" t="s">
        <v>5473</v>
      </c>
      <c r="L7088" s="1" t="s">
        <v>4443</v>
      </c>
      <c r="N7088" s="1" t="s">
        <v>12987</v>
      </c>
      <c r="P7088" s="1" t="s">
        <v>12989</v>
      </c>
      <c r="Q7088" s="30" t="s">
        <v>2567</v>
      </c>
      <c r="R7088" s="33" t="s">
        <v>3472</v>
      </c>
      <c r="S7088">
        <v>37</v>
      </c>
      <c r="T7088" s="1" t="s">
        <v>14004</v>
      </c>
      <c r="U7088" s="1" t="str">
        <f>HYPERLINK("http://ictvonline.org/taxonomy/p/taxonomy-history?taxnode_id=202112558","ICTVonline=202112558")</f>
        <v>ICTVonline=202112558</v>
      </c>
    </row>
    <row r="7089" spans="1:21" x14ac:dyDescent="0.2">
      <c r="A7089" s="3">
        <v>7088</v>
      </c>
      <c r="B7089" s="1" t="s">
        <v>4226</v>
      </c>
      <c r="D7089" s="1" t="s">
        <v>5412</v>
      </c>
      <c r="F7089" s="1" t="s">
        <v>5466</v>
      </c>
      <c r="H7089" s="1" t="s">
        <v>5472</v>
      </c>
      <c r="J7089" s="1" t="s">
        <v>5473</v>
      </c>
      <c r="L7089" s="1" t="s">
        <v>4443</v>
      </c>
      <c r="N7089" s="1" t="s">
        <v>12987</v>
      </c>
      <c r="P7089" s="1" t="s">
        <v>12990</v>
      </c>
      <c r="Q7089" s="30" t="s">
        <v>2567</v>
      </c>
      <c r="R7089" s="33" t="s">
        <v>3472</v>
      </c>
      <c r="S7089">
        <v>37</v>
      </c>
      <c r="T7089" s="1" t="s">
        <v>14004</v>
      </c>
      <c r="U7089" s="1" t="str">
        <f>HYPERLINK("http://ictvonline.org/taxonomy/p/taxonomy-history?taxnode_id=202112556","ICTVonline=202112556")</f>
        <v>ICTVonline=202112556</v>
      </c>
    </row>
    <row r="7090" spans="1:21" x14ac:dyDescent="0.2">
      <c r="A7090" s="3">
        <v>7089</v>
      </c>
      <c r="B7090" s="1" t="s">
        <v>4226</v>
      </c>
      <c r="D7090" s="1" t="s">
        <v>5412</v>
      </c>
      <c r="F7090" s="1" t="s">
        <v>5466</v>
      </c>
      <c r="H7090" s="1" t="s">
        <v>5472</v>
      </c>
      <c r="J7090" s="1" t="s">
        <v>5473</v>
      </c>
      <c r="L7090" s="1" t="s">
        <v>4443</v>
      </c>
      <c r="N7090" s="1" t="s">
        <v>12987</v>
      </c>
      <c r="P7090" s="1" t="s">
        <v>12991</v>
      </c>
      <c r="Q7090" s="30" t="s">
        <v>2567</v>
      </c>
      <c r="R7090" s="33" t="s">
        <v>3472</v>
      </c>
      <c r="S7090">
        <v>37</v>
      </c>
      <c r="T7090" s="1" t="s">
        <v>14004</v>
      </c>
      <c r="U7090" s="1" t="str">
        <f>HYPERLINK("http://ictvonline.org/taxonomy/p/taxonomy-history?taxnode_id=202112560","ICTVonline=202112560")</f>
        <v>ICTVonline=202112560</v>
      </c>
    </row>
    <row r="7091" spans="1:21" x14ac:dyDescent="0.2">
      <c r="A7091" s="3">
        <v>7090</v>
      </c>
      <c r="B7091" s="1" t="s">
        <v>4226</v>
      </c>
      <c r="D7091" s="1" t="s">
        <v>5412</v>
      </c>
      <c r="F7091" s="1" t="s">
        <v>5466</v>
      </c>
      <c r="H7091" s="1" t="s">
        <v>5472</v>
      </c>
      <c r="J7091" s="1" t="s">
        <v>5473</v>
      </c>
      <c r="L7091" s="1" t="s">
        <v>4443</v>
      </c>
      <c r="N7091" s="1" t="s">
        <v>12987</v>
      </c>
      <c r="P7091" s="1" t="s">
        <v>12992</v>
      </c>
      <c r="Q7091" s="30" t="s">
        <v>2567</v>
      </c>
      <c r="R7091" s="33" t="s">
        <v>3472</v>
      </c>
      <c r="S7091">
        <v>37</v>
      </c>
      <c r="T7091" s="1" t="s">
        <v>14004</v>
      </c>
      <c r="U7091" s="1" t="str">
        <f>HYPERLINK("http://ictvonline.org/taxonomy/p/taxonomy-history?taxnode_id=202112561","ICTVonline=202112561")</f>
        <v>ICTVonline=202112561</v>
      </c>
    </row>
    <row r="7092" spans="1:21" x14ac:dyDescent="0.2">
      <c r="A7092" s="3">
        <v>7091</v>
      </c>
      <c r="B7092" s="1" t="s">
        <v>4226</v>
      </c>
      <c r="D7092" s="1" t="s">
        <v>5412</v>
      </c>
      <c r="F7092" s="1" t="s">
        <v>5466</v>
      </c>
      <c r="H7092" s="1" t="s">
        <v>5472</v>
      </c>
      <c r="J7092" s="1" t="s">
        <v>5473</v>
      </c>
      <c r="L7092" s="1" t="s">
        <v>4443</v>
      </c>
      <c r="N7092" s="1" t="s">
        <v>12987</v>
      </c>
      <c r="P7092" s="1" t="s">
        <v>12993</v>
      </c>
      <c r="Q7092" s="30" t="s">
        <v>2567</v>
      </c>
      <c r="R7092" s="33" t="s">
        <v>3472</v>
      </c>
      <c r="S7092">
        <v>37</v>
      </c>
      <c r="T7092" s="1" t="s">
        <v>14004</v>
      </c>
      <c r="U7092" s="1" t="str">
        <f>HYPERLINK("http://ictvonline.org/taxonomy/p/taxonomy-history?taxnode_id=202112563","ICTVonline=202112563")</f>
        <v>ICTVonline=202112563</v>
      </c>
    </row>
    <row r="7093" spans="1:21" x14ac:dyDescent="0.2">
      <c r="A7093" s="3">
        <v>7092</v>
      </c>
      <c r="B7093" s="1" t="s">
        <v>4226</v>
      </c>
      <c r="D7093" s="1" t="s">
        <v>5412</v>
      </c>
      <c r="F7093" s="1" t="s">
        <v>5466</v>
      </c>
      <c r="H7093" s="1" t="s">
        <v>5472</v>
      </c>
      <c r="J7093" s="1" t="s">
        <v>5473</v>
      </c>
      <c r="L7093" s="1" t="s">
        <v>4443</v>
      </c>
      <c r="N7093" s="1" t="s">
        <v>12987</v>
      </c>
      <c r="P7093" s="1" t="s">
        <v>12994</v>
      </c>
      <c r="Q7093" s="30" t="s">
        <v>2567</v>
      </c>
      <c r="R7093" s="33" t="s">
        <v>3472</v>
      </c>
      <c r="S7093">
        <v>37</v>
      </c>
      <c r="T7093" s="1" t="s">
        <v>14004</v>
      </c>
      <c r="U7093" s="1" t="str">
        <f>HYPERLINK("http://ictvonline.org/taxonomy/p/taxonomy-history?taxnode_id=202112559","ICTVonline=202112559")</f>
        <v>ICTVonline=202112559</v>
      </c>
    </row>
    <row r="7094" spans="1:21" x14ac:dyDescent="0.2">
      <c r="A7094" s="3">
        <v>7093</v>
      </c>
      <c r="B7094" s="1" t="s">
        <v>4226</v>
      </c>
      <c r="D7094" s="1" t="s">
        <v>5412</v>
      </c>
      <c r="F7094" s="1" t="s">
        <v>5466</v>
      </c>
      <c r="H7094" s="1" t="s">
        <v>5472</v>
      </c>
      <c r="J7094" s="1" t="s">
        <v>5473</v>
      </c>
      <c r="L7094" s="1" t="s">
        <v>4443</v>
      </c>
      <c r="N7094" s="1" t="s">
        <v>12987</v>
      </c>
      <c r="P7094" s="1" t="s">
        <v>12995</v>
      </c>
      <c r="Q7094" s="30" t="s">
        <v>2567</v>
      </c>
      <c r="R7094" s="33" t="s">
        <v>3472</v>
      </c>
      <c r="S7094">
        <v>37</v>
      </c>
      <c r="T7094" s="1" t="s">
        <v>14004</v>
      </c>
      <c r="U7094" s="1" t="str">
        <f>HYPERLINK("http://ictvonline.org/taxonomy/p/taxonomy-history?taxnode_id=202112565","ICTVonline=202112565")</f>
        <v>ICTVonline=202112565</v>
      </c>
    </row>
    <row r="7095" spans="1:21" x14ac:dyDescent="0.2">
      <c r="A7095" s="3">
        <v>7094</v>
      </c>
      <c r="B7095" s="1" t="s">
        <v>4226</v>
      </c>
      <c r="D7095" s="1" t="s">
        <v>5412</v>
      </c>
      <c r="F7095" s="1" t="s">
        <v>5466</v>
      </c>
      <c r="H7095" s="1" t="s">
        <v>5472</v>
      </c>
      <c r="J7095" s="1" t="s">
        <v>5473</v>
      </c>
      <c r="L7095" s="1" t="s">
        <v>4443</v>
      </c>
      <c r="N7095" s="1" t="s">
        <v>12987</v>
      </c>
      <c r="P7095" s="1" t="s">
        <v>12996</v>
      </c>
      <c r="Q7095" s="30" t="s">
        <v>2567</v>
      </c>
      <c r="R7095" s="33" t="s">
        <v>3472</v>
      </c>
      <c r="S7095">
        <v>37</v>
      </c>
      <c r="T7095" s="1" t="s">
        <v>14004</v>
      </c>
      <c r="U7095" s="1" t="str">
        <f>HYPERLINK("http://ictvonline.org/taxonomy/p/taxonomy-history?taxnode_id=202112566","ICTVonline=202112566")</f>
        <v>ICTVonline=202112566</v>
      </c>
    </row>
    <row r="7096" spans="1:21" x14ac:dyDescent="0.2">
      <c r="A7096" s="3">
        <v>7095</v>
      </c>
      <c r="B7096" s="1" t="s">
        <v>4226</v>
      </c>
      <c r="D7096" s="1" t="s">
        <v>5412</v>
      </c>
      <c r="F7096" s="1" t="s">
        <v>5466</v>
      </c>
      <c r="H7096" s="1" t="s">
        <v>5472</v>
      </c>
      <c r="J7096" s="1" t="s">
        <v>5473</v>
      </c>
      <c r="L7096" s="1" t="s">
        <v>4443</v>
      </c>
      <c r="N7096" s="1" t="s">
        <v>12987</v>
      </c>
      <c r="P7096" s="1" t="s">
        <v>12997</v>
      </c>
      <c r="Q7096" s="30" t="s">
        <v>2567</v>
      </c>
      <c r="R7096" s="33" t="s">
        <v>3472</v>
      </c>
      <c r="S7096">
        <v>37</v>
      </c>
      <c r="T7096" s="1" t="s">
        <v>14004</v>
      </c>
      <c r="U7096" s="1" t="str">
        <f>HYPERLINK("http://ictvonline.org/taxonomy/p/taxonomy-history?taxnode_id=202112567","ICTVonline=202112567")</f>
        <v>ICTVonline=202112567</v>
      </c>
    </row>
    <row r="7097" spans="1:21" x14ac:dyDescent="0.2">
      <c r="A7097" s="3">
        <v>7096</v>
      </c>
      <c r="B7097" s="1" t="s">
        <v>4226</v>
      </c>
      <c r="D7097" s="1" t="s">
        <v>5412</v>
      </c>
      <c r="F7097" s="1" t="s">
        <v>5466</v>
      </c>
      <c r="H7097" s="1" t="s">
        <v>5472</v>
      </c>
      <c r="J7097" s="1" t="s">
        <v>5473</v>
      </c>
      <c r="L7097" s="1" t="s">
        <v>4443</v>
      </c>
      <c r="N7097" s="1" t="s">
        <v>12987</v>
      </c>
      <c r="P7097" s="1" t="s">
        <v>12998</v>
      </c>
      <c r="Q7097" s="30" t="s">
        <v>2567</v>
      </c>
      <c r="R7097" s="33" t="s">
        <v>3472</v>
      </c>
      <c r="S7097">
        <v>37</v>
      </c>
      <c r="T7097" s="1" t="s">
        <v>14004</v>
      </c>
      <c r="U7097" s="1" t="str">
        <f>HYPERLINK("http://ictvonline.org/taxonomy/p/taxonomy-history?taxnode_id=202112568","ICTVonline=202112568")</f>
        <v>ICTVonline=202112568</v>
      </c>
    </row>
    <row r="7098" spans="1:21" x14ac:dyDescent="0.2">
      <c r="A7098" s="3">
        <v>7097</v>
      </c>
      <c r="B7098" s="1" t="s">
        <v>4226</v>
      </c>
      <c r="D7098" s="1" t="s">
        <v>5412</v>
      </c>
      <c r="F7098" s="1" t="s">
        <v>5466</v>
      </c>
      <c r="H7098" s="1" t="s">
        <v>5472</v>
      </c>
      <c r="J7098" s="1" t="s">
        <v>5473</v>
      </c>
      <c r="L7098" s="1" t="s">
        <v>4443</v>
      </c>
      <c r="N7098" s="1" t="s">
        <v>12987</v>
      </c>
      <c r="P7098" s="1" t="s">
        <v>12999</v>
      </c>
      <c r="Q7098" s="30" t="s">
        <v>2567</v>
      </c>
      <c r="R7098" s="33" t="s">
        <v>3473</v>
      </c>
      <c r="S7098">
        <v>37</v>
      </c>
      <c r="T7098" s="1" t="s">
        <v>14004</v>
      </c>
      <c r="U7098" s="1" t="str">
        <f>HYPERLINK("http://ictvonline.org/taxonomy/p/taxonomy-history?taxnode_id=202108731","ICTVonline=202108731")</f>
        <v>ICTVonline=202108731</v>
      </c>
    </row>
    <row r="7099" spans="1:21" x14ac:dyDescent="0.2">
      <c r="A7099" s="3">
        <v>7098</v>
      </c>
      <c r="B7099" s="1" t="s">
        <v>4226</v>
      </c>
      <c r="D7099" s="1" t="s">
        <v>5412</v>
      </c>
      <c r="F7099" s="1" t="s">
        <v>5466</v>
      </c>
      <c r="H7099" s="1" t="s">
        <v>5472</v>
      </c>
      <c r="J7099" s="1" t="s">
        <v>5473</v>
      </c>
      <c r="L7099" s="1" t="s">
        <v>4443</v>
      </c>
      <c r="N7099" s="1" t="s">
        <v>12987</v>
      </c>
      <c r="P7099" s="1" t="s">
        <v>13000</v>
      </c>
      <c r="Q7099" s="30" t="s">
        <v>2567</v>
      </c>
      <c r="R7099" s="33" t="s">
        <v>3472</v>
      </c>
      <c r="S7099">
        <v>37</v>
      </c>
      <c r="T7099" s="1" t="s">
        <v>14004</v>
      </c>
      <c r="U7099" s="1" t="str">
        <f>HYPERLINK("http://ictvonline.org/taxonomy/p/taxonomy-history?taxnode_id=202112564","ICTVonline=202112564")</f>
        <v>ICTVonline=202112564</v>
      </c>
    </row>
    <row r="7100" spans="1:21" x14ac:dyDescent="0.2">
      <c r="A7100" s="3">
        <v>7099</v>
      </c>
      <c r="B7100" s="1" t="s">
        <v>4226</v>
      </c>
      <c r="D7100" s="1" t="s">
        <v>5412</v>
      </c>
      <c r="F7100" s="1" t="s">
        <v>5466</v>
      </c>
      <c r="H7100" s="1" t="s">
        <v>5472</v>
      </c>
      <c r="J7100" s="1" t="s">
        <v>5473</v>
      </c>
      <c r="L7100" s="1" t="s">
        <v>4443</v>
      </c>
      <c r="N7100" s="1" t="s">
        <v>12987</v>
      </c>
      <c r="P7100" s="1" t="s">
        <v>13001</v>
      </c>
      <c r="Q7100" s="30" t="s">
        <v>2567</v>
      </c>
      <c r="R7100" s="33" t="s">
        <v>3472</v>
      </c>
      <c r="S7100">
        <v>37</v>
      </c>
      <c r="T7100" s="1" t="s">
        <v>14004</v>
      </c>
      <c r="U7100" s="1" t="str">
        <f>HYPERLINK("http://ictvonline.org/taxonomy/p/taxonomy-history?taxnode_id=202112562","ICTVonline=202112562")</f>
        <v>ICTVonline=202112562</v>
      </c>
    </row>
    <row r="7101" spans="1:21" x14ac:dyDescent="0.2">
      <c r="A7101" s="3">
        <v>7100</v>
      </c>
      <c r="B7101" s="1" t="s">
        <v>4226</v>
      </c>
      <c r="D7101" s="1" t="s">
        <v>5412</v>
      </c>
      <c r="F7101" s="1" t="s">
        <v>5466</v>
      </c>
      <c r="H7101" s="1" t="s">
        <v>5472</v>
      </c>
      <c r="J7101" s="1" t="s">
        <v>5473</v>
      </c>
      <c r="L7101" s="1" t="s">
        <v>4443</v>
      </c>
      <c r="N7101" s="1" t="s">
        <v>4444</v>
      </c>
      <c r="P7101" s="1" t="s">
        <v>13002</v>
      </c>
      <c r="Q7101" s="30" t="s">
        <v>2567</v>
      </c>
      <c r="R7101" s="33" t="s">
        <v>3472</v>
      </c>
      <c r="S7101">
        <v>37</v>
      </c>
      <c r="T7101" s="1" t="s">
        <v>14004</v>
      </c>
      <c r="U7101" s="1" t="str">
        <f>HYPERLINK("http://ictvonline.org/taxonomy/p/taxonomy-history?taxnode_id=202112540","ICTVonline=202112540")</f>
        <v>ICTVonline=202112540</v>
      </c>
    </row>
    <row r="7102" spans="1:21" x14ac:dyDescent="0.2">
      <c r="A7102" s="3">
        <v>7101</v>
      </c>
      <c r="B7102" s="1" t="s">
        <v>4226</v>
      </c>
      <c r="D7102" s="1" t="s">
        <v>5412</v>
      </c>
      <c r="F7102" s="1" t="s">
        <v>5466</v>
      </c>
      <c r="H7102" s="1" t="s">
        <v>5472</v>
      </c>
      <c r="J7102" s="1" t="s">
        <v>5473</v>
      </c>
      <c r="L7102" s="1" t="s">
        <v>4443</v>
      </c>
      <c r="N7102" s="1" t="s">
        <v>4444</v>
      </c>
      <c r="P7102" s="1" t="s">
        <v>13003</v>
      </c>
      <c r="Q7102" s="30" t="s">
        <v>2567</v>
      </c>
      <c r="R7102" s="33" t="s">
        <v>3472</v>
      </c>
      <c r="S7102">
        <v>37</v>
      </c>
      <c r="T7102" s="1" t="s">
        <v>14004</v>
      </c>
      <c r="U7102" s="1" t="str">
        <f>HYPERLINK("http://ictvonline.org/taxonomy/p/taxonomy-history?taxnode_id=202112548","ICTVonline=202112548")</f>
        <v>ICTVonline=202112548</v>
      </c>
    </row>
    <row r="7103" spans="1:21" x14ac:dyDescent="0.2">
      <c r="A7103" s="3">
        <v>7102</v>
      </c>
      <c r="B7103" s="1" t="s">
        <v>4226</v>
      </c>
      <c r="D7103" s="1" t="s">
        <v>5412</v>
      </c>
      <c r="F7103" s="1" t="s">
        <v>5466</v>
      </c>
      <c r="H7103" s="1" t="s">
        <v>5472</v>
      </c>
      <c r="J7103" s="1" t="s">
        <v>5473</v>
      </c>
      <c r="L7103" s="1" t="s">
        <v>4443</v>
      </c>
      <c r="N7103" s="1" t="s">
        <v>4444</v>
      </c>
      <c r="P7103" s="1" t="s">
        <v>13004</v>
      </c>
      <c r="Q7103" s="30" t="s">
        <v>2567</v>
      </c>
      <c r="R7103" s="33" t="s">
        <v>3472</v>
      </c>
      <c r="S7103">
        <v>37</v>
      </c>
      <c r="T7103" s="1" t="s">
        <v>14004</v>
      </c>
      <c r="U7103" s="1" t="str">
        <f>HYPERLINK("http://ictvonline.org/taxonomy/p/taxonomy-history?taxnode_id=202112541","ICTVonline=202112541")</f>
        <v>ICTVonline=202112541</v>
      </c>
    </row>
    <row r="7104" spans="1:21" x14ac:dyDescent="0.2">
      <c r="A7104" s="3">
        <v>7103</v>
      </c>
      <c r="B7104" s="1" t="s">
        <v>4226</v>
      </c>
      <c r="D7104" s="1" t="s">
        <v>5412</v>
      </c>
      <c r="F7104" s="1" t="s">
        <v>5466</v>
      </c>
      <c r="H7104" s="1" t="s">
        <v>5472</v>
      </c>
      <c r="J7104" s="1" t="s">
        <v>5473</v>
      </c>
      <c r="L7104" s="1" t="s">
        <v>4443</v>
      </c>
      <c r="N7104" s="1" t="s">
        <v>4444</v>
      </c>
      <c r="P7104" s="1" t="s">
        <v>13005</v>
      </c>
      <c r="Q7104" s="30" t="s">
        <v>2567</v>
      </c>
      <c r="R7104" s="33" t="s">
        <v>3472</v>
      </c>
      <c r="S7104">
        <v>37</v>
      </c>
      <c r="T7104" s="1" t="s">
        <v>14004</v>
      </c>
      <c r="U7104" s="1" t="str">
        <f>HYPERLINK("http://ictvonline.org/taxonomy/p/taxonomy-history?taxnode_id=202112549","ICTVonline=202112549")</f>
        <v>ICTVonline=202112549</v>
      </c>
    </row>
    <row r="7105" spans="1:21" x14ac:dyDescent="0.2">
      <c r="A7105" s="3">
        <v>7104</v>
      </c>
      <c r="B7105" s="1" t="s">
        <v>4226</v>
      </c>
      <c r="D7105" s="1" t="s">
        <v>5412</v>
      </c>
      <c r="F7105" s="1" t="s">
        <v>5466</v>
      </c>
      <c r="H7105" s="1" t="s">
        <v>5472</v>
      </c>
      <c r="J7105" s="1" t="s">
        <v>5473</v>
      </c>
      <c r="L7105" s="1" t="s">
        <v>4443</v>
      </c>
      <c r="N7105" s="1" t="s">
        <v>4444</v>
      </c>
      <c r="P7105" s="1" t="s">
        <v>13006</v>
      </c>
      <c r="Q7105" s="30" t="s">
        <v>2567</v>
      </c>
      <c r="R7105" s="33" t="s">
        <v>3472</v>
      </c>
      <c r="S7105">
        <v>37</v>
      </c>
      <c r="T7105" s="1" t="s">
        <v>14004</v>
      </c>
      <c r="U7105" s="1" t="str">
        <f>HYPERLINK("http://ictvonline.org/taxonomy/p/taxonomy-history?taxnode_id=202112543","ICTVonline=202112543")</f>
        <v>ICTVonline=202112543</v>
      </c>
    </row>
    <row r="7106" spans="1:21" x14ac:dyDescent="0.2">
      <c r="A7106" s="3">
        <v>7105</v>
      </c>
      <c r="B7106" s="1" t="s">
        <v>4226</v>
      </c>
      <c r="D7106" s="1" t="s">
        <v>5412</v>
      </c>
      <c r="F7106" s="1" t="s">
        <v>5466</v>
      </c>
      <c r="H7106" s="1" t="s">
        <v>5472</v>
      </c>
      <c r="J7106" s="1" t="s">
        <v>5473</v>
      </c>
      <c r="L7106" s="1" t="s">
        <v>4443</v>
      </c>
      <c r="N7106" s="1" t="s">
        <v>4444</v>
      </c>
      <c r="P7106" s="1" t="s">
        <v>13007</v>
      </c>
      <c r="Q7106" s="30" t="s">
        <v>2567</v>
      </c>
      <c r="R7106" s="33" t="s">
        <v>3472</v>
      </c>
      <c r="S7106">
        <v>37</v>
      </c>
      <c r="T7106" s="1" t="s">
        <v>14004</v>
      </c>
      <c r="U7106" s="1" t="str">
        <f>HYPERLINK("http://ictvonline.org/taxonomy/p/taxonomy-history?taxnode_id=202112551","ICTVonline=202112551")</f>
        <v>ICTVonline=202112551</v>
      </c>
    </row>
    <row r="7107" spans="1:21" x14ac:dyDescent="0.2">
      <c r="A7107" s="3">
        <v>7106</v>
      </c>
      <c r="B7107" s="1" t="s">
        <v>4226</v>
      </c>
      <c r="D7107" s="1" t="s">
        <v>5412</v>
      </c>
      <c r="F7107" s="1" t="s">
        <v>5466</v>
      </c>
      <c r="H7107" s="1" t="s">
        <v>5472</v>
      </c>
      <c r="J7107" s="1" t="s">
        <v>5473</v>
      </c>
      <c r="L7107" s="1" t="s">
        <v>4443</v>
      </c>
      <c r="N7107" s="1" t="s">
        <v>4444</v>
      </c>
      <c r="P7107" s="1" t="s">
        <v>13008</v>
      </c>
      <c r="Q7107" s="30" t="s">
        <v>2567</v>
      </c>
      <c r="R7107" s="33" t="s">
        <v>3472</v>
      </c>
      <c r="S7107">
        <v>37</v>
      </c>
      <c r="T7107" s="1" t="s">
        <v>14004</v>
      </c>
      <c r="U7107" s="1" t="str">
        <f>HYPERLINK("http://ictvonline.org/taxonomy/p/taxonomy-history?taxnode_id=202112544","ICTVonline=202112544")</f>
        <v>ICTVonline=202112544</v>
      </c>
    </row>
    <row r="7108" spans="1:21" x14ac:dyDescent="0.2">
      <c r="A7108" s="3">
        <v>7107</v>
      </c>
      <c r="B7108" s="1" t="s">
        <v>4226</v>
      </c>
      <c r="D7108" s="1" t="s">
        <v>5412</v>
      </c>
      <c r="F7108" s="1" t="s">
        <v>5466</v>
      </c>
      <c r="H7108" s="1" t="s">
        <v>5472</v>
      </c>
      <c r="J7108" s="1" t="s">
        <v>5473</v>
      </c>
      <c r="L7108" s="1" t="s">
        <v>4443</v>
      </c>
      <c r="N7108" s="1" t="s">
        <v>4444</v>
      </c>
      <c r="P7108" s="1" t="s">
        <v>13009</v>
      </c>
      <c r="Q7108" s="30" t="s">
        <v>2567</v>
      </c>
      <c r="R7108" s="33" t="s">
        <v>3472</v>
      </c>
      <c r="S7108">
        <v>37</v>
      </c>
      <c r="T7108" s="1" t="s">
        <v>14004</v>
      </c>
      <c r="U7108" s="1" t="str">
        <f>HYPERLINK("http://ictvonline.org/taxonomy/p/taxonomy-history?taxnode_id=202112552","ICTVonline=202112552")</f>
        <v>ICTVonline=202112552</v>
      </c>
    </row>
    <row r="7109" spans="1:21" x14ac:dyDescent="0.2">
      <c r="A7109" s="3">
        <v>7108</v>
      </c>
      <c r="B7109" s="1" t="s">
        <v>4226</v>
      </c>
      <c r="D7109" s="1" t="s">
        <v>5412</v>
      </c>
      <c r="F7109" s="1" t="s">
        <v>5466</v>
      </c>
      <c r="H7109" s="1" t="s">
        <v>5472</v>
      </c>
      <c r="J7109" s="1" t="s">
        <v>5473</v>
      </c>
      <c r="L7109" s="1" t="s">
        <v>4443</v>
      </c>
      <c r="N7109" s="1" t="s">
        <v>4444</v>
      </c>
      <c r="P7109" s="1" t="s">
        <v>13010</v>
      </c>
      <c r="Q7109" s="30" t="s">
        <v>2567</v>
      </c>
      <c r="R7109" s="33" t="s">
        <v>3472</v>
      </c>
      <c r="S7109">
        <v>37</v>
      </c>
      <c r="T7109" s="1" t="s">
        <v>14004</v>
      </c>
      <c r="U7109" s="1" t="str">
        <f>HYPERLINK("http://ictvonline.org/taxonomy/p/taxonomy-history?taxnode_id=202112546","ICTVonline=202112546")</f>
        <v>ICTVonline=202112546</v>
      </c>
    </row>
    <row r="7110" spans="1:21" x14ac:dyDescent="0.2">
      <c r="A7110" s="3">
        <v>7109</v>
      </c>
      <c r="B7110" s="1" t="s">
        <v>4226</v>
      </c>
      <c r="D7110" s="1" t="s">
        <v>5412</v>
      </c>
      <c r="F7110" s="1" t="s">
        <v>5466</v>
      </c>
      <c r="H7110" s="1" t="s">
        <v>5472</v>
      </c>
      <c r="J7110" s="1" t="s">
        <v>5473</v>
      </c>
      <c r="L7110" s="1" t="s">
        <v>4443</v>
      </c>
      <c r="N7110" s="1" t="s">
        <v>4444</v>
      </c>
      <c r="P7110" s="1" t="s">
        <v>13011</v>
      </c>
      <c r="Q7110" s="30" t="s">
        <v>2567</v>
      </c>
      <c r="R7110" s="33" t="s">
        <v>3472</v>
      </c>
      <c r="S7110">
        <v>37</v>
      </c>
      <c r="T7110" s="1" t="s">
        <v>14004</v>
      </c>
      <c r="U7110" s="1" t="str">
        <f>HYPERLINK("http://ictvonline.org/taxonomy/p/taxonomy-history?taxnode_id=202112554","ICTVonline=202112554")</f>
        <v>ICTVonline=202112554</v>
      </c>
    </row>
    <row r="7111" spans="1:21" x14ac:dyDescent="0.2">
      <c r="A7111" s="3">
        <v>7110</v>
      </c>
      <c r="B7111" s="1" t="s">
        <v>4226</v>
      </c>
      <c r="D7111" s="1" t="s">
        <v>5412</v>
      </c>
      <c r="F7111" s="1" t="s">
        <v>5466</v>
      </c>
      <c r="H7111" s="1" t="s">
        <v>5472</v>
      </c>
      <c r="J7111" s="1" t="s">
        <v>5473</v>
      </c>
      <c r="L7111" s="1" t="s">
        <v>4443</v>
      </c>
      <c r="N7111" s="1" t="s">
        <v>4444</v>
      </c>
      <c r="P7111" s="1" t="s">
        <v>13012</v>
      </c>
      <c r="Q7111" s="30" t="s">
        <v>2567</v>
      </c>
      <c r="R7111" s="33" t="s">
        <v>3472</v>
      </c>
      <c r="S7111">
        <v>37</v>
      </c>
      <c r="T7111" s="1" t="s">
        <v>14004</v>
      </c>
      <c r="U7111" s="1" t="str">
        <f>HYPERLINK("http://ictvonline.org/taxonomy/p/taxonomy-history?taxnode_id=202112542","ICTVonline=202112542")</f>
        <v>ICTVonline=202112542</v>
      </c>
    </row>
    <row r="7112" spans="1:21" x14ac:dyDescent="0.2">
      <c r="A7112" s="3">
        <v>7111</v>
      </c>
      <c r="B7112" s="1" t="s">
        <v>4226</v>
      </c>
      <c r="D7112" s="1" t="s">
        <v>5412</v>
      </c>
      <c r="F7112" s="1" t="s">
        <v>5466</v>
      </c>
      <c r="H7112" s="1" t="s">
        <v>5472</v>
      </c>
      <c r="J7112" s="1" t="s">
        <v>5473</v>
      </c>
      <c r="L7112" s="1" t="s">
        <v>4443</v>
      </c>
      <c r="N7112" s="1" t="s">
        <v>4444</v>
      </c>
      <c r="P7112" s="1" t="s">
        <v>13013</v>
      </c>
      <c r="Q7112" s="30" t="s">
        <v>2567</v>
      </c>
      <c r="R7112" s="33" t="s">
        <v>3472</v>
      </c>
      <c r="S7112">
        <v>37</v>
      </c>
      <c r="T7112" s="1" t="s">
        <v>14004</v>
      </c>
      <c r="U7112" s="1" t="str">
        <f>HYPERLINK("http://ictvonline.org/taxonomy/p/taxonomy-history?taxnode_id=202112550","ICTVonline=202112550")</f>
        <v>ICTVonline=202112550</v>
      </c>
    </row>
    <row r="7113" spans="1:21" x14ac:dyDescent="0.2">
      <c r="A7113" s="3">
        <v>7112</v>
      </c>
      <c r="B7113" s="1" t="s">
        <v>4226</v>
      </c>
      <c r="D7113" s="1" t="s">
        <v>5412</v>
      </c>
      <c r="F7113" s="1" t="s">
        <v>5466</v>
      </c>
      <c r="H7113" s="1" t="s">
        <v>5472</v>
      </c>
      <c r="J7113" s="1" t="s">
        <v>5473</v>
      </c>
      <c r="L7113" s="1" t="s">
        <v>4443</v>
      </c>
      <c r="N7113" s="1" t="s">
        <v>4444</v>
      </c>
      <c r="P7113" s="1" t="s">
        <v>13014</v>
      </c>
      <c r="Q7113" s="30" t="s">
        <v>2567</v>
      </c>
      <c r="R7113" s="33" t="s">
        <v>3472</v>
      </c>
      <c r="S7113">
        <v>37</v>
      </c>
      <c r="T7113" s="1" t="s">
        <v>14004</v>
      </c>
      <c r="U7113" s="1" t="str">
        <f>HYPERLINK("http://ictvonline.org/taxonomy/p/taxonomy-history?taxnode_id=202112547","ICTVonline=202112547")</f>
        <v>ICTVonline=202112547</v>
      </c>
    </row>
    <row r="7114" spans="1:21" x14ac:dyDescent="0.2">
      <c r="A7114" s="3">
        <v>7113</v>
      </c>
      <c r="B7114" s="1" t="s">
        <v>4226</v>
      </c>
      <c r="D7114" s="1" t="s">
        <v>5412</v>
      </c>
      <c r="F7114" s="1" t="s">
        <v>5466</v>
      </c>
      <c r="H7114" s="1" t="s">
        <v>5472</v>
      </c>
      <c r="J7114" s="1" t="s">
        <v>5473</v>
      </c>
      <c r="L7114" s="1" t="s">
        <v>4443</v>
      </c>
      <c r="N7114" s="1" t="s">
        <v>4444</v>
      </c>
      <c r="P7114" s="1" t="s">
        <v>13015</v>
      </c>
      <c r="Q7114" s="30" t="s">
        <v>2567</v>
      </c>
      <c r="R7114" s="33" t="s">
        <v>3472</v>
      </c>
      <c r="S7114">
        <v>37</v>
      </c>
      <c r="T7114" s="1" t="s">
        <v>14004</v>
      </c>
      <c r="U7114" s="1" t="str">
        <f>HYPERLINK("http://ictvonline.org/taxonomy/p/taxonomy-history?taxnode_id=202112545","ICTVonline=202112545")</f>
        <v>ICTVonline=202112545</v>
      </c>
    </row>
    <row r="7115" spans="1:21" x14ac:dyDescent="0.2">
      <c r="A7115" s="3">
        <v>7114</v>
      </c>
      <c r="B7115" s="1" t="s">
        <v>4226</v>
      </c>
      <c r="D7115" s="1" t="s">
        <v>5412</v>
      </c>
      <c r="F7115" s="1" t="s">
        <v>5466</v>
      </c>
      <c r="H7115" s="1" t="s">
        <v>5472</v>
      </c>
      <c r="J7115" s="1" t="s">
        <v>5473</v>
      </c>
      <c r="L7115" s="1" t="s">
        <v>4443</v>
      </c>
      <c r="N7115" s="1" t="s">
        <v>4444</v>
      </c>
      <c r="P7115" s="1" t="s">
        <v>13016</v>
      </c>
      <c r="Q7115" s="30" t="s">
        <v>2567</v>
      </c>
      <c r="R7115" s="33" t="s">
        <v>3472</v>
      </c>
      <c r="S7115">
        <v>37</v>
      </c>
      <c r="T7115" s="1" t="s">
        <v>14004</v>
      </c>
      <c r="U7115" s="1" t="str">
        <f>HYPERLINK("http://ictvonline.org/taxonomy/p/taxonomy-history?taxnode_id=202112553","ICTVonline=202112553")</f>
        <v>ICTVonline=202112553</v>
      </c>
    </row>
    <row r="7116" spans="1:21" x14ac:dyDescent="0.2">
      <c r="A7116" s="3">
        <v>7115</v>
      </c>
      <c r="B7116" s="1" t="s">
        <v>4226</v>
      </c>
      <c r="D7116" s="1" t="s">
        <v>5412</v>
      </c>
      <c r="F7116" s="1" t="s">
        <v>5466</v>
      </c>
      <c r="H7116" s="1" t="s">
        <v>5472</v>
      </c>
      <c r="J7116" s="1" t="s">
        <v>5473</v>
      </c>
      <c r="L7116" s="1" t="s">
        <v>4443</v>
      </c>
      <c r="N7116" s="1" t="s">
        <v>4444</v>
      </c>
      <c r="P7116" s="1" t="s">
        <v>4445</v>
      </c>
      <c r="Q7116" s="30" t="s">
        <v>2567</v>
      </c>
      <c r="R7116" s="33" t="s">
        <v>8665</v>
      </c>
      <c r="S7116">
        <v>36</v>
      </c>
      <c r="T7116" s="1" t="s">
        <v>8661</v>
      </c>
      <c r="U7116" s="1" t="str">
        <f>HYPERLINK("http://ictvonline.org/taxonomy/p/taxonomy-history?taxnode_id=202106575","ICTVonline=202106575")</f>
        <v>ICTVonline=202106575</v>
      </c>
    </row>
    <row r="7117" spans="1:21" x14ac:dyDescent="0.2">
      <c r="A7117" s="3">
        <v>7116</v>
      </c>
      <c r="B7117" s="1" t="s">
        <v>4226</v>
      </c>
      <c r="D7117" s="1" t="s">
        <v>5412</v>
      </c>
      <c r="F7117" s="1" t="s">
        <v>5466</v>
      </c>
      <c r="H7117" s="1" t="s">
        <v>5472</v>
      </c>
      <c r="J7117" s="1" t="s">
        <v>5473</v>
      </c>
      <c r="L7117" s="1" t="s">
        <v>4443</v>
      </c>
      <c r="N7117" s="1" t="s">
        <v>4444</v>
      </c>
      <c r="P7117" s="1" t="s">
        <v>8048</v>
      </c>
      <c r="Q7117" s="30" t="s">
        <v>2567</v>
      </c>
      <c r="R7117" s="33" t="s">
        <v>3472</v>
      </c>
      <c r="S7117">
        <v>36</v>
      </c>
      <c r="T7117" s="1" t="s">
        <v>8047</v>
      </c>
      <c r="U7117" s="1" t="str">
        <f>HYPERLINK("http://ictvonline.org/taxonomy/p/taxonomy-history?taxnode_id=202108722","ICTVonline=202108722")</f>
        <v>ICTVonline=202108722</v>
      </c>
    </row>
    <row r="7118" spans="1:21" x14ac:dyDescent="0.2">
      <c r="A7118" s="3">
        <v>7117</v>
      </c>
      <c r="B7118" s="1" t="s">
        <v>4226</v>
      </c>
      <c r="D7118" s="1" t="s">
        <v>5412</v>
      </c>
      <c r="F7118" s="1" t="s">
        <v>5466</v>
      </c>
      <c r="H7118" s="1" t="s">
        <v>5472</v>
      </c>
      <c r="J7118" s="1" t="s">
        <v>5473</v>
      </c>
      <c r="L7118" s="1" t="s">
        <v>4443</v>
      </c>
      <c r="N7118" s="1" t="s">
        <v>4444</v>
      </c>
      <c r="P7118" s="1" t="s">
        <v>4446</v>
      </c>
      <c r="Q7118" s="30" t="s">
        <v>2567</v>
      </c>
      <c r="R7118" s="33" t="s">
        <v>3474</v>
      </c>
      <c r="S7118">
        <v>35</v>
      </c>
      <c r="T7118" s="1" t="s">
        <v>5416</v>
      </c>
      <c r="U7118" s="1" t="str">
        <f>HYPERLINK("http://ictvonline.org/taxonomy/p/taxonomy-history?taxnode_id=202106576","ICTVonline=202106576")</f>
        <v>ICTVonline=202106576</v>
      </c>
    </row>
    <row r="7119" spans="1:21" x14ac:dyDescent="0.2">
      <c r="A7119" s="3">
        <v>7118</v>
      </c>
      <c r="B7119" s="1" t="s">
        <v>4226</v>
      </c>
      <c r="D7119" s="1" t="s">
        <v>5412</v>
      </c>
      <c r="F7119" s="1" t="s">
        <v>5466</v>
      </c>
      <c r="H7119" s="1" t="s">
        <v>5472</v>
      </c>
      <c r="J7119" s="1" t="s">
        <v>5473</v>
      </c>
      <c r="L7119" s="1" t="s">
        <v>4443</v>
      </c>
      <c r="N7119" s="1" t="s">
        <v>4444</v>
      </c>
      <c r="P7119" s="1" t="s">
        <v>8049</v>
      </c>
      <c r="Q7119" s="30" t="s">
        <v>2567</v>
      </c>
      <c r="R7119" s="33" t="s">
        <v>3472</v>
      </c>
      <c r="S7119">
        <v>36</v>
      </c>
      <c r="T7119" s="1" t="s">
        <v>8047</v>
      </c>
      <c r="U7119" s="1" t="str">
        <f>HYPERLINK("http://ictvonline.org/taxonomy/p/taxonomy-history?taxnode_id=202108721","ICTVonline=202108721")</f>
        <v>ICTVonline=202108721</v>
      </c>
    </row>
    <row r="7120" spans="1:21" x14ac:dyDescent="0.2">
      <c r="A7120" s="3">
        <v>7119</v>
      </c>
      <c r="B7120" s="1" t="s">
        <v>4226</v>
      </c>
      <c r="D7120" s="1" t="s">
        <v>5412</v>
      </c>
      <c r="F7120" s="1" t="s">
        <v>5466</v>
      </c>
      <c r="H7120" s="1" t="s">
        <v>5472</v>
      </c>
      <c r="J7120" s="1" t="s">
        <v>5473</v>
      </c>
      <c r="L7120" s="1" t="s">
        <v>4443</v>
      </c>
      <c r="N7120" s="1" t="s">
        <v>13017</v>
      </c>
      <c r="P7120" s="1" t="s">
        <v>13018</v>
      </c>
      <c r="Q7120" s="30" t="s">
        <v>2567</v>
      </c>
      <c r="R7120" s="33" t="s">
        <v>3472</v>
      </c>
      <c r="S7120">
        <v>37</v>
      </c>
      <c r="T7120" s="1" t="s">
        <v>14004</v>
      </c>
      <c r="U7120" s="1" t="str">
        <f>HYPERLINK("http://ictvonline.org/taxonomy/p/taxonomy-history?taxnode_id=202112574","ICTVonline=202112574")</f>
        <v>ICTVonline=202112574</v>
      </c>
    </row>
    <row r="7121" spans="1:21" x14ac:dyDescent="0.2">
      <c r="A7121" s="3">
        <v>7120</v>
      </c>
      <c r="B7121" s="1" t="s">
        <v>4226</v>
      </c>
      <c r="D7121" s="1" t="s">
        <v>5412</v>
      </c>
      <c r="F7121" s="1" t="s">
        <v>5466</v>
      </c>
      <c r="H7121" s="1" t="s">
        <v>5472</v>
      </c>
      <c r="J7121" s="1" t="s">
        <v>5473</v>
      </c>
      <c r="L7121" s="1" t="s">
        <v>4443</v>
      </c>
      <c r="N7121" s="1" t="s">
        <v>13017</v>
      </c>
      <c r="P7121" s="1" t="s">
        <v>13019</v>
      </c>
      <c r="Q7121" s="30" t="s">
        <v>2567</v>
      </c>
      <c r="R7121" s="33" t="s">
        <v>3472</v>
      </c>
      <c r="S7121">
        <v>37</v>
      </c>
      <c r="T7121" s="1" t="s">
        <v>14004</v>
      </c>
      <c r="U7121" s="1" t="str">
        <f>HYPERLINK("http://ictvonline.org/taxonomy/p/taxonomy-history?taxnode_id=202112575","ICTVonline=202112575")</f>
        <v>ICTVonline=202112575</v>
      </c>
    </row>
    <row r="7122" spans="1:21" x14ac:dyDescent="0.2">
      <c r="A7122" s="3">
        <v>7121</v>
      </c>
      <c r="B7122" s="1" t="s">
        <v>4226</v>
      </c>
      <c r="D7122" s="1" t="s">
        <v>5412</v>
      </c>
      <c r="F7122" s="1" t="s">
        <v>5466</v>
      </c>
      <c r="H7122" s="1" t="s">
        <v>5472</v>
      </c>
      <c r="J7122" s="1" t="s">
        <v>5473</v>
      </c>
      <c r="L7122" s="1" t="s">
        <v>4443</v>
      </c>
      <c r="N7122" s="1" t="s">
        <v>13017</v>
      </c>
      <c r="P7122" s="1" t="s">
        <v>13020</v>
      </c>
      <c r="Q7122" s="30" t="s">
        <v>2567</v>
      </c>
      <c r="R7122" s="33" t="s">
        <v>3472</v>
      </c>
      <c r="S7122">
        <v>37</v>
      </c>
      <c r="T7122" s="1" t="s">
        <v>14004</v>
      </c>
      <c r="U7122" s="1" t="str">
        <f>HYPERLINK("http://ictvonline.org/taxonomy/p/taxonomy-history?taxnode_id=202112573","ICTVonline=202112573")</f>
        <v>ICTVonline=202112573</v>
      </c>
    </row>
    <row r="7123" spans="1:21" x14ac:dyDescent="0.2">
      <c r="A7123" s="3">
        <v>7122</v>
      </c>
      <c r="B7123" s="1" t="s">
        <v>4226</v>
      </c>
      <c r="D7123" s="1" t="s">
        <v>5412</v>
      </c>
      <c r="F7123" s="1" t="s">
        <v>5466</v>
      </c>
      <c r="H7123" s="1" t="s">
        <v>5472</v>
      </c>
      <c r="J7123" s="1" t="s">
        <v>5473</v>
      </c>
      <c r="L7123" s="1" t="s">
        <v>4443</v>
      </c>
      <c r="N7123" s="1" t="s">
        <v>13021</v>
      </c>
      <c r="P7123" s="1" t="s">
        <v>13022</v>
      </c>
      <c r="Q7123" s="30" t="s">
        <v>2567</v>
      </c>
      <c r="R7123" s="33" t="s">
        <v>3472</v>
      </c>
      <c r="S7123">
        <v>37</v>
      </c>
      <c r="T7123" s="1" t="s">
        <v>14004</v>
      </c>
      <c r="U7123" s="1" t="str">
        <f>HYPERLINK("http://ictvonline.org/taxonomy/p/taxonomy-history?taxnode_id=202112577","ICTVonline=202112577")</f>
        <v>ICTVonline=202112577</v>
      </c>
    </row>
    <row r="7124" spans="1:21" x14ac:dyDescent="0.2">
      <c r="A7124" s="3">
        <v>7123</v>
      </c>
      <c r="B7124" s="1" t="s">
        <v>4226</v>
      </c>
      <c r="D7124" s="1" t="s">
        <v>5412</v>
      </c>
      <c r="F7124" s="1" t="s">
        <v>5466</v>
      </c>
      <c r="H7124" s="1" t="s">
        <v>5472</v>
      </c>
      <c r="J7124" s="1" t="s">
        <v>5473</v>
      </c>
      <c r="L7124" s="1" t="s">
        <v>4443</v>
      </c>
      <c r="N7124" s="1" t="s">
        <v>13023</v>
      </c>
      <c r="P7124" s="1" t="s">
        <v>13024</v>
      </c>
      <c r="Q7124" s="30" t="s">
        <v>2567</v>
      </c>
      <c r="R7124" s="33" t="s">
        <v>3472</v>
      </c>
      <c r="S7124">
        <v>37</v>
      </c>
      <c r="T7124" s="1" t="s">
        <v>14004</v>
      </c>
      <c r="U7124" s="1" t="str">
        <f>HYPERLINK("http://ictvonline.org/taxonomy/p/taxonomy-history?taxnode_id=202112570","ICTVonline=202112570")</f>
        <v>ICTVonline=202112570</v>
      </c>
    </row>
    <row r="7125" spans="1:21" x14ac:dyDescent="0.2">
      <c r="A7125" s="3">
        <v>7124</v>
      </c>
      <c r="B7125" s="1" t="s">
        <v>4226</v>
      </c>
      <c r="D7125" s="1" t="s">
        <v>5412</v>
      </c>
      <c r="F7125" s="1" t="s">
        <v>5466</v>
      </c>
      <c r="H7125" s="1" t="s">
        <v>5472</v>
      </c>
      <c r="J7125" s="1" t="s">
        <v>5473</v>
      </c>
      <c r="L7125" s="1" t="s">
        <v>4443</v>
      </c>
      <c r="N7125" s="1" t="s">
        <v>13023</v>
      </c>
      <c r="P7125" s="1" t="s">
        <v>13025</v>
      </c>
      <c r="Q7125" s="30" t="s">
        <v>2567</v>
      </c>
      <c r="R7125" s="33" t="s">
        <v>3472</v>
      </c>
      <c r="S7125">
        <v>37</v>
      </c>
      <c r="T7125" s="1" t="s">
        <v>14004</v>
      </c>
      <c r="U7125" s="1" t="str">
        <f>HYPERLINK("http://ictvonline.org/taxonomy/p/taxonomy-history?taxnode_id=202112571","ICTVonline=202112571")</f>
        <v>ICTVonline=202112571</v>
      </c>
    </row>
    <row r="7126" spans="1:21" x14ac:dyDescent="0.2">
      <c r="A7126" s="3">
        <v>7125</v>
      </c>
      <c r="B7126" s="1" t="s">
        <v>4226</v>
      </c>
      <c r="D7126" s="1" t="s">
        <v>5412</v>
      </c>
      <c r="F7126" s="1" t="s">
        <v>5466</v>
      </c>
      <c r="H7126" s="1" t="s">
        <v>5472</v>
      </c>
      <c r="J7126" s="1" t="s">
        <v>5473</v>
      </c>
      <c r="L7126" s="1" t="s">
        <v>4443</v>
      </c>
      <c r="N7126" s="1" t="s">
        <v>4447</v>
      </c>
      <c r="P7126" s="1" t="s">
        <v>8050</v>
      </c>
      <c r="Q7126" s="30" t="s">
        <v>2567</v>
      </c>
      <c r="R7126" s="33" t="s">
        <v>3472</v>
      </c>
      <c r="S7126">
        <v>36</v>
      </c>
      <c r="T7126" s="1" t="s">
        <v>8047</v>
      </c>
      <c r="U7126" s="1" t="str">
        <f>HYPERLINK("http://ictvonline.org/taxonomy/p/taxonomy-history?taxnode_id=202108726","ICTVonline=202108726")</f>
        <v>ICTVonline=202108726</v>
      </c>
    </row>
    <row r="7127" spans="1:21" x14ac:dyDescent="0.2">
      <c r="A7127" s="3">
        <v>7126</v>
      </c>
      <c r="B7127" s="1" t="s">
        <v>4226</v>
      </c>
      <c r="D7127" s="1" t="s">
        <v>5412</v>
      </c>
      <c r="F7127" s="1" t="s">
        <v>5466</v>
      </c>
      <c r="H7127" s="1" t="s">
        <v>5472</v>
      </c>
      <c r="J7127" s="1" t="s">
        <v>5473</v>
      </c>
      <c r="L7127" s="1" t="s">
        <v>4443</v>
      </c>
      <c r="N7127" s="1" t="s">
        <v>4447</v>
      </c>
      <c r="P7127" s="1" t="s">
        <v>8051</v>
      </c>
      <c r="Q7127" s="30" t="s">
        <v>2567</v>
      </c>
      <c r="R7127" s="33" t="s">
        <v>3472</v>
      </c>
      <c r="S7127">
        <v>36</v>
      </c>
      <c r="T7127" s="1" t="s">
        <v>8047</v>
      </c>
      <c r="U7127" s="1" t="str">
        <f>HYPERLINK("http://ictvonline.org/taxonomy/p/taxonomy-history?taxnode_id=202108728","ICTVonline=202108728")</f>
        <v>ICTVonline=202108728</v>
      </c>
    </row>
    <row r="7128" spans="1:21" x14ac:dyDescent="0.2">
      <c r="A7128" s="3">
        <v>7127</v>
      </c>
      <c r="B7128" s="1" t="s">
        <v>4226</v>
      </c>
      <c r="D7128" s="1" t="s">
        <v>5412</v>
      </c>
      <c r="F7128" s="1" t="s">
        <v>5466</v>
      </c>
      <c r="H7128" s="1" t="s">
        <v>5472</v>
      </c>
      <c r="J7128" s="1" t="s">
        <v>5473</v>
      </c>
      <c r="L7128" s="1" t="s">
        <v>4443</v>
      </c>
      <c r="N7128" s="1" t="s">
        <v>4447</v>
      </c>
      <c r="P7128" s="1" t="s">
        <v>8052</v>
      </c>
      <c r="Q7128" s="30" t="s">
        <v>2567</v>
      </c>
      <c r="R7128" s="33" t="s">
        <v>3472</v>
      </c>
      <c r="S7128">
        <v>36</v>
      </c>
      <c r="T7128" s="1" t="s">
        <v>8047</v>
      </c>
      <c r="U7128" s="1" t="str">
        <f>HYPERLINK("http://ictvonline.org/taxonomy/p/taxonomy-history?taxnode_id=202108729","ICTVonline=202108729")</f>
        <v>ICTVonline=202108729</v>
      </c>
    </row>
    <row r="7129" spans="1:21" x14ac:dyDescent="0.2">
      <c r="A7129" s="3">
        <v>7128</v>
      </c>
      <c r="B7129" s="1" t="s">
        <v>4226</v>
      </c>
      <c r="D7129" s="1" t="s">
        <v>5412</v>
      </c>
      <c r="F7129" s="1" t="s">
        <v>5466</v>
      </c>
      <c r="H7129" s="1" t="s">
        <v>5472</v>
      </c>
      <c r="J7129" s="1" t="s">
        <v>5473</v>
      </c>
      <c r="L7129" s="1" t="s">
        <v>4443</v>
      </c>
      <c r="N7129" s="1" t="s">
        <v>4447</v>
      </c>
      <c r="P7129" s="1" t="s">
        <v>8053</v>
      </c>
      <c r="Q7129" s="30" t="s">
        <v>2567</v>
      </c>
      <c r="R7129" s="33" t="s">
        <v>3472</v>
      </c>
      <c r="S7129">
        <v>36</v>
      </c>
      <c r="T7129" s="1" t="s">
        <v>8047</v>
      </c>
      <c r="U7129" s="1" t="str">
        <f>HYPERLINK("http://ictvonline.org/taxonomy/p/taxonomy-history?taxnode_id=202108727","ICTVonline=202108727")</f>
        <v>ICTVonline=202108727</v>
      </c>
    </row>
    <row r="7130" spans="1:21" x14ac:dyDescent="0.2">
      <c r="A7130" s="3">
        <v>7129</v>
      </c>
      <c r="B7130" s="1" t="s">
        <v>4226</v>
      </c>
      <c r="D7130" s="1" t="s">
        <v>5412</v>
      </c>
      <c r="F7130" s="1" t="s">
        <v>5466</v>
      </c>
      <c r="H7130" s="1" t="s">
        <v>5472</v>
      </c>
      <c r="J7130" s="1" t="s">
        <v>5473</v>
      </c>
      <c r="L7130" s="1" t="s">
        <v>4443</v>
      </c>
      <c r="N7130" s="1" t="s">
        <v>4447</v>
      </c>
      <c r="P7130" s="1" t="s">
        <v>4448</v>
      </c>
      <c r="Q7130" s="30" t="s">
        <v>2567</v>
      </c>
      <c r="R7130" s="33" t="s">
        <v>8665</v>
      </c>
      <c r="S7130">
        <v>36</v>
      </c>
      <c r="T7130" s="1" t="s">
        <v>8661</v>
      </c>
      <c r="U7130" s="1" t="str">
        <f>HYPERLINK("http://ictvonline.org/taxonomy/p/taxonomy-history?taxnode_id=202106578","ICTVonline=202106578")</f>
        <v>ICTVonline=202106578</v>
      </c>
    </row>
    <row r="7131" spans="1:21" x14ac:dyDescent="0.2">
      <c r="A7131" s="3">
        <v>7130</v>
      </c>
      <c r="B7131" s="1" t="s">
        <v>4226</v>
      </c>
      <c r="D7131" s="1" t="s">
        <v>5412</v>
      </c>
      <c r="F7131" s="1" t="s">
        <v>5466</v>
      </c>
      <c r="H7131" s="1" t="s">
        <v>5472</v>
      </c>
      <c r="J7131" s="1" t="s">
        <v>5473</v>
      </c>
      <c r="L7131" s="1" t="s">
        <v>4443</v>
      </c>
      <c r="N7131" s="1" t="s">
        <v>4447</v>
      </c>
      <c r="P7131" s="1" t="s">
        <v>13026</v>
      </c>
      <c r="Q7131" s="30" t="s">
        <v>2567</v>
      </c>
      <c r="R7131" s="33" t="s">
        <v>3472</v>
      </c>
      <c r="S7131">
        <v>37</v>
      </c>
      <c r="T7131" s="1" t="s">
        <v>14004</v>
      </c>
      <c r="U7131" s="1" t="str">
        <f>HYPERLINK("http://ictvonline.org/taxonomy/p/taxonomy-history?taxnode_id=202112597","ICTVonline=202112597")</f>
        <v>ICTVonline=202112597</v>
      </c>
    </row>
    <row r="7132" spans="1:21" x14ac:dyDescent="0.2">
      <c r="A7132" s="3">
        <v>7131</v>
      </c>
      <c r="B7132" s="1" t="s">
        <v>4226</v>
      </c>
      <c r="D7132" s="1" t="s">
        <v>5412</v>
      </c>
      <c r="F7132" s="1" t="s">
        <v>5466</v>
      </c>
      <c r="H7132" s="1" t="s">
        <v>5472</v>
      </c>
      <c r="J7132" s="1" t="s">
        <v>5473</v>
      </c>
      <c r="L7132" s="1" t="s">
        <v>4443</v>
      </c>
      <c r="N7132" s="1" t="s">
        <v>4447</v>
      </c>
      <c r="P7132" s="1" t="s">
        <v>13027</v>
      </c>
      <c r="Q7132" s="30" t="s">
        <v>2567</v>
      </c>
      <c r="R7132" s="33" t="s">
        <v>3472</v>
      </c>
      <c r="S7132">
        <v>37</v>
      </c>
      <c r="T7132" s="1" t="s">
        <v>14004</v>
      </c>
      <c r="U7132" s="1" t="str">
        <f>HYPERLINK("http://ictvonline.org/taxonomy/p/taxonomy-history?taxnode_id=202112599","ICTVonline=202112599")</f>
        <v>ICTVonline=202112599</v>
      </c>
    </row>
    <row r="7133" spans="1:21" x14ac:dyDescent="0.2">
      <c r="A7133" s="3">
        <v>7132</v>
      </c>
      <c r="B7133" s="1" t="s">
        <v>4226</v>
      </c>
      <c r="D7133" s="1" t="s">
        <v>5412</v>
      </c>
      <c r="F7133" s="1" t="s">
        <v>5466</v>
      </c>
      <c r="H7133" s="1" t="s">
        <v>5472</v>
      </c>
      <c r="J7133" s="1" t="s">
        <v>5473</v>
      </c>
      <c r="L7133" s="1" t="s">
        <v>4443</v>
      </c>
      <c r="N7133" s="1" t="s">
        <v>4447</v>
      </c>
      <c r="P7133" s="1" t="s">
        <v>13028</v>
      </c>
      <c r="Q7133" s="30" t="s">
        <v>2567</v>
      </c>
      <c r="R7133" s="33" t="s">
        <v>3472</v>
      </c>
      <c r="S7133">
        <v>37</v>
      </c>
      <c r="T7133" s="1" t="s">
        <v>14004</v>
      </c>
      <c r="U7133" s="1" t="str">
        <f>HYPERLINK("http://ictvonline.org/taxonomy/p/taxonomy-history?taxnode_id=202112602","ICTVonline=202112602")</f>
        <v>ICTVonline=202112602</v>
      </c>
    </row>
    <row r="7134" spans="1:21" x14ac:dyDescent="0.2">
      <c r="A7134" s="3">
        <v>7133</v>
      </c>
      <c r="B7134" s="1" t="s">
        <v>4226</v>
      </c>
      <c r="D7134" s="1" t="s">
        <v>5412</v>
      </c>
      <c r="F7134" s="1" t="s">
        <v>5466</v>
      </c>
      <c r="H7134" s="1" t="s">
        <v>5472</v>
      </c>
      <c r="J7134" s="1" t="s">
        <v>5473</v>
      </c>
      <c r="L7134" s="1" t="s">
        <v>4443</v>
      </c>
      <c r="N7134" s="1" t="s">
        <v>4447</v>
      </c>
      <c r="P7134" s="1" t="s">
        <v>13029</v>
      </c>
      <c r="Q7134" s="30" t="s">
        <v>2567</v>
      </c>
      <c r="R7134" s="33" t="s">
        <v>3472</v>
      </c>
      <c r="S7134">
        <v>37</v>
      </c>
      <c r="T7134" s="1" t="s">
        <v>14004</v>
      </c>
      <c r="U7134" s="1" t="str">
        <f>HYPERLINK("http://ictvonline.org/taxonomy/p/taxonomy-history?taxnode_id=202112598","ICTVonline=202112598")</f>
        <v>ICTVonline=202112598</v>
      </c>
    </row>
    <row r="7135" spans="1:21" x14ac:dyDescent="0.2">
      <c r="A7135" s="3">
        <v>7134</v>
      </c>
      <c r="B7135" s="1" t="s">
        <v>4226</v>
      </c>
      <c r="D7135" s="1" t="s">
        <v>5412</v>
      </c>
      <c r="F7135" s="1" t="s">
        <v>5466</v>
      </c>
      <c r="H7135" s="1" t="s">
        <v>5472</v>
      </c>
      <c r="J7135" s="1" t="s">
        <v>5473</v>
      </c>
      <c r="L7135" s="1" t="s">
        <v>4443</v>
      </c>
      <c r="N7135" s="1" t="s">
        <v>4447</v>
      </c>
      <c r="P7135" s="1" t="s">
        <v>13030</v>
      </c>
      <c r="Q7135" s="30" t="s">
        <v>2567</v>
      </c>
      <c r="R7135" s="33" t="s">
        <v>3472</v>
      </c>
      <c r="S7135">
        <v>37</v>
      </c>
      <c r="T7135" s="1" t="s">
        <v>14004</v>
      </c>
      <c r="U7135" s="1" t="str">
        <f>HYPERLINK("http://ictvonline.org/taxonomy/p/taxonomy-history?taxnode_id=202112600","ICTVonline=202112600")</f>
        <v>ICTVonline=202112600</v>
      </c>
    </row>
    <row r="7136" spans="1:21" x14ac:dyDescent="0.2">
      <c r="A7136" s="3">
        <v>7135</v>
      </c>
      <c r="B7136" s="1" t="s">
        <v>4226</v>
      </c>
      <c r="D7136" s="1" t="s">
        <v>5412</v>
      </c>
      <c r="F7136" s="1" t="s">
        <v>5466</v>
      </c>
      <c r="H7136" s="1" t="s">
        <v>5472</v>
      </c>
      <c r="J7136" s="1" t="s">
        <v>5473</v>
      </c>
      <c r="L7136" s="1" t="s">
        <v>4443</v>
      </c>
      <c r="N7136" s="1" t="s">
        <v>4447</v>
      </c>
      <c r="P7136" s="1" t="s">
        <v>13031</v>
      </c>
      <c r="Q7136" s="30" t="s">
        <v>2567</v>
      </c>
      <c r="R7136" s="33" t="s">
        <v>3472</v>
      </c>
      <c r="S7136">
        <v>37</v>
      </c>
      <c r="T7136" s="1" t="s">
        <v>14004</v>
      </c>
      <c r="U7136" s="1" t="str">
        <f>HYPERLINK("http://ictvonline.org/taxonomy/p/taxonomy-history?taxnode_id=202112603","ICTVonline=202112603")</f>
        <v>ICTVonline=202112603</v>
      </c>
    </row>
    <row r="7137" spans="1:21" x14ac:dyDescent="0.2">
      <c r="A7137" s="3">
        <v>7136</v>
      </c>
      <c r="B7137" s="1" t="s">
        <v>4226</v>
      </c>
      <c r="D7137" s="1" t="s">
        <v>5412</v>
      </c>
      <c r="F7137" s="1" t="s">
        <v>5466</v>
      </c>
      <c r="H7137" s="1" t="s">
        <v>5472</v>
      </c>
      <c r="J7137" s="1" t="s">
        <v>5473</v>
      </c>
      <c r="L7137" s="1" t="s">
        <v>4443</v>
      </c>
      <c r="N7137" s="1" t="s">
        <v>4447</v>
      </c>
      <c r="P7137" s="1" t="s">
        <v>13032</v>
      </c>
      <c r="Q7137" s="30" t="s">
        <v>2567</v>
      </c>
      <c r="R7137" s="33" t="s">
        <v>3472</v>
      </c>
      <c r="S7137">
        <v>37</v>
      </c>
      <c r="T7137" s="1" t="s">
        <v>14004</v>
      </c>
      <c r="U7137" s="1" t="str">
        <f>HYPERLINK("http://ictvonline.org/taxonomy/p/taxonomy-history?taxnode_id=202112605","ICTVonline=202112605")</f>
        <v>ICTVonline=202112605</v>
      </c>
    </row>
    <row r="7138" spans="1:21" x14ac:dyDescent="0.2">
      <c r="A7138" s="3">
        <v>7137</v>
      </c>
      <c r="B7138" s="1" t="s">
        <v>4226</v>
      </c>
      <c r="D7138" s="1" t="s">
        <v>5412</v>
      </c>
      <c r="F7138" s="1" t="s">
        <v>5466</v>
      </c>
      <c r="H7138" s="1" t="s">
        <v>5472</v>
      </c>
      <c r="J7138" s="1" t="s">
        <v>5473</v>
      </c>
      <c r="L7138" s="1" t="s">
        <v>4443</v>
      </c>
      <c r="N7138" s="1" t="s">
        <v>4447</v>
      </c>
      <c r="P7138" s="1" t="s">
        <v>13033</v>
      </c>
      <c r="Q7138" s="30" t="s">
        <v>2567</v>
      </c>
      <c r="R7138" s="33" t="s">
        <v>3472</v>
      </c>
      <c r="S7138">
        <v>37</v>
      </c>
      <c r="T7138" s="1" t="s">
        <v>14004</v>
      </c>
      <c r="U7138" s="1" t="str">
        <f>HYPERLINK("http://ictvonline.org/taxonomy/p/taxonomy-history?taxnode_id=202112606","ICTVonline=202112606")</f>
        <v>ICTVonline=202112606</v>
      </c>
    </row>
    <row r="7139" spans="1:21" x14ac:dyDescent="0.2">
      <c r="A7139" s="3">
        <v>7138</v>
      </c>
      <c r="B7139" s="1" t="s">
        <v>4226</v>
      </c>
      <c r="D7139" s="1" t="s">
        <v>5412</v>
      </c>
      <c r="F7139" s="1" t="s">
        <v>5466</v>
      </c>
      <c r="H7139" s="1" t="s">
        <v>5472</v>
      </c>
      <c r="J7139" s="1" t="s">
        <v>5473</v>
      </c>
      <c r="L7139" s="1" t="s">
        <v>4443</v>
      </c>
      <c r="N7139" s="1" t="s">
        <v>4447</v>
      </c>
      <c r="P7139" s="1" t="s">
        <v>13034</v>
      </c>
      <c r="Q7139" s="30" t="s">
        <v>2567</v>
      </c>
      <c r="R7139" s="33" t="s">
        <v>3472</v>
      </c>
      <c r="S7139">
        <v>37</v>
      </c>
      <c r="T7139" s="1" t="s">
        <v>14004</v>
      </c>
      <c r="U7139" s="1" t="str">
        <f>HYPERLINK("http://ictvonline.org/taxonomy/p/taxonomy-history?taxnode_id=202113213","ICTVonline=202113213")</f>
        <v>ICTVonline=202113213</v>
      </c>
    </row>
    <row r="7140" spans="1:21" x14ac:dyDescent="0.2">
      <c r="A7140" s="3">
        <v>7139</v>
      </c>
      <c r="B7140" s="1" t="s">
        <v>4226</v>
      </c>
      <c r="D7140" s="1" t="s">
        <v>5412</v>
      </c>
      <c r="F7140" s="1" t="s">
        <v>5466</v>
      </c>
      <c r="H7140" s="1" t="s">
        <v>5472</v>
      </c>
      <c r="J7140" s="1" t="s">
        <v>5473</v>
      </c>
      <c r="L7140" s="1" t="s">
        <v>4443</v>
      </c>
      <c r="N7140" s="1" t="s">
        <v>4447</v>
      </c>
      <c r="P7140" s="1" t="s">
        <v>13035</v>
      </c>
      <c r="Q7140" s="30" t="s">
        <v>2567</v>
      </c>
      <c r="R7140" s="33" t="s">
        <v>3472</v>
      </c>
      <c r="S7140">
        <v>37</v>
      </c>
      <c r="T7140" s="1" t="s">
        <v>14004</v>
      </c>
      <c r="U7140" s="1" t="str">
        <f>HYPERLINK("http://ictvonline.org/taxonomy/p/taxonomy-history?taxnode_id=202113227","ICTVonline=202113227")</f>
        <v>ICTVonline=202113227</v>
      </c>
    </row>
    <row r="7141" spans="1:21" x14ac:dyDescent="0.2">
      <c r="A7141" s="3">
        <v>7140</v>
      </c>
      <c r="B7141" s="1" t="s">
        <v>4226</v>
      </c>
      <c r="D7141" s="1" t="s">
        <v>5412</v>
      </c>
      <c r="F7141" s="1" t="s">
        <v>5466</v>
      </c>
      <c r="H7141" s="1" t="s">
        <v>5472</v>
      </c>
      <c r="J7141" s="1" t="s">
        <v>5473</v>
      </c>
      <c r="L7141" s="1" t="s">
        <v>4443</v>
      </c>
      <c r="N7141" s="1" t="s">
        <v>4447</v>
      </c>
      <c r="P7141" s="1" t="s">
        <v>13036</v>
      </c>
      <c r="Q7141" s="30" t="s">
        <v>2567</v>
      </c>
      <c r="R7141" s="33" t="s">
        <v>3472</v>
      </c>
      <c r="S7141">
        <v>37</v>
      </c>
      <c r="T7141" s="1" t="s">
        <v>14004</v>
      </c>
      <c r="U7141" s="1" t="str">
        <f>HYPERLINK("http://ictvonline.org/taxonomy/p/taxonomy-history?taxnode_id=202112604","ICTVonline=202112604")</f>
        <v>ICTVonline=202112604</v>
      </c>
    </row>
    <row r="7142" spans="1:21" x14ac:dyDescent="0.2">
      <c r="A7142" s="3">
        <v>7141</v>
      </c>
      <c r="B7142" s="1" t="s">
        <v>4226</v>
      </c>
      <c r="D7142" s="1" t="s">
        <v>5412</v>
      </c>
      <c r="F7142" s="1" t="s">
        <v>5466</v>
      </c>
      <c r="H7142" s="1" t="s">
        <v>5472</v>
      </c>
      <c r="J7142" s="1" t="s">
        <v>5473</v>
      </c>
      <c r="L7142" s="1" t="s">
        <v>4443</v>
      </c>
      <c r="N7142" s="1" t="s">
        <v>4447</v>
      </c>
      <c r="P7142" s="1" t="s">
        <v>13037</v>
      </c>
      <c r="Q7142" s="30" t="s">
        <v>2567</v>
      </c>
      <c r="R7142" s="33" t="s">
        <v>3472</v>
      </c>
      <c r="S7142">
        <v>37</v>
      </c>
      <c r="T7142" s="1" t="s">
        <v>14004</v>
      </c>
      <c r="U7142" s="1" t="str">
        <f>HYPERLINK("http://ictvonline.org/taxonomy/p/taxonomy-history?taxnode_id=202113215","ICTVonline=202113215")</f>
        <v>ICTVonline=202113215</v>
      </c>
    </row>
    <row r="7143" spans="1:21" x14ac:dyDescent="0.2">
      <c r="A7143" s="3">
        <v>7142</v>
      </c>
      <c r="B7143" s="1" t="s">
        <v>4226</v>
      </c>
      <c r="D7143" s="1" t="s">
        <v>5412</v>
      </c>
      <c r="F7143" s="1" t="s">
        <v>5466</v>
      </c>
      <c r="H7143" s="1" t="s">
        <v>5472</v>
      </c>
      <c r="J7143" s="1" t="s">
        <v>5473</v>
      </c>
      <c r="L7143" s="1" t="s">
        <v>4443</v>
      </c>
      <c r="N7143" s="1" t="s">
        <v>4447</v>
      </c>
      <c r="P7143" s="1" t="s">
        <v>13038</v>
      </c>
      <c r="Q7143" s="30" t="s">
        <v>2567</v>
      </c>
      <c r="R7143" s="33" t="s">
        <v>3472</v>
      </c>
      <c r="S7143">
        <v>37</v>
      </c>
      <c r="T7143" s="1" t="s">
        <v>14004</v>
      </c>
      <c r="U7143" s="1" t="str">
        <f>HYPERLINK("http://ictvonline.org/taxonomy/p/taxonomy-history?taxnode_id=202113226","ICTVonline=202113226")</f>
        <v>ICTVonline=202113226</v>
      </c>
    </row>
    <row r="7144" spans="1:21" x14ac:dyDescent="0.2">
      <c r="A7144" s="3">
        <v>7143</v>
      </c>
      <c r="B7144" s="1" t="s">
        <v>4226</v>
      </c>
      <c r="D7144" s="1" t="s">
        <v>5412</v>
      </c>
      <c r="F7144" s="1" t="s">
        <v>5466</v>
      </c>
      <c r="H7144" s="1" t="s">
        <v>5472</v>
      </c>
      <c r="J7144" s="1" t="s">
        <v>5473</v>
      </c>
      <c r="L7144" s="1" t="s">
        <v>4443</v>
      </c>
      <c r="N7144" s="1" t="s">
        <v>4447</v>
      </c>
      <c r="P7144" s="1" t="s">
        <v>13039</v>
      </c>
      <c r="Q7144" s="30" t="s">
        <v>2567</v>
      </c>
      <c r="R7144" s="33" t="s">
        <v>3472</v>
      </c>
      <c r="S7144">
        <v>37</v>
      </c>
      <c r="T7144" s="1" t="s">
        <v>14004</v>
      </c>
      <c r="U7144" s="1" t="str">
        <f>HYPERLINK("http://ictvonline.org/taxonomy/p/taxonomy-history?taxnode_id=202113228","ICTVonline=202113228")</f>
        <v>ICTVonline=202113228</v>
      </c>
    </row>
    <row r="7145" spans="1:21" x14ac:dyDescent="0.2">
      <c r="A7145" s="3">
        <v>7144</v>
      </c>
      <c r="B7145" s="1" t="s">
        <v>4226</v>
      </c>
      <c r="D7145" s="1" t="s">
        <v>5412</v>
      </c>
      <c r="F7145" s="1" t="s">
        <v>5466</v>
      </c>
      <c r="H7145" s="1" t="s">
        <v>5472</v>
      </c>
      <c r="J7145" s="1" t="s">
        <v>5473</v>
      </c>
      <c r="L7145" s="1" t="s">
        <v>4443</v>
      </c>
      <c r="N7145" s="1" t="s">
        <v>4447</v>
      </c>
      <c r="P7145" s="1" t="s">
        <v>13040</v>
      </c>
      <c r="Q7145" s="30" t="s">
        <v>2567</v>
      </c>
      <c r="R7145" s="33" t="s">
        <v>3472</v>
      </c>
      <c r="S7145">
        <v>37</v>
      </c>
      <c r="T7145" s="1" t="s">
        <v>14004</v>
      </c>
      <c r="U7145" s="1" t="str">
        <f>HYPERLINK("http://ictvonline.org/taxonomy/p/taxonomy-history?taxnode_id=202113216","ICTVonline=202113216")</f>
        <v>ICTVonline=202113216</v>
      </c>
    </row>
    <row r="7146" spans="1:21" x14ac:dyDescent="0.2">
      <c r="A7146" s="3">
        <v>7145</v>
      </c>
      <c r="B7146" s="1" t="s">
        <v>4226</v>
      </c>
      <c r="D7146" s="1" t="s">
        <v>5412</v>
      </c>
      <c r="F7146" s="1" t="s">
        <v>5466</v>
      </c>
      <c r="H7146" s="1" t="s">
        <v>5472</v>
      </c>
      <c r="J7146" s="1" t="s">
        <v>5473</v>
      </c>
      <c r="L7146" s="1" t="s">
        <v>4443</v>
      </c>
      <c r="N7146" s="1" t="s">
        <v>4447</v>
      </c>
      <c r="P7146" s="1" t="s">
        <v>13041</v>
      </c>
      <c r="Q7146" s="30" t="s">
        <v>2567</v>
      </c>
      <c r="R7146" s="33" t="s">
        <v>3472</v>
      </c>
      <c r="S7146">
        <v>37</v>
      </c>
      <c r="T7146" s="1" t="s">
        <v>14004</v>
      </c>
      <c r="U7146" s="1" t="str">
        <f>HYPERLINK("http://ictvonline.org/taxonomy/p/taxonomy-history?taxnode_id=202113217","ICTVonline=202113217")</f>
        <v>ICTVonline=202113217</v>
      </c>
    </row>
    <row r="7147" spans="1:21" x14ac:dyDescent="0.2">
      <c r="A7147" s="3">
        <v>7146</v>
      </c>
      <c r="B7147" s="1" t="s">
        <v>4226</v>
      </c>
      <c r="D7147" s="1" t="s">
        <v>5412</v>
      </c>
      <c r="F7147" s="1" t="s">
        <v>5466</v>
      </c>
      <c r="H7147" s="1" t="s">
        <v>5472</v>
      </c>
      <c r="J7147" s="1" t="s">
        <v>5473</v>
      </c>
      <c r="L7147" s="1" t="s">
        <v>4443</v>
      </c>
      <c r="N7147" s="1" t="s">
        <v>4447</v>
      </c>
      <c r="P7147" s="1" t="s">
        <v>13042</v>
      </c>
      <c r="Q7147" s="30" t="s">
        <v>2567</v>
      </c>
      <c r="R7147" s="33" t="s">
        <v>3472</v>
      </c>
      <c r="S7147">
        <v>37</v>
      </c>
      <c r="T7147" s="1" t="s">
        <v>14004</v>
      </c>
      <c r="U7147" s="1" t="str">
        <f>HYPERLINK("http://ictvonline.org/taxonomy/p/taxonomy-history?taxnode_id=202112601","ICTVonline=202112601")</f>
        <v>ICTVonline=202112601</v>
      </c>
    </row>
    <row r="7148" spans="1:21" x14ac:dyDescent="0.2">
      <c r="A7148" s="3">
        <v>7147</v>
      </c>
      <c r="B7148" s="1" t="s">
        <v>4226</v>
      </c>
      <c r="D7148" s="1" t="s">
        <v>5412</v>
      </c>
      <c r="F7148" s="1" t="s">
        <v>5466</v>
      </c>
      <c r="H7148" s="1" t="s">
        <v>5472</v>
      </c>
      <c r="J7148" s="1" t="s">
        <v>5473</v>
      </c>
      <c r="L7148" s="1" t="s">
        <v>4443</v>
      </c>
      <c r="N7148" s="1" t="s">
        <v>4447</v>
      </c>
      <c r="P7148" s="1" t="s">
        <v>13043</v>
      </c>
      <c r="Q7148" s="30" t="s">
        <v>2567</v>
      </c>
      <c r="R7148" s="33" t="s">
        <v>3472</v>
      </c>
      <c r="S7148">
        <v>37</v>
      </c>
      <c r="T7148" s="1" t="s">
        <v>14004</v>
      </c>
      <c r="U7148" s="1" t="str">
        <f>HYPERLINK("http://ictvonline.org/taxonomy/p/taxonomy-history?taxnode_id=202113218","ICTVonline=202113218")</f>
        <v>ICTVonline=202113218</v>
      </c>
    </row>
    <row r="7149" spans="1:21" x14ac:dyDescent="0.2">
      <c r="A7149" s="3">
        <v>7148</v>
      </c>
      <c r="B7149" s="1" t="s">
        <v>4226</v>
      </c>
      <c r="D7149" s="1" t="s">
        <v>5412</v>
      </c>
      <c r="F7149" s="1" t="s">
        <v>5466</v>
      </c>
      <c r="H7149" s="1" t="s">
        <v>5472</v>
      </c>
      <c r="J7149" s="1" t="s">
        <v>5473</v>
      </c>
      <c r="L7149" s="1" t="s">
        <v>4443</v>
      </c>
      <c r="N7149" s="1" t="s">
        <v>4447</v>
      </c>
      <c r="P7149" s="1" t="s">
        <v>13044</v>
      </c>
      <c r="Q7149" s="30" t="s">
        <v>2567</v>
      </c>
      <c r="R7149" s="33" t="s">
        <v>3472</v>
      </c>
      <c r="S7149">
        <v>37</v>
      </c>
      <c r="T7149" s="1" t="s">
        <v>14004</v>
      </c>
      <c r="U7149" s="1" t="str">
        <f>HYPERLINK("http://ictvonline.org/taxonomy/p/taxonomy-history?taxnode_id=202113219","ICTVonline=202113219")</f>
        <v>ICTVonline=202113219</v>
      </c>
    </row>
    <row r="7150" spans="1:21" x14ac:dyDescent="0.2">
      <c r="A7150" s="3">
        <v>7149</v>
      </c>
      <c r="B7150" s="1" t="s">
        <v>4226</v>
      </c>
      <c r="D7150" s="1" t="s">
        <v>5412</v>
      </c>
      <c r="F7150" s="1" t="s">
        <v>5466</v>
      </c>
      <c r="H7150" s="1" t="s">
        <v>5472</v>
      </c>
      <c r="J7150" s="1" t="s">
        <v>5473</v>
      </c>
      <c r="L7150" s="1" t="s">
        <v>4443</v>
      </c>
      <c r="N7150" s="1" t="s">
        <v>4447</v>
      </c>
      <c r="P7150" s="1" t="s">
        <v>13045</v>
      </c>
      <c r="Q7150" s="30" t="s">
        <v>2567</v>
      </c>
      <c r="R7150" s="33" t="s">
        <v>3472</v>
      </c>
      <c r="S7150">
        <v>37</v>
      </c>
      <c r="T7150" s="1" t="s">
        <v>14004</v>
      </c>
      <c r="U7150" s="1" t="str">
        <f>HYPERLINK("http://ictvonline.org/taxonomy/p/taxonomy-history?taxnode_id=202113230","ICTVonline=202113230")</f>
        <v>ICTVonline=202113230</v>
      </c>
    </row>
    <row r="7151" spans="1:21" x14ac:dyDescent="0.2">
      <c r="A7151" s="3">
        <v>7150</v>
      </c>
      <c r="B7151" s="1" t="s">
        <v>4226</v>
      </c>
      <c r="D7151" s="1" t="s">
        <v>5412</v>
      </c>
      <c r="F7151" s="1" t="s">
        <v>5466</v>
      </c>
      <c r="H7151" s="1" t="s">
        <v>5472</v>
      </c>
      <c r="J7151" s="1" t="s">
        <v>5473</v>
      </c>
      <c r="L7151" s="1" t="s">
        <v>4443</v>
      </c>
      <c r="N7151" s="1" t="s">
        <v>4447</v>
      </c>
      <c r="P7151" s="1" t="s">
        <v>13046</v>
      </c>
      <c r="Q7151" s="30" t="s">
        <v>2567</v>
      </c>
      <c r="R7151" s="33" t="s">
        <v>3472</v>
      </c>
      <c r="S7151">
        <v>37</v>
      </c>
      <c r="T7151" s="1" t="s">
        <v>14004</v>
      </c>
      <c r="U7151" s="1" t="str">
        <f>HYPERLINK("http://ictvonline.org/taxonomy/p/taxonomy-history?taxnode_id=202113221","ICTVonline=202113221")</f>
        <v>ICTVonline=202113221</v>
      </c>
    </row>
    <row r="7152" spans="1:21" x14ac:dyDescent="0.2">
      <c r="A7152" s="3">
        <v>7151</v>
      </c>
      <c r="B7152" s="1" t="s">
        <v>4226</v>
      </c>
      <c r="D7152" s="1" t="s">
        <v>5412</v>
      </c>
      <c r="F7152" s="1" t="s">
        <v>5466</v>
      </c>
      <c r="H7152" s="1" t="s">
        <v>5472</v>
      </c>
      <c r="J7152" s="1" t="s">
        <v>5473</v>
      </c>
      <c r="L7152" s="1" t="s">
        <v>4443</v>
      </c>
      <c r="N7152" s="1" t="s">
        <v>4447</v>
      </c>
      <c r="P7152" s="1" t="s">
        <v>13047</v>
      </c>
      <c r="Q7152" s="30" t="s">
        <v>2567</v>
      </c>
      <c r="R7152" s="33" t="s">
        <v>3472</v>
      </c>
      <c r="S7152">
        <v>37</v>
      </c>
      <c r="T7152" s="1" t="s">
        <v>14004</v>
      </c>
      <c r="U7152" s="1" t="str">
        <f>HYPERLINK("http://ictvonline.org/taxonomy/p/taxonomy-history?taxnode_id=202113222","ICTVonline=202113222")</f>
        <v>ICTVonline=202113222</v>
      </c>
    </row>
    <row r="7153" spans="1:21" x14ac:dyDescent="0.2">
      <c r="A7153" s="3">
        <v>7152</v>
      </c>
      <c r="B7153" s="1" t="s">
        <v>4226</v>
      </c>
      <c r="D7153" s="1" t="s">
        <v>5412</v>
      </c>
      <c r="F7153" s="1" t="s">
        <v>5466</v>
      </c>
      <c r="H7153" s="1" t="s">
        <v>5472</v>
      </c>
      <c r="J7153" s="1" t="s">
        <v>5473</v>
      </c>
      <c r="L7153" s="1" t="s">
        <v>4443</v>
      </c>
      <c r="N7153" s="1" t="s">
        <v>4447</v>
      </c>
      <c r="P7153" s="1" t="s">
        <v>13048</v>
      </c>
      <c r="Q7153" s="30" t="s">
        <v>2567</v>
      </c>
      <c r="R7153" s="33" t="s">
        <v>3472</v>
      </c>
      <c r="S7153">
        <v>37</v>
      </c>
      <c r="T7153" s="1" t="s">
        <v>14004</v>
      </c>
      <c r="U7153" s="1" t="str">
        <f>HYPERLINK("http://ictvonline.org/taxonomy/p/taxonomy-history?taxnode_id=202113229","ICTVonline=202113229")</f>
        <v>ICTVonline=202113229</v>
      </c>
    </row>
    <row r="7154" spans="1:21" x14ac:dyDescent="0.2">
      <c r="A7154" s="3">
        <v>7153</v>
      </c>
      <c r="B7154" s="1" t="s">
        <v>4226</v>
      </c>
      <c r="D7154" s="1" t="s">
        <v>5412</v>
      </c>
      <c r="F7154" s="1" t="s">
        <v>5466</v>
      </c>
      <c r="H7154" s="1" t="s">
        <v>5472</v>
      </c>
      <c r="J7154" s="1" t="s">
        <v>5473</v>
      </c>
      <c r="L7154" s="1" t="s">
        <v>4443</v>
      </c>
      <c r="N7154" s="1" t="s">
        <v>4447</v>
      </c>
      <c r="P7154" s="1" t="s">
        <v>13049</v>
      </c>
      <c r="Q7154" s="30" t="s">
        <v>2567</v>
      </c>
      <c r="R7154" s="33" t="s">
        <v>3472</v>
      </c>
      <c r="S7154">
        <v>37</v>
      </c>
      <c r="T7154" s="1" t="s">
        <v>14004</v>
      </c>
      <c r="U7154" s="1" t="str">
        <f>HYPERLINK("http://ictvonline.org/taxonomy/p/taxonomy-history?taxnode_id=202113223","ICTVonline=202113223")</f>
        <v>ICTVonline=202113223</v>
      </c>
    </row>
    <row r="7155" spans="1:21" x14ac:dyDescent="0.2">
      <c r="A7155" s="3">
        <v>7154</v>
      </c>
      <c r="B7155" s="1" t="s">
        <v>4226</v>
      </c>
      <c r="D7155" s="1" t="s">
        <v>5412</v>
      </c>
      <c r="F7155" s="1" t="s">
        <v>5466</v>
      </c>
      <c r="H7155" s="1" t="s">
        <v>5472</v>
      </c>
      <c r="J7155" s="1" t="s">
        <v>5473</v>
      </c>
      <c r="L7155" s="1" t="s">
        <v>4443</v>
      </c>
      <c r="N7155" s="1" t="s">
        <v>4447</v>
      </c>
      <c r="P7155" s="1" t="s">
        <v>13050</v>
      </c>
      <c r="Q7155" s="30" t="s">
        <v>2567</v>
      </c>
      <c r="R7155" s="33" t="s">
        <v>3472</v>
      </c>
      <c r="S7155">
        <v>37</v>
      </c>
      <c r="T7155" s="1" t="s">
        <v>14004</v>
      </c>
      <c r="U7155" s="1" t="str">
        <f>HYPERLINK("http://ictvonline.org/taxonomy/p/taxonomy-history?taxnode_id=202113224","ICTVonline=202113224")</f>
        <v>ICTVonline=202113224</v>
      </c>
    </row>
    <row r="7156" spans="1:21" x14ac:dyDescent="0.2">
      <c r="A7156" s="3">
        <v>7155</v>
      </c>
      <c r="B7156" s="1" t="s">
        <v>4226</v>
      </c>
      <c r="D7156" s="1" t="s">
        <v>5412</v>
      </c>
      <c r="F7156" s="1" t="s">
        <v>5466</v>
      </c>
      <c r="H7156" s="1" t="s">
        <v>5472</v>
      </c>
      <c r="J7156" s="1" t="s">
        <v>5473</v>
      </c>
      <c r="L7156" s="1" t="s">
        <v>4443</v>
      </c>
      <c r="N7156" s="1" t="s">
        <v>4447</v>
      </c>
      <c r="P7156" s="1" t="s">
        <v>13051</v>
      </c>
      <c r="Q7156" s="30" t="s">
        <v>2567</v>
      </c>
      <c r="R7156" s="33" t="s">
        <v>3472</v>
      </c>
      <c r="S7156">
        <v>37</v>
      </c>
      <c r="T7156" s="1" t="s">
        <v>14004</v>
      </c>
      <c r="U7156" s="1" t="str">
        <f>HYPERLINK("http://ictvonline.org/taxonomy/p/taxonomy-history?taxnode_id=202113225","ICTVonline=202113225")</f>
        <v>ICTVonline=202113225</v>
      </c>
    </row>
    <row r="7157" spans="1:21" x14ac:dyDescent="0.2">
      <c r="A7157" s="3">
        <v>7156</v>
      </c>
      <c r="B7157" s="1" t="s">
        <v>4226</v>
      </c>
      <c r="D7157" s="1" t="s">
        <v>5412</v>
      </c>
      <c r="F7157" s="1" t="s">
        <v>5466</v>
      </c>
      <c r="H7157" s="1" t="s">
        <v>5472</v>
      </c>
      <c r="J7157" s="1" t="s">
        <v>5473</v>
      </c>
      <c r="L7157" s="1" t="s">
        <v>4443</v>
      </c>
      <c r="N7157" s="1" t="s">
        <v>4447</v>
      </c>
      <c r="P7157" s="1" t="s">
        <v>13052</v>
      </c>
      <c r="Q7157" s="30" t="s">
        <v>2567</v>
      </c>
      <c r="R7157" s="33" t="s">
        <v>3472</v>
      </c>
      <c r="S7157">
        <v>37</v>
      </c>
      <c r="T7157" s="1" t="s">
        <v>14004</v>
      </c>
      <c r="U7157" s="1" t="str">
        <f>HYPERLINK("http://ictvonline.org/taxonomy/p/taxonomy-history?taxnode_id=202113214","ICTVonline=202113214")</f>
        <v>ICTVonline=202113214</v>
      </c>
    </row>
    <row r="7158" spans="1:21" x14ac:dyDescent="0.2">
      <c r="A7158" s="3">
        <v>7157</v>
      </c>
      <c r="B7158" s="1" t="s">
        <v>4226</v>
      </c>
      <c r="D7158" s="1" t="s">
        <v>5412</v>
      </c>
      <c r="F7158" s="1" t="s">
        <v>5466</v>
      </c>
      <c r="H7158" s="1" t="s">
        <v>5472</v>
      </c>
      <c r="J7158" s="1" t="s">
        <v>5473</v>
      </c>
      <c r="L7158" s="1" t="s">
        <v>4443</v>
      </c>
      <c r="N7158" s="1" t="s">
        <v>4447</v>
      </c>
      <c r="P7158" s="1" t="s">
        <v>13053</v>
      </c>
      <c r="Q7158" s="30" t="s">
        <v>2567</v>
      </c>
      <c r="R7158" s="33" t="s">
        <v>3472</v>
      </c>
      <c r="S7158">
        <v>37</v>
      </c>
      <c r="T7158" s="1" t="s">
        <v>14004</v>
      </c>
      <c r="U7158" s="1" t="str">
        <f>HYPERLINK("http://ictvonline.org/taxonomy/p/taxonomy-history?taxnode_id=202113231","ICTVonline=202113231")</f>
        <v>ICTVonline=202113231</v>
      </c>
    </row>
    <row r="7159" spans="1:21" x14ac:dyDescent="0.2">
      <c r="A7159" s="3">
        <v>7158</v>
      </c>
      <c r="B7159" s="1" t="s">
        <v>4226</v>
      </c>
      <c r="D7159" s="1" t="s">
        <v>5412</v>
      </c>
      <c r="F7159" s="1" t="s">
        <v>5466</v>
      </c>
      <c r="H7159" s="1" t="s">
        <v>5472</v>
      </c>
      <c r="J7159" s="1" t="s">
        <v>5473</v>
      </c>
      <c r="L7159" s="1" t="s">
        <v>4443</v>
      </c>
      <c r="N7159" s="1" t="s">
        <v>4447</v>
      </c>
      <c r="P7159" s="1" t="s">
        <v>13054</v>
      </c>
      <c r="Q7159" s="30" t="s">
        <v>2567</v>
      </c>
      <c r="R7159" s="33" t="s">
        <v>3472</v>
      </c>
      <c r="S7159">
        <v>37</v>
      </c>
      <c r="T7159" s="1" t="s">
        <v>14004</v>
      </c>
      <c r="U7159" s="1" t="str">
        <f>HYPERLINK("http://ictvonline.org/taxonomy/p/taxonomy-history?taxnode_id=202113220","ICTVonline=202113220")</f>
        <v>ICTVonline=202113220</v>
      </c>
    </row>
    <row r="7160" spans="1:21" x14ac:dyDescent="0.2">
      <c r="A7160" s="3">
        <v>7159</v>
      </c>
      <c r="B7160" s="1" t="s">
        <v>4226</v>
      </c>
      <c r="D7160" s="1" t="s">
        <v>5412</v>
      </c>
      <c r="F7160" s="1" t="s">
        <v>5466</v>
      </c>
      <c r="H7160" s="1" t="s">
        <v>5472</v>
      </c>
      <c r="J7160" s="1" t="s">
        <v>5473</v>
      </c>
      <c r="L7160" s="1" t="s">
        <v>4443</v>
      </c>
      <c r="N7160" s="1" t="s">
        <v>4447</v>
      </c>
      <c r="P7160" s="1" t="s">
        <v>13055</v>
      </c>
      <c r="Q7160" s="30" t="s">
        <v>2567</v>
      </c>
      <c r="R7160" s="33" t="s">
        <v>3472</v>
      </c>
      <c r="S7160">
        <v>37</v>
      </c>
      <c r="T7160" s="1" t="s">
        <v>14004</v>
      </c>
      <c r="U7160" s="1" t="str">
        <f>HYPERLINK("http://ictvonline.org/taxonomy/p/taxonomy-history?taxnode_id=202113212","ICTVonline=202113212")</f>
        <v>ICTVonline=202113212</v>
      </c>
    </row>
    <row r="7161" spans="1:21" x14ac:dyDescent="0.2">
      <c r="A7161" s="3">
        <v>7160</v>
      </c>
      <c r="B7161" s="1" t="s">
        <v>4226</v>
      </c>
      <c r="D7161" s="1" t="s">
        <v>5412</v>
      </c>
      <c r="F7161" s="1" t="s">
        <v>5466</v>
      </c>
      <c r="H7161" s="1" t="s">
        <v>5472</v>
      </c>
      <c r="J7161" s="1" t="s">
        <v>5473</v>
      </c>
      <c r="L7161" s="1" t="s">
        <v>4443</v>
      </c>
      <c r="N7161" s="1" t="s">
        <v>4447</v>
      </c>
      <c r="P7161" s="1" t="s">
        <v>8054</v>
      </c>
      <c r="Q7161" s="30" t="s">
        <v>2567</v>
      </c>
      <c r="R7161" s="33" t="s">
        <v>3472</v>
      </c>
      <c r="S7161">
        <v>36</v>
      </c>
      <c r="T7161" s="1" t="s">
        <v>8047</v>
      </c>
      <c r="U7161" s="1" t="str">
        <f>HYPERLINK("http://ictvonline.org/taxonomy/p/taxonomy-history?taxnode_id=202108730","ICTVonline=202108730")</f>
        <v>ICTVonline=202108730</v>
      </c>
    </row>
    <row r="7162" spans="1:21" x14ac:dyDescent="0.2">
      <c r="A7162" s="3">
        <v>7161</v>
      </c>
      <c r="B7162" s="1" t="s">
        <v>4226</v>
      </c>
      <c r="D7162" s="1" t="s">
        <v>5412</v>
      </c>
      <c r="F7162" s="1" t="s">
        <v>5466</v>
      </c>
      <c r="H7162" s="1" t="s">
        <v>5472</v>
      </c>
      <c r="J7162" s="1" t="s">
        <v>5473</v>
      </c>
      <c r="L7162" s="1" t="s">
        <v>4443</v>
      </c>
      <c r="N7162" s="1" t="s">
        <v>4447</v>
      </c>
      <c r="P7162" s="1" t="s">
        <v>8055</v>
      </c>
      <c r="Q7162" s="30" t="s">
        <v>2567</v>
      </c>
      <c r="R7162" s="33" t="s">
        <v>3472</v>
      </c>
      <c r="S7162">
        <v>36</v>
      </c>
      <c r="T7162" s="1" t="s">
        <v>8047</v>
      </c>
      <c r="U7162" s="1" t="str">
        <f>HYPERLINK("http://ictvonline.org/taxonomy/p/taxonomy-history?taxnode_id=202108725","ICTVonline=202108725")</f>
        <v>ICTVonline=202108725</v>
      </c>
    </row>
    <row r="7163" spans="1:21" x14ac:dyDescent="0.2">
      <c r="A7163" s="3">
        <v>7162</v>
      </c>
      <c r="B7163" s="1" t="s">
        <v>4226</v>
      </c>
      <c r="D7163" s="1" t="s">
        <v>5412</v>
      </c>
      <c r="F7163" s="1" t="s">
        <v>5466</v>
      </c>
      <c r="H7163" s="1" t="s">
        <v>5472</v>
      </c>
      <c r="J7163" s="1" t="s">
        <v>5473</v>
      </c>
      <c r="L7163" s="1" t="s">
        <v>4443</v>
      </c>
      <c r="N7163" s="1" t="s">
        <v>4447</v>
      </c>
      <c r="P7163" s="1" t="s">
        <v>4449</v>
      </c>
      <c r="Q7163" s="30" t="s">
        <v>2567</v>
      </c>
      <c r="R7163" s="33" t="s">
        <v>3474</v>
      </c>
      <c r="S7163">
        <v>35</v>
      </c>
      <c r="T7163" s="1" t="s">
        <v>5416</v>
      </c>
      <c r="U7163" s="1" t="str">
        <f>HYPERLINK("http://ictvonline.org/taxonomy/p/taxonomy-history?taxnode_id=202106579","ICTVonline=202106579")</f>
        <v>ICTVonline=202106579</v>
      </c>
    </row>
    <row r="7164" spans="1:21" x14ac:dyDescent="0.2">
      <c r="A7164" s="3">
        <v>7163</v>
      </c>
      <c r="B7164" s="1" t="s">
        <v>4226</v>
      </c>
      <c r="D7164" s="1" t="s">
        <v>5412</v>
      </c>
      <c r="F7164" s="1" t="s">
        <v>5466</v>
      </c>
      <c r="H7164" s="1" t="s">
        <v>5472</v>
      </c>
      <c r="J7164" s="1" t="s">
        <v>5473</v>
      </c>
      <c r="L7164" s="1" t="s">
        <v>4443</v>
      </c>
      <c r="N7164" s="1" t="s">
        <v>256</v>
      </c>
      <c r="P7164" s="1" t="s">
        <v>257</v>
      </c>
      <c r="Q7164" s="30" t="s">
        <v>2567</v>
      </c>
      <c r="R7164" s="33" t="s">
        <v>3474</v>
      </c>
      <c r="S7164">
        <v>35</v>
      </c>
      <c r="T7164" s="1" t="s">
        <v>5416</v>
      </c>
      <c r="U7164" s="1" t="str">
        <f>HYPERLINK("http://ictvonline.org/taxonomy/p/taxonomy-history?taxnode_id=202105356","ICTVonline=202105356")</f>
        <v>ICTVonline=202105356</v>
      </c>
    </row>
    <row r="7165" spans="1:21" x14ac:dyDescent="0.2">
      <c r="A7165" s="3">
        <v>7164</v>
      </c>
      <c r="B7165" s="1" t="s">
        <v>4226</v>
      </c>
      <c r="D7165" s="1" t="s">
        <v>5412</v>
      </c>
      <c r="F7165" s="1" t="s">
        <v>5466</v>
      </c>
      <c r="H7165" s="1" t="s">
        <v>5472</v>
      </c>
      <c r="J7165" s="1" t="s">
        <v>5473</v>
      </c>
      <c r="L7165" s="1" t="s">
        <v>4443</v>
      </c>
      <c r="N7165" s="1" t="s">
        <v>256</v>
      </c>
      <c r="P7165" s="1" t="s">
        <v>258</v>
      </c>
      <c r="Q7165" s="30" t="s">
        <v>2567</v>
      </c>
      <c r="R7165" s="33" t="s">
        <v>3474</v>
      </c>
      <c r="S7165">
        <v>35</v>
      </c>
      <c r="T7165" s="1" t="s">
        <v>5416</v>
      </c>
      <c r="U7165" s="1" t="str">
        <f>HYPERLINK("http://ictvonline.org/taxonomy/p/taxonomy-history?taxnode_id=202105357","ICTVonline=202105357")</f>
        <v>ICTVonline=202105357</v>
      </c>
    </row>
    <row r="7166" spans="1:21" x14ac:dyDescent="0.2">
      <c r="A7166" s="3">
        <v>7165</v>
      </c>
      <c r="B7166" s="1" t="s">
        <v>4226</v>
      </c>
      <c r="D7166" s="1" t="s">
        <v>5412</v>
      </c>
      <c r="F7166" s="1" t="s">
        <v>5466</v>
      </c>
      <c r="H7166" s="1" t="s">
        <v>5472</v>
      </c>
      <c r="J7166" s="1" t="s">
        <v>5473</v>
      </c>
      <c r="L7166" s="1" t="s">
        <v>4443</v>
      </c>
      <c r="N7166" s="1" t="s">
        <v>256</v>
      </c>
      <c r="P7166" s="1" t="s">
        <v>259</v>
      </c>
      <c r="Q7166" s="30" t="s">
        <v>2567</v>
      </c>
      <c r="R7166" s="33" t="s">
        <v>8665</v>
      </c>
      <c r="S7166">
        <v>36</v>
      </c>
      <c r="T7166" s="1" t="s">
        <v>8661</v>
      </c>
      <c r="U7166" s="1" t="str">
        <f>HYPERLINK("http://ictvonline.org/taxonomy/p/taxonomy-history?taxnode_id=202105358","ICTVonline=202105358")</f>
        <v>ICTVonline=202105358</v>
      </c>
    </row>
    <row r="7167" spans="1:21" x14ac:dyDescent="0.2">
      <c r="A7167" s="3">
        <v>7166</v>
      </c>
      <c r="B7167" s="1" t="s">
        <v>4226</v>
      </c>
      <c r="D7167" s="1" t="s">
        <v>5412</v>
      </c>
      <c r="F7167" s="1" t="s">
        <v>5466</v>
      </c>
      <c r="H7167" s="1" t="s">
        <v>5472</v>
      </c>
      <c r="J7167" s="1" t="s">
        <v>5473</v>
      </c>
      <c r="L7167" s="1" t="s">
        <v>4443</v>
      </c>
      <c r="N7167" s="1" t="s">
        <v>8056</v>
      </c>
      <c r="P7167" s="1" t="s">
        <v>8057</v>
      </c>
      <c r="Q7167" s="30" t="s">
        <v>2567</v>
      </c>
      <c r="R7167" s="33" t="s">
        <v>3472</v>
      </c>
      <c r="S7167">
        <v>36</v>
      </c>
      <c r="T7167" s="1" t="s">
        <v>8047</v>
      </c>
      <c r="U7167" s="1" t="str">
        <f>HYPERLINK("http://ictvonline.org/taxonomy/p/taxonomy-history?taxnode_id=202108743","ICTVonline=202108743")</f>
        <v>ICTVonline=202108743</v>
      </c>
    </row>
    <row r="7168" spans="1:21" x14ac:dyDescent="0.2">
      <c r="A7168" s="3">
        <v>7167</v>
      </c>
      <c r="B7168" s="1" t="s">
        <v>4226</v>
      </c>
      <c r="D7168" s="1" t="s">
        <v>5412</v>
      </c>
      <c r="F7168" s="1" t="s">
        <v>5466</v>
      </c>
      <c r="H7168" s="1" t="s">
        <v>5472</v>
      </c>
      <c r="J7168" s="1" t="s">
        <v>5473</v>
      </c>
      <c r="L7168" s="1" t="s">
        <v>4443</v>
      </c>
      <c r="N7168" s="1" t="s">
        <v>8056</v>
      </c>
      <c r="P7168" s="1" t="s">
        <v>8058</v>
      </c>
      <c r="Q7168" s="30" t="s">
        <v>2567</v>
      </c>
      <c r="R7168" s="33" t="s">
        <v>3472</v>
      </c>
      <c r="S7168">
        <v>36</v>
      </c>
      <c r="T7168" s="1" t="s">
        <v>8047</v>
      </c>
      <c r="U7168" s="1" t="str">
        <f>HYPERLINK("http://ictvonline.org/taxonomy/p/taxonomy-history?taxnode_id=202108741","ICTVonline=202108741")</f>
        <v>ICTVonline=202108741</v>
      </c>
    </row>
    <row r="7169" spans="1:21" x14ac:dyDescent="0.2">
      <c r="A7169" s="3">
        <v>7168</v>
      </c>
      <c r="B7169" s="1" t="s">
        <v>4226</v>
      </c>
      <c r="D7169" s="1" t="s">
        <v>5412</v>
      </c>
      <c r="F7169" s="1" t="s">
        <v>5466</v>
      </c>
      <c r="H7169" s="1" t="s">
        <v>5472</v>
      </c>
      <c r="J7169" s="1" t="s">
        <v>5473</v>
      </c>
      <c r="L7169" s="1" t="s">
        <v>4443</v>
      </c>
      <c r="N7169" s="1" t="s">
        <v>8056</v>
      </c>
      <c r="P7169" s="1" t="s">
        <v>8059</v>
      </c>
      <c r="Q7169" s="30" t="s">
        <v>2567</v>
      </c>
      <c r="R7169" s="33" t="s">
        <v>3472</v>
      </c>
      <c r="S7169">
        <v>36</v>
      </c>
      <c r="T7169" s="1" t="s">
        <v>8047</v>
      </c>
      <c r="U7169" s="1" t="str">
        <f>HYPERLINK("http://ictvonline.org/taxonomy/p/taxonomy-history?taxnode_id=202108742","ICTVonline=202108742")</f>
        <v>ICTVonline=202108742</v>
      </c>
    </row>
    <row r="7170" spans="1:21" x14ac:dyDescent="0.2">
      <c r="A7170" s="3">
        <v>7169</v>
      </c>
      <c r="B7170" s="1" t="s">
        <v>4226</v>
      </c>
      <c r="D7170" s="1" t="s">
        <v>5412</v>
      </c>
      <c r="F7170" s="1" t="s">
        <v>5466</v>
      </c>
      <c r="H7170" s="1" t="s">
        <v>5472</v>
      </c>
      <c r="J7170" s="1" t="s">
        <v>5473</v>
      </c>
      <c r="L7170" s="1" t="s">
        <v>4443</v>
      </c>
      <c r="N7170" s="1" t="s">
        <v>8056</v>
      </c>
      <c r="P7170" s="1" t="s">
        <v>8060</v>
      </c>
      <c r="Q7170" s="30" t="s">
        <v>2567</v>
      </c>
      <c r="R7170" s="33" t="s">
        <v>3472</v>
      </c>
      <c r="S7170">
        <v>36</v>
      </c>
      <c r="T7170" s="1" t="s">
        <v>8047</v>
      </c>
      <c r="U7170" s="1" t="str">
        <f>HYPERLINK("http://ictvonline.org/taxonomy/p/taxonomy-history?taxnode_id=202108746","ICTVonline=202108746")</f>
        <v>ICTVonline=202108746</v>
      </c>
    </row>
    <row r="7171" spans="1:21" x14ac:dyDescent="0.2">
      <c r="A7171" s="3">
        <v>7170</v>
      </c>
      <c r="B7171" s="1" t="s">
        <v>4226</v>
      </c>
      <c r="D7171" s="1" t="s">
        <v>5412</v>
      </c>
      <c r="F7171" s="1" t="s">
        <v>5466</v>
      </c>
      <c r="H7171" s="1" t="s">
        <v>5472</v>
      </c>
      <c r="J7171" s="1" t="s">
        <v>5473</v>
      </c>
      <c r="L7171" s="1" t="s">
        <v>4443</v>
      </c>
      <c r="N7171" s="1" t="s">
        <v>8056</v>
      </c>
      <c r="P7171" s="1" t="s">
        <v>8061</v>
      </c>
      <c r="Q7171" s="30" t="s">
        <v>2567</v>
      </c>
      <c r="R7171" s="33" t="s">
        <v>3472</v>
      </c>
      <c r="S7171">
        <v>36</v>
      </c>
      <c r="T7171" s="1" t="s">
        <v>8047</v>
      </c>
      <c r="U7171" s="1" t="str">
        <f>HYPERLINK("http://ictvonline.org/taxonomy/p/taxonomy-history?taxnode_id=202108745","ICTVonline=202108745")</f>
        <v>ICTVonline=202108745</v>
      </c>
    </row>
    <row r="7172" spans="1:21" x14ac:dyDescent="0.2">
      <c r="A7172" s="3">
        <v>7171</v>
      </c>
      <c r="B7172" s="1" t="s">
        <v>4226</v>
      </c>
      <c r="D7172" s="1" t="s">
        <v>5412</v>
      </c>
      <c r="F7172" s="1" t="s">
        <v>5466</v>
      </c>
      <c r="H7172" s="1" t="s">
        <v>5472</v>
      </c>
      <c r="J7172" s="1" t="s">
        <v>5473</v>
      </c>
      <c r="L7172" s="1" t="s">
        <v>4443</v>
      </c>
      <c r="N7172" s="1" t="s">
        <v>8056</v>
      </c>
      <c r="P7172" s="1" t="s">
        <v>8062</v>
      </c>
      <c r="Q7172" s="30" t="s">
        <v>2567</v>
      </c>
      <c r="R7172" s="33" t="s">
        <v>3472</v>
      </c>
      <c r="S7172">
        <v>36</v>
      </c>
      <c r="T7172" s="1" t="s">
        <v>8047</v>
      </c>
      <c r="U7172" s="1" t="str">
        <f>HYPERLINK("http://ictvonline.org/taxonomy/p/taxonomy-history?taxnode_id=202108737","ICTVonline=202108737")</f>
        <v>ICTVonline=202108737</v>
      </c>
    </row>
    <row r="7173" spans="1:21" x14ac:dyDescent="0.2">
      <c r="A7173" s="3">
        <v>7172</v>
      </c>
      <c r="B7173" s="1" t="s">
        <v>4226</v>
      </c>
      <c r="D7173" s="1" t="s">
        <v>5412</v>
      </c>
      <c r="F7173" s="1" t="s">
        <v>5466</v>
      </c>
      <c r="H7173" s="1" t="s">
        <v>5472</v>
      </c>
      <c r="J7173" s="1" t="s">
        <v>5473</v>
      </c>
      <c r="L7173" s="1" t="s">
        <v>4443</v>
      </c>
      <c r="N7173" s="1" t="s">
        <v>8056</v>
      </c>
      <c r="P7173" s="1" t="s">
        <v>13056</v>
      </c>
      <c r="Q7173" s="30" t="s">
        <v>2567</v>
      </c>
      <c r="R7173" s="33" t="s">
        <v>3472</v>
      </c>
      <c r="S7173">
        <v>37</v>
      </c>
      <c r="T7173" s="1" t="s">
        <v>14004</v>
      </c>
      <c r="U7173" s="1" t="str">
        <f>HYPERLINK("http://ictvonline.org/taxonomy/p/taxonomy-history?taxnode_id=202113234","ICTVonline=202113234")</f>
        <v>ICTVonline=202113234</v>
      </c>
    </row>
    <row r="7174" spans="1:21" x14ac:dyDescent="0.2">
      <c r="A7174" s="3">
        <v>7173</v>
      </c>
      <c r="B7174" s="1" t="s">
        <v>4226</v>
      </c>
      <c r="D7174" s="1" t="s">
        <v>5412</v>
      </c>
      <c r="F7174" s="1" t="s">
        <v>5466</v>
      </c>
      <c r="H7174" s="1" t="s">
        <v>5472</v>
      </c>
      <c r="J7174" s="1" t="s">
        <v>5473</v>
      </c>
      <c r="L7174" s="1" t="s">
        <v>4443</v>
      </c>
      <c r="N7174" s="1" t="s">
        <v>8056</v>
      </c>
      <c r="P7174" s="1" t="s">
        <v>13057</v>
      </c>
      <c r="Q7174" s="30" t="s">
        <v>2567</v>
      </c>
      <c r="R7174" s="33" t="s">
        <v>3472</v>
      </c>
      <c r="S7174">
        <v>37</v>
      </c>
      <c r="T7174" s="1" t="s">
        <v>14004</v>
      </c>
      <c r="U7174" s="1" t="str">
        <f>HYPERLINK("http://ictvonline.org/taxonomy/p/taxonomy-history?taxnode_id=202113237","ICTVonline=202113237")</f>
        <v>ICTVonline=202113237</v>
      </c>
    </row>
    <row r="7175" spans="1:21" x14ac:dyDescent="0.2">
      <c r="A7175" s="3">
        <v>7174</v>
      </c>
      <c r="B7175" s="1" t="s">
        <v>4226</v>
      </c>
      <c r="D7175" s="1" t="s">
        <v>5412</v>
      </c>
      <c r="F7175" s="1" t="s">
        <v>5466</v>
      </c>
      <c r="H7175" s="1" t="s">
        <v>5472</v>
      </c>
      <c r="J7175" s="1" t="s">
        <v>5473</v>
      </c>
      <c r="L7175" s="1" t="s">
        <v>4443</v>
      </c>
      <c r="N7175" s="1" t="s">
        <v>8056</v>
      </c>
      <c r="P7175" s="1" t="s">
        <v>13058</v>
      </c>
      <c r="Q7175" s="30" t="s">
        <v>2567</v>
      </c>
      <c r="R7175" s="33" t="s">
        <v>3472</v>
      </c>
      <c r="S7175">
        <v>37</v>
      </c>
      <c r="T7175" s="1" t="s">
        <v>14004</v>
      </c>
      <c r="U7175" s="1" t="str">
        <f>HYPERLINK("http://ictvonline.org/taxonomy/p/taxonomy-history?taxnode_id=202113235","ICTVonline=202113235")</f>
        <v>ICTVonline=202113235</v>
      </c>
    </row>
    <row r="7176" spans="1:21" x14ac:dyDescent="0.2">
      <c r="A7176" s="3">
        <v>7175</v>
      </c>
      <c r="B7176" s="1" t="s">
        <v>4226</v>
      </c>
      <c r="D7176" s="1" t="s">
        <v>5412</v>
      </c>
      <c r="F7176" s="1" t="s">
        <v>5466</v>
      </c>
      <c r="H7176" s="1" t="s">
        <v>5472</v>
      </c>
      <c r="J7176" s="1" t="s">
        <v>5473</v>
      </c>
      <c r="L7176" s="1" t="s">
        <v>4443</v>
      </c>
      <c r="N7176" s="1" t="s">
        <v>8056</v>
      </c>
      <c r="P7176" s="1" t="s">
        <v>13059</v>
      </c>
      <c r="Q7176" s="30" t="s">
        <v>2567</v>
      </c>
      <c r="R7176" s="33" t="s">
        <v>3472</v>
      </c>
      <c r="S7176">
        <v>37</v>
      </c>
      <c r="T7176" s="1" t="s">
        <v>14004</v>
      </c>
      <c r="U7176" s="1" t="str">
        <f>HYPERLINK("http://ictvonline.org/taxonomy/p/taxonomy-history?taxnode_id=202113238","ICTVonline=202113238")</f>
        <v>ICTVonline=202113238</v>
      </c>
    </row>
    <row r="7177" spans="1:21" x14ac:dyDescent="0.2">
      <c r="A7177" s="3">
        <v>7176</v>
      </c>
      <c r="B7177" s="1" t="s">
        <v>4226</v>
      </c>
      <c r="D7177" s="1" t="s">
        <v>5412</v>
      </c>
      <c r="F7177" s="1" t="s">
        <v>5466</v>
      </c>
      <c r="H7177" s="1" t="s">
        <v>5472</v>
      </c>
      <c r="J7177" s="1" t="s">
        <v>5473</v>
      </c>
      <c r="L7177" s="1" t="s">
        <v>4443</v>
      </c>
      <c r="N7177" s="1" t="s">
        <v>8056</v>
      </c>
      <c r="P7177" s="1" t="s">
        <v>13060</v>
      </c>
      <c r="Q7177" s="30" t="s">
        <v>2567</v>
      </c>
      <c r="R7177" s="33" t="s">
        <v>3472</v>
      </c>
      <c r="S7177">
        <v>37</v>
      </c>
      <c r="T7177" s="1" t="s">
        <v>14004</v>
      </c>
      <c r="U7177" s="1" t="str">
        <f>HYPERLINK("http://ictvonline.org/taxonomy/p/taxonomy-history?taxnode_id=202113240","ICTVonline=202113240")</f>
        <v>ICTVonline=202113240</v>
      </c>
    </row>
    <row r="7178" spans="1:21" x14ac:dyDescent="0.2">
      <c r="A7178" s="3">
        <v>7177</v>
      </c>
      <c r="B7178" s="1" t="s">
        <v>4226</v>
      </c>
      <c r="D7178" s="1" t="s">
        <v>5412</v>
      </c>
      <c r="F7178" s="1" t="s">
        <v>5466</v>
      </c>
      <c r="H7178" s="1" t="s">
        <v>5472</v>
      </c>
      <c r="J7178" s="1" t="s">
        <v>5473</v>
      </c>
      <c r="L7178" s="1" t="s">
        <v>4443</v>
      </c>
      <c r="N7178" s="1" t="s">
        <v>8056</v>
      </c>
      <c r="P7178" s="1" t="s">
        <v>13061</v>
      </c>
      <c r="Q7178" s="30" t="s">
        <v>2567</v>
      </c>
      <c r="R7178" s="33" t="s">
        <v>3472</v>
      </c>
      <c r="S7178">
        <v>37</v>
      </c>
      <c r="T7178" s="1" t="s">
        <v>14004</v>
      </c>
      <c r="U7178" s="1" t="str">
        <f>HYPERLINK("http://ictvonline.org/taxonomy/p/taxonomy-history?taxnode_id=202113241","ICTVonline=202113241")</f>
        <v>ICTVonline=202113241</v>
      </c>
    </row>
    <row r="7179" spans="1:21" x14ac:dyDescent="0.2">
      <c r="A7179" s="3">
        <v>7178</v>
      </c>
      <c r="B7179" s="1" t="s">
        <v>4226</v>
      </c>
      <c r="D7179" s="1" t="s">
        <v>5412</v>
      </c>
      <c r="F7179" s="1" t="s">
        <v>5466</v>
      </c>
      <c r="H7179" s="1" t="s">
        <v>5472</v>
      </c>
      <c r="J7179" s="1" t="s">
        <v>5473</v>
      </c>
      <c r="L7179" s="1" t="s">
        <v>4443</v>
      </c>
      <c r="N7179" s="1" t="s">
        <v>8056</v>
      </c>
      <c r="P7179" s="1" t="s">
        <v>13062</v>
      </c>
      <c r="Q7179" s="30" t="s">
        <v>2567</v>
      </c>
      <c r="R7179" s="33" t="s">
        <v>3472</v>
      </c>
      <c r="S7179">
        <v>37</v>
      </c>
      <c r="T7179" s="1" t="s">
        <v>14004</v>
      </c>
      <c r="U7179" s="1" t="str">
        <f>HYPERLINK("http://ictvonline.org/taxonomy/p/taxonomy-history?taxnode_id=202113243","ICTVonline=202113243")</f>
        <v>ICTVonline=202113243</v>
      </c>
    </row>
    <row r="7180" spans="1:21" x14ac:dyDescent="0.2">
      <c r="A7180" s="3">
        <v>7179</v>
      </c>
      <c r="B7180" s="1" t="s">
        <v>4226</v>
      </c>
      <c r="D7180" s="1" t="s">
        <v>5412</v>
      </c>
      <c r="F7180" s="1" t="s">
        <v>5466</v>
      </c>
      <c r="H7180" s="1" t="s">
        <v>5472</v>
      </c>
      <c r="J7180" s="1" t="s">
        <v>5473</v>
      </c>
      <c r="L7180" s="1" t="s">
        <v>4443</v>
      </c>
      <c r="N7180" s="1" t="s">
        <v>8056</v>
      </c>
      <c r="P7180" s="1" t="s">
        <v>13063</v>
      </c>
      <c r="Q7180" s="30" t="s">
        <v>2567</v>
      </c>
      <c r="R7180" s="33" t="s">
        <v>3472</v>
      </c>
      <c r="S7180">
        <v>37</v>
      </c>
      <c r="T7180" s="1" t="s">
        <v>14004</v>
      </c>
      <c r="U7180" s="1" t="str">
        <f>HYPERLINK("http://ictvonline.org/taxonomy/p/taxonomy-history?taxnode_id=202113236","ICTVonline=202113236")</f>
        <v>ICTVonline=202113236</v>
      </c>
    </row>
    <row r="7181" spans="1:21" x14ac:dyDescent="0.2">
      <c r="A7181" s="3">
        <v>7180</v>
      </c>
      <c r="B7181" s="1" t="s">
        <v>4226</v>
      </c>
      <c r="D7181" s="1" t="s">
        <v>5412</v>
      </c>
      <c r="F7181" s="1" t="s">
        <v>5466</v>
      </c>
      <c r="H7181" s="1" t="s">
        <v>5472</v>
      </c>
      <c r="J7181" s="1" t="s">
        <v>5473</v>
      </c>
      <c r="L7181" s="1" t="s">
        <v>4443</v>
      </c>
      <c r="N7181" s="1" t="s">
        <v>8056</v>
      </c>
      <c r="P7181" s="1" t="s">
        <v>13064</v>
      </c>
      <c r="Q7181" s="30" t="s">
        <v>2567</v>
      </c>
      <c r="R7181" s="33" t="s">
        <v>3472</v>
      </c>
      <c r="S7181">
        <v>37</v>
      </c>
      <c r="T7181" s="1" t="s">
        <v>14004</v>
      </c>
      <c r="U7181" s="1" t="str">
        <f>HYPERLINK("http://ictvonline.org/taxonomy/p/taxonomy-history?taxnode_id=202113239","ICTVonline=202113239")</f>
        <v>ICTVonline=202113239</v>
      </c>
    </row>
    <row r="7182" spans="1:21" x14ac:dyDescent="0.2">
      <c r="A7182" s="3">
        <v>7181</v>
      </c>
      <c r="B7182" s="1" t="s">
        <v>4226</v>
      </c>
      <c r="D7182" s="1" t="s">
        <v>5412</v>
      </c>
      <c r="F7182" s="1" t="s">
        <v>5466</v>
      </c>
      <c r="H7182" s="1" t="s">
        <v>5472</v>
      </c>
      <c r="J7182" s="1" t="s">
        <v>5473</v>
      </c>
      <c r="L7182" s="1" t="s">
        <v>4443</v>
      </c>
      <c r="N7182" s="1" t="s">
        <v>8056</v>
      </c>
      <c r="P7182" s="1" t="s">
        <v>13065</v>
      </c>
      <c r="Q7182" s="30" t="s">
        <v>2567</v>
      </c>
      <c r="R7182" s="33" t="s">
        <v>3472</v>
      </c>
      <c r="S7182">
        <v>37</v>
      </c>
      <c r="T7182" s="1" t="s">
        <v>14004</v>
      </c>
      <c r="U7182" s="1" t="str">
        <f>HYPERLINK("http://ictvonline.org/taxonomy/p/taxonomy-history?taxnode_id=202113245","ICTVonline=202113245")</f>
        <v>ICTVonline=202113245</v>
      </c>
    </row>
    <row r="7183" spans="1:21" x14ac:dyDescent="0.2">
      <c r="A7183" s="3">
        <v>7182</v>
      </c>
      <c r="B7183" s="1" t="s">
        <v>4226</v>
      </c>
      <c r="D7183" s="1" t="s">
        <v>5412</v>
      </c>
      <c r="F7183" s="1" t="s">
        <v>5466</v>
      </c>
      <c r="H7183" s="1" t="s">
        <v>5472</v>
      </c>
      <c r="J7183" s="1" t="s">
        <v>5473</v>
      </c>
      <c r="L7183" s="1" t="s">
        <v>4443</v>
      </c>
      <c r="N7183" s="1" t="s">
        <v>8056</v>
      </c>
      <c r="P7183" s="1" t="s">
        <v>13066</v>
      </c>
      <c r="Q7183" s="30" t="s">
        <v>2567</v>
      </c>
      <c r="R7183" s="33" t="s">
        <v>3472</v>
      </c>
      <c r="S7183">
        <v>37</v>
      </c>
      <c r="T7183" s="1" t="s">
        <v>14004</v>
      </c>
      <c r="U7183" s="1" t="str">
        <f>HYPERLINK("http://ictvonline.org/taxonomy/p/taxonomy-history?taxnode_id=202113233","ICTVonline=202113233")</f>
        <v>ICTVonline=202113233</v>
      </c>
    </row>
    <row r="7184" spans="1:21" x14ac:dyDescent="0.2">
      <c r="A7184" s="3">
        <v>7183</v>
      </c>
      <c r="B7184" s="1" t="s">
        <v>4226</v>
      </c>
      <c r="D7184" s="1" t="s">
        <v>5412</v>
      </c>
      <c r="F7184" s="1" t="s">
        <v>5466</v>
      </c>
      <c r="H7184" s="1" t="s">
        <v>5472</v>
      </c>
      <c r="J7184" s="1" t="s">
        <v>5473</v>
      </c>
      <c r="L7184" s="1" t="s">
        <v>4443</v>
      </c>
      <c r="N7184" s="1" t="s">
        <v>8056</v>
      </c>
      <c r="P7184" s="1" t="s">
        <v>13067</v>
      </c>
      <c r="Q7184" s="30" t="s">
        <v>2567</v>
      </c>
      <c r="R7184" s="33" t="s">
        <v>3472</v>
      </c>
      <c r="S7184">
        <v>37</v>
      </c>
      <c r="T7184" s="1" t="s">
        <v>14004</v>
      </c>
      <c r="U7184" s="1" t="str">
        <f>HYPERLINK("http://ictvonline.org/taxonomy/p/taxonomy-history?taxnode_id=202113232","ICTVonline=202113232")</f>
        <v>ICTVonline=202113232</v>
      </c>
    </row>
    <row r="7185" spans="1:21" x14ac:dyDescent="0.2">
      <c r="A7185" s="3">
        <v>7184</v>
      </c>
      <c r="B7185" s="1" t="s">
        <v>4226</v>
      </c>
      <c r="D7185" s="1" t="s">
        <v>5412</v>
      </c>
      <c r="F7185" s="1" t="s">
        <v>5466</v>
      </c>
      <c r="H7185" s="1" t="s">
        <v>5472</v>
      </c>
      <c r="J7185" s="1" t="s">
        <v>5473</v>
      </c>
      <c r="L7185" s="1" t="s">
        <v>4443</v>
      </c>
      <c r="N7185" s="1" t="s">
        <v>8056</v>
      </c>
      <c r="P7185" s="1" t="s">
        <v>13068</v>
      </c>
      <c r="Q7185" s="30" t="s">
        <v>2567</v>
      </c>
      <c r="R7185" s="33" t="s">
        <v>3472</v>
      </c>
      <c r="S7185">
        <v>37</v>
      </c>
      <c r="T7185" s="1" t="s">
        <v>14004</v>
      </c>
      <c r="U7185" s="1" t="str">
        <f>HYPERLINK("http://ictvonline.org/taxonomy/p/taxonomy-history?taxnode_id=202113244","ICTVonline=202113244")</f>
        <v>ICTVonline=202113244</v>
      </c>
    </row>
    <row r="7186" spans="1:21" x14ac:dyDescent="0.2">
      <c r="A7186" s="3">
        <v>7185</v>
      </c>
      <c r="B7186" s="1" t="s">
        <v>4226</v>
      </c>
      <c r="D7186" s="1" t="s">
        <v>5412</v>
      </c>
      <c r="F7186" s="1" t="s">
        <v>5466</v>
      </c>
      <c r="H7186" s="1" t="s">
        <v>5472</v>
      </c>
      <c r="J7186" s="1" t="s">
        <v>5473</v>
      </c>
      <c r="L7186" s="1" t="s">
        <v>4443</v>
      </c>
      <c r="N7186" s="1" t="s">
        <v>8056</v>
      </c>
      <c r="P7186" s="1" t="s">
        <v>13069</v>
      </c>
      <c r="Q7186" s="30" t="s">
        <v>2567</v>
      </c>
      <c r="R7186" s="33" t="s">
        <v>3472</v>
      </c>
      <c r="S7186">
        <v>37</v>
      </c>
      <c r="T7186" s="1" t="s">
        <v>14004</v>
      </c>
      <c r="U7186" s="1" t="str">
        <f>HYPERLINK("http://ictvonline.org/taxonomy/p/taxonomy-history?taxnode_id=202113242","ICTVonline=202113242")</f>
        <v>ICTVonline=202113242</v>
      </c>
    </row>
    <row r="7187" spans="1:21" x14ac:dyDescent="0.2">
      <c r="A7187" s="3">
        <v>7186</v>
      </c>
      <c r="B7187" s="1" t="s">
        <v>4226</v>
      </c>
      <c r="D7187" s="1" t="s">
        <v>5412</v>
      </c>
      <c r="F7187" s="1" t="s">
        <v>5466</v>
      </c>
      <c r="H7187" s="1" t="s">
        <v>5472</v>
      </c>
      <c r="J7187" s="1" t="s">
        <v>5473</v>
      </c>
      <c r="L7187" s="1" t="s">
        <v>4443</v>
      </c>
      <c r="N7187" s="1" t="s">
        <v>8056</v>
      </c>
      <c r="P7187" s="1" t="s">
        <v>8063</v>
      </c>
      <c r="Q7187" s="30" t="s">
        <v>2567</v>
      </c>
      <c r="R7187" s="33" t="s">
        <v>3472</v>
      </c>
      <c r="S7187">
        <v>36</v>
      </c>
      <c r="T7187" s="1" t="s">
        <v>8047</v>
      </c>
      <c r="U7187" s="1" t="str">
        <f>HYPERLINK("http://ictvonline.org/taxonomy/p/taxonomy-history?taxnode_id=202108738","ICTVonline=202108738")</f>
        <v>ICTVonline=202108738</v>
      </c>
    </row>
    <row r="7188" spans="1:21" x14ac:dyDescent="0.2">
      <c r="A7188" s="3">
        <v>7187</v>
      </c>
      <c r="B7188" s="1" t="s">
        <v>4226</v>
      </c>
      <c r="D7188" s="1" t="s">
        <v>5412</v>
      </c>
      <c r="F7188" s="1" t="s">
        <v>5466</v>
      </c>
      <c r="H7188" s="1" t="s">
        <v>5472</v>
      </c>
      <c r="J7188" s="1" t="s">
        <v>5473</v>
      </c>
      <c r="L7188" s="1" t="s">
        <v>4443</v>
      </c>
      <c r="N7188" s="1" t="s">
        <v>8056</v>
      </c>
      <c r="P7188" s="1" t="s">
        <v>8064</v>
      </c>
      <c r="Q7188" s="30" t="s">
        <v>2567</v>
      </c>
      <c r="R7188" s="33" t="s">
        <v>3472</v>
      </c>
      <c r="S7188">
        <v>36</v>
      </c>
      <c r="T7188" s="1" t="s">
        <v>8047</v>
      </c>
      <c r="U7188" s="1" t="str">
        <f>HYPERLINK("http://ictvonline.org/taxonomy/p/taxonomy-history?taxnode_id=202108740","ICTVonline=202108740")</f>
        <v>ICTVonline=202108740</v>
      </c>
    </row>
    <row r="7189" spans="1:21" x14ac:dyDescent="0.2">
      <c r="A7189" s="3">
        <v>7188</v>
      </c>
      <c r="B7189" s="1" t="s">
        <v>4226</v>
      </c>
      <c r="D7189" s="1" t="s">
        <v>5412</v>
      </c>
      <c r="F7189" s="1" t="s">
        <v>5466</v>
      </c>
      <c r="H7189" s="1" t="s">
        <v>5472</v>
      </c>
      <c r="J7189" s="1" t="s">
        <v>5473</v>
      </c>
      <c r="L7189" s="1" t="s">
        <v>4443</v>
      </c>
      <c r="N7189" s="1" t="s">
        <v>8056</v>
      </c>
      <c r="P7189" s="1" t="s">
        <v>8065</v>
      </c>
      <c r="Q7189" s="30" t="s">
        <v>2567</v>
      </c>
      <c r="R7189" s="33" t="s">
        <v>3472</v>
      </c>
      <c r="S7189">
        <v>36</v>
      </c>
      <c r="T7189" s="1" t="s">
        <v>8047</v>
      </c>
      <c r="U7189" s="1" t="str">
        <f>HYPERLINK("http://ictvonline.org/taxonomy/p/taxonomy-history?taxnode_id=202108747","ICTVonline=202108747")</f>
        <v>ICTVonline=202108747</v>
      </c>
    </row>
    <row r="7190" spans="1:21" x14ac:dyDescent="0.2">
      <c r="A7190" s="3">
        <v>7189</v>
      </c>
      <c r="B7190" s="1" t="s">
        <v>4226</v>
      </c>
      <c r="D7190" s="1" t="s">
        <v>5412</v>
      </c>
      <c r="F7190" s="1" t="s">
        <v>5466</v>
      </c>
      <c r="H7190" s="1" t="s">
        <v>5472</v>
      </c>
      <c r="J7190" s="1" t="s">
        <v>5473</v>
      </c>
      <c r="L7190" s="1" t="s">
        <v>4443</v>
      </c>
      <c r="N7190" s="1" t="s">
        <v>8056</v>
      </c>
      <c r="P7190" s="1" t="s">
        <v>8066</v>
      </c>
      <c r="Q7190" s="30" t="s">
        <v>2567</v>
      </c>
      <c r="R7190" s="33" t="s">
        <v>3472</v>
      </c>
      <c r="S7190">
        <v>36</v>
      </c>
      <c r="T7190" s="1" t="s">
        <v>8047</v>
      </c>
      <c r="U7190" s="1" t="str">
        <f>HYPERLINK("http://ictvonline.org/taxonomy/p/taxonomy-history?taxnode_id=202108744","ICTVonline=202108744")</f>
        <v>ICTVonline=202108744</v>
      </c>
    </row>
    <row r="7191" spans="1:21" x14ac:dyDescent="0.2">
      <c r="A7191" s="3">
        <v>7190</v>
      </c>
      <c r="B7191" s="1" t="s">
        <v>4226</v>
      </c>
      <c r="D7191" s="1" t="s">
        <v>5412</v>
      </c>
      <c r="F7191" s="1" t="s">
        <v>5466</v>
      </c>
      <c r="H7191" s="1" t="s">
        <v>5472</v>
      </c>
      <c r="J7191" s="1" t="s">
        <v>5473</v>
      </c>
      <c r="L7191" s="1" t="s">
        <v>4443</v>
      </c>
      <c r="N7191" s="1" t="s">
        <v>8056</v>
      </c>
      <c r="P7191" s="1" t="s">
        <v>8067</v>
      </c>
      <c r="Q7191" s="30" t="s">
        <v>2567</v>
      </c>
      <c r="R7191" s="33" t="s">
        <v>3472</v>
      </c>
      <c r="S7191">
        <v>36</v>
      </c>
      <c r="T7191" s="1" t="s">
        <v>8047</v>
      </c>
      <c r="U7191" s="1" t="str">
        <f>HYPERLINK("http://ictvonline.org/taxonomy/p/taxonomy-history?taxnode_id=202108739","ICTVonline=202108739")</f>
        <v>ICTVonline=202108739</v>
      </c>
    </row>
    <row r="7192" spans="1:21" x14ac:dyDescent="0.2">
      <c r="A7192" s="3">
        <v>7191</v>
      </c>
      <c r="B7192" s="1" t="s">
        <v>4226</v>
      </c>
      <c r="D7192" s="1" t="s">
        <v>5412</v>
      </c>
      <c r="F7192" s="1" t="s">
        <v>5466</v>
      </c>
      <c r="H7192" s="1" t="s">
        <v>5472</v>
      </c>
      <c r="J7192" s="1" t="s">
        <v>5473</v>
      </c>
      <c r="L7192" s="1" t="s">
        <v>4443</v>
      </c>
      <c r="N7192" s="1" t="s">
        <v>8068</v>
      </c>
      <c r="P7192" s="1" t="s">
        <v>8069</v>
      </c>
      <c r="Q7192" s="30" t="s">
        <v>2567</v>
      </c>
      <c r="R7192" s="33" t="s">
        <v>3472</v>
      </c>
      <c r="S7192">
        <v>36</v>
      </c>
      <c r="T7192" s="1" t="s">
        <v>8047</v>
      </c>
      <c r="U7192" s="1" t="str">
        <f>HYPERLINK("http://ictvonline.org/taxonomy/p/taxonomy-history?taxnode_id=202108735","ICTVonline=202108735")</f>
        <v>ICTVonline=202108735</v>
      </c>
    </row>
    <row r="7193" spans="1:21" x14ac:dyDescent="0.2">
      <c r="A7193" s="3">
        <v>7192</v>
      </c>
      <c r="B7193" s="1" t="s">
        <v>4226</v>
      </c>
      <c r="D7193" s="1" t="s">
        <v>5412</v>
      </c>
      <c r="F7193" s="1" t="s">
        <v>5466</v>
      </c>
      <c r="H7193" s="1" t="s">
        <v>5472</v>
      </c>
      <c r="J7193" s="1" t="s">
        <v>5473</v>
      </c>
      <c r="L7193" s="1" t="s">
        <v>4443</v>
      </c>
      <c r="N7193" s="1" t="s">
        <v>8068</v>
      </c>
      <c r="P7193" s="1" t="s">
        <v>13070</v>
      </c>
      <c r="Q7193" s="30" t="s">
        <v>2567</v>
      </c>
      <c r="R7193" s="33" t="s">
        <v>3472</v>
      </c>
      <c r="S7193">
        <v>37</v>
      </c>
      <c r="T7193" s="1" t="s">
        <v>14004</v>
      </c>
      <c r="U7193" s="1" t="str">
        <f>HYPERLINK("http://ictvonline.org/taxonomy/p/taxonomy-history?taxnode_id=202113246","ICTVonline=202113246")</f>
        <v>ICTVonline=202113246</v>
      </c>
    </row>
    <row r="7194" spans="1:21" x14ac:dyDescent="0.2">
      <c r="A7194" s="3">
        <v>7193</v>
      </c>
      <c r="B7194" s="1" t="s">
        <v>4226</v>
      </c>
      <c r="D7194" s="1" t="s">
        <v>5412</v>
      </c>
      <c r="F7194" s="1" t="s">
        <v>5466</v>
      </c>
      <c r="H7194" s="1" t="s">
        <v>5472</v>
      </c>
      <c r="J7194" s="1" t="s">
        <v>5473</v>
      </c>
      <c r="L7194" s="1" t="s">
        <v>4443</v>
      </c>
      <c r="N7194" s="1" t="s">
        <v>8068</v>
      </c>
      <c r="P7194" s="1" t="s">
        <v>13071</v>
      </c>
      <c r="Q7194" s="30" t="s">
        <v>2567</v>
      </c>
      <c r="R7194" s="33" t="s">
        <v>3472</v>
      </c>
      <c r="S7194">
        <v>37</v>
      </c>
      <c r="T7194" s="1" t="s">
        <v>14004</v>
      </c>
      <c r="U7194" s="1" t="str">
        <f>HYPERLINK("http://ictvonline.org/taxonomy/p/taxonomy-history?taxnode_id=202113247","ICTVonline=202113247")</f>
        <v>ICTVonline=202113247</v>
      </c>
    </row>
    <row r="7195" spans="1:21" x14ac:dyDescent="0.2">
      <c r="A7195" s="3">
        <v>7194</v>
      </c>
      <c r="B7195" s="1" t="s">
        <v>4226</v>
      </c>
      <c r="D7195" s="1" t="s">
        <v>5412</v>
      </c>
      <c r="F7195" s="1" t="s">
        <v>5466</v>
      </c>
      <c r="H7195" s="1" t="s">
        <v>5472</v>
      </c>
      <c r="J7195" s="1" t="s">
        <v>5473</v>
      </c>
      <c r="L7195" s="1" t="s">
        <v>4443</v>
      </c>
      <c r="N7195" s="1" t="s">
        <v>8068</v>
      </c>
      <c r="P7195" s="1" t="s">
        <v>13072</v>
      </c>
      <c r="Q7195" s="30" t="s">
        <v>2567</v>
      </c>
      <c r="R7195" s="33" t="s">
        <v>3472</v>
      </c>
      <c r="S7195">
        <v>37</v>
      </c>
      <c r="T7195" s="1" t="s">
        <v>14004</v>
      </c>
      <c r="U7195" s="1" t="str">
        <f>HYPERLINK("http://ictvonline.org/taxonomy/p/taxonomy-history?taxnode_id=202113248","ICTVonline=202113248")</f>
        <v>ICTVonline=202113248</v>
      </c>
    </row>
    <row r="7196" spans="1:21" x14ac:dyDescent="0.2">
      <c r="A7196" s="3">
        <v>7195</v>
      </c>
      <c r="B7196" s="1" t="s">
        <v>4226</v>
      </c>
      <c r="D7196" s="1" t="s">
        <v>5412</v>
      </c>
      <c r="F7196" s="1" t="s">
        <v>5466</v>
      </c>
      <c r="H7196" s="1" t="s">
        <v>5472</v>
      </c>
      <c r="J7196" s="1" t="s">
        <v>5473</v>
      </c>
      <c r="L7196" s="1" t="s">
        <v>4443</v>
      </c>
      <c r="N7196" s="1" t="s">
        <v>4450</v>
      </c>
      <c r="P7196" s="1" t="s">
        <v>8070</v>
      </c>
      <c r="Q7196" s="30" t="s">
        <v>2567</v>
      </c>
      <c r="R7196" s="33" t="s">
        <v>3472</v>
      </c>
      <c r="S7196">
        <v>36</v>
      </c>
      <c r="T7196" s="1" t="s">
        <v>8047</v>
      </c>
      <c r="U7196" s="1" t="str">
        <f>HYPERLINK("http://ictvonline.org/taxonomy/p/taxonomy-history?taxnode_id=202108732","ICTVonline=202108732")</f>
        <v>ICTVonline=202108732</v>
      </c>
    </row>
    <row r="7197" spans="1:21" x14ac:dyDescent="0.2">
      <c r="A7197" s="3">
        <v>7196</v>
      </c>
      <c r="B7197" s="1" t="s">
        <v>4226</v>
      </c>
      <c r="D7197" s="1" t="s">
        <v>5412</v>
      </c>
      <c r="F7197" s="1" t="s">
        <v>5466</v>
      </c>
      <c r="H7197" s="1" t="s">
        <v>5472</v>
      </c>
      <c r="J7197" s="1" t="s">
        <v>5473</v>
      </c>
      <c r="L7197" s="1" t="s">
        <v>4443</v>
      </c>
      <c r="N7197" s="1" t="s">
        <v>4450</v>
      </c>
      <c r="P7197" s="1" t="s">
        <v>8071</v>
      </c>
      <c r="Q7197" s="30" t="s">
        <v>2567</v>
      </c>
      <c r="R7197" s="33" t="s">
        <v>3472</v>
      </c>
      <c r="S7197">
        <v>36</v>
      </c>
      <c r="T7197" s="1" t="s">
        <v>8047</v>
      </c>
      <c r="U7197" s="1" t="str">
        <f>HYPERLINK("http://ictvonline.org/taxonomy/p/taxonomy-history?taxnode_id=202108733","ICTVonline=202108733")</f>
        <v>ICTVonline=202108733</v>
      </c>
    </row>
    <row r="7198" spans="1:21" x14ac:dyDescent="0.2">
      <c r="A7198" s="3">
        <v>7197</v>
      </c>
      <c r="B7198" s="1" t="s">
        <v>4226</v>
      </c>
      <c r="D7198" s="1" t="s">
        <v>5412</v>
      </c>
      <c r="F7198" s="1" t="s">
        <v>5466</v>
      </c>
      <c r="H7198" s="1" t="s">
        <v>5472</v>
      </c>
      <c r="J7198" s="1" t="s">
        <v>5473</v>
      </c>
      <c r="L7198" s="1" t="s">
        <v>4443</v>
      </c>
      <c r="N7198" s="1" t="s">
        <v>4450</v>
      </c>
      <c r="P7198" s="1" t="s">
        <v>4451</v>
      </c>
      <c r="Q7198" s="30" t="s">
        <v>2567</v>
      </c>
      <c r="R7198" s="33" t="s">
        <v>8665</v>
      </c>
      <c r="S7198">
        <v>36</v>
      </c>
      <c r="T7198" s="1" t="s">
        <v>8661</v>
      </c>
      <c r="U7198" s="1" t="str">
        <f>HYPERLINK("http://ictvonline.org/taxonomy/p/taxonomy-history?taxnode_id=202106284","ICTVonline=202106284")</f>
        <v>ICTVonline=202106284</v>
      </c>
    </row>
    <row r="7199" spans="1:21" x14ac:dyDescent="0.2">
      <c r="A7199" s="3">
        <v>7198</v>
      </c>
      <c r="B7199" s="1" t="s">
        <v>4226</v>
      </c>
      <c r="D7199" s="1" t="s">
        <v>5412</v>
      </c>
      <c r="F7199" s="1" t="s">
        <v>5466</v>
      </c>
      <c r="H7199" s="1" t="s">
        <v>5472</v>
      </c>
      <c r="J7199" s="1" t="s">
        <v>5473</v>
      </c>
      <c r="L7199" s="1" t="s">
        <v>4443</v>
      </c>
      <c r="N7199" s="1" t="s">
        <v>4450</v>
      </c>
      <c r="P7199" s="1" t="s">
        <v>13073</v>
      </c>
      <c r="Q7199" s="30" t="s">
        <v>2567</v>
      </c>
      <c r="R7199" s="33" t="s">
        <v>3472</v>
      </c>
      <c r="S7199">
        <v>37</v>
      </c>
      <c r="T7199" s="1" t="s">
        <v>14004</v>
      </c>
      <c r="U7199" s="1" t="str">
        <f>HYPERLINK("http://ictvonline.org/taxonomy/p/taxonomy-history?taxnode_id=202112578","ICTVonline=202112578")</f>
        <v>ICTVonline=202112578</v>
      </c>
    </row>
    <row r="7200" spans="1:21" x14ac:dyDescent="0.2">
      <c r="A7200" s="3">
        <v>7199</v>
      </c>
      <c r="B7200" s="1" t="s">
        <v>4226</v>
      </c>
      <c r="D7200" s="1" t="s">
        <v>5412</v>
      </c>
      <c r="F7200" s="1" t="s">
        <v>5466</v>
      </c>
      <c r="H7200" s="1" t="s">
        <v>5472</v>
      </c>
      <c r="J7200" s="1" t="s">
        <v>5473</v>
      </c>
      <c r="L7200" s="1" t="s">
        <v>4443</v>
      </c>
      <c r="N7200" s="1" t="s">
        <v>4450</v>
      </c>
      <c r="P7200" s="1" t="s">
        <v>13074</v>
      </c>
      <c r="Q7200" s="30" t="s">
        <v>2567</v>
      </c>
      <c r="R7200" s="33" t="s">
        <v>3472</v>
      </c>
      <c r="S7200">
        <v>37</v>
      </c>
      <c r="T7200" s="1" t="s">
        <v>14004</v>
      </c>
      <c r="U7200" s="1" t="str">
        <f>HYPERLINK("http://ictvonline.org/taxonomy/p/taxonomy-history?taxnode_id=202112579","ICTVonline=202112579")</f>
        <v>ICTVonline=202112579</v>
      </c>
    </row>
    <row r="7201" spans="1:21" x14ac:dyDescent="0.2">
      <c r="A7201" s="3">
        <v>7200</v>
      </c>
      <c r="B7201" s="1" t="s">
        <v>4226</v>
      </c>
      <c r="D7201" s="1" t="s">
        <v>5412</v>
      </c>
      <c r="F7201" s="1" t="s">
        <v>5466</v>
      </c>
      <c r="H7201" s="1" t="s">
        <v>5472</v>
      </c>
      <c r="J7201" s="1" t="s">
        <v>5473</v>
      </c>
      <c r="L7201" s="1" t="s">
        <v>4443</v>
      </c>
      <c r="N7201" s="1" t="s">
        <v>4450</v>
      </c>
      <c r="P7201" s="1" t="s">
        <v>13075</v>
      </c>
      <c r="Q7201" s="30" t="s">
        <v>2567</v>
      </c>
      <c r="R7201" s="33" t="s">
        <v>3472</v>
      </c>
      <c r="S7201">
        <v>37</v>
      </c>
      <c r="T7201" s="1" t="s">
        <v>14004</v>
      </c>
      <c r="U7201" s="1" t="str">
        <f>HYPERLINK("http://ictvonline.org/taxonomy/p/taxonomy-history?taxnode_id=202112581","ICTVonline=202112581")</f>
        <v>ICTVonline=202112581</v>
      </c>
    </row>
    <row r="7202" spans="1:21" x14ac:dyDescent="0.2">
      <c r="A7202" s="3">
        <v>7201</v>
      </c>
      <c r="B7202" s="1" t="s">
        <v>4226</v>
      </c>
      <c r="D7202" s="1" t="s">
        <v>5412</v>
      </c>
      <c r="F7202" s="1" t="s">
        <v>5466</v>
      </c>
      <c r="H7202" s="1" t="s">
        <v>5472</v>
      </c>
      <c r="J7202" s="1" t="s">
        <v>5473</v>
      </c>
      <c r="L7202" s="1" t="s">
        <v>4443</v>
      </c>
      <c r="N7202" s="1" t="s">
        <v>4450</v>
      </c>
      <c r="P7202" s="1" t="s">
        <v>13076</v>
      </c>
      <c r="Q7202" s="30" t="s">
        <v>2567</v>
      </c>
      <c r="R7202" s="33" t="s">
        <v>3472</v>
      </c>
      <c r="S7202">
        <v>37</v>
      </c>
      <c r="T7202" s="1" t="s">
        <v>14004</v>
      </c>
      <c r="U7202" s="1" t="str">
        <f>HYPERLINK("http://ictvonline.org/taxonomy/p/taxonomy-history?taxnode_id=202112582","ICTVonline=202112582")</f>
        <v>ICTVonline=202112582</v>
      </c>
    </row>
    <row r="7203" spans="1:21" x14ac:dyDescent="0.2">
      <c r="A7203" s="3">
        <v>7202</v>
      </c>
      <c r="B7203" s="1" t="s">
        <v>4226</v>
      </c>
      <c r="D7203" s="1" t="s">
        <v>5412</v>
      </c>
      <c r="F7203" s="1" t="s">
        <v>5466</v>
      </c>
      <c r="H7203" s="1" t="s">
        <v>5472</v>
      </c>
      <c r="J7203" s="1" t="s">
        <v>5473</v>
      </c>
      <c r="L7203" s="1" t="s">
        <v>4443</v>
      </c>
      <c r="N7203" s="1" t="s">
        <v>4450</v>
      </c>
      <c r="P7203" s="1" t="s">
        <v>13077</v>
      </c>
      <c r="Q7203" s="30" t="s">
        <v>2567</v>
      </c>
      <c r="R7203" s="33" t="s">
        <v>3472</v>
      </c>
      <c r="S7203">
        <v>37</v>
      </c>
      <c r="T7203" s="1" t="s">
        <v>14004</v>
      </c>
      <c r="U7203" s="1" t="str">
        <f>HYPERLINK("http://ictvonline.org/taxonomy/p/taxonomy-history?taxnode_id=202112584","ICTVonline=202112584")</f>
        <v>ICTVonline=202112584</v>
      </c>
    </row>
    <row r="7204" spans="1:21" x14ac:dyDescent="0.2">
      <c r="A7204" s="3">
        <v>7203</v>
      </c>
      <c r="B7204" s="1" t="s">
        <v>4226</v>
      </c>
      <c r="D7204" s="1" t="s">
        <v>5412</v>
      </c>
      <c r="F7204" s="1" t="s">
        <v>5466</v>
      </c>
      <c r="H7204" s="1" t="s">
        <v>5472</v>
      </c>
      <c r="J7204" s="1" t="s">
        <v>5473</v>
      </c>
      <c r="L7204" s="1" t="s">
        <v>4443</v>
      </c>
      <c r="N7204" s="1" t="s">
        <v>4450</v>
      </c>
      <c r="P7204" s="1" t="s">
        <v>13078</v>
      </c>
      <c r="Q7204" s="30" t="s">
        <v>2567</v>
      </c>
      <c r="R7204" s="33" t="s">
        <v>3472</v>
      </c>
      <c r="S7204">
        <v>37</v>
      </c>
      <c r="T7204" s="1" t="s">
        <v>14004</v>
      </c>
      <c r="U7204" s="1" t="str">
        <f>HYPERLINK("http://ictvonline.org/taxonomy/p/taxonomy-history?taxnode_id=202112580","ICTVonline=202112580")</f>
        <v>ICTVonline=202112580</v>
      </c>
    </row>
    <row r="7205" spans="1:21" x14ac:dyDescent="0.2">
      <c r="A7205" s="3">
        <v>7204</v>
      </c>
      <c r="B7205" s="1" t="s">
        <v>4226</v>
      </c>
      <c r="D7205" s="1" t="s">
        <v>5412</v>
      </c>
      <c r="F7205" s="1" t="s">
        <v>5466</v>
      </c>
      <c r="H7205" s="1" t="s">
        <v>5472</v>
      </c>
      <c r="J7205" s="1" t="s">
        <v>5473</v>
      </c>
      <c r="L7205" s="1" t="s">
        <v>4443</v>
      </c>
      <c r="N7205" s="1" t="s">
        <v>4450</v>
      </c>
      <c r="P7205" s="1" t="s">
        <v>13079</v>
      </c>
      <c r="Q7205" s="30" t="s">
        <v>2567</v>
      </c>
      <c r="R7205" s="33" t="s">
        <v>3472</v>
      </c>
      <c r="S7205">
        <v>37</v>
      </c>
      <c r="T7205" s="1" t="s">
        <v>14004</v>
      </c>
      <c r="U7205" s="1" t="str">
        <f>HYPERLINK("http://ictvonline.org/taxonomy/p/taxonomy-history?taxnode_id=202112586","ICTVonline=202112586")</f>
        <v>ICTVonline=202112586</v>
      </c>
    </row>
    <row r="7206" spans="1:21" x14ac:dyDescent="0.2">
      <c r="A7206" s="3">
        <v>7205</v>
      </c>
      <c r="B7206" s="1" t="s">
        <v>4226</v>
      </c>
      <c r="D7206" s="1" t="s">
        <v>5412</v>
      </c>
      <c r="F7206" s="1" t="s">
        <v>5466</v>
      </c>
      <c r="H7206" s="1" t="s">
        <v>5472</v>
      </c>
      <c r="J7206" s="1" t="s">
        <v>5473</v>
      </c>
      <c r="L7206" s="1" t="s">
        <v>4443</v>
      </c>
      <c r="N7206" s="1" t="s">
        <v>4450</v>
      </c>
      <c r="P7206" s="1" t="s">
        <v>13080</v>
      </c>
      <c r="Q7206" s="30" t="s">
        <v>2567</v>
      </c>
      <c r="R7206" s="33" t="s">
        <v>3472</v>
      </c>
      <c r="S7206">
        <v>37</v>
      </c>
      <c r="T7206" s="1" t="s">
        <v>14004</v>
      </c>
      <c r="U7206" s="1" t="str">
        <f>HYPERLINK("http://ictvonline.org/taxonomy/p/taxonomy-history?taxnode_id=202112587","ICTVonline=202112587")</f>
        <v>ICTVonline=202112587</v>
      </c>
    </row>
    <row r="7207" spans="1:21" x14ac:dyDescent="0.2">
      <c r="A7207" s="3">
        <v>7206</v>
      </c>
      <c r="B7207" s="1" t="s">
        <v>4226</v>
      </c>
      <c r="D7207" s="1" t="s">
        <v>5412</v>
      </c>
      <c r="F7207" s="1" t="s">
        <v>5466</v>
      </c>
      <c r="H7207" s="1" t="s">
        <v>5472</v>
      </c>
      <c r="J7207" s="1" t="s">
        <v>5473</v>
      </c>
      <c r="L7207" s="1" t="s">
        <v>4443</v>
      </c>
      <c r="N7207" s="1" t="s">
        <v>4450</v>
      </c>
      <c r="P7207" s="1" t="s">
        <v>13081</v>
      </c>
      <c r="Q7207" s="30" t="s">
        <v>2567</v>
      </c>
      <c r="R7207" s="33" t="s">
        <v>3472</v>
      </c>
      <c r="S7207">
        <v>37</v>
      </c>
      <c r="T7207" s="1" t="s">
        <v>14004</v>
      </c>
      <c r="U7207" s="1" t="str">
        <f>HYPERLINK("http://ictvonline.org/taxonomy/p/taxonomy-history?taxnode_id=202112588","ICTVonline=202112588")</f>
        <v>ICTVonline=202112588</v>
      </c>
    </row>
    <row r="7208" spans="1:21" x14ac:dyDescent="0.2">
      <c r="A7208" s="3">
        <v>7207</v>
      </c>
      <c r="B7208" s="1" t="s">
        <v>4226</v>
      </c>
      <c r="D7208" s="1" t="s">
        <v>5412</v>
      </c>
      <c r="F7208" s="1" t="s">
        <v>5466</v>
      </c>
      <c r="H7208" s="1" t="s">
        <v>5472</v>
      </c>
      <c r="J7208" s="1" t="s">
        <v>5473</v>
      </c>
      <c r="L7208" s="1" t="s">
        <v>4443</v>
      </c>
      <c r="N7208" s="1" t="s">
        <v>4450</v>
      </c>
      <c r="P7208" s="1" t="s">
        <v>13082</v>
      </c>
      <c r="Q7208" s="30" t="s">
        <v>2567</v>
      </c>
      <c r="R7208" s="33" t="s">
        <v>3472</v>
      </c>
      <c r="S7208">
        <v>37</v>
      </c>
      <c r="T7208" s="1" t="s">
        <v>14004</v>
      </c>
      <c r="U7208" s="1" t="str">
        <f>HYPERLINK("http://ictvonline.org/taxonomy/p/taxonomy-history?taxnode_id=202112589","ICTVonline=202112589")</f>
        <v>ICTVonline=202112589</v>
      </c>
    </row>
    <row r="7209" spans="1:21" x14ac:dyDescent="0.2">
      <c r="A7209" s="3">
        <v>7208</v>
      </c>
      <c r="B7209" s="1" t="s">
        <v>4226</v>
      </c>
      <c r="D7209" s="1" t="s">
        <v>5412</v>
      </c>
      <c r="F7209" s="1" t="s">
        <v>5466</v>
      </c>
      <c r="H7209" s="1" t="s">
        <v>5472</v>
      </c>
      <c r="J7209" s="1" t="s">
        <v>5473</v>
      </c>
      <c r="L7209" s="1" t="s">
        <v>4443</v>
      </c>
      <c r="N7209" s="1" t="s">
        <v>4450</v>
      </c>
      <c r="P7209" s="1" t="s">
        <v>13083</v>
      </c>
      <c r="Q7209" s="30" t="s">
        <v>2567</v>
      </c>
      <c r="R7209" s="33" t="s">
        <v>3472</v>
      </c>
      <c r="S7209">
        <v>37</v>
      </c>
      <c r="T7209" s="1" t="s">
        <v>14004</v>
      </c>
      <c r="U7209" s="1" t="str">
        <f>HYPERLINK("http://ictvonline.org/taxonomy/p/taxonomy-history?taxnode_id=202112590","ICTVonline=202112590")</f>
        <v>ICTVonline=202112590</v>
      </c>
    </row>
    <row r="7210" spans="1:21" x14ac:dyDescent="0.2">
      <c r="A7210" s="3">
        <v>7209</v>
      </c>
      <c r="B7210" s="1" t="s">
        <v>4226</v>
      </c>
      <c r="D7210" s="1" t="s">
        <v>5412</v>
      </c>
      <c r="F7210" s="1" t="s">
        <v>5466</v>
      </c>
      <c r="H7210" s="1" t="s">
        <v>5472</v>
      </c>
      <c r="J7210" s="1" t="s">
        <v>5473</v>
      </c>
      <c r="L7210" s="1" t="s">
        <v>4443</v>
      </c>
      <c r="N7210" s="1" t="s">
        <v>4450</v>
      </c>
      <c r="P7210" s="1" t="s">
        <v>13084</v>
      </c>
      <c r="Q7210" s="30" t="s">
        <v>2567</v>
      </c>
      <c r="R7210" s="33" t="s">
        <v>3472</v>
      </c>
      <c r="S7210">
        <v>37</v>
      </c>
      <c r="T7210" s="1" t="s">
        <v>14004</v>
      </c>
      <c r="U7210" s="1" t="str">
        <f>HYPERLINK("http://ictvonline.org/taxonomy/p/taxonomy-history?taxnode_id=202112596","ICTVonline=202112596")</f>
        <v>ICTVonline=202112596</v>
      </c>
    </row>
    <row r="7211" spans="1:21" x14ac:dyDescent="0.2">
      <c r="A7211" s="3">
        <v>7210</v>
      </c>
      <c r="B7211" s="1" t="s">
        <v>4226</v>
      </c>
      <c r="D7211" s="1" t="s">
        <v>5412</v>
      </c>
      <c r="F7211" s="1" t="s">
        <v>5466</v>
      </c>
      <c r="H7211" s="1" t="s">
        <v>5472</v>
      </c>
      <c r="J7211" s="1" t="s">
        <v>5473</v>
      </c>
      <c r="L7211" s="1" t="s">
        <v>4443</v>
      </c>
      <c r="N7211" s="1" t="s">
        <v>4450</v>
      </c>
      <c r="P7211" s="1" t="s">
        <v>13085</v>
      </c>
      <c r="Q7211" s="30" t="s">
        <v>2567</v>
      </c>
      <c r="R7211" s="33" t="s">
        <v>3472</v>
      </c>
      <c r="S7211">
        <v>37</v>
      </c>
      <c r="T7211" s="1" t="s">
        <v>14004</v>
      </c>
      <c r="U7211" s="1" t="str">
        <f>HYPERLINK("http://ictvonline.org/taxonomy/p/taxonomy-history?taxnode_id=202112592","ICTVonline=202112592")</f>
        <v>ICTVonline=202112592</v>
      </c>
    </row>
    <row r="7212" spans="1:21" x14ac:dyDescent="0.2">
      <c r="A7212" s="3">
        <v>7211</v>
      </c>
      <c r="B7212" s="1" t="s">
        <v>4226</v>
      </c>
      <c r="D7212" s="1" t="s">
        <v>5412</v>
      </c>
      <c r="F7212" s="1" t="s">
        <v>5466</v>
      </c>
      <c r="H7212" s="1" t="s">
        <v>5472</v>
      </c>
      <c r="J7212" s="1" t="s">
        <v>5473</v>
      </c>
      <c r="L7212" s="1" t="s">
        <v>4443</v>
      </c>
      <c r="N7212" s="1" t="s">
        <v>4450</v>
      </c>
      <c r="P7212" s="1" t="s">
        <v>13086</v>
      </c>
      <c r="Q7212" s="30" t="s">
        <v>2567</v>
      </c>
      <c r="R7212" s="33" t="s">
        <v>3472</v>
      </c>
      <c r="S7212">
        <v>37</v>
      </c>
      <c r="T7212" s="1" t="s">
        <v>14004</v>
      </c>
      <c r="U7212" s="1" t="str">
        <f>HYPERLINK("http://ictvonline.org/taxonomy/p/taxonomy-history?taxnode_id=202112593","ICTVonline=202112593")</f>
        <v>ICTVonline=202112593</v>
      </c>
    </row>
    <row r="7213" spans="1:21" x14ac:dyDescent="0.2">
      <c r="A7213" s="3">
        <v>7212</v>
      </c>
      <c r="B7213" s="1" t="s">
        <v>4226</v>
      </c>
      <c r="D7213" s="1" t="s">
        <v>5412</v>
      </c>
      <c r="F7213" s="1" t="s">
        <v>5466</v>
      </c>
      <c r="H7213" s="1" t="s">
        <v>5472</v>
      </c>
      <c r="J7213" s="1" t="s">
        <v>5473</v>
      </c>
      <c r="L7213" s="1" t="s">
        <v>4443</v>
      </c>
      <c r="N7213" s="1" t="s">
        <v>4450</v>
      </c>
      <c r="P7213" s="1" t="s">
        <v>13087</v>
      </c>
      <c r="Q7213" s="30" t="s">
        <v>2567</v>
      </c>
      <c r="R7213" s="33" t="s">
        <v>3472</v>
      </c>
      <c r="S7213">
        <v>37</v>
      </c>
      <c r="T7213" s="1" t="s">
        <v>14004</v>
      </c>
      <c r="U7213" s="1" t="str">
        <f>HYPERLINK("http://ictvonline.org/taxonomy/p/taxonomy-history?taxnode_id=202112594","ICTVonline=202112594")</f>
        <v>ICTVonline=202112594</v>
      </c>
    </row>
    <row r="7214" spans="1:21" x14ac:dyDescent="0.2">
      <c r="A7214" s="3">
        <v>7213</v>
      </c>
      <c r="B7214" s="1" t="s">
        <v>4226</v>
      </c>
      <c r="D7214" s="1" t="s">
        <v>5412</v>
      </c>
      <c r="F7214" s="1" t="s">
        <v>5466</v>
      </c>
      <c r="H7214" s="1" t="s">
        <v>5472</v>
      </c>
      <c r="J7214" s="1" t="s">
        <v>5473</v>
      </c>
      <c r="L7214" s="1" t="s">
        <v>4443</v>
      </c>
      <c r="N7214" s="1" t="s">
        <v>4450</v>
      </c>
      <c r="P7214" s="1" t="s">
        <v>13088</v>
      </c>
      <c r="Q7214" s="30" t="s">
        <v>2567</v>
      </c>
      <c r="R7214" s="33" t="s">
        <v>3472</v>
      </c>
      <c r="S7214">
        <v>37</v>
      </c>
      <c r="T7214" s="1" t="s">
        <v>14004</v>
      </c>
      <c r="U7214" s="1" t="str">
        <f>HYPERLINK("http://ictvonline.org/taxonomy/p/taxonomy-history?taxnode_id=202112595","ICTVonline=202112595")</f>
        <v>ICTVonline=202112595</v>
      </c>
    </row>
    <row r="7215" spans="1:21" x14ac:dyDescent="0.2">
      <c r="A7215" s="3">
        <v>7214</v>
      </c>
      <c r="B7215" s="1" t="s">
        <v>4226</v>
      </c>
      <c r="D7215" s="1" t="s">
        <v>5412</v>
      </c>
      <c r="F7215" s="1" t="s">
        <v>5466</v>
      </c>
      <c r="H7215" s="1" t="s">
        <v>5472</v>
      </c>
      <c r="J7215" s="1" t="s">
        <v>5473</v>
      </c>
      <c r="L7215" s="1" t="s">
        <v>4443</v>
      </c>
      <c r="N7215" s="1" t="s">
        <v>4450</v>
      </c>
      <c r="P7215" s="1" t="s">
        <v>13089</v>
      </c>
      <c r="Q7215" s="30" t="s">
        <v>2567</v>
      </c>
      <c r="R7215" s="33" t="s">
        <v>3472</v>
      </c>
      <c r="S7215">
        <v>37</v>
      </c>
      <c r="T7215" s="1" t="s">
        <v>14004</v>
      </c>
      <c r="U7215" s="1" t="str">
        <f>HYPERLINK("http://ictvonline.org/taxonomy/p/taxonomy-history?taxnode_id=202112585","ICTVonline=202112585")</f>
        <v>ICTVonline=202112585</v>
      </c>
    </row>
    <row r="7216" spans="1:21" x14ac:dyDescent="0.2">
      <c r="A7216" s="3">
        <v>7215</v>
      </c>
      <c r="B7216" s="1" t="s">
        <v>4226</v>
      </c>
      <c r="D7216" s="1" t="s">
        <v>5412</v>
      </c>
      <c r="F7216" s="1" t="s">
        <v>5466</v>
      </c>
      <c r="H7216" s="1" t="s">
        <v>5472</v>
      </c>
      <c r="J7216" s="1" t="s">
        <v>5473</v>
      </c>
      <c r="L7216" s="1" t="s">
        <v>4443</v>
      </c>
      <c r="N7216" s="1" t="s">
        <v>4450</v>
      </c>
      <c r="P7216" s="1" t="s">
        <v>13090</v>
      </c>
      <c r="Q7216" s="30" t="s">
        <v>2567</v>
      </c>
      <c r="R7216" s="33" t="s">
        <v>3472</v>
      </c>
      <c r="S7216">
        <v>37</v>
      </c>
      <c r="T7216" s="1" t="s">
        <v>14004</v>
      </c>
      <c r="U7216" s="1" t="str">
        <f>HYPERLINK("http://ictvonline.org/taxonomy/p/taxonomy-history?taxnode_id=202112591","ICTVonline=202112591")</f>
        <v>ICTVonline=202112591</v>
      </c>
    </row>
    <row r="7217" spans="1:21" x14ac:dyDescent="0.2">
      <c r="A7217" s="3">
        <v>7216</v>
      </c>
      <c r="B7217" s="1" t="s">
        <v>4226</v>
      </c>
      <c r="D7217" s="1" t="s">
        <v>5412</v>
      </c>
      <c r="F7217" s="1" t="s">
        <v>5466</v>
      </c>
      <c r="H7217" s="1" t="s">
        <v>5472</v>
      </c>
      <c r="J7217" s="1" t="s">
        <v>5473</v>
      </c>
      <c r="L7217" s="1" t="s">
        <v>4443</v>
      </c>
      <c r="N7217" s="1" t="s">
        <v>4450</v>
      </c>
      <c r="P7217" s="1" t="s">
        <v>13091</v>
      </c>
      <c r="Q7217" s="30" t="s">
        <v>2567</v>
      </c>
      <c r="R7217" s="33" t="s">
        <v>3472</v>
      </c>
      <c r="S7217">
        <v>37</v>
      </c>
      <c r="T7217" s="1" t="s">
        <v>14004</v>
      </c>
      <c r="U7217" s="1" t="str">
        <f>HYPERLINK("http://ictvonline.org/taxonomy/p/taxonomy-history?taxnode_id=202112583","ICTVonline=202112583")</f>
        <v>ICTVonline=202112583</v>
      </c>
    </row>
    <row r="7218" spans="1:21" x14ac:dyDescent="0.2">
      <c r="A7218" s="3">
        <v>7217</v>
      </c>
      <c r="B7218" s="1" t="s">
        <v>4226</v>
      </c>
      <c r="D7218" s="1" t="s">
        <v>5412</v>
      </c>
      <c r="F7218" s="1" t="s">
        <v>5466</v>
      </c>
      <c r="H7218" s="1" t="s">
        <v>5472</v>
      </c>
      <c r="J7218" s="1" t="s">
        <v>5473</v>
      </c>
      <c r="L7218" s="1" t="s">
        <v>4443</v>
      </c>
      <c r="N7218" s="1" t="s">
        <v>4450</v>
      </c>
      <c r="P7218" s="1" t="s">
        <v>4452</v>
      </c>
      <c r="Q7218" s="30" t="s">
        <v>2567</v>
      </c>
      <c r="R7218" s="33" t="s">
        <v>3474</v>
      </c>
      <c r="S7218">
        <v>35</v>
      </c>
      <c r="T7218" s="1" t="s">
        <v>5416</v>
      </c>
      <c r="U7218" s="1" t="str">
        <f>HYPERLINK("http://ictvonline.org/taxonomy/p/taxonomy-history?taxnode_id=202106285","ICTVonline=202106285")</f>
        <v>ICTVonline=202106285</v>
      </c>
    </row>
    <row r="7219" spans="1:21" x14ac:dyDescent="0.2">
      <c r="A7219" s="3">
        <v>7218</v>
      </c>
      <c r="B7219" s="1" t="s">
        <v>4226</v>
      </c>
      <c r="D7219" s="1" t="s">
        <v>5412</v>
      </c>
      <c r="F7219" s="1" t="s">
        <v>5466</v>
      </c>
      <c r="H7219" s="1" t="s">
        <v>5472</v>
      </c>
      <c r="J7219" s="1" t="s">
        <v>5473</v>
      </c>
      <c r="L7219" s="1" t="s">
        <v>4443</v>
      </c>
      <c r="N7219" s="1" t="s">
        <v>4450</v>
      </c>
      <c r="P7219" s="1" t="s">
        <v>4453</v>
      </c>
      <c r="Q7219" s="30" t="s">
        <v>2567</v>
      </c>
      <c r="R7219" s="33" t="s">
        <v>3474</v>
      </c>
      <c r="S7219">
        <v>35</v>
      </c>
      <c r="T7219" s="1" t="s">
        <v>5416</v>
      </c>
      <c r="U7219" s="1" t="str">
        <f>HYPERLINK("http://ictvonline.org/taxonomy/p/taxonomy-history?taxnode_id=202106286","ICTVonline=202106286")</f>
        <v>ICTVonline=202106286</v>
      </c>
    </row>
    <row r="7220" spans="1:21" x14ac:dyDescent="0.2">
      <c r="A7220" s="3">
        <v>7219</v>
      </c>
      <c r="B7220" s="1" t="s">
        <v>4226</v>
      </c>
      <c r="D7220" s="1" t="s">
        <v>5412</v>
      </c>
      <c r="F7220" s="1" t="s">
        <v>3981</v>
      </c>
      <c r="G7220" s="1" t="s">
        <v>3982</v>
      </c>
      <c r="H7220" s="1" t="s">
        <v>3983</v>
      </c>
      <c r="J7220" s="1" t="s">
        <v>3984</v>
      </c>
      <c r="L7220" s="1" t="s">
        <v>3985</v>
      </c>
      <c r="N7220" s="1" t="s">
        <v>3986</v>
      </c>
      <c r="P7220" s="1" t="s">
        <v>13092</v>
      </c>
      <c r="Q7220" s="30" t="s">
        <v>2566</v>
      </c>
      <c r="R7220" s="33" t="s">
        <v>3475</v>
      </c>
      <c r="S7220">
        <v>37</v>
      </c>
      <c r="T7220" s="1" t="s">
        <v>14005</v>
      </c>
      <c r="U7220" s="1" t="str">
        <f>HYPERLINK("http://ictvonline.org/taxonomy/p/taxonomy-history?taxnode_id=202106030","ICTVonline=202106030")</f>
        <v>ICTVonline=202106030</v>
      </c>
    </row>
    <row r="7221" spans="1:21" x14ac:dyDescent="0.2">
      <c r="A7221" s="3">
        <v>7220</v>
      </c>
      <c r="B7221" s="1" t="s">
        <v>4226</v>
      </c>
      <c r="D7221" s="1" t="s">
        <v>5412</v>
      </c>
      <c r="F7221" s="1" t="s">
        <v>3981</v>
      </c>
      <c r="G7221" s="1" t="s">
        <v>3982</v>
      </c>
      <c r="H7221" s="1" t="s">
        <v>3983</v>
      </c>
      <c r="J7221" s="1" t="s">
        <v>3984</v>
      </c>
      <c r="L7221" s="1" t="s">
        <v>3985</v>
      </c>
      <c r="N7221" s="1" t="s">
        <v>3986</v>
      </c>
      <c r="P7221" s="1" t="s">
        <v>13093</v>
      </c>
      <c r="Q7221" s="30" t="s">
        <v>2566</v>
      </c>
      <c r="R7221" s="33" t="s">
        <v>3475</v>
      </c>
      <c r="S7221">
        <v>37</v>
      </c>
      <c r="T7221" s="1" t="s">
        <v>14005</v>
      </c>
      <c r="U7221" s="1" t="str">
        <f>HYPERLINK("http://ictvonline.org/taxonomy/p/taxonomy-history?taxnode_id=202106031","ICTVonline=202106031")</f>
        <v>ICTVonline=202106031</v>
      </c>
    </row>
    <row r="7222" spans="1:21" x14ac:dyDescent="0.2">
      <c r="A7222" s="3">
        <v>7221</v>
      </c>
      <c r="B7222" s="1" t="s">
        <v>4226</v>
      </c>
      <c r="D7222" s="1" t="s">
        <v>5412</v>
      </c>
      <c r="F7222" s="1" t="s">
        <v>3981</v>
      </c>
      <c r="G7222" s="1" t="s">
        <v>3982</v>
      </c>
      <c r="H7222" s="1" t="s">
        <v>3983</v>
      </c>
      <c r="J7222" s="1" t="s">
        <v>3984</v>
      </c>
      <c r="L7222" s="1" t="s">
        <v>3985</v>
      </c>
      <c r="N7222" s="1" t="s">
        <v>3986</v>
      </c>
      <c r="P7222" s="1" t="s">
        <v>13094</v>
      </c>
      <c r="Q7222" s="30" t="s">
        <v>2566</v>
      </c>
      <c r="R7222" s="33" t="s">
        <v>3475</v>
      </c>
      <c r="S7222">
        <v>37</v>
      </c>
      <c r="T7222" s="1" t="s">
        <v>14005</v>
      </c>
      <c r="U7222" s="1" t="str">
        <f>HYPERLINK("http://ictvonline.org/taxonomy/p/taxonomy-history?taxnode_id=202106032","ICTVonline=202106032")</f>
        <v>ICTVonline=202106032</v>
      </c>
    </row>
    <row r="7223" spans="1:21" x14ac:dyDescent="0.2">
      <c r="A7223" s="3">
        <v>7222</v>
      </c>
      <c r="B7223" s="1" t="s">
        <v>4226</v>
      </c>
      <c r="D7223" s="1" t="s">
        <v>5412</v>
      </c>
      <c r="F7223" s="1" t="s">
        <v>3981</v>
      </c>
      <c r="G7223" s="1" t="s">
        <v>3982</v>
      </c>
      <c r="H7223" s="1" t="s">
        <v>3983</v>
      </c>
      <c r="J7223" s="1" t="s">
        <v>3984</v>
      </c>
      <c r="L7223" s="1" t="s">
        <v>3985</v>
      </c>
      <c r="N7223" s="1" t="s">
        <v>3986</v>
      </c>
      <c r="P7223" s="1" t="s">
        <v>13095</v>
      </c>
      <c r="Q7223" s="30" t="s">
        <v>2566</v>
      </c>
      <c r="R7223" s="33" t="s">
        <v>3475</v>
      </c>
      <c r="S7223">
        <v>37</v>
      </c>
      <c r="T7223" s="1" t="s">
        <v>14005</v>
      </c>
      <c r="U7223" s="1" t="str">
        <f>HYPERLINK("http://ictvonline.org/taxonomy/p/taxonomy-history?taxnode_id=202106033","ICTVonline=202106033")</f>
        <v>ICTVonline=202106033</v>
      </c>
    </row>
    <row r="7224" spans="1:21" x14ac:dyDescent="0.2">
      <c r="A7224" s="3">
        <v>7223</v>
      </c>
      <c r="B7224" s="1" t="s">
        <v>4226</v>
      </c>
      <c r="D7224" s="1" t="s">
        <v>5412</v>
      </c>
      <c r="F7224" s="1" t="s">
        <v>3981</v>
      </c>
      <c r="G7224" s="1" t="s">
        <v>3982</v>
      </c>
      <c r="H7224" s="1" t="s">
        <v>3983</v>
      </c>
      <c r="J7224" s="1" t="s">
        <v>3984</v>
      </c>
      <c r="L7224" s="1" t="s">
        <v>3985</v>
      </c>
      <c r="N7224" s="1" t="s">
        <v>3986</v>
      </c>
      <c r="P7224" s="1" t="s">
        <v>13096</v>
      </c>
      <c r="Q7224" s="30" t="s">
        <v>2566</v>
      </c>
      <c r="R7224" s="33" t="s">
        <v>3475</v>
      </c>
      <c r="S7224">
        <v>37</v>
      </c>
      <c r="T7224" s="1" t="s">
        <v>14005</v>
      </c>
      <c r="U7224" s="1" t="str">
        <f>HYPERLINK("http://ictvonline.org/taxonomy/p/taxonomy-history?taxnode_id=202106034","ICTVonline=202106034")</f>
        <v>ICTVonline=202106034</v>
      </c>
    </row>
    <row r="7225" spans="1:21" x14ac:dyDescent="0.2">
      <c r="A7225" s="3">
        <v>7224</v>
      </c>
      <c r="B7225" s="1" t="s">
        <v>4226</v>
      </c>
      <c r="D7225" s="1" t="s">
        <v>5412</v>
      </c>
      <c r="F7225" s="1" t="s">
        <v>3981</v>
      </c>
      <c r="G7225" s="1" t="s">
        <v>3982</v>
      </c>
      <c r="H7225" s="1" t="s">
        <v>3983</v>
      </c>
      <c r="J7225" s="1" t="s">
        <v>3984</v>
      </c>
      <c r="L7225" s="1" t="s">
        <v>3985</v>
      </c>
      <c r="N7225" s="1" t="s">
        <v>3986</v>
      </c>
      <c r="P7225" s="1" t="s">
        <v>13097</v>
      </c>
      <c r="Q7225" s="30" t="s">
        <v>2566</v>
      </c>
      <c r="R7225" s="33" t="s">
        <v>3475</v>
      </c>
      <c r="S7225">
        <v>37</v>
      </c>
      <c r="T7225" s="1" t="s">
        <v>14005</v>
      </c>
      <c r="U7225" s="1" t="str">
        <f>HYPERLINK("http://ictvonline.org/taxonomy/p/taxonomy-history?taxnode_id=202106035","ICTVonline=202106035")</f>
        <v>ICTVonline=202106035</v>
      </c>
    </row>
    <row r="7226" spans="1:21" x14ac:dyDescent="0.2">
      <c r="A7226" s="3">
        <v>7225</v>
      </c>
      <c r="B7226" s="1" t="s">
        <v>4226</v>
      </c>
      <c r="D7226" s="1" t="s">
        <v>5412</v>
      </c>
      <c r="F7226" s="1" t="s">
        <v>3981</v>
      </c>
      <c r="G7226" s="1" t="s">
        <v>3982</v>
      </c>
      <c r="H7226" s="1" t="s">
        <v>3983</v>
      </c>
      <c r="J7226" s="1" t="s">
        <v>3984</v>
      </c>
      <c r="L7226" s="1" t="s">
        <v>3985</v>
      </c>
      <c r="N7226" s="1" t="s">
        <v>3986</v>
      </c>
      <c r="P7226" s="1" t="s">
        <v>13098</v>
      </c>
      <c r="Q7226" s="30" t="s">
        <v>2566</v>
      </c>
      <c r="R7226" s="33" t="s">
        <v>3475</v>
      </c>
      <c r="S7226">
        <v>37</v>
      </c>
      <c r="T7226" s="1" t="s">
        <v>14005</v>
      </c>
      <c r="U7226" s="1" t="str">
        <f>HYPERLINK("http://ictvonline.org/taxonomy/p/taxonomy-history?taxnode_id=202106036","ICTVonline=202106036")</f>
        <v>ICTVonline=202106036</v>
      </c>
    </row>
    <row r="7227" spans="1:21" x14ac:dyDescent="0.2">
      <c r="A7227" s="3">
        <v>7226</v>
      </c>
      <c r="B7227" s="1" t="s">
        <v>4226</v>
      </c>
      <c r="D7227" s="1" t="s">
        <v>5412</v>
      </c>
      <c r="F7227" s="1" t="s">
        <v>3981</v>
      </c>
      <c r="G7227" s="1" t="s">
        <v>3982</v>
      </c>
      <c r="H7227" s="1" t="s">
        <v>3983</v>
      </c>
      <c r="J7227" s="1" t="s">
        <v>3984</v>
      </c>
      <c r="L7227" s="1" t="s">
        <v>3985</v>
      </c>
      <c r="N7227" s="1" t="s">
        <v>3986</v>
      </c>
      <c r="P7227" s="1" t="s">
        <v>13099</v>
      </c>
      <c r="Q7227" s="30" t="s">
        <v>2566</v>
      </c>
      <c r="R7227" s="33" t="s">
        <v>3475</v>
      </c>
      <c r="S7227">
        <v>37</v>
      </c>
      <c r="T7227" s="1" t="s">
        <v>14005</v>
      </c>
      <c r="U7227" s="1" t="str">
        <f>HYPERLINK("http://ictvonline.org/taxonomy/p/taxonomy-history?taxnode_id=202106037","ICTVonline=202106037")</f>
        <v>ICTVonline=202106037</v>
      </c>
    </row>
    <row r="7228" spans="1:21" x14ac:dyDescent="0.2">
      <c r="A7228" s="3">
        <v>7227</v>
      </c>
      <c r="B7228" s="1" t="s">
        <v>4226</v>
      </c>
      <c r="D7228" s="1" t="s">
        <v>5412</v>
      </c>
      <c r="F7228" s="1" t="s">
        <v>3981</v>
      </c>
      <c r="G7228" s="1" t="s">
        <v>3982</v>
      </c>
      <c r="H7228" s="1" t="s">
        <v>3987</v>
      </c>
      <c r="J7228" s="1" t="s">
        <v>3988</v>
      </c>
      <c r="L7228" s="1" t="s">
        <v>3761</v>
      </c>
      <c r="N7228" s="1" t="s">
        <v>1510</v>
      </c>
      <c r="P7228" s="1" t="s">
        <v>13100</v>
      </c>
      <c r="Q7228" s="30" t="s">
        <v>2566</v>
      </c>
      <c r="R7228" s="33" t="s">
        <v>3475</v>
      </c>
      <c r="S7228">
        <v>37</v>
      </c>
      <c r="T7228" s="1" t="s">
        <v>14006</v>
      </c>
      <c r="U7228" s="1" t="str">
        <f>HYPERLINK("http://ictvonline.org/taxonomy/p/taxonomy-history?taxnode_id=202103947","ICTVonline=202103947")</f>
        <v>ICTVonline=202103947</v>
      </c>
    </row>
    <row r="7229" spans="1:21" x14ac:dyDescent="0.2">
      <c r="A7229" s="3">
        <v>7228</v>
      </c>
      <c r="B7229" s="1" t="s">
        <v>4226</v>
      </c>
      <c r="D7229" s="1" t="s">
        <v>5412</v>
      </c>
      <c r="F7229" s="1" t="s">
        <v>3981</v>
      </c>
      <c r="G7229" s="1" t="s">
        <v>3982</v>
      </c>
      <c r="H7229" s="1" t="s">
        <v>3987</v>
      </c>
      <c r="J7229" s="1" t="s">
        <v>3988</v>
      </c>
      <c r="L7229" s="1" t="s">
        <v>3761</v>
      </c>
      <c r="N7229" s="1" t="s">
        <v>1510</v>
      </c>
      <c r="P7229" s="1" t="s">
        <v>13101</v>
      </c>
      <c r="Q7229" s="30" t="s">
        <v>2566</v>
      </c>
      <c r="R7229" s="33" t="s">
        <v>3475</v>
      </c>
      <c r="S7229">
        <v>37</v>
      </c>
      <c r="T7229" s="1" t="s">
        <v>14006</v>
      </c>
      <c r="U7229" s="1" t="str">
        <f>HYPERLINK("http://ictvonline.org/taxonomy/p/taxonomy-history?taxnode_id=202103948","ICTVonline=202103948")</f>
        <v>ICTVonline=202103948</v>
      </c>
    </row>
    <row r="7230" spans="1:21" x14ac:dyDescent="0.2">
      <c r="A7230" s="3">
        <v>7229</v>
      </c>
      <c r="B7230" s="1" t="s">
        <v>4226</v>
      </c>
      <c r="D7230" s="1" t="s">
        <v>5412</v>
      </c>
      <c r="F7230" s="1" t="s">
        <v>3981</v>
      </c>
      <c r="G7230" s="1" t="s">
        <v>3982</v>
      </c>
      <c r="H7230" s="1" t="s">
        <v>3987</v>
      </c>
      <c r="J7230" s="1" t="s">
        <v>3988</v>
      </c>
      <c r="L7230" s="1" t="s">
        <v>3761</v>
      </c>
      <c r="N7230" s="1" t="s">
        <v>1510</v>
      </c>
      <c r="P7230" s="1" t="s">
        <v>13102</v>
      </c>
      <c r="Q7230" s="30" t="s">
        <v>2566</v>
      </c>
      <c r="R7230" s="33" t="s">
        <v>3475</v>
      </c>
      <c r="S7230">
        <v>37</v>
      </c>
      <c r="T7230" s="1" t="s">
        <v>14006</v>
      </c>
      <c r="U7230" s="1" t="str">
        <f>HYPERLINK("http://ictvonline.org/taxonomy/p/taxonomy-history?taxnode_id=202103949","ICTVonline=202103949")</f>
        <v>ICTVonline=202103949</v>
      </c>
    </row>
    <row r="7231" spans="1:21" x14ac:dyDescent="0.2">
      <c r="A7231" s="3">
        <v>7230</v>
      </c>
      <c r="B7231" s="1" t="s">
        <v>4226</v>
      </c>
      <c r="D7231" s="1" t="s">
        <v>5412</v>
      </c>
      <c r="F7231" s="1" t="s">
        <v>3981</v>
      </c>
      <c r="G7231" s="1" t="s">
        <v>3982</v>
      </c>
      <c r="H7231" s="1" t="s">
        <v>3987</v>
      </c>
      <c r="J7231" s="1" t="s">
        <v>3988</v>
      </c>
      <c r="L7231" s="1" t="s">
        <v>3761</v>
      </c>
      <c r="N7231" s="1" t="s">
        <v>1510</v>
      </c>
      <c r="P7231" s="1" t="s">
        <v>13103</v>
      </c>
      <c r="Q7231" s="30" t="s">
        <v>2566</v>
      </c>
      <c r="R7231" s="33" t="s">
        <v>3475</v>
      </c>
      <c r="S7231">
        <v>37</v>
      </c>
      <c r="T7231" s="1" t="s">
        <v>14006</v>
      </c>
      <c r="U7231" s="1" t="str">
        <f>HYPERLINK("http://ictvonline.org/taxonomy/p/taxonomy-history?taxnode_id=202103950","ICTVonline=202103950")</f>
        <v>ICTVonline=202103950</v>
      </c>
    </row>
    <row r="7232" spans="1:21" x14ac:dyDescent="0.2">
      <c r="A7232" s="3">
        <v>7231</v>
      </c>
      <c r="B7232" s="1" t="s">
        <v>4226</v>
      </c>
      <c r="D7232" s="1" t="s">
        <v>5412</v>
      </c>
      <c r="F7232" s="1" t="s">
        <v>3981</v>
      </c>
      <c r="G7232" s="1" t="s">
        <v>3982</v>
      </c>
      <c r="H7232" s="1" t="s">
        <v>3987</v>
      </c>
      <c r="J7232" s="1" t="s">
        <v>3988</v>
      </c>
      <c r="L7232" s="1" t="s">
        <v>3761</v>
      </c>
      <c r="N7232" s="1" t="s">
        <v>1510</v>
      </c>
      <c r="P7232" s="1" t="s">
        <v>13104</v>
      </c>
      <c r="Q7232" s="30" t="s">
        <v>2566</v>
      </c>
      <c r="R7232" s="33" t="s">
        <v>3475</v>
      </c>
      <c r="S7232">
        <v>37</v>
      </c>
      <c r="T7232" s="1" t="s">
        <v>14006</v>
      </c>
      <c r="U7232" s="1" t="str">
        <f>HYPERLINK("http://ictvonline.org/taxonomy/p/taxonomy-history?taxnode_id=202103951","ICTVonline=202103951")</f>
        <v>ICTVonline=202103951</v>
      </c>
    </row>
    <row r="7233" spans="1:21" x14ac:dyDescent="0.2">
      <c r="A7233" s="3">
        <v>7232</v>
      </c>
      <c r="B7233" s="1" t="s">
        <v>4226</v>
      </c>
      <c r="D7233" s="1" t="s">
        <v>5412</v>
      </c>
      <c r="F7233" s="1" t="s">
        <v>3981</v>
      </c>
      <c r="G7233" s="1" t="s">
        <v>3982</v>
      </c>
      <c r="H7233" s="1" t="s">
        <v>3987</v>
      </c>
      <c r="J7233" s="1" t="s">
        <v>3988</v>
      </c>
      <c r="L7233" s="1" t="s">
        <v>3761</v>
      </c>
      <c r="N7233" s="1" t="s">
        <v>1510</v>
      </c>
      <c r="P7233" s="1" t="s">
        <v>13105</v>
      </c>
      <c r="Q7233" s="30" t="s">
        <v>2566</v>
      </c>
      <c r="R7233" s="33" t="s">
        <v>3475</v>
      </c>
      <c r="S7233">
        <v>37</v>
      </c>
      <c r="T7233" s="1" t="s">
        <v>14006</v>
      </c>
      <c r="U7233" s="1" t="str">
        <f>HYPERLINK("http://ictvonline.org/taxonomy/p/taxonomy-history?taxnode_id=202103952","ICTVonline=202103952")</f>
        <v>ICTVonline=202103952</v>
      </c>
    </row>
    <row r="7234" spans="1:21" x14ac:dyDescent="0.2">
      <c r="A7234" s="3">
        <v>7233</v>
      </c>
      <c r="B7234" s="1" t="s">
        <v>4226</v>
      </c>
      <c r="D7234" s="1" t="s">
        <v>5412</v>
      </c>
      <c r="F7234" s="1" t="s">
        <v>3981</v>
      </c>
      <c r="G7234" s="1" t="s">
        <v>3982</v>
      </c>
      <c r="H7234" s="1" t="s">
        <v>3987</v>
      </c>
      <c r="J7234" s="1" t="s">
        <v>3988</v>
      </c>
      <c r="L7234" s="1" t="s">
        <v>3761</v>
      </c>
      <c r="N7234" s="1" t="s">
        <v>1510</v>
      </c>
      <c r="P7234" s="1" t="s">
        <v>13106</v>
      </c>
      <c r="Q7234" s="30" t="s">
        <v>2566</v>
      </c>
      <c r="R7234" s="33" t="s">
        <v>3475</v>
      </c>
      <c r="S7234">
        <v>37</v>
      </c>
      <c r="T7234" s="1" t="s">
        <v>14006</v>
      </c>
      <c r="U7234" s="1" t="str">
        <f>HYPERLINK("http://ictvonline.org/taxonomy/p/taxonomy-history?taxnode_id=202103946","ICTVonline=202103946")</f>
        <v>ICTVonline=202103946</v>
      </c>
    </row>
    <row r="7235" spans="1:21" x14ac:dyDescent="0.2">
      <c r="A7235" s="3">
        <v>7234</v>
      </c>
      <c r="B7235" s="1" t="s">
        <v>4226</v>
      </c>
      <c r="D7235" s="1" t="s">
        <v>5412</v>
      </c>
      <c r="F7235" s="1" t="s">
        <v>3981</v>
      </c>
      <c r="G7235" s="1" t="s">
        <v>3982</v>
      </c>
      <c r="H7235" s="1" t="s">
        <v>3989</v>
      </c>
      <c r="J7235" s="1" t="s">
        <v>3990</v>
      </c>
      <c r="L7235" s="1" t="s">
        <v>8072</v>
      </c>
      <c r="N7235" s="1" t="s">
        <v>8073</v>
      </c>
      <c r="P7235" s="1" t="s">
        <v>8074</v>
      </c>
      <c r="Q7235" s="30" t="s">
        <v>2566</v>
      </c>
      <c r="R7235" s="33" t="s">
        <v>3472</v>
      </c>
      <c r="S7235">
        <v>36</v>
      </c>
      <c r="T7235" s="1" t="s">
        <v>8075</v>
      </c>
      <c r="U7235" s="1" t="str">
        <f>HYPERLINK("http://ictvonline.org/taxonomy/p/taxonomy-history?taxnode_id=202109744","ICTVonline=202109744")</f>
        <v>ICTVonline=202109744</v>
      </c>
    </row>
    <row r="7236" spans="1:21" x14ac:dyDescent="0.2">
      <c r="A7236" s="3">
        <v>7235</v>
      </c>
      <c r="B7236" s="1" t="s">
        <v>4226</v>
      </c>
      <c r="D7236" s="1" t="s">
        <v>5412</v>
      </c>
      <c r="F7236" s="1" t="s">
        <v>3981</v>
      </c>
      <c r="G7236" s="1" t="s">
        <v>3982</v>
      </c>
      <c r="H7236" s="1" t="s">
        <v>3989</v>
      </c>
      <c r="J7236" s="1" t="s">
        <v>3990</v>
      </c>
      <c r="L7236" s="1" t="s">
        <v>8072</v>
      </c>
      <c r="N7236" s="1" t="s">
        <v>8076</v>
      </c>
      <c r="P7236" s="1" t="s">
        <v>8077</v>
      </c>
      <c r="Q7236" s="30" t="s">
        <v>2566</v>
      </c>
      <c r="R7236" s="33" t="s">
        <v>3473</v>
      </c>
      <c r="S7236">
        <v>36</v>
      </c>
      <c r="T7236" s="1" t="s">
        <v>8075</v>
      </c>
      <c r="U7236" s="1" t="str">
        <f>HYPERLINK("http://ictvonline.org/taxonomy/p/taxonomy-history?taxnode_id=202106043","ICTVonline=202106043")</f>
        <v>ICTVonline=202106043</v>
      </c>
    </row>
    <row r="7237" spans="1:21" x14ac:dyDescent="0.2">
      <c r="A7237" s="3">
        <v>7236</v>
      </c>
      <c r="B7237" s="1" t="s">
        <v>4226</v>
      </c>
      <c r="D7237" s="1" t="s">
        <v>5412</v>
      </c>
      <c r="F7237" s="1" t="s">
        <v>3981</v>
      </c>
      <c r="G7237" s="1" t="s">
        <v>3982</v>
      </c>
      <c r="H7237" s="1" t="s">
        <v>3989</v>
      </c>
      <c r="J7237" s="1" t="s">
        <v>3990</v>
      </c>
      <c r="L7237" s="1" t="s">
        <v>8072</v>
      </c>
      <c r="N7237" s="1" t="s">
        <v>8076</v>
      </c>
      <c r="P7237" s="1" t="s">
        <v>8078</v>
      </c>
      <c r="Q7237" s="30" t="s">
        <v>2566</v>
      </c>
      <c r="R7237" s="33" t="s">
        <v>3472</v>
      </c>
      <c r="S7237">
        <v>36</v>
      </c>
      <c r="T7237" s="1" t="s">
        <v>8075</v>
      </c>
      <c r="U7237" s="1" t="str">
        <f>HYPERLINK("http://ictvonline.org/taxonomy/p/taxonomy-history?taxnode_id=202109746","ICTVonline=202109746")</f>
        <v>ICTVonline=202109746</v>
      </c>
    </row>
    <row r="7238" spans="1:21" x14ac:dyDescent="0.2">
      <c r="A7238" s="3">
        <v>7237</v>
      </c>
      <c r="B7238" s="1" t="s">
        <v>4226</v>
      </c>
      <c r="D7238" s="1" t="s">
        <v>5412</v>
      </c>
      <c r="F7238" s="1" t="s">
        <v>3981</v>
      </c>
      <c r="G7238" s="1" t="s">
        <v>3982</v>
      </c>
      <c r="H7238" s="1" t="s">
        <v>3989</v>
      </c>
      <c r="J7238" s="1" t="s">
        <v>3990</v>
      </c>
      <c r="L7238" s="1" t="s">
        <v>8072</v>
      </c>
      <c r="N7238" s="1" t="s">
        <v>8076</v>
      </c>
      <c r="P7238" s="1" t="s">
        <v>8079</v>
      </c>
      <c r="Q7238" s="30" t="s">
        <v>2566</v>
      </c>
      <c r="R7238" s="33" t="s">
        <v>3472</v>
      </c>
      <c r="S7238">
        <v>36</v>
      </c>
      <c r="T7238" s="1" t="s">
        <v>8075</v>
      </c>
      <c r="U7238" s="1" t="str">
        <f>HYPERLINK("http://ictvonline.org/taxonomy/p/taxonomy-history?taxnode_id=202109747","ICTVonline=202109747")</f>
        <v>ICTVonline=202109747</v>
      </c>
    </row>
    <row r="7239" spans="1:21" x14ac:dyDescent="0.2">
      <c r="A7239" s="3">
        <v>7238</v>
      </c>
      <c r="B7239" s="1" t="s">
        <v>4226</v>
      </c>
      <c r="D7239" s="1" t="s">
        <v>5412</v>
      </c>
      <c r="F7239" s="1" t="s">
        <v>3981</v>
      </c>
      <c r="G7239" s="1" t="s">
        <v>3982</v>
      </c>
      <c r="H7239" s="1" t="s">
        <v>3989</v>
      </c>
      <c r="J7239" s="1" t="s">
        <v>3990</v>
      </c>
      <c r="L7239" s="1" t="s">
        <v>8072</v>
      </c>
      <c r="N7239" s="1" t="s">
        <v>8076</v>
      </c>
      <c r="P7239" s="1" t="s">
        <v>8080</v>
      </c>
      <c r="Q7239" s="30" t="s">
        <v>2566</v>
      </c>
      <c r="R7239" s="33" t="s">
        <v>3472</v>
      </c>
      <c r="S7239">
        <v>36</v>
      </c>
      <c r="T7239" s="1" t="s">
        <v>8075</v>
      </c>
      <c r="U7239" s="1" t="str">
        <f>HYPERLINK("http://ictvonline.org/taxonomy/p/taxonomy-history?taxnode_id=202109748","ICTVonline=202109748")</f>
        <v>ICTVonline=202109748</v>
      </c>
    </row>
    <row r="7240" spans="1:21" x14ac:dyDescent="0.2">
      <c r="A7240" s="3">
        <v>7239</v>
      </c>
      <c r="B7240" s="1" t="s">
        <v>4226</v>
      </c>
      <c r="D7240" s="1" t="s">
        <v>5412</v>
      </c>
      <c r="F7240" s="1" t="s">
        <v>3981</v>
      </c>
      <c r="G7240" s="1" t="s">
        <v>3982</v>
      </c>
      <c r="H7240" s="1" t="s">
        <v>3989</v>
      </c>
      <c r="J7240" s="1" t="s">
        <v>3990</v>
      </c>
      <c r="L7240" s="1" t="s">
        <v>8072</v>
      </c>
      <c r="N7240" s="1" t="s">
        <v>8076</v>
      </c>
      <c r="P7240" s="1" t="s">
        <v>8081</v>
      </c>
      <c r="Q7240" s="30" t="s">
        <v>2566</v>
      </c>
      <c r="R7240" s="33" t="s">
        <v>3472</v>
      </c>
      <c r="S7240">
        <v>36</v>
      </c>
      <c r="T7240" s="1" t="s">
        <v>8075</v>
      </c>
      <c r="U7240" s="1" t="str">
        <f>HYPERLINK("http://ictvonline.org/taxonomy/p/taxonomy-history?taxnode_id=202109749","ICTVonline=202109749")</f>
        <v>ICTVonline=202109749</v>
      </c>
    </row>
    <row r="7241" spans="1:21" x14ac:dyDescent="0.2">
      <c r="A7241" s="3">
        <v>7240</v>
      </c>
      <c r="B7241" s="1" t="s">
        <v>4226</v>
      </c>
      <c r="D7241" s="1" t="s">
        <v>5412</v>
      </c>
      <c r="F7241" s="1" t="s">
        <v>3981</v>
      </c>
      <c r="G7241" s="1" t="s">
        <v>3982</v>
      </c>
      <c r="H7241" s="1" t="s">
        <v>3989</v>
      </c>
      <c r="J7241" s="1" t="s">
        <v>3990</v>
      </c>
      <c r="L7241" s="1" t="s">
        <v>8072</v>
      </c>
      <c r="N7241" s="1" t="s">
        <v>8076</v>
      </c>
      <c r="P7241" s="1" t="s">
        <v>8082</v>
      </c>
      <c r="Q7241" s="30" t="s">
        <v>2566</v>
      </c>
      <c r="R7241" s="33" t="s">
        <v>3472</v>
      </c>
      <c r="S7241">
        <v>36</v>
      </c>
      <c r="T7241" s="1" t="s">
        <v>8075</v>
      </c>
      <c r="U7241" s="1" t="str">
        <f>HYPERLINK("http://ictvonline.org/taxonomy/p/taxonomy-history?taxnode_id=202109750","ICTVonline=202109750")</f>
        <v>ICTVonline=202109750</v>
      </c>
    </row>
    <row r="7242" spans="1:21" x14ac:dyDescent="0.2">
      <c r="A7242" s="3">
        <v>7241</v>
      </c>
      <c r="B7242" s="1" t="s">
        <v>4226</v>
      </c>
      <c r="D7242" s="1" t="s">
        <v>5412</v>
      </c>
      <c r="F7242" s="1" t="s">
        <v>3981</v>
      </c>
      <c r="G7242" s="1" t="s">
        <v>3982</v>
      </c>
      <c r="H7242" s="1" t="s">
        <v>3989</v>
      </c>
      <c r="J7242" s="1" t="s">
        <v>3990</v>
      </c>
      <c r="L7242" s="1" t="s">
        <v>8072</v>
      </c>
      <c r="N7242" s="1" t="s">
        <v>8076</v>
      </c>
      <c r="P7242" s="1" t="s">
        <v>14007</v>
      </c>
      <c r="Q7242" s="30" t="s">
        <v>2566</v>
      </c>
      <c r="R7242" s="33" t="s">
        <v>3475</v>
      </c>
      <c r="S7242">
        <v>37</v>
      </c>
      <c r="T7242" s="1" t="s">
        <v>14008</v>
      </c>
      <c r="U7242" s="1" t="str">
        <f>HYPERLINK("http://ictvonline.org/taxonomy/p/taxonomy-history?taxnode_id=202106066","ICTVonline=202106066")</f>
        <v>ICTVonline=202106066</v>
      </c>
    </row>
    <row r="7243" spans="1:21" x14ac:dyDescent="0.2">
      <c r="A7243" s="3">
        <v>7242</v>
      </c>
      <c r="B7243" s="1" t="s">
        <v>4226</v>
      </c>
      <c r="D7243" s="1" t="s">
        <v>5412</v>
      </c>
      <c r="F7243" s="1" t="s">
        <v>3981</v>
      </c>
      <c r="G7243" s="1" t="s">
        <v>3982</v>
      </c>
      <c r="H7243" s="1" t="s">
        <v>3989</v>
      </c>
      <c r="J7243" s="1" t="s">
        <v>3990</v>
      </c>
      <c r="L7243" s="1" t="s">
        <v>8072</v>
      </c>
      <c r="N7243" s="1" t="s">
        <v>8076</v>
      </c>
      <c r="P7243" s="1" t="s">
        <v>8083</v>
      </c>
      <c r="Q7243" s="30" t="s">
        <v>2566</v>
      </c>
      <c r="R7243" s="33" t="s">
        <v>3473</v>
      </c>
      <c r="S7243">
        <v>36</v>
      </c>
      <c r="T7243" s="1" t="s">
        <v>8075</v>
      </c>
      <c r="U7243" s="1" t="str">
        <f>HYPERLINK("http://ictvonline.org/taxonomy/p/taxonomy-history?taxnode_id=202107449","ICTVonline=202107449")</f>
        <v>ICTVonline=202107449</v>
      </c>
    </row>
    <row r="7244" spans="1:21" x14ac:dyDescent="0.2">
      <c r="A7244" s="3">
        <v>7243</v>
      </c>
      <c r="B7244" s="1" t="s">
        <v>4226</v>
      </c>
      <c r="D7244" s="1" t="s">
        <v>5412</v>
      </c>
      <c r="F7244" s="1" t="s">
        <v>3981</v>
      </c>
      <c r="G7244" s="1" t="s">
        <v>3982</v>
      </c>
      <c r="H7244" s="1" t="s">
        <v>3989</v>
      </c>
      <c r="J7244" s="1" t="s">
        <v>3990</v>
      </c>
      <c r="L7244" s="1" t="s">
        <v>3991</v>
      </c>
      <c r="N7244" s="1" t="s">
        <v>8084</v>
      </c>
      <c r="P7244" s="1" t="s">
        <v>8085</v>
      </c>
      <c r="Q7244" s="30" t="s">
        <v>2566</v>
      </c>
      <c r="R7244" s="33" t="s">
        <v>3473</v>
      </c>
      <c r="S7244">
        <v>36</v>
      </c>
      <c r="T7244" s="1" t="s">
        <v>8075</v>
      </c>
      <c r="U7244" s="1" t="str">
        <f>HYPERLINK("http://ictvonline.org/taxonomy/p/taxonomy-history?taxnode_id=202106054","ICTVonline=202106054")</f>
        <v>ICTVonline=202106054</v>
      </c>
    </row>
    <row r="7245" spans="1:21" x14ac:dyDescent="0.2">
      <c r="A7245" s="3">
        <v>7244</v>
      </c>
      <c r="B7245" s="1" t="s">
        <v>4226</v>
      </c>
      <c r="D7245" s="1" t="s">
        <v>5412</v>
      </c>
      <c r="F7245" s="1" t="s">
        <v>3981</v>
      </c>
      <c r="G7245" s="1" t="s">
        <v>3982</v>
      </c>
      <c r="H7245" s="1" t="s">
        <v>3989</v>
      </c>
      <c r="J7245" s="1" t="s">
        <v>3990</v>
      </c>
      <c r="L7245" s="1" t="s">
        <v>3991</v>
      </c>
      <c r="N7245" s="1" t="s">
        <v>8084</v>
      </c>
      <c r="P7245" s="1" t="s">
        <v>8086</v>
      </c>
      <c r="Q7245" s="30" t="s">
        <v>2566</v>
      </c>
      <c r="R7245" s="33" t="s">
        <v>3473</v>
      </c>
      <c r="S7245">
        <v>36</v>
      </c>
      <c r="T7245" s="1" t="s">
        <v>8075</v>
      </c>
      <c r="U7245" s="1" t="str">
        <f>HYPERLINK("http://ictvonline.org/taxonomy/p/taxonomy-history?taxnode_id=202106061","ICTVonline=202106061")</f>
        <v>ICTVonline=202106061</v>
      </c>
    </row>
    <row r="7246" spans="1:21" x14ac:dyDescent="0.2">
      <c r="A7246" s="3">
        <v>7245</v>
      </c>
      <c r="B7246" s="1" t="s">
        <v>4226</v>
      </c>
      <c r="D7246" s="1" t="s">
        <v>5412</v>
      </c>
      <c r="F7246" s="1" t="s">
        <v>3981</v>
      </c>
      <c r="G7246" s="1" t="s">
        <v>3982</v>
      </c>
      <c r="H7246" s="1" t="s">
        <v>3989</v>
      </c>
      <c r="J7246" s="1" t="s">
        <v>3990</v>
      </c>
      <c r="L7246" s="1" t="s">
        <v>3991</v>
      </c>
      <c r="N7246" s="1" t="s">
        <v>8087</v>
      </c>
      <c r="P7246" s="1" t="s">
        <v>8088</v>
      </c>
      <c r="Q7246" s="30" t="s">
        <v>2566</v>
      </c>
      <c r="R7246" s="33" t="s">
        <v>3473</v>
      </c>
      <c r="S7246">
        <v>36</v>
      </c>
      <c r="T7246" s="1" t="s">
        <v>8075</v>
      </c>
      <c r="U7246" s="1" t="str">
        <f>HYPERLINK("http://ictvonline.org/taxonomy/p/taxonomy-history?taxnode_id=202106045","ICTVonline=202106045")</f>
        <v>ICTVonline=202106045</v>
      </c>
    </row>
    <row r="7247" spans="1:21" x14ac:dyDescent="0.2">
      <c r="A7247" s="3">
        <v>7246</v>
      </c>
      <c r="B7247" s="1" t="s">
        <v>4226</v>
      </c>
      <c r="D7247" s="1" t="s">
        <v>5412</v>
      </c>
      <c r="F7247" s="1" t="s">
        <v>3981</v>
      </c>
      <c r="G7247" s="1" t="s">
        <v>3982</v>
      </c>
      <c r="H7247" s="1" t="s">
        <v>3989</v>
      </c>
      <c r="J7247" s="1" t="s">
        <v>3990</v>
      </c>
      <c r="L7247" s="1" t="s">
        <v>3991</v>
      </c>
      <c r="N7247" s="1" t="s">
        <v>8087</v>
      </c>
      <c r="P7247" s="1" t="s">
        <v>8089</v>
      </c>
      <c r="Q7247" s="30" t="s">
        <v>2566</v>
      </c>
      <c r="R7247" s="33" t="s">
        <v>3473</v>
      </c>
      <c r="S7247">
        <v>36</v>
      </c>
      <c r="T7247" s="1" t="s">
        <v>8075</v>
      </c>
      <c r="U7247" s="1" t="str">
        <f>HYPERLINK("http://ictvonline.org/taxonomy/p/taxonomy-history?taxnode_id=202106049","ICTVonline=202106049")</f>
        <v>ICTVonline=202106049</v>
      </c>
    </row>
    <row r="7248" spans="1:21" x14ac:dyDescent="0.2">
      <c r="A7248" s="3">
        <v>7247</v>
      </c>
      <c r="B7248" s="1" t="s">
        <v>4226</v>
      </c>
      <c r="D7248" s="1" t="s">
        <v>5412</v>
      </c>
      <c r="F7248" s="1" t="s">
        <v>3981</v>
      </c>
      <c r="G7248" s="1" t="s">
        <v>3982</v>
      </c>
      <c r="H7248" s="1" t="s">
        <v>3989</v>
      </c>
      <c r="J7248" s="1" t="s">
        <v>3990</v>
      </c>
      <c r="L7248" s="1" t="s">
        <v>3991</v>
      </c>
      <c r="N7248" s="1" t="s">
        <v>8090</v>
      </c>
      <c r="P7248" s="1" t="s">
        <v>8091</v>
      </c>
      <c r="Q7248" s="30" t="s">
        <v>2566</v>
      </c>
      <c r="R7248" s="33" t="s">
        <v>3473</v>
      </c>
      <c r="S7248">
        <v>36</v>
      </c>
      <c r="T7248" s="1" t="s">
        <v>8075</v>
      </c>
      <c r="U7248" s="1" t="str">
        <f>HYPERLINK("http://ictvonline.org/taxonomy/p/taxonomy-history?taxnode_id=202106062","ICTVonline=202106062")</f>
        <v>ICTVonline=202106062</v>
      </c>
    </row>
    <row r="7249" spans="1:21" x14ac:dyDescent="0.2">
      <c r="A7249" s="3">
        <v>7248</v>
      </c>
      <c r="B7249" s="1" t="s">
        <v>4226</v>
      </c>
      <c r="D7249" s="1" t="s">
        <v>5412</v>
      </c>
      <c r="F7249" s="1" t="s">
        <v>3981</v>
      </c>
      <c r="G7249" s="1" t="s">
        <v>3982</v>
      </c>
      <c r="H7249" s="1" t="s">
        <v>3989</v>
      </c>
      <c r="J7249" s="1" t="s">
        <v>3990</v>
      </c>
      <c r="L7249" s="1" t="s">
        <v>3991</v>
      </c>
      <c r="N7249" s="1" t="s">
        <v>8090</v>
      </c>
      <c r="P7249" s="1" t="s">
        <v>8092</v>
      </c>
      <c r="Q7249" s="30" t="s">
        <v>2566</v>
      </c>
      <c r="R7249" s="33" t="s">
        <v>3472</v>
      </c>
      <c r="S7249">
        <v>36</v>
      </c>
      <c r="T7249" s="1" t="s">
        <v>8075</v>
      </c>
      <c r="U7249" s="1" t="str">
        <f>HYPERLINK("http://ictvonline.org/taxonomy/p/taxonomy-history?taxnode_id=202109719","ICTVonline=202109719")</f>
        <v>ICTVonline=202109719</v>
      </c>
    </row>
    <row r="7250" spans="1:21" x14ac:dyDescent="0.2">
      <c r="A7250" s="3">
        <v>7249</v>
      </c>
      <c r="B7250" s="1" t="s">
        <v>4226</v>
      </c>
      <c r="D7250" s="1" t="s">
        <v>5412</v>
      </c>
      <c r="F7250" s="1" t="s">
        <v>3981</v>
      </c>
      <c r="G7250" s="1" t="s">
        <v>3982</v>
      </c>
      <c r="H7250" s="1" t="s">
        <v>3989</v>
      </c>
      <c r="J7250" s="1" t="s">
        <v>3990</v>
      </c>
      <c r="L7250" s="1" t="s">
        <v>3991</v>
      </c>
      <c r="N7250" s="1" t="s">
        <v>8090</v>
      </c>
      <c r="P7250" s="1" t="s">
        <v>8093</v>
      </c>
      <c r="Q7250" s="30" t="s">
        <v>2566</v>
      </c>
      <c r="R7250" s="33" t="s">
        <v>3473</v>
      </c>
      <c r="S7250">
        <v>36</v>
      </c>
      <c r="T7250" s="1" t="s">
        <v>8075</v>
      </c>
      <c r="U7250" s="1" t="str">
        <f>HYPERLINK("http://ictvonline.org/taxonomy/p/taxonomy-history?taxnode_id=202106057","ICTVonline=202106057")</f>
        <v>ICTVonline=202106057</v>
      </c>
    </row>
    <row r="7251" spans="1:21" x14ac:dyDescent="0.2">
      <c r="A7251" s="3">
        <v>7250</v>
      </c>
      <c r="B7251" s="1" t="s">
        <v>4226</v>
      </c>
      <c r="D7251" s="1" t="s">
        <v>5412</v>
      </c>
      <c r="F7251" s="1" t="s">
        <v>3981</v>
      </c>
      <c r="G7251" s="1" t="s">
        <v>3982</v>
      </c>
      <c r="H7251" s="1" t="s">
        <v>3989</v>
      </c>
      <c r="J7251" s="1" t="s">
        <v>3990</v>
      </c>
      <c r="L7251" s="1" t="s">
        <v>3991</v>
      </c>
      <c r="N7251" s="1" t="s">
        <v>8090</v>
      </c>
      <c r="P7251" s="1" t="s">
        <v>8094</v>
      </c>
      <c r="Q7251" s="30" t="s">
        <v>2566</v>
      </c>
      <c r="R7251" s="33" t="s">
        <v>3472</v>
      </c>
      <c r="S7251">
        <v>36</v>
      </c>
      <c r="T7251" s="1" t="s">
        <v>8075</v>
      </c>
      <c r="U7251" s="1" t="str">
        <f>HYPERLINK("http://ictvonline.org/taxonomy/p/taxonomy-history?taxnode_id=202109720","ICTVonline=202109720")</f>
        <v>ICTVonline=202109720</v>
      </c>
    </row>
    <row r="7252" spans="1:21" x14ac:dyDescent="0.2">
      <c r="A7252" s="3">
        <v>7251</v>
      </c>
      <c r="B7252" s="1" t="s">
        <v>4226</v>
      </c>
      <c r="D7252" s="1" t="s">
        <v>5412</v>
      </c>
      <c r="F7252" s="1" t="s">
        <v>3981</v>
      </c>
      <c r="G7252" s="1" t="s">
        <v>3982</v>
      </c>
      <c r="H7252" s="1" t="s">
        <v>3989</v>
      </c>
      <c r="J7252" s="1" t="s">
        <v>3990</v>
      </c>
      <c r="L7252" s="1" t="s">
        <v>3991</v>
      </c>
      <c r="N7252" s="1" t="s">
        <v>8095</v>
      </c>
      <c r="P7252" s="1" t="s">
        <v>8096</v>
      </c>
      <c r="Q7252" s="30" t="s">
        <v>2566</v>
      </c>
      <c r="R7252" s="33" t="s">
        <v>3472</v>
      </c>
      <c r="S7252">
        <v>36</v>
      </c>
      <c r="T7252" s="1" t="s">
        <v>8075</v>
      </c>
      <c r="U7252" s="1" t="str">
        <f>HYPERLINK("http://ictvonline.org/taxonomy/p/taxonomy-history?taxnode_id=202109715","ICTVonline=202109715")</f>
        <v>ICTVonline=202109715</v>
      </c>
    </row>
    <row r="7253" spans="1:21" x14ac:dyDescent="0.2">
      <c r="A7253" s="3">
        <v>7252</v>
      </c>
      <c r="B7253" s="1" t="s">
        <v>4226</v>
      </c>
      <c r="D7253" s="1" t="s">
        <v>5412</v>
      </c>
      <c r="F7253" s="1" t="s">
        <v>3981</v>
      </c>
      <c r="G7253" s="1" t="s">
        <v>3982</v>
      </c>
      <c r="H7253" s="1" t="s">
        <v>3989</v>
      </c>
      <c r="J7253" s="1" t="s">
        <v>3990</v>
      </c>
      <c r="L7253" s="1" t="s">
        <v>3991</v>
      </c>
      <c r="N7253" s="1" t="s">
        <v>8097</v>
      </c>
      <c r="P7253" s="1" t="s">
        <v>8098</v>
      </c>
      <c r="Q7253" s="30" t="s">
        <v>2566</v>
      </c>
      <c r="R7253" s="33" t="s">
        <v>3472</v>
      </c>
      <c r="S7253">
        <v>36</v>
      </c>
      <c r="T7253" s="1" t="s">
        <v>8075</v>
      </c>
      <c r="U7253" s="1" t="str">
        <f>HYPERLINK("http://ictvonline.org/taxonomy/p/taxonomy-history?taxnode_id=202109722","ICTVonline=202109722")</f>
        <v>ICTVonline=202109722</v>
      </c>
    </row>
    <row r="7254" spans="1:21" x14ac:dyDescent="0.2">
      <c r="A7254" s="3">
        <v>7253</v>
      </c>
      <c r="B7254" s="1" t="s">
        <v>4226</v>
      </c>
      <c r="D7254" s="1" t="s">
        <v>5412</v>
      </c>
      <c r="F7254" s="1" t="s">
        <v>3981</v>
      </c>
      <c r="G7254" s="1" t="s">
        <v>3982</v>
      </c>
      <c r="H7254" s="1" t="s">
        <v>3989</v>
      </c>
      <c r="J7254" s="1" t="s">
        <v>3990</v>
      </c>
      <c r="L7254" s="1" t="s">
        <v>3991</v>
      </c>
      <c r="N7254" s="1" t="s">
        <v>3992</v>
      </c>
      <c r="P7254" s="1" t="s">
        <v>8099</v>
      </c>
      <c r="Q7254" s="30" t="s">
        <v>2566</v>
      </c>
      <c r="R7254" s="33" t="s">
        <v>3475</v>
      </c>
      <c r="S7254">
        <v>36</v>
      </c>
      <c r="T7254" s="1" t="s">
        <v>8075</v>
      </c>
      <c r="U7254" s="1" t="str">
        <f>HYPERLINK("http://ictvonline.org/taxonomy/p/taxonomy-history?taxnode_id=202106060","ICTVonline=202106060")</f>
        <v>ICTVonline=202106060</v>
      </c>
    </row>
    <row r="7255" spans="1:21" x14ac:dyDescent="0.2">
      <c r="A7255" s="3">
        <v>7254</v>
      </c>
      <c r="B7255" s="1" t="s">
        <v>4226</v>
      </c>
      <c r="D7255" s="1" t="s">
        <v>5412</v>
      </c>
      <c r="F7255" s="1" t="s">
        <v>3981</v>
      </c>
      <c r="G7255" s="1" t="s">
        <v>3982</v>
      </c>
      <c r="H7255" s="1" t="s">
        <v>3989</v>
      </c>
      <c r="J7255" s="1" t="s">
        <v>3990</v>
      </c>
      <c r="L7255" s="1" t="s">
        <v>3991</v>
      </c>
      <c r="N7255" s="1" t="s">
        <v>3992</v>
      </c>
      <c r="P7255" s="1" t="s">
        <v>8100</v>
      </c>
      <c r="Q7255" s="30" t="s">
        <v>2566</v>
      </c>
      <c r="R7255" s="33" t="s">
        <v>3475</v>
      </c>
      <c r="S7255">
        <v>36</v>
      </c>
      <c r="T7255" s="1" t="s">
        <v>8075</v>
      </c>
      <c r="U7255" s="1" t="str">
        <f>HYPERLINK("http://ictvonline.org/taxonomy/p/taxonomy-history?taxnode_id=202106044","ICTVonline=202106044")</f>
        <v>ICTVonline=202106044</v>
      </c>
    </row>
    <row r="7256" spans="1:21" x14ac:dyDescent="0.2">
      <c r="A7256" s="3">
        <v>7255</v>
      </c>
      <c r="B7256" s="1" t="s">
        <v>4226</v>
      </c>
      <c r="D7256" s="1" t="s">
        <v>5412</v>
      </c>
      <c r="F7256" s="1" t="s">
        <v>3981</v>
      </c>
      <c r="G7256" s="1" t="s">
        <v>3982</v>
      </c>
      <c r="H7256" s="1" t="s">
        <v>3989</v>
      </c>
      <c r="J7256" s="1" t="s">
        <v>3990</v>
      </c>
      <c r="L7256" s="1" t="s">
        <v>3991</v>
      </c>
      <c r="N7256" s="1" t="s">
        <v>3992</v>
      </c>
      <c r="P7256" s="1" t="s">
        <v>8101</v>
      </c>
      <c r="Q7256" s="30" t="s">
        <v>2566</v>
      </c>
      <c r="R7256" s="33" t="s">
        <v>3475</v>
      </c>
      <c r="S7256">
        <v>36</v>
      </c>
      <c r="T7256" s="1" t="s">
        <v>8075</v>
      </c>
      <c r="U7256" s="1" t="str">
        <f>HYPERLINK("http://ictvonline.org/taxonomy/p/taxonomy-history?taxnode_id=202106046","ICTVonline=202106046")</f>
        <v>ICTVonline=202106046</v>
      </c>
    </row>
    <row r="7257" spans="1:21" x14ac:dyDescent="0.2">
      <c r="A7257" s="3">
        <v>7256</v>
      </c>
      <c r="B7257" s="1" t="s">
        <v>4226</v>
      </c>
      <c r="D7257" s="1" t="s">
        <v>5412</v>
      </c>
      <c r="F7257" s="1" t="s">
        <v>3981</v>
      </c>
      <c r="G7257" s="1" t="s">
        <v>3982</v>
      </c>
      <c r="H7257" s="1" t="s">
        <v>3989</v>
      </c>
      <c r="J7257" s="1" t="s">
        <v>3990</v>
      </c>
      <c r="L7257" s="1" t="s">
        <v>3991</v>
      </c>
      <c r="N7257" s="1" t="s">
        <v>3992</v>
      </c>
      <c r="P7257" s="1" t="s">
        <v>8102</v>
      </c>
      <c r="Q7257" s="30" t="s">
        <v>2566</v>
      </c>
      <c r="R7257" s="33" t="s">
        <v>3475</v>
      </c>
      <c r="S7257">
        <v>36</v>
      </c>
      <c r="T7257" s="1" t="s">
        <v>8075</v>
      </c>
      <c r="U7257" s="1" t="str">
        <f>HYPERLINK("http://ictvonline.org/taxonomy/p/taxonomy-history?taxnode_id=202106051","ICTVonline=202106051")</f>
        <v>ICTVonline=202106051</v>
      </c>
    </row>
    <row r="7258" spans="1:21" x14ac:dyDescent="0.2">
      <c r="A7258" s="3">
        <v>7257</v>
      </c>
      <c r="B7258" s="1" t="s">
        <v>4226</v>
      </c>
      <c r="D7258" s="1" t="s">
        <v>5412</v>
      </c>
      <c r="F7258" s="1" t="s">
        <v>3981</v>
      </c>
      <c r="G7258" s="1" t="s">
        <v>3982</v>
      </c>
      <c r="H7258" s="1" t="s">
        <v>3989</v>
      </c>
      <c r="J7258" s="1" t="s">
        <v>3990</v>
      </c>
      <c r="L7258" s="1" t="s">
        <v>3991</v>
      </c>
      <c r="N7258" s="1" t="s">
        <v>3992</v>
      </c>
      <c r="P7258" s="1" t="s">
        <v>8103</v>
      </c>
      <c r="Q7258" s="30" t="s">
        <v>2566</v>
      </c>
      <c r="R7258" s="33" t="s">
        <v>3472</v>
      </c>
      <c r="S7258">
        <v>36</v>
      </c>
      <c r="T7258" s="1" t="s">
        <v>8075</v>
      </c>
      <c r="U7258" s="1" t="str">
        <f>HYPERLINK("http://ictvonline.org/taxonomy/p/taxonomy-history?taxnode_id=202109723","ICTVonline=202109723")</f>
        <v>ICTVonline=202109723</v>
      </c>
    </row>
    <row r="7259" spans="1:21" x14ac:dyDescent="0.2">
      <c r="A7259" s="3">
        <v>7258</v>
      </c>
      <c r="B7259" s="1" t="s">
        <v>4226</v>
      </c>
      <c r="D7259" s="1" t="s">
        <v>5412</v>
      </c>
      <c r="F7259" s="1" t="s">
        <v>3981</v>
      </c>
      <c r="G7259" s="1" t="s">
        <v>3982</v>
      </c>
      <c r="H7259" s="1" t="s">
        <v>3989</v>
      </c>
      <c r="J7259" s="1" t="s">
        <v>3990</v>
      </c>
      <c r="L7259" s="1" t="s">
        <v>3991</v>
      </c>
      <c r="N7259" s="1" t="s">
        <v>3992</v>
      </c>
      <c r="P7259" s="1" t="s">
        <v>8104</v>
      </c>
      <c r="Q7259" s="30" t="s">
        <v>2566</v>
      </c>
      <c r="R7259" s="33" t="s">
        <v>3472</v>
      </c>
      <c r="S7259">
        <v>36</v>
      </c>
      <c r="T7259" s="1" t="s">
        <v>8075</v>
      </c>
      <c r="U7259" s="1" t="str">
        <f>HYPERLINK("http://ictvonline.org/taxonomy/p/taxonomy-history?taxnode_id=202109724","ICTVonline=202109724")</f>
        <v>ICTVonline=202109724</v>
      </c>
    </row>
    <row r="7260" spans="1:21" x14ac:dyDescent="0.2">
      <c r="A7260" s="3">
        <v>7259</v>
      </c>
      <c r="B7260" s="1" t="s">
        <v>4226</v>
      </c>
      <c r="D7260" s="1" t="s">
        <v>5412</v>
      </c>
      <c r="F7260" s="1" t="s">
        <v>3981</v>
      </c>
      <c r="G7260" s="1" t="s">
        <v>3982</v>
      </c>
      <c r="H7260" s="1" t="s">
        <v>3989</v>
      </c>
      <c r="J7260" s="1" t="s">
        <v>3990</v>
      </c>
      <c r="L7260" s="1" t="s">
        <v>3991</v>
      </c>
      <c r="N7260" s="1" t="s">
        <v>3992</v>
      </c>
      <c r="P7260" s="1" t="s">
        <v>8105</v>
      </c>
      <c r="Q7260" s="30" t="s">
        <v>2566</v>
      </c>
      <c r="R7260" s="33" t="s">
        <v>3472</v>
      </c>
      <c r="S7260">
        <v>36</v>
      </c>
      <c r="T7260" s="1" t="s">
        <v>8075</v>
      </c>
      <c r="U7260" s="1" t="str">
        <f>HYPERLINK("http://ictvonline.org/taxonomy/p/taxonomy-history?taxnode_id=202109725","ICTVonline=202109725")</f>
        <v>ICTVonline=202109725</v>
      </c>
    </row>
    <row r="7261" spans="1:21" x14ac:dyDescent="0.2">
      <c r="A7261" s="3">
        <v>7260</v>
      </c>
      <c r="B7261" s="1" t="s">
        <v>4226</v>
      </c>
      <c r="D7261" s="1" t="s">
        <v>5412</v>
      </c>
      <c r="F7261" s="1" t="s">
        <v>3981</v>
      </c>
      <c r="G7261" s="1" t="s">
        <v>3982</v>
      </c>
      <c r="H7261" s="1" t="s">
        <v>3989</v>
      </c>
      <c r="J7261" s="1" t="s">
        <v>3990</v>
      </c>
      <c r="L7261" s="1" t="s">
        <v>3991</v>
      </c>
      <c r="N7261" s="1" t="s">
        <v>3992</v>
      </c>
      <c r="P7261" s="1" t="s">
        <v>8106</v>
      </c>
      <c r="Q7261" s="30" t="s">
        <v>2566</v>
      </c>
      <c r="R7261" s="33" t="s">
        <v>3475</v>
      </c>
      <c r="S7261">
        <v>36</v>
      </c>
      <c r="T7261" s="1" t="s">
        <v>8075</v>
      </c>
      <c r="U7261" s="1" t="str">
        <f>HYPERLINK("http://ictvonline.org/taxonomy/p/taxonomy-history?taxnode_id=202106067","ICTVonline=202106067")</f>
        <v>ICTVonline=202106067</v>
      </c>
    </row>
    <row r="7262" spans="1:21" x14ac:dyDescent="0.2">
      <c r="A7262" s="3">
        <v>7261</v>
      </c>
      <c r="B7262" s="1" t="s">
        <v>4226</v>
      </c>
      <c r="D7262" s="1" t="s">
        <v>5412</v>
      </c>
      <c r="F7262" s="1" t="s">
        <v>3981</v>
      </c>
      <c r="G7262" s="1" t="s">
        <v>3982</v>
      </c>
      <c r="H7262" s="1" t="s">
        <v>3989</v>
      </c>
      <c r="J7262" s="1" t="s">
        <v>3990</v>
      </c>
      <c r="L7262" s="1" t="s">
        <v>3991</v>
      </c>
      <c r="N7262" s="1" t="s">
        <v>3992</v>
      </c>
      <c r="P7262" s="1" t="s">
        <v>8107</v>
      </c>
      <c r="Q7262" s="30" t="s">
        <v>2566</v>
      </c>
      <c r="R7262" s="33" t="s">
        <v>3475</v>
      </c>
      <c r="S7262">
        <v>36</v>
      </c>
      <c r="T7262" s="1" t="s">
        <v>8075</v>
      </c>
      <c r="U7262" s="1" t="str">
        <f>HYPERLINK("http://ictvonline.org/taxonomy/p/taxonomy-history?taxnode_id=202106069","ICTVonline=202106069")</f>
        <v>ICTVonline=202106069</v>
      </c>
    </row>
    <row r="7263" spans="1:21" x14ac:dyDescent="0.2">
      <c r="A7263" s="3">
        <v>7262</v>
      </c>
      <c r="B7263" s="1" t="s">
        <v>4226</v>
      </c>
      <c r="D7263" s="1" t="s">
        <v>5412</v>
      </c>
      <c r="F7263" s="1" t="s">
        <v>3981</v>
      </c>
      <c r="G7263" s="1" t="s">
        <v>3982</v>
      </c>
      <c r="H7263" s="1" t="s">
        <v>3989</v>
      </c>
      <c r="J7263" s="1" t="s">
        <v>3990</v>
      </c>
      <c r="L7263" s="1" t="s">
        <v>3991</v>
      </c>
      <c r="N7263" s="1" t="s">
        <v>8108</v>
      </c>
      <c r="P7263" s="1" t="s">
        <v>8109</v>
      </c>
      <c r="Q7263" s="30" t="s">
        <v>2566</v>
      </c>
      <c r="R7263" s="33" t="s">
        <v>3473</v>
      </c>
      <c r="S7263">
        <v>36</v>
      </c>
      <c r="T7263" s="1" t="s">
        <v>8075</v>
      </c>
      <c r="U7263" s="1" t="str">
        <f>HYPERLINK("http://ictvonline.org/taxonomy/p/taxonomy-history?taxnode_id=202106041","ICTVonline=202106041")</f>
        <v>ICTVonline=202106041</v>
      </c>
    </row>
    <row r="7264" spans="1:21" x14ac:dyDescent="0.2">
      <c r="A7264" s="3">
        <v>7263</v>
      </c>
      <c r="B7264" s="1" t="s">
        <v>4226</v>
      </c>
      <c r="D7264" s="1" t="s">
        <v>5412</v>
      </c>
      <c r="F7264" s="1" t="s">
        <v>3981</v>
      </c>
      <c r="G7264" s="1" t="s">
        <v>3982</v>
      </c>
      <c r="H7264" s="1" t="s">
        <v>3989</v>
      </c>
      <c r="J7264" s="1" t="s">
        <v>3990</v>
      </c>
      <c r="L7264" s="1" t="s">
        <v>3991</v>
      </c>
      <c r="N7264" s="1" t="s">
        <v>8110</v>
      </c>
      <c r="P7264" s="1" t="s">
        <v>8111</v>
      </c>
      <c r="Q7264" s="30" t="s">
        <v>2566</v>
      </c>
      <c r="R7264" s="33" t="s">
        <v>3472</v>
      </c>
      <c r="S7264">
        <v>36</v>
      </c>
      <c r="T7264" s="1" t="s">
        <v>8075</v>
      </c>
      <c r="U7264" s="1" t="str">
        <f>HYPERLINK("http://ictvonline.org/taxonomy/p/taxonomy-history?taxnode_id=202109728","ICTVonline=202109728")</f>
        <v>ICTVonline=202109728</v>
      </c>
    </row>
    <row r="7265" spans="1:21" x14ac:dyDescent="0.2">
      <c r="A7265" s="3">
        <v>7264</v>
      </c>
      <c r="B7265" s="1" t="s">
        <v>4226</v>
      </c>
      <c r="D7265" s="1" t="s">
        <v>5412</v>
      </c>
      <c r="F7265" s="1" t="s">
        <v>3981</v>
      </c>
      <c r="G7265" s="1" t="s">
        <v>3982</v>
      </c>
      <c r="H7265" s="1" t="s">
        <v>3989</v>
      </c>
      <c r="J7265" s="1" t="s">
        <v>3990</v>
      </c>
      <c r="L7265" s="1" t="s">
        <v>3991</v>
      </c>
      <c r="N7265" s="1" t="s">
        <v>8112</v>
      </c>
      <c r="P7265" s="1" t="s">
        <v>8113</v>
      </c>
      <c r="Q7265" s="30" t="s">
        <v>2566</v>
      </c>
      <c r="R7265" s="33" t="s">
        <v>3472</v>
      </c>
      <c r="S7265">
        <v>36</v>
      </c>
      <c r="T7265" s="1" t="s">
        <v>8075</v>
      </c>
      <c r="U7265" s="1" t="str">
        <f>HYPERLINK("http://ictvonline.org/taxonomy/p/taxonomy-history?taxnode_id=202109730","ICTVonline=202109730")</f>
        <v>ICTVonline=202109730</v>
      </c>
    </row>
    <row r="7266" spans="1:21" x14ac:dyDescent="0.2">
      <c r="A7266" s="3">
        <v>7265</v>
      </c>
      <c r="B7266" s="1" t="s">
        <v>4226</v>
      </c>
      <c r="D7266" s="1" t="s">
        <v>5412</v>
      </c>
      <c r="F7266" s="1" t="s">
        <v>3981</v>
      </c>
      <c r="G7266" s="1" t="s">
        <v>3982</v>
      </c>
      <c r="H7266" s="1" t="s">
        <v>3989</v>
      </c>
      <c r="J7266" s="1" t="s">
        <v>3990</v>
      </c>
      <c r="L7266" s="1" t="s">
        <v>3991</v>
      </c>
      <c r="N7266" s="1" t="s">
        <v>8112</v>
      </c>
      <c r="P7266" s="1" t="s">
        <v>8114</v>
      </c>
      <c r="Q7266" s="30" t="s">
        <v>2566</v>
      </c>
      <c r="R7266" s="33" t="s">
        <v>3473</v>
      </c>
      <c r="S7266">
        <v>36</v>
      </c>
      <c r="T7266" s="1" t="s">
        <v>8075</v>
      </c>
      <c r="U7266" s="1" t="str">
        <f>HYPERLINK("http://ictvonline.org/taxonomy/p/taxonomy-history?taxnode_id=202106064","ICTVonline=202106064")</f>
        <v>ICTVonline=202106064</v>
      </c>
    </row>
    <row r="7267" spans="1:21" x14ac:dyDescent="0.2">
      <c r="A7267" s="3">
        <v>7266</v>
      </c>
      <c r="B7267" s="1" t="s">
        <v>4226</v>
      </c>
      <c r="D7267" s="1" t="s">
        <v>5412</v>
      </c>
      <c r="F7267" s="1" t="s">
        <v>3981</v>
      </c>
      <c r="G7267" s="1" t="s">
        <v>3982</v>
      </c>
      <c r="H7267" s="1" t="s">
        <v>3989</v>
      </c>
      <c r="J7267" s="1" t="s">
        <v>3990</v>
      </c>
      <c r="L7267" s="1" t="s">
        <v>3991</v>
      </c>
      <c r="N7267" s="1" t="s">
        <v>8112</v>
      </c>
      <c r="P7267" s="1" t="s">
        <v>8115</v>
      </c>
      <c r="Q7267" s="30" t="s">
        <v>2566</v>
      </c>
      <c r="R7267" s="33" t="s">
        <v>3472</v>
      </c>
      <c r="S7267">
        <v>36</v>
      </c>
      <c r="T7267" s="1" t="s">
        <v>8075</v>
      </c>
      <c r="U7267" s="1" t="str">
        <f>HYPERLINK("http://ictvonline.org/taxonomy/p/taxonomy-history?taxnode_id=202109731","ICTVonline=202109731")</f>
        <v>ICTVonline=202109731</v>
      </c>
    </row>
    <row r="7268" spans="1:21" x14ac:dyDescent="0.2">
      <c r="A7268" s="3">
        <v>7267</v>
      </c>
      <c r="B7268" s="1" t="s">
        <v>4226</v>
      </c>
      <c r="D7268" s="1" t="s">
        <v>5412</v>
      </c>
      <c r="F7268" s="1" t="s">
        <v>3981</v>
      </c>
      <c r="G7268" s="1" t="s">
        <v>3982</v>
      </c>
      <c r="H7268" s="1" t="s">
        <v>3989</v>
      </c>
      <c r="J7268" s="1" t="s">
        <v>3990</v>
      </c>
      <c r="L7268" s="1" t="s">
        <v>3991</v>
      </c>
      <c r="N7268" s="1" t="s">
        <v>8116</v>
      </c>
      <c r="P7268" s="1" t="s">
        <v>8117</v>
      </c>
      <c r="Q7268" s="30" t="s">
        <v>2566</v>
      </c>
      <c r="R7268" s="33" t="s">
        <v>8662</v>
      </c>
      <c r="S7268">
        <v>36</v>
      </c>
      <c r="T7268" s="1" t="s">
        <v>8672</v>
      </c>
      <c r="U7268" s="1" t="str">
        <f>HYPERLINK("http://ictvonline.org/taxonomy/p/taxonomy-history?taxnode_id=202106042","ICTVonline=202106042")</f>
        <v>ICTVonline=202106042</v>
      </c>
    </row>
    <row r="7269" spans="1:21" x14ac:dyDescent="0.2">
      <c r="A7269" s="3">
        <v>7268</v>
      </c>
      <c r="B7269" s="1" t="s">
        <v>4226</v>
      </c>
      <c r="D7269" s="1" t="s">
        <v>5412</v>
      </c>
      <c r="F7269" s="1" t="s">
        <v>3981</v>
      </c>
      <c r="G7269" s="1" t="s">
        <v>3982</v>
      </c>
      <c r="H7269" s="1" t="s">
        <v>3989</v>
      </c>
      <c r="J7269" s="1" t="s">
        <v>3990</v>
      </c>
      <c r="L7269" s="1" t="s">
        <v>3991</v>
      </c>
      <c r="N7269" s="1" t="s">
        <v>8118</v>
      </c>
      <c r="P7269" s="1" t="s">
        <v>8119</v>
      </c>
      <c r="Q7269" s="30" t="s">
        <v>2566</v>
      </c>
      <c r="R7269" s="33" t="s">
        <v>3472</v>
      </c>
      <c r="S7269">
        <v>36</v>
      </c>
      <c r="T7269" s="1" t="s">
        <v>8075</v>
      </c>
      <c r="U7269" s="1" t="str">
        <f>HYPERLINK("http://ictvonline.org/taxonomy/p/taxonomy-history?taxnode_id=202109734","ICTVonline=202109734")</f>
        <v>ICTVonline=202109734</v>
      </c>
    </row>
    <row r="7270" spans="1:21" x14ac:dyDescent="0.2">
      <c r="A7270" s="3">
        <v>7269</v>
      </c>
      <c r="B7270" s="1" t="s">
        <v>4226</v>
      </c>
      <c r="D7270" s="1" t="s">
        <v>5412</v>
      </c>
      <c r="F7270" s="1" t="s">
        <v>3981</v>
      </c>
      <c r="G7270" s="1" t="s">
        <v>3982</v>
      </c>
      <c r="H7270" s="1" t="s">
        <v>3989</v>
      </c>
      <c r="J7270" s="1" t="s">
        <v>3990</v>
      </c>
      <c r="L7270" s="1" t="s">
        <v>3991</v>
      </c>
      <c r="N7270" s="1" t="s">
        <v>8118</v>
      </c>
      <c r="P7270" s="1" t="s">
        <v>8120</v>
      </c>
      <c r="Q7270" s="30" t="s">
        <v>2566</v>
      </c>
      <c r="R7270" s="33" t="s">
        <v>3472</v>
      </c>
      <c r="S7270">
        <v>36</v>
      </c>
      <c r="T7270" s="1" t="s">
        <v>8075</v>
      </c>
      <c r="U7270" s="1" t="str">
        <f>HYPERLINK("http://ictvonline.org/taxonomy/p/taxonomy-history?taxnode_id=202109735","ICTVonline=202109735")</f>
        <v>ICTVonline=202109735</v>
      </c>
    </row>
    <row r="7271" spans="1:21" x14ac:dyDescent="0.2">
      <c r="A7271" s="3">
        <v>7270</v>
      </c>
      <c r="B7271" s="1" t="s">
        <v>4226</v>
      </c>
      <c r="D7271" s="1" t="s">
        <v>5412</v>
      </c>
      <c r="F7271" s="1" t="s">
        <v>3981</v>
      </c>
      <c r="G7271" s="1" t="s">
        <v>3982</v>
      </c>
      <c r="H7271" s="1" t="s">
        <v>3989</v>
      </c>
      <c r="J7271" s="1" t="s">
        <v>3990</v>
      </c>
      <c r="L7271" s="1" t="s">
        <v>3991</v>
      </c>
      <c r="N7271" s="1" t="s">
        <v>8118</v>
      </c>
      <c r="P7271" s="1" t="s">
        <v>8121</v>
      </c>
      <c r="Q7271" s="30" t="s">
        <v>2566</v>
      </c>
      <c r="R7271" s="33" t="s">
        <v>3473</v>
      </c>
      <c r="S7271">
        <v>36</v>
      </c>
      <c r="T7271" s="1" t="s">
        <v>8075</v>
      </c>
      <c r="U7271" s="1" t="str">
        <f>HYPERLINK("http://ictvonline.org/taxonomy/p/taxonomy-history?taxnode_id=202106065","ICTVonline=202106065")</f>
        <v>ICTVonline=202106065</v>
      </c>
    </row>
    <row r="7272" spans="1:21" x14ac:dyDescent="0.2">
      <c r="A7272" s="3">
        <v>7271</v>
      </c>
      <c r="B7272" s="1" t="s">
        <v>4226</v>
      </c>
      <c r="D7272" s="1" t="s">
        <v>5412</v>
      </c>
      <c r="F7272" s="1" t="s">
        <v>3981</v>
      </c>
      <c r="G7272" s="1" t="s">
        <v>3982</v>
      </c>
      <c r="H7272" s="1" t="s">
        <v>3989</v>
      </c>
      <c r="J7272" s="1" t="s">
        <v>3990</v>
      </c>
      <c r="L7272" s="1" t="s">
        <v>3991</v>
      </c>
      <c r="N7272" s="1" t="s">
        <v>8118</v>
      </c>
      <c r="P7272" s="1" t="s">
        <v>8122</v>
      </c>
      <c r="Q7272" s="30" t="s">
        <v>2566</v>
      </c>
      <c r="R7272" s="33" t="s">
        <v>3472</v>
      </c>
      <c r="S7272">
        <v>36</v>
      </c>
      <c r="T7272" s="1" t="s">
        <v>8075</v>
      </c>
      <c r="U7272" s="1" t="str">
        <f>HYPERLINK("http://ictvonline.org/taxonomy/p/taxonomy-history?taxnode_id=202109736","ICTVonline=202109736")</f>
        <v>ICTVonline=202109736</v>
      </c>
    </row>
    <row r="7273" spans="1:21" x14ac:dyDescent="0.2">
      <c r="A7273" s="3">
        <v>7272</v>
      </c>
      <c r="B7273" s="1" t="s">
        <v>4226</v>
      </c>
      <c r="D7273" s="1" t="s">
        <v>5412</v>
      </c>
      <c r="F7273" s="1" t="s">
        <v>3981</v>
      </c>
      <c r="G7273" s="1" t="s">
        <v>3982</v>
      </c>
      <c r="H7273" s="1" t="s">
        <v>3989</v>
      </c>
      <c r="J7273" s="1" t="s">
        <v>3990</v>
      </c>
      <c r="L7273" s="1" t="s">
        <v>3991</v>
      </c>
      <c r="N7273" s="1" t="s">
        <v>8123</v>
      </c>
      <c r="P7273" s="1" t="s">
        <v>8124</v>
      </c>
      <c r="Q7273" s="30" t="s">
        <v>2566</v>
      </c>
      <c r="R7273" s="33" t="s">
        <v>3472</v>
      </c>
      <c r="S7273">
        <v>36</v>
      </c>
      <c r="T7273" s="1" t="s">
        <v>8075</v>
      </c>
      <c r="U7273" s="1" t="str">
        <f>HYPERLINK("http://ictvonline.org/taxonomy/p/taxonomy-history?taxnode_id=202109738","ICTVonline=202109738")</f>
        <v>ICTVonline=202109738</v>
      </c>
    </row>
    <row r="7274" spans="1:21" x14ac:dyDescent="0.2">
      <c r="A7274" s="3">
        <v>7273</v>
      </c>
      <c r="B7274" s="1" t="s">
        <v>4226</v>
      </c>
      <c r="D7274" s="1" t="s">
        <v>5412</v>
      </c>
      <c r="F7274" s="1" t="s">
        <v>3981</v>
      </c>
      <c r="G7274" s="1" t="s">
        <v>3982</v>
      </c>
      <c r="H7274" s="1" t="s">
        <v>3989</v>
      </c>
      <c r="J7274" s="1" t="s">
        <v>3990</v>
      </c>
      <c r="L7274" s="1" t="s">
        <v>3991</v>
      </c>
      <c r="N7274" s="1" t="s">
        <v>8125</v>
      </c>
      <c r="P7274" s="1" t="s">
        <v>8126</v>
      </c>
      <c r="Q7274" s="30" t="s">
        <v>2566</v>
      </c>
      <c r="R7274" s="33" t="s">
        <v>3473</v>
      </c>
      <c r="S7274">
        <v>36</v>
      </c>
      <c r="T7274" s="1" t="s">
        <v>8075</v>
      </c>
      <c r="U7274" s="1" t="str">
        <f>HYPERLINK("http://ictvonline.org/taxonomy/p/taxonomy-history?taxnode_id=202106048","ICTVonline=202106048")</f>
        <v>ICTVonline=202106048</v>
      </c>
    </row>
    <row r="7275" spans="1:21" x14ac:dyDescent="0.2">
      <c r="A7275" s="3">
        <v>7274</v>
      </c>
      <c r="B7275" s="1" t="s">
        <v>4226</v>
      </c>
      <c r="D7275" s="1" t="s">
        <v>5412</v>
      </c>
      <c r="F7275" s="1" t="s">
        <v>3981</v>
      </c>
      <c r="G7275" s="1" t="s">
        <v>3982</v>
      </c>
      <c r="H7275" s="1" t="s">
        <v>3989</v>
      </c>
      <c r="J7275" s="1" t="s">
        <v>3990</v>
      </c>
      <c r="L7275" s="1" t="s">
        <v>3991</v>
      </c>
      <c r="N7275" s="1" t="s">
        <v>8125</v>
      </c>
      <c r="P7275" s="1" t="s">
        <v>8127</v>
      </c>
      <c r="Q7275" s="30" t="s">
        <v>2566</v>
      </c>
      <c r="R7275" s="33" t="s">
        <v>3473</v>
      </c>
      <c r="S7275">
        <v>36</v>
      </c>
      <c r="T7275" s="1" t="s">
        <v>8075</v>
      </c>
      <c r="U7275" s="1" t="str">
        <f>HYPERLINK("http://ictvonline.org/taxonomy/p/taxonomy-history?taxnode_id=202106056","ICTVonline=202106056")</f>
        <v>ICTVonline=202106056</v>
      </c>
    </row>
    <row r="7276" spans="1:21" x14ac:dyDescent="0.2">
      <c r="A7276" s="3">
        <v>7275</v>
      </c>
      <c r="B7276" s="1" t="s">
        <v>4226</v>
      </c>
      <c r="D7276" s="1" t="s">
        <v>5412</v>
      </c>
      <c r="F7276" s="1" t="s">
        <v>3981</v>
      </c>
      <c r="G7276" s="1" t="s">
        <v>3982</v>
      </c>
      <c r="H7276" s="1" t="s">
        <v>3989</v>
      </c>
      <c r="J7276" s="1" t="s">
        <v>3990</v>
      </c>
      <c r="L7276" s="1" t="s">
        <v>3991</v>
      </c>
      <c r="N7276" s="1" t="s">
        <v>8125</v>
      </c>
      <c r="P7276" s="1" t="s">
        <v>8128</v>
      </c>
      <c r="Q7276" s="30" t="s">
        <v>2566</v>
      </c>
      <c r="R7276" s="33" t="s">
        <v>3473</v>
      </c>
      <c r="S7276">
        <v>36</v>
      </c>
      <c r="T7276" s="1" t="s">
        <v>8075</v>
      </c>
      <c r="U7276" s="1" t="str">
        <f>HYPERLINK("http://ictvonline.org/taxonomy/p/taxonomy-history?taxnode_id=202106055","ICTVonline=202106055")</f>
        <v>ICTVonline=202106055</v>
      </c>
    </row>
    <row r="7277" spans="1:21" x14ac:dyDescent="0.2">
      <c r="A7277" s="3">
        <v>7276</v>
      </c>
      <c r="B7277" s="1" t="s">
        <v>4226</v>
      </c>
      <c r="D7277" s="1" t="s">
        <v>5412</v>
      </c>
      <c r="F7277" s="1" t="s">
        <v>3981</v>
      </c>
      <c r="G7277" s="1" t="s">
        <v>3982</v>
      </c>
      <c r="H7277" s="1" t="s">
        <v>3989</v>
      </c>
      <c r="J7277" s="1" t="s">
        <v>3990</v>
      </c>
      <c r="L7277" s="1" t="s">
        <v>3991</v>
      </c>
      <c r="N7277" s="1" t="s">
        <v>8125</v>
      </c>
      <c r="P7277" s="1" t="s">
        <v>8129</v>
      </c>
      <c r="Q7277" s="30" t="s">
        <v>2566</v>
      </c>
      <c r="R7277" s="33" t="s">
        <v>3472</v>
      </c>
      <c r="S7277">
        <v>36</v>
      </c>
      <c r="T7277" s="1" t="s">
        <v>8075</v>
      </c>
      <c r="U7277" s="1" t="str">
        <f>HYPERLINK("http://ictvonline.org/taxonomy/p/taxonomy-history?taxnode_id=202109740","ICTVonline=202109740")</f>
        <v>ICTVonline=202109740</v>
      </c>
    </row>
    <row r="7278" spans="1:21" x14ac:dyDescent="0.2">
      <c r="A7278" s="3">
        <v>7277</v>
      </c>
      <c r="B7278" s="1" t="s">
        <v>4226</v>
      </c>
      <c r="D7278" s="1" t="s">
        <v>5412</v>
      </c>
      <c r="F7278" s="1" t="s">
        <v>3981</v>
      </c>
      <c r="G7278" s="1" t="s">
        <v>3982</v>
      </c>
      <c r="H7278" s="1" t="s">
        <v>3989</v>
      </c>
      <c r="J7278" s="1" t="s">
        <v>3990</v>
      </c>
      <c r="L7278" s="1" t="s">
        <v>3991</v>
      </c>
      <c r="N7278" s="1" t="s">
        <v>8125</v>
      </c>
      <c r="P7278" s="1" t="s">
        <v>8130</v>
      </c>
      <c r="Q7278" s="30" t="s">
        <v>2566</v>
      </c>
      <c r="R7278" s="33" t="s">
        <v>3473</v>
      </c>
      <c r="S7278">
        <v>36</v>
      </c>
      <c r="T7278" s="1" t="s">
        <v>8075</v>
      </c>
      <c r="U7278" s="1" t="str">
        <f>HYPERLINK("http://ictvonline.org/taxonomy/p/taxonomy-history?taxnode_id=202106059","ICTVonline=202106059")</f>
        <v>ICTVonline=202106059</v>
      </c>
    </row>
    <row r="7279" spans="1:21" x14ac:dyDescent="0.2">
      <c r="A7279" s="3">
        <v>7278</v>
      </c>
      <c r="B7279" s="1" t="s">
        <v>4226</v>
      </c>
      <c r="D7279" s="1" t="s">
        <v>5412</v>
      </c>
      <c r="F7279" s="1" t="s">
        <v>3981</v>
      </c>
      <c r="G7279" s="1" t="s">
        <v>3982</v>
      </c>
      <c r="H7279" s="1" t="s">
        <v>3989</v>
      </c>
      <c r="J7279" s="1" t="s">
        <v>3990</v>
      </c>
      <c r="L7279" s="1" t="s">
        <v>3991</v>
      </c>
      <c r="N7279" s="1" t="s">
        <v>8131</v>
      </c>
      <c r="P7279" s="1" t="s">
        <v>8132</v>
      </c>
      <c r="Q7279" s="30" t="s">
        <v>2566</v>
      </c>
      <c r="R7279" s="33" t="s">
        <v>3473</v>
      </c>
      <c r="S7279">
        <v>36</v>
      </c>
      <c r="T7279" s="1" t="s">
        <v>8075</v>
      </c>
      <c r="U7279" s="1" t="str">
        <f>HYPERLINK("http://ictvonline.org/taxonomy/p/taxonomy-history?taxnode_id=202106068","ICTVonline=202106068")</f>
        <v>ICTVonline=202106068</v>
      </c>
    </row>
    <row r="7280" spans="1:21" x14ac:dyDescent="0.2">
      <c r="A7280" s="3">
        <v>7279</v>
      </c>
      <c r="B7280" s="1" t="s">
        <v>4226</v>
      </c>
      <c r="D7280" s="1" t="s">
        <v>5412</v>
      </c>
      <c r="F7280" s="1" t="s">
        <v>3981</v>
      </c>
      <c r="G7280" s="1" t="s">
        <v>3982</v>
      </c>
      <c r="H7280" s="1" t="s">
        <v>3989</v>
      </c>
      <c r="J7280" s="1" t="s">
        <v>3990</v>
      </c>
      <c r="L7280" s="1" t="s">
        <v>8133</v>
      </c>
      <c r="N7280" s="1" t="s">
        <v>8134</v>
      </c>
      <c r="P7280" s="1" t="s">
        <v>8135</v>
      </c>
      <c r="Q7280" s="30" t="s">
        <v>2566</v>
      </c>
      <c r="R7280" s="33" t="s">
        <v>3472</v>
      </c>
      <c r="S7280">
        <v>36</v>
      </c>
      <c r="T7280" s="1" t="s">
        <v>8075</v>
      </c>
      <c r="U7280" s="1" t="str">
        <f>HYPERLINK("http://ictvonline.org/taxonomy/p/taxonomy-history?taxnode_id=202109711","ICTVonline=202109711")</f>
        <v>ICTVonline=202109711</v>
      </c>
    </row>
    <row r="7281" spans="1:21" x14ac:dyDescent="0.2">
      <c r="A7281" s="3">
        <v>7280</v>
      </c>
      <c r="B7281" s="1" t="s">
        <v>4226</v>
      </c>
      <c r="D7281" s="1" t="s">
        <v>5412</v>
      </c>
      <c r="F7281" s="1" t="s">
        <v>3981</v>
      </c>
      <c r="G7281" s="1" t="s">
        <v>3982</v>
      </c>
      <c r="H7281" s="1" t="s">
        <v>3989</v>
      </c>
      <c r="J7281" s="1" t="s">
        <v>3990</v>
      </c>
      <c r="L7281" s="1" t="s">
        <v>8136</v>
      </c>
      <c r="N7281" s="1" t="s">
        <v>8137</v>
      </c>
      <c r="P7281" s="1" t="s">
        <v>8138</v>
      </c>
      <c r="Q7281" s="30" t="s">
        <v>2566</v>
      </c>
      <c r="R7281" s="33" t="s">
        <v>3473</v>
      </c>
      <c r="S7281">
        <v>36</v>
      </c>
      <c r="T7281" s="1" t="s">
        <v>8075</v>
      </c>
      <c r="U7281" s="1" t="str">
        <f>HYPERLINK("http://ictvonline.org/taxonomy/p/taxonomy-history?taxnode_id=202106063","ICTVonline=202106063")</f>
        <v>ICTVonline=202106063</v>
      </c>
    </row>
    <row r="7282" spans="1:21" x14ac:dyDescent="0.2">
      <c r="A7282" s="3">
        <v>7281</v>
      </c>
      <c r="B7282" s="1" t="s">
        <v>4226</v>
      </c>
      <c r="D7282" s="1" t="s">
        <v>5412</v>
      </c>
      <c r="F7282" s="1" t="s">
        <v>3981</v>
      </c>
      <c r="G7282" s="1" t="s">
        <v>3982</v>
      </c>
      <c r="H7282" s="1" t="s">
        <v>3989</v>
      </c>
      <c r="J7282" s="1" t="s">
        <v>3990</v>
      </c>
      <c r="L7282" s="1" t="s">
        <v>8139</v>
      </c>
      <c r="N7282" s="1" t="s">
        <v>8140</v>
      </c>
      <c r="P7282" s="1" t="s">
        <v>8141</v>
      </c>
      <c r="Q7282" s="30" t="s">
        <v>2566</v>
      </c>
      <c r="R7282" s="33" t="s">
        <v>3473</v>
      </c>
      <c r="S7282">
        <v>36</v>
      </c>
      <c r="T7282" s="1" t="s">
        <v>8075</v>
      </c>
      <c r="U7282" s="1" t="str">
        <f>HYPERLINK("http://ictvonline.org/taxonomy/p/taxonomy-history?taxnode_id=202106047","ICTVonline=202106047")</f>
        <v>ICTVonline=202106047</v>
      </c>
    </row>
    <row r="7283" spans="1:21" x14ac:dyDescent="0.2">
      <c r="A7283" s="3">
        <v>7282</v>
      </c>
      <c r="B7283" s="1" t="s">
        <v>4226</v>
      </c>
      <c r="D7283" s="1" t="s">
        <v>5412</v>
      </c>
      <c r="F7283" s="1" t="s">
        <v>3981</v>
      </c>
      <c r="G7283" s="1" t="s">
        <v>3982</v>
      </c>
      <c r="H7283" s="1" t="s">
        <v>3989</v>
      </c>
      <c r="J7283" s="1" t="s">
        <v>921</v>
      </c>
      <c r="L7283" s="1" t="s">
        <v>3993</v>
      </c>
      <c r="N7283" s="1" t="s">
        <v>5474</v>
      </c>
      <c r="P7283" s="1" t="s">
        <v>13107</v>
      </c>
      <c r="Q7283" s="30" t="s">
        <v>2566</v>
      </c>
      <c r="R7283" s="33" t="s">
        <v>3475</v>
      </c>
      <c r="S7283">
        <v>37</v>
      </c>
      <c r="T7283" s="1" t="s">
        <v>14009</v>
      </c>
      <c r="U7283" s="1" t="str">
        <f>HYPERLINK("http://ictvonline.org/taxonomy/p/taxonomy-history?taxnode_id=202106269","ICTVonline=202106269")</f>
        <v>ICTVonline=202106269</v>
      </c>
    </row>
    <row r="7284" spans="1:21" x14ac:dyDescent="0.2">
      <c r="A7284" s="3">
        <v>7283</v>
      </c>
      <c r="B7284" s="1" t="s">
        <v>4226</v>
      </c>
      <c r="D7284" s="1" t="s">
        <v>5412</v>
      </c>
      <c r="F7284" s="1" t="s">
        <v>3981</v>
      </c>
      <c r="G7284" s="1" t="s">
        <v>3982</v>
      </c>
      <c r="H7284" s="1" t="s">
        <v>3989</v>
      </c>
      <c r="J7284" s="1" t="s">
        <v>921</v>
      </c>
      <c r="L7284" s="1" t="s">
        <v>3993</v>
      </c>
      <c r="N7284" s="1" t="s">
        <v>5474</v>
      </c>
      <c r="P7284" s="1" t="s">
        <v>13108</v>
      </c>
      <c r="Q7284" s="30" t="s">
        <v>2566</v>
      </c>
      <c r="R7284" s="33" t="s">
        <v>3475</v>
      </c>
      <c r="S7284">
        <v>37</v>
      </c>
      <c r="T7284" s="1" t="s">
        <v>14009</v>
      </c>
      <c r="U7284" s="1" t="str">
        <f>HYPERLINK("http://ictvonline.org/taxonomy/p/taxonomy-history?taxnode_id=202107514","ICTVonline=202107514")</f>
        <v>ICTVonline=202107514</v>
      </c>
    </row>
    <row r="7285" spans="1:21" x14ac:dyDescent="0.2">
      <c r="A7285" s="3">
        <v>7284</v>
      </c>
      <c r="B7285" s="1" t="s">
        <v>4226</v>
      </c>
      <c r="D7285" s="1" t="s">
        <v>5412</v>
      </c>
      <c r="F7285" s="1" t="s">
        <v>3981</v>
      </c>
      <c r="G7285" s="1" t="s">
        <v>3982</v>
      </c>
      <c r="H7285" s="1" t="s">
        <v>3989</v>
      </c>
      <c r="J7285" s="1" t="s">
        <v>921</v>
      </c>
      <c r="L7285" s="1" t="s">
        <v>3993</v>
      </c>
      <c r="N7285" s="1" t="s">
        <v>3224</v>
      </c>
      <c r="P7285" s="1" t="s">
        <v>13109</v>
      </c>
      <c r="Q7285" s="30" t="s">
        <v>2566</v>
      </c>
      <c r="R7285" s="33" t="s">
        <v>3475</v>
      </c>
      <c r="S7285">
        <v>37</v>
      </c>
      <c r="T7285" s="1" t="s">
        <v>14009</v>
      </c>
      <c r="U7285" s="1" t="str">
        <f>HYPERLINK("http://ictvonline.org/taxonomy/p/taxonomy-history?taxnode_id=202106272","ICTVonline=202106272")</f>
        <v>ICTVonline=202106272</v>
      </c>
    </row>
    <row r="7286" spans="1:21" x14ac:dyDescent="0.2">
      <c r="A7286" s="3">
        <v>7285</v>
      </c>
      <c r="B7286" s="1" t="s">
        <v>4226</v>
      </c>
      <c r="D7286" s="1" t="s">
        <v>5412</v>
      </c>
      <c r="F7286" s="1" t="s">
        <v>3981</v>
      </c>
      <c r="G7286" s="1" t="s">
        <v>3982</v>
      </c>
      <c r="H7286" s="1" t="s">
        <v>3989</v>
      </c>
      <c r="J7286" s="1" t="s">
        <v>921</v>
      </c>
      <c r="L7286" s="1" t="s">
        <v>3993</v>
      </c>
      <c r="N7286" s="1" t="s">
        <v>3224</v>
      </c>
      <c r="P7286" s="1" t="s">
        <v>13110</v>
      </c>
      <c r="Q7286" s="30" t="s">
        <v>2566</v>
      </c>
      <c r="R7286" s="33" t="s">
        <v>3475</v>
      </c>
      <c r="S7286">
        <v>37</v>
      </c>
      <c r="T7286" s="1" t="s">
        <v>14009</v>
      </c>
      <c r="U7286" s="1" t="str">
        <f>HYPERLINK("http://ictvonline.org/taxonomy/p/taxonomy-history?taxnode_id=202106270","ICTVonline=202106270")</f>
        <v>ICTVonline=202106270</v>
      </c>
    </row>
    <row r="7287" spans="1:21" x14ac:dyDescent="0.2">
      <c r="A7287" s="3">
        <v>7286</v>
      </c>
      <c r="B7287" s="1" t="s">
        <v>4226</v>
      </c>
      <c r="D7287" s="1" t="s">
        <v>5412</v>
      </c>
      <c r="F7287" s="1" t="s">
        <v>3981</v>
      </c>
      <c r="G7287" s="1" t="s">
        <v>3982</v>
      </c>
      <c r="H7287" s="1" t="s">
        <v>3989</v>
      </c>
      <c r="J7287" s="1" t="s">
        <v>921</v>
      </c>
      <c r="L7287" s="1" t="s">
        <v>3993</v>
      </c>
      <c r="N7287" s="1" t="s">
        <v>3224</v>
      </c>
      <c r="P7287" s="1" t="s">
        <v>13111</v>
      </c>
      <c r="Q7287" s="30" t="s">
        <v>2566</v>
      </c>
      <c r="R7287" s="33" t="s">
        <v>3475</v>
      </c>
      <c r="S7287">
        <v>37</v>
      </c>
      <c r="T7287" s="1" t="s">
        <v>14009</v>
      </c>
      <c r="U7287" s="1" t="str">
        <f>HYPERLINK("http://ictvonline.org/taxonomy/p/taxonomy-history?taxnode_id=202106271","ICTVonline=202106271")</f>
        <v>ICTVonline=202106271</v>
      </c>
    </row>
    <row r="7288" spans="1:21" x14ac:dyDescent="0.2">
      <c r="A7288" s="3">
        <v>7287</v>
      </c>
      <c r="B7288" s="1" t="s">
        <v>4226</v>
      </c>
      <c r="D7288" s="1" t="s">
        <v>5412</v>
      </c>
      <c r="F7288" s="1" t="s">
        <v>3981</v>
      </c>
      <c r="G7288" s="1" t="s">
        <v>3982</v>
      </c>
      <c r="H7288" s="1" t="s">
        <v>3989</v>
      </c>
      <c r="J7288" s="1" t="s">
        <v>921</v>
      </c>
      <c r="L7288" s="1" t="s">
        <v>3993</v>
      </c>
      <c r="N7288" s="1" t="s">
        <v>3224</v>
      </c>
      <c r="P7288" s="1" t="s">
        <v>13112</v>
      </c>
      <c r="Q7288" s="30" t="s">
        <v>2566</v>
      </c>
      <c r="R7288" s="33" t="s">
        <v>3475</v>
      </c>
      <c r="S7288">
        <v>37</v>
      </c>
      <c r="T7288" s="1" t="s">
        <v>14009</v>
      </c>
      <c r="U7288" s="1" t="str">
        <f>HYPERLINK("http://ictvonline.org/taxonomy/p/taxonomy-history?taxnode_id=202106274","ICTVonline=202106274")</f>
        <v>ICTVonline=202106274</v>
      </c>
    </row>
    <row r="7289" spans="1:21" x14ac:dyDescent="0.2">
      <c r="A7289" s="3">
        <v>7288</v>
      </c>
      <c r="B7289" s="1" t="s">
        <v>4226</v>
      </c>
      <c r="D7289" s="1" t="s">
        <v>5412</v>
      </c>
      <c r="F7289" s="1" t="s">
        <v>3981</v>
      </c>
      <c r="G7289" s="1" t="s">
        <v>3982</v>
      </c>
      <c r="H7289" s="1" t="s">
        <v>3989</v>
      </c>
      <c r="J7289" s="1" t="s">
        <v>921</v>
      </c>
      <c r="L7289" s="1" t="s">
        <v>3993</v>
      </c>
      <c r="N7289" s="1" t="s">
        <v>3224</v>
      </c>
      <c r="P7289" s="1" t="s">
        <v>13113</v>
      </c>
      <c r="Q7289" s="30" t="s">
        <v>2566</v>
      </c>
      <c r="R7289" s="33" t="s">
        <v>3475</v>
      </c>
      <c r="S7289">
        <v>37</v>
      </c>
      <c r="T7289" s="1" t="s">
        <v>14009</v>
      </c>
      <c r="U7289" s="1" t="str">
        <f>HYPERLINK("http://ictvonline.org/taxonomy/p/taxonomy-history?taxnode_id=202106273","ICTVonline=202106273")</f>
        <v>ICTVonline=202106273</v>
      </c>
    </row>
    <row r="7290" spans="1:21" x14ac:dyDescent="0.2">
      <c r="A7290" s="3">
        <v>7289</v>
      </c>
      <c r="B7290" s="1" t="s">
        <v>4226</v>
      </c>
      <c r="D7290" s="1" t="s">
        <v>5412</v>
      </c>
      <c r="F7290" s="1" t="s">
        <v>3981</v>
      </c>
      <c r="G7290" s="1" t="s">
        <v>3982</v>
      </c>
      <c r="H7290" s="1" t="s">
        <v>3989</v>
      </c>
      <c r="J7290" s="1" t="s">
        <v>921</v>
      </c>
      <c r="L7290" s="1" t="s">
        <v>3993</v>
      </c>
      <c r="N7290" s="1" t="s">
        <v>3224</v>
      </c>
      <c r="P7290" s="1" t="s">
        <v>13114</v>
      </c>
      <c r="Q7290" s="30" t="s">
        <v>2566</v>
      </c>
      <c r="R7290" s="33" t="s">
        <v>3472</v>
      </c>
      <c r="S7290">
        <v>37</v>
      </c>
      <c r="T7290" s="1" t="s">
        <v>14010</v>
      </c>
      <c r="U7290" s="1" t="str">
        <f>HYPERLINK("http://ictvonline.org/taxonomy/p/taxonomy-history?taxnode_id=202112237","ICTVonline=202112237")</f>
        <v>ICTVonline=202112237</v>
      </c>
    </row>
    <row r="7291" spans="1:21" x14ac:dyDescent="0.2">
      <c r="A7291" s="3">
        <v>7290</v>
      </c>
      <c r="B7291" s="1" t="s">
        <v>4226</v>
      </c>
      <c r="D7291" s="1" t="s">
        <v>5412</v>
      </c>
      <c r="F7291" s="1" t="s">
        <v>3981</v>
      </c>
      <c r="G7291" s="1" t="s">
        <v>3982</v>
      </c>
      <c r="H7291" s="1" t="s">
        <v>3989</v>
      </c>
      <c r="J7291" s="1" t="s">
        <v>921</v>
      </c>
      <c r="L7291" s="1" t="s">
        <v>3993</v>
      </c>
      <c r="N7291" s="1" t="s">
        <v>3224</v>
      </c>
      <c r="P7291" s="1" t="s">
        <v>13115</v>
      </c>
      <c r="Q7291" s="30" t="s">
        <v>2566</v>
      </c>
      <c r="R7291" s="33" t="s">
        <v>3475</v>
      </c>
      <c r="S7291">
        <v>37</v>
      </c>
      <c r="T7291" s="1" t="s">
        <v>14009</v>
      </c>
      <c r="U7291" s="1" t="str">
        <f>HYPERLINK("http://ictvonline.org/taxonomy/p/taxonomy-history?taxnode_id=202101583","ICTVonline=202101583")</f>
        <v>ICTVonline=202101583</v>
      </c>
    </row>
    <row r="7292" spans="1:21" x14ac:dyDescent="0.2">
      <c r="A7292" s="3">
        <v>7291</v>
      </c>
      <c r="B7292" s="1" t="s">
        <v>4226</v>
      </c>
      <c r="D7292" s="1" t="s">
        <v>5412</v>
      </c>
      <c r="F7292" s="1" t="s">
        <v>3981</v>
      </c>
      <c r="G7292" s="1" t="s">
        <v>3982</v>
      </c>
      <c r="H7292" s="1" t="s">
        <v>3989</v>
      </c>
      <c r="J7292" s="1" t="s">
        <v>921</v>
      </c>
      <c r="L7292" s="1" t="s">
        <v>1298</v>
      </c>
      <c r="N7292" s="1" t="s">
        <v>3555</v>
      </c>
      <c r="P7292" s="1" t="s">
        <v>13116</v>
      </c>
      <c r="Q7292" s="30" t="s">
        <v>2566</v>
      </c>
      <c r="R7292" s="33" t="s">
        <v>3475</v>
      </c>
      <c r="S7292">
        <v>37</v>
      </c>
      <c r="T7292" s="1" t="s">
        <v>14011</v>
      </c>
      <c r="U7292" s="1" t="str">
        <f>HYPERLINK("http://ictvonline.org/taxonomy/p/taxonomy-history?taxnode_id=202105571","ICTVonline=202105571")</f>
        <v>ICTVonline=202105571</v>
      </c>
    </row>
    <row r="7293" spans="1:21" x14ac:dyDescent="0.2">
      <c r="A7293" s="3">
        <v>7292</v>
      </c>
      <c r="B7293" s="1" t="s">
        <v>4226</v>
      </c>
      <c r="D7293" s="1" t="s">
        <v>5412</v>
      </c>
      <c r="F7293" s="1" t="s">
        <v>3981</v>
      </c>
      <c r="G7293" s="1" t="s">
        <v>3982</v>
      </c>
      <c r="H7293" s="1" t="s">
        <v>3989</v>
      </c>
      <c r="J7293" s="1" t="s">
        <v>921</v>
      </c>
      <c r="L7293" s="1" t="s">
        <v>1298</v>
      </c>
      <c r="N7293" s="1" t="s">
        <v>3555</v>
      </c>
      <c r="P7293" s="1" t="s">
        <v>13117</v>
      </c>
      <c r="Q7293" s="30" t="s">
        <v>2566</v>
      </c>
      <c r="R7293" s="33" t="s">
        <v>3475</v>
      </c>
      <c r="S7293">
        <v>37</v>
      </c>
      <c r="T7293" s="1" t="s">
        <v>14011</v>
      </c>
      <c r="U7293" s="1" t="str">
        <f>HYPERLINK("http://ictvonline.org/taxonomy/p/taxonomy-history?taxnode_id=202105572","ICTVonline=202105572")</f>
        <v>ICTVonline=202105572</v>
      </c>
    </row>
    <row r="7294" spans="1:21" x14ac:dyDescent="0.2">
      <c r="A7294" s="3">
        <v>7293</v>
      </c>
      <c r="B7294" s="1" t="s">
        <v>4226</v>
      </c>
      <c r="D7294" s="1" t="s">
        <v>5412</v>
      </c>
      <c r="F7294" s="1" t="s">
        <v>3981</v>
      </c>
      <c r="G7294" s="1" t="s">
        <v>3982</v>
      </c>
      <c r="H7294" s="1" t="s">
        <v>3989</v>
      </c>
      <c r="J7294" s="1" t="s">
        <v>921</v>
      </c>
      <c r="L7294" s="1" t="s">
        <v>1298</v>
      </c>
      <c r="N7294" s="1" t="s">
        <v>4228</v>
      </c>
      <c r="P7294" s="1" t="s">
        <v>13118</v>
      </c>
      <c r="Q7294" s="30" t="s">
        <v>2566</v>
      </c>
      <c r="R7294" s="33" t="s">
        <v>3475</v>
      </c>
      <c r="S7294">
        <v>37</v>
      </c>
      <c r="T7294" s="1" t="s">
        <v>14011</v>
      </c>
      <c r="U7294" s="1" t="str">
        <f>HYPERLINK("http://ictvonline.org/taxonomy/p/taxonomy-history?taxnode_id=202106589","ICTVonline=202106589")</f>
        <v>ICTVonline=202106589</v>
      </c>
    </row>
    <row r="7295" spans="1:21" x14ac:dyDescent="0.2">
      <c r="A7295" s="3">
        <v>7294</v>
      </c>
      <c r="B7295" s="1" t="s">
        <v>4226</v>
      </c>
      <c r="D7295" s="1" t="s">
        <v>5412</v>
      </c>
      <c r="F7295" s="1" t="s">
        <v>3981</v>
      </c>
      <c r="G7295" s="1" t="s">
        <v>3982</v>
      </c>
      <c r="H7295" s="1" t="s">
        <v>3989</v>
      </c>
      <c r="J7295" s="1" t="s">
        <v>921</v>
      </c>
      <c r="L7295" s="1" t="s">
        <v>1298</v>
      </c>
      <c r="N7295" s="1" t="s">
        <v>3556</v>
      </c>
      <c r="P7295" s="1" t="s">
        <v>13119</v>
      </c>
      <c r="Q7295" s="30" t="s">
        <v>2566</v>
      </c>
      <c r="R7295" s="33" t="s">
        <v>3475</v>
      </c>
      <c r="S7295">
        <v>37</v>
      </c>
      <c r="T7295" s="1" t="s">
        <v>14011</v>
      </c>
      <c r="U7295" s="1" t="str">
        <f>HYPERLINK("http://ictvonline.org/taxonomy/p/taxonomy-history?taxnode_id=202101557","ICTVonline=202101557")</f>
        <v>ICTVonline=202101557</v>
      </c>
    </row>
    <row r="7296" spans="1:21" x14ac:dyDescent="0.2">
      <c r="A7296" s="3">
        <v>7295</v>
      </c>
      <c r="B7296" s="1" t="s">
        <v>4226</v>
      </c>
      <c r="D7296" s="1" t="s">
        <v>5412</v>
      </c>
      <c r="F7296" s="1" t="s">
        <v>3981</v>
      </c>
      <c r="G7296" s="1" t="s">
        <v>3982</v>
      </c>
      <c r="H7296" s="1" t="s">
        <v>3989</v>
      </c>
      <c r="J7296" s="1" t="s">
        <v>921</v>
      </c>
      <c r="L7296" s="1" t="s">
        <v>1298</v>
      </c>
      <c r="N7296" s="1" t="s">
        <v>3556</v>
      </c>
      <c r="P7296" s="1" t="s">
        <v>13120</v>
      </c>
      <c r="Q7296" s="30" t="s">
        <v>2566</v>
      </c>
      <c r="R7296" s="33" t="s">
        <v>3475</v>
      </c>
      <c r="S7296">
        <v>37</v>
      </c>
      <c r="T7296" s="1" t="s">
        <v>14011</v>
      </c>
      <c r="U7296" s="1" t="str">
        <f>HYPERLINK("http://ictvonline.org/taxonomy/p/taxonomy-history?taxnode_id=202101559","ICTVonline=202101559")</f>
        <v>ICTVonline=202101559</v>
      </c>
    </row>
    <row r="7297" spans="1:21" x14ac:dyDescent="0.2">
      <c r="A7297" s="3">
        <v>7296</v>
      </c>
      <c r="B7297" s="1" t="s">
        <v>4226</v>
      </c>
      <c r="D7297" s="1" t="s">
        <v>5412</v>
      </c>
      <c r="F7297" s="1" t="s">
        <v>3981</v>
      </c>
      <c r="G7297" s="1" t="s">
        <v>3982</v>
      </c>
      <c r="H7297" s="1" t="s">
        <v>3989</v>
      </c>
      <c r="J7297" s="1" t="s">
        <v>921</v>
      </c>
      <c r="L7297" s="1" t="s">
        <v>1298</v>
      </c>
      <c r="N7297" s="1" t="s">
        <v>3556</v>
      </c>
      <c r="P7297" s="1" t="s">
        <v>13121</v>
      </c>
      <c r="Q7297" s="30" t="s">
        <v>2566</v>
      </c>
      <c r="R7297" s="33" t="s">
        <v>3475</v>
      </c>
      <c r="S7297">
        <v>37</v>
      </c>
      <c r="T7297" s="1" t="s">
        <v>14011</v>
      </c>
      <c r="U7297" s="1" t="str">
        <f>HYPERLINK("http://ictvonline.org/taxonomy/p/taxonomy-history?taxnode_id=202101558","ICTVonline=202101558")</f>
        <v>ICTVonline=202101558</v>
      </c>
    </row>
    <row r="7298" spans="1:21" x14ac:dyDescent="0.2">
      <c r="A7298" s="3">
        <v>7297</v>
      </c>
      <c r="B7298" s="1" t="s">
        <v>4226</v>
      </c>
      <c r="D7298" s="1" t="s">
        <v>5412</v>
      </c>
      <c r="F7298" s="1" t="s">
        <v>3981</v>
      </c>
      <c r="G7298" s="1" t="s">
        <v>3982</v>
      </c>
      <c r="H7298" s="1" t="s">
        <v>3989</v>
      </c>
      <c r="J7298" s="1" t="s">
        <v>921</v>
      </c>
      <c r="L7298" s="1" t="s">
        <v>1298</v>
      </c>
      <c r="N7298" s="1" t="s">
        <v>3556</v>
      </c>
      <c r="P7298" s="1" t="s">
        <v>13122</v>
      </c>
      <c r="Q7298" s="30" t="s">
        <v>2566</v>
      </c>
      <c r="R7298" s="33" t="s">
        <v>3475</v>
      </c>
      <c r="S7298">
        <v>37</v>
      </c>
      <c r="T7298" s="1" t="s">
        <v>14011</v>
      </c>
      <c r="U7298" s="1" t="str">
        <f>HYPERLINK("http://ictvonline.org/taxonomy/p/taxonomy-history?taxnode_id=202101553","ICTVonline=202101553")</f>
        <v>ICTVonline=202101553</v>
      </c>
    </row>
    <row r="7299" spans="1:21" x14ac:dyDescent="0.2">
      <c r="A7299" s="3">
        <v>7298</v>
      </c>
      <c r="B7299" s="1" t="s">
        <v>4226</v>
      </c>
      <c r="D7299" s="1" t="s">
        <v>5412</v>
      </c>
      <c r="F7299" s="1" t="s">
        <v>3981</v>
      </c>
      <c r="G7299" s="1" t="s">
        <v>3982</v>
      </c>
      <c r="H7299" s="1" t="s">
        <v>3989</v>
      </c>
      <c r="J7299" s="1" t="s">
        <v>921</v>
      </c>
      <c r="L7299" s="1" t="s">
        <v>1298</v>
      </c>
      <c r="N7299" s="1" t="s">
        <v>3556</v>
      </c>
      <c r="P7299" s="1" t="s">
        <v>13123</v>
      </c>
      <c r="Q7299" s="30" t="s">
        <v>2566</v>
      </c>
      <c r="R7299" s="33" t="s">
        <v>3472</v>
      </c>
      <c r="S7299">
        <v>37</v>
      </c>
      <c r="T7299" s="1" t="s">
        <v>14012</v>
      </c>
      <c r="U7299" s="1" t="str">
        <f>HYPERLINK("http://ictvonline.org/taxonomy/p/taxonomy-history?taxnode_id=202112226","ICTVonline=202112226")</f>
        <v>ICTVonline=202112226</v>
      </c>
    </row>
    <row r="7300" spans="1:21" x14ac:dyDescent="0.2">
      <c r="A7300" s="3">
        <v>7299</v>
      </c>
      <c r="B7300" s="1" t="s">
        <v>4226</v>
      </c>
      <c r="D7300" s="1" t="s">
        <v>5412</v>
      </c>
      <c r="F7300" s="1" t="s">
        <v>3981</v>
      </c>
      <c r="G7300" s="1" t="s">
        <v>3982</v>
      </c>
      <c r="H7300" s="1" t="s">
        <v>3989</v>
      </c>
      <c r="J7300" s="1" t="s">
        <v>921</v>
      </c>
      <c r="L7300" s="1" t="s">
        <v>1298</v>
      </c>
      <c r="N7300" s="1" t="s">
        <v>3556</v>
      </c>
      <c r="P7300" s="1" t="s">
        <v>13124</v>
      </c>
      <c r="Q7300" s="30" t="s">
        <v>2566</v>
      </c>
      <c r="R7300" s="33" t="s">
        <v>3475</v>
      </c>
      <c r="S7300">
        <v>37</v>
      </c>
      <c r="T7300" s="1" t="s">
        <v>14011</v>
      </c>
      <c r="U7300" s="1" t="str">
        <f>HYPERLINK("http://ictvonline.org/taxonomy/p/taxonomy-history?taxnode_id=202101552","ICTVonline=202101552")</f>
        <v>ICTVonline=202101552</v>
      </c>
    </row>
    <row r="7301" spans="1:21" x14ac:dyDescent="0.2">
      <c r="A7301" s="3">
        <v>7300</v>
      </c>
      <c r="B7301" s="1" t="s">
        <v>4226</v>
      </c>
      <c r="D7301" s="1" t="s">
        <v>5412</v>
      </c>
      <c r="F7301" s="1" t="s">
        <v>3981</v>
      </c>
      <c r="G7301" s="1" t="s">
        <v>3982</v>
      </c>
      <c r="H7301" s="1" t="s">
        <v>3989</v>
      </c>
      <c r="J7301" s="1" t="s">
        <v>921</v>
      </c>
      <c r="L7301" s="1" t="s">
        <v>1298</v>
      </c>
      <c r="N7301" s="1" t="s">
        <v>3556</v>
      </c>
      <c r="P7301" s="1" t="s">
        <v>13125</v>
      </c>
      <c r="Q7301" s="30" t="s">
        <v>2566</v>
      </c>
      <c r="R7301" s="33" t="s">
        <v>3475</v>
      </c>
      <c r="S7301">
        <v>37</v>
      </c>
      <c r="T7301" s="1" t="s">
        <v>14011</v>
      </c>
      <c r="U7301" s="1" t="str">
        <f>HYPERLINK("http://ictvonline.org/taxonomy/p/taxonomy-history?taxnode_id=202101556","ICTVonline=202101556")</f>
        <v>ICTVonline=202101556</v>
      </c>
    </row>
    <row r="7302" spans="1:21" x14ac:dyDescent="0.2">
      <c r="A7302" s="3">
        <v>7301</v>
      </c>
      <c r="B7302" s="1" t="s">
        <v>4226</v>
      </c>
      <c r="D7302" s="1" t="s">
        <v>5412</v>
      </c>
      <c r="F7302" s="1" t="s">
        <v>3981</v>
      </c>
      <c r="G7302" s="1" t="s">
        <v>3982</v>
      </c>
      <c r="H7302" s="1" t="s">
        <v>3989</v>
      </c>
      <c r="J7302" s="1" t="s">
        <v>921</v>
      </c>
      <c r="L7302" s="1" t="s">
        <v>1298</v>
      </c>
      <c r="N7302" s="1" t="s">
        <v>3556</v>
      </c>
      <c r="P7302" s="1" t="s">
        <v>13126</v>
      </c>
      <c r="Q7302" s="30" t="s">
        <v>2566</v>
      </c>
      <c r="R7302" s="33" t="s">
        <v>3475</v>
      </c>
      <c r="S7302">
        <v>37</v>
      </c>
      <c r="T7302" s="1" t="s">
        <v>14011</v>
      </c>
      <c r="U7302" s="1" t="str">
        <f>HYPERLINK("http://ictvonline.org/taxonomy/p/taxonomy-history?taxnode_id=202101554","ICTVonline=202101554")</f>
        <v>ICTVonline=202101554</v>
      </c>
    </row>
    <row r="7303" spans="1:21" x14ac:dyDescent="0.2">
      <c r="A7303" s="3">
        <v>7302</v>
      </c>
      <c r="B7303" s="1" t="s">
        <v>4226</v>
      </c>
      <c r="D7303" s="1" t="s">
        <v>5412</v>
      </c>
      <c r="F7303" s="1" t="s">
        <v>3981</v>
      </c>
      <c r="G7303" s="1" t="s">
        <v>3982</v>
      </c>
      <c r="H7303" s="1" t="s">
        <v>3989</v>
      </c>
      <c r="J7303" s="1" t="s">
        <v>921</v>
      </c>
      <c r="L7303" s="1" t="s">
        <v>1298</v>
      </c>
      <c r="N7303" s="1" t="s">
        <v>3556</v>
      </c>
      <c r="P7303" s="1" t="s">
        <v>13127</v>
      </c>
      <c r="Q7303" s="30" t="s">
        <v>2566</v>
      </c>
      <c r="R7303" s="33" t="s">
        <v>3475</v>
      </c>
      <c r="S7303">
        <v>37</v>
      </c>
      <c r="T7303" s="1" t="s">
        <v>14011</v>
      </c>
      <c r="U7303" s="1" t="str">
        <f>HYPERLINK("http://ictvonline.org/taxonomy/p/taxonomy-history?taxnode_id=202101555","ICTVonline=202101555")</f>
        <v>ICTVonline=202101555</v>
      </c>
    </row>
    <row r="7304" spans="1:21" x14ac:dyDescent="0.2">
      <c r="A7304" s="3">
        <v>7303</v>
      </c>
      <c r="B7304" s="1" t="s">
        <v>4226</v>
      </c>
      <c r="D7304" s="1" t="s">
        <v>5412</v>
      </c>
      <c r="F7304" s="1" t="s">
        <v>3981</v>
      </c>
      <c r="G7304" s="1" t="s">
        <v>3982</v>
      </c>
      <c r="H7304" s="1" t="s">
        <v>3989</v>
      </c>
      <c r="J7304" s="1" t="s">
        <v>921</v>
      </c>
      <c r="L7304" s="1" t="s">
        <v>1299</v>
      </c>
      <c r="N7304" s="1" t="s">
        <v>2140</v>
      </c>
      <c r="P7304" s="1" t="s">
        <v>2141</v>
      </c>
      <c r="Q7304" s="30" t="s">
        <v>2566</v>
      </c>
      <c r="R7304" s="33" t="s">
        <v>8665</v>
      </c>
      <c r="S7304">
        <v>36</v>
      </c>
      <c r="T7304" s="1" t="s">
        <v>8661</v>
      </c>
      <c r="U7304" s="1" t="str">
        <f>HYPERLINK("http://ictvonline.org/taxonomy/p/taxonomy-history?taxnode_id=202101563","ICTVonline=202101563")</f>
        <v>ICTVonline=202101563</v>
      </c>
    </row>
    <row r="7305" spans="1:21" x14ac:dyDescent="0.2">
      <c r="A7305" s="3">
        <v>7304</v>
      </c>
      <c r="B7305" s="1" t="s">
        <v>4226</v>
      </c>
      <c r="D7305" s="1" t="s">
        <v>5412</v>
      </c>
      <c r="F7305" s="1" t="s">
        <v>3981</v>
      </c>
      <c r="G7305" s="1" t="s">
        <v>3982</v>
      </c>
      <c r="H7305" s="1" t="s">
        <v>3989</v>
      </c>
      <c r="J7305" s="1" t="s">
        <v>921</v>
      </c>
      <c r="L7305" s="1" t="s">
        <v>1299</v>
      </c>
      <c r="N7305" s="1" t="s">
        <v>5475</v>
      </c>
      <c r="P7305" s="1" t="s">
        <v>5476</v>
      </c>
      <c r="Q7305" s="30" t="s">
        <v>2566</v>
      </c>
      <c r="R7305" s="33" t="s">
        <v>8665</v>
      </c>
      <c r="S7305">
        <v>36</v>
      </c>
      <c r="T7305" s="1" t="s">
        <v>8661</v>
      </c>
      <c r="U7305" s="1" t="str">
        <f>HYPERLINK("http://ictvonline.org/taxonomy/p/taxonomy-history?taxnode_id=202107367","ICTVonline=202107367")</f>
        <v>ICTVonline=202107367</v>
      </c>
    </row>
    <row r="7306" spans="1:21" x14ac:dyDescent="0.2">
      <c r="A7306" s="3">
        <v>7305</v>
      </c>
      <c r="B7306" s="1" t="s">
        <v>4226</v>
      </c>
      <c r="D7306" s="1" t="s">
        <v>5412</v>
      </c>
      <c r="F7306" s="1" t="s">
        <v>3981</v>
      </c>
      <c r="G7306" s="1" t="s">
        <v>3982</v>
      </c>
      <c r="H7306" s="1" t="s">
        <v>3989</v>
      </c>
      <c r="J7306" s="1" t="s">
        <v>921</v>
      </c>
      <c r="L7306" s="1" t="s">
        <v>1299</v>
      </c>
      <c r="N7306" s="1" t="s">
        <v>1300</v>
      </c>
      <c r="P7306" s="1" t="s">
        <v>5477</v>
      </c>
      <c r="Q7306" s="30" t="s">
        <v>2566</v>
      </c>
      <c r="R7306" s="33" t="s">
        <v>3472</v>
      </c>
      <c r="S7306">
        <v>35</v>
      </c>
      <c r="T7306" s="1" t="s">
        <v>5478</v>
      </c>
      <c r="U7306" s="1" t="str">
        <f>HYPERLINK("http://ictvonline.org/taxonomy/p/taxonomy-history?taxnode_id=202107261","ICTVonline=202107261")</f>
        <v>ICTVonline=202107261</v>
      </c>
    </row>
    <row r="7307" spans="1:21" x14ac:dyDescent="0.2">
      <c r="A7307" s="3">
        <v>7306</v>
      </c>
      <c r="B7307" s="1" t="s">
        <v>4226</v>
      </c>
      <c r="D7307" s="1" t="s">
        <v>5412</v>
      </c>
      <c r="F7307" s="1" t="s">
        <v>3981</v>
      </c>
      <c r="G7307" s="1" t="s">
        <v>3982</v>
      </c>
      <c r="H7307" s="1" t="s">
        <v>3989</v>
      </c>
      <c r="J7307" s="1" t="s">
        <v>921</v>
      </c>
      <c r="L7307" s="1" t="s">
        <v>1299</v>
      </c>
      <c r="N7307" s="1" t="s">
        <v>1300</v>
      </c>
      <c r="P7307" s="1" t="s">
        <v>1242</v>
      </c>
      <c r="Q7307" s="30" t="s">
        <v>2566</v>
      </c>
      <c r="R7307" s="33" t="s">
        <v>3474</v>
      </c>
      <c r="S7307">
        <v>35</v>
      </c>
      <c r="T7307" s="1" t="s">
        <v>5416</v>
      </c>
      <c r="U7307" s="1" t="str">
        <f>HYPERLINK("http://ictvonline.org/taxonomy/p/taxonomy-history?taxnode_id=202101565","ICTVonline=202101565")</f>
        <v>ICTVonline=202101565</v>
      </c>
    </row>
    <row r="7308" spans="1:21" x14ac:dyDescent="0.2">
      <c r="A7308" s="3">
        <v>7307</v>
      </c>
      <c r="B7308" s="1" t="s">
        <v>4226</v>
      </c>
      <c r="D7308" s="1" t="s">
        <v>5412</v>
      </c>
      <c r="F7308" s="1" t="s">
        <v>3981</v>
      </c>
      <c r="G7308" s="1" t="s">
        <v>3982</v>
      </c>
      <c r="H7308" s="1" t="s">
        <v>3989</v>
      </c>
      <c r="J7308" s="1" t="s">
        <v>921</v>
      </c>
      <c r="L7308" s="1" t="s">
        <v>1299</v>
      </c>
      <c r="N7308" s="1" t="s">
        <v>1300</v>
      </c>
      <c r="P7308" s="1" t="s">
        <v>1301</v>
      </c>
      <c r="Q7308" s="30" t="s">
        <v>2566</v>
      </c>
      <c r="R7308" s="33" t="s">
        <v>8665</v>
      </c>
      <c r="S7308">
        <v>36</v>
      </c>
      <c r="T7308" s="1" t="s">
        <v>8661</v>
      </c>
      <c r="U7308" s="1" t="str">
        <f>HYPERLINK("http://ictvonline.org/taxonomy/p/taxonomy-history?taxnode_id=202101566","ICTVonline=202101566")</f>
        <v>ICTVonline=202101566</v>
      </c>
    </row>
    <row r="7309" spans="1:21" x14ac:dyDescent="0.2">
      <c r="A7309" s="3">
        <v>7308</v>
      </c>
      <c r="B7309" s="1" t="s">
        <v>4226</v>
      </c>
      <c r="D7309" s="1" t="s">
        <v>5412</v>
      </c>
      <c r="F7309" s="1" t="s">
        <v>3981</v>
      </c>
      <c r="G7309" s="1" t="s">
        <v>3982</v>
      </c>
      <c r="H7309" s="1" t="s">
        <v>3989</v>
      </c>
      <c r="J7309" s="1" t="s">
        <v>921</v>
      </c>
      <c r="L7309" s="1" t="s">
        <v>1299</v>
      </c>
      <c r="N7309" s="1" t="s">
        <v>1300</v>
      </c>
      <c r="P7309" s="1" t="s">
        <v>1302</v>
      </c>
      <c r="Q7309" s="30" t="s">
        <v>2566</v>
      </c>
      <c r="R7309" s="33" t="s">
        <v>8665</v>
      </c>
      <c r="S7309">
        <v>36</v>
      </c>
      <c r="T7309" s="1" t="s">
        <v>8661</v>
      </c>
      <c r="U7309" s="1" t="str">
        <f>HYPERLINK("http://ictvonline.org/taxonomy/p/taxonomy-history?taxnode_id=202101567","ICTVonline=202101567")</f>
        <v>ICTVonline=202101567</v>
      </c>
    </row>
    <row r="7310" spans="1:21" x14ac:dyDescent="0.2">
      <c r="A7310" s="3">
        <v>7309</v>
      </c>
      <c r="B7310" s="1" t="s">
        <v>4226</v>
      </c>
      <c r="D7310" s="1" t="s">
        <v>5412</v>
      </c>
      <c r="F7310" s="1" t="s">
        <v>3981</v>
      </c>
      <c r="G7310" s="1" t="s">
        <v>3982</v>
      </c>
      <c r="H7310" s="1" t="s">
        <v>3989</v>
      </c>
      <c r="J7310" s="1" t="s">
        <v>921</v>
      </c>
      <c r="L7310" s="1" t="s">
        <v>1299</v>
      </c>
      <c r="N7310" s="1" t="s">
        <v>1300</v>
      </c>
      <c r="P7310" s="1" t="s">
        <v>3557</v>
      </c>
      <c r="Q7310" s="30" t="s">
        <v>2566</v>
      </c>
      <c r="R7310" s="33" t="s">
        <v>3474</v>
      </c>
      <c r="S7310">
        <v>35</v>
      </c>
      <c r="T7310" s="1" t="s">
        <v>5416</v>
      </c>
      <c r="U7310" s="1" t="str">
        <f>HYPERLINK("http://ictvonline.org/taxonomy/p/taxonomy-history?taxnode_id=202101568","ICTVonline=202101568")</f>
        <v>ICTVonline=202101568</v>
      </c>
    </row>
    <row r="7311" spans="1:21" x14ac:dyDescent="0.2">
      <c r="A7311" s="3">
        <v>7310</v>
      </c>
      <c r="B7311" s="1" t="s">
        <v>4226</v>
      </c>
      <c r="D7311" s="1" t="s">
        <v>5412</v>
      </c>
      <c r="F7311" s="1" t="s">
        <v>3981</v>
      </c>
      <c r="G7311" s="1" t="s">
        <v>3982</v>
      </c>
      <c r="H7311" s="1" t="s">
        <v>3989</v>
      </c>
      <c r="J7311" s="1" t="s">
        <v>921</v>
      </c>
      <c r="L7311" s="1" t="s">
        <v>1299</v>
      </c>
      <c r="N7311" s="1" t="s">
        <v>1300</v>
      </c>
      <c r="P7311" s="1" t="s">
        <v>1303</v>
      </c>
      <c r="Q7311" s="30" t="s">
        <v>2566</v>
      </c>
      <c r="R7311" s="33" t="s">
        <v>8665</v>
      </c>
      <c r="S7311">
        <v>36</v>
      </c>
      <c r="T7311" s="1" t="s">
        <v>8661</v>
      </c>
      <c r="U7311" s="1" t="str">
        <f>HYPERLINK("http://ictvonline.org/taxonomy/p/taxonomy-history?taxnode_id=202101569","ICTVonline=202101569")</f>
        <v>ICTVonline=202101569</v>
      </c>
    </row>
    <row r="7312" spans="1:21" x14ac:dyDescent="0.2">
      <c r="A7312" s="3">
        <v>7311</v>
      </c>
      <c r="B7312" s="1" t="s">
        <v>4226</v>
      </c>
      <c r="D7312" s="1" t="s">
        <v>5412</v>
      </c>
      <c r="F7312" s="1" t="s">
        <v>3981</v>
      </c>
      <c r="G7312" s="1" t="s">
        <v>3982</v>
      </c>
      <c r="H7312" s="1" t="s">
        <v>3989</v>
      </c>
      <c r="J7312" s="1" t="s">
        <v>921</v>
      </c>
      <c r="L7312" s="1" t="s">
        <v>1299</v>
      </c>
      <c r="N7312" s="1" t="s">
        <v>1304</v>
      </c>
      <c r="P7312" s="1" t="s">
        <v>1243</v>
      </c>
      <c r="Q7312" s="30" t="s">
        <v>2566</v>
      </c>
      <c r="R7312" s="33" t="s">
        <v>8665</v>
      </c>
      <c r="S7312">
        <v>36</v>
      </c>
      <c r="T7312" s="1" t="s">
        <v>8661</v>
      </c>
      <c r="U7312" s="1" t="str">
        <f>HYPERLINK("http://ictvonline.org/taxonomy/p/taxonomy-history?taxnode_id=202101571","ICTVonline=202101571")</f>
        <v>ICTVonline=202101571</v>
      </c>
    </row>
    <row r="7313" spans="1:21" x14ac:dyDescent="0.2">
      <c r="A7313" s="3">
        <v>7312</v>
      </c>
      <c r="B7313" s="1" t="s">
        <v>4226</v>
      </c>
      <c r="D7313" s="1" t="s">
        <v>5412</v>
      </c>
      <c r="F7313" s="1" t="s">
        <v>3981</v>
      </c>
      <c r="G7313" s="1" t="s">
        <v>3982</v>
      </c>
      <c r="H7313" s="1" t="s">
        <v>3989</v>
      </c>
      <c r="J7313" s="1" t="s">
        <v>921</v>
      </c>
      <c r="L7313" s="1" t="s">
        <v>1299</v>
      </c>
      <c r="N7313" s="1" t="s">
        <v>13128</v>
      </c>
      <c r="P7313" s="1" t="s">
        <v>13129</v>
      </c>
      <c r="Q7313" s="30" t="s">
        <v>2566</v>
      </c>
      <c r="R7313" s="33" t="s">
        <v>3472</v>
      </c>
      <c r="S7313">
        <v>37</v>
      </c>
      <c r="T7313" s="1" t="s">
        <v>14013</v>
      </c>
      <c r="U7313" s="1" t="str">
        <f>HYPERLINK("http://ictvonline.org/taxonomy/p/taxonomy-history?taxnode_id=202113343","ICTVonline=202113343")</f>
        <v>ICTVonline=202113343</v>
      </c>
    </row>
    <row r="7314" spans="1:21" x14ac:dyDescent="0.2">
      <c r="A7314" s="3">
        <v>7313</v>
      </c>
      <c r="B7314" s="1" t="s">
        <v>4226</v>
      </c>
      <c r="D7314" s="1" t="s">
        <v>5412</v>
      </c>
      <c r="F7314" s="1" t="s">
        <v>3981</v>
      </c>
      <c r="G7314" s="1" t="s">
        <v>3982</v>
      </c>
      <c r="H7314" s="1" t="s">
        <v>3989</v>
      </c>
      <c r="J7314" s="1" t="s">
        <v>921</v>
      </c>
      <c r="L7314" s="1" t="s">
        <v>1299</v>
      </c>
      <c r="N7314" s="1" t="s">
        <v>4229</v>
      </c>
      <c r="P7314" s="1" t="s">
        <v>4230</v>
      </c>
      <c r="Q7314" s="30" t="s">
        <v>2566</v>
      </c>
      <c r="R7314" s="33" t="s">
        <v>8665</v>
      </c>
      <c r="S7314">
        <v>36</v>
      </c>
      <c r="T7314" s="1" t="s">
        <v>8661</v>
      </c>
      <c r="U7314" s="1" t="str">
        <f>HYPERLINK("http://ictvonline.org/taxonomy/p/taxonomy-history?taxnode_id=202106582","ICTVonline=202106582")</f>
        <v>ICTVonline=202106582</v>
      </c>
    </row>
    <row r="7315" spans="1:21" x14ac:dyDescent="0.2">
      <c r="A7315" s="3">
        <v>7314</v>
      </c>
      <c r="B7315" s="1" t="s">
        <v>4226</v>
      </c>
      <c r="D7315" s="1" t="s">
        <v>5412</v>
      </c>
      <c r="F7315" s="1" t="s">
        <v>3981</v>
      </c>
      <c r="G7315" s="1" t="s">
        <v>3982</v>
      </c>
      <c r="H7315" s="1" t="s">
        <v>3989</v>
      </c>
      <c r="J7315" s="1" t="s">
        <v>921</v>
      </c>
      <c r="L7315" s="1" t="s">
        <v>1299</v>
      </c>
      <c r="N7315" s="1" t="s">
        <v>13130</v>
      </c>
      <c r="P7315" s="1" t="s">
        <v>13131</v>
      </c>
      <c r="Q7315" s="30" t="s">
        <v>2566</v>
      </c>
      <c r="R7315" s="33" t="s">
        <v>3472</v>
      </c>
      <c r="S7315">
        <v>37</v>
      </c>
      <c r="T7315" s="1" t="s">
        <v>14014</v>
      </c>
      <c r="U7315" s="1" t="str">
        <f>HYPERLINK("http://ictvonline.org/taxonomy/p/taxonomy-history?taxnode_id=202113337","ICTVonline=202113337")</f>
        <v>ICTVonline=202113337</v>
      </c>
    </row>
    <row r="7316" spans="1:21" x14ac:dyDescent="0.2">
      <c r="A7316" s="3">
        <v>7315</v>
      </c>
      <c r="B7316" s="1" t="s">
        <v>4226</v>
      </c>
      <c r="D7316" s="1" t="s">
        <v>5412</v>
      </c>
      <c r="F7316" s="1" t="s">
        <v>3981</v>
      </c>
      <c r="G7316" s="1" t="s">
        <v>3982</v>
      </c>
      <c r="H7316" s="1" t="s">
        <v>3989</v>
      </c>
      <c r="J7316" s="1" t="s">
        <v>921</v>
      </c>
      <c r="L7316" s="1" t="s">
        <v>1299</v>
      </c>
      <c r="N7316" s="1" t="s">
        <v>4231</v>
      </c>
      <c r="P7316" s="1" t="s">
        <v>4232</v>
      </c>
      <c r="Q7316" s="30" t="s">
        <v>2566</v>
      </c>
      <c r="R7316" s="33" t="s">
        <v>8665</v>
      </c>
      <c r="S7316">
        <v>36</v>
      </c>
      <c r="T7316" s="1" t="s">
        <v>8661</v>
      </c>
      <c r="U7316" s="1" t="str">
        <f>HYPERLINK("http://ictvonline.org/taxonomy/p/taxonomy-history?taxnode_id=202106584","ICTVonline=202106584")</f>
        <v>ICTVonline=202106584</v>
      </c>
    </row>
    <row r="7317" spans="1:21" x14ac:dyDescent="0.2">
      <c r="A7317" s="3">
        <v>7316</v>
      </c>
      <c r="B7317" s="1" t="s">
        <v>4226</v>
      </c>
      <c r="D7317" s="1" t="s">
        <v>5412</v>
      </c>
      <c r="F7317" s="1" t="s">
        <v>3981</v>
      </c>
      <c r="G7317" s="1" t="s">
        <v>3982</v>
      </c>
      <c r="H7317" s="1" t="s">
        <v>3989</v>
      </c>
      <c r="J7317" s="1" t="s">
        <v>921</v>
      </c>
      <c r="L7317" s="1" t="s">
        <v>1299</v>
      </c>
      <c r="N7317" s="1" t="s">
        <v>4231</v>
      </c>
      <c r="P7317" s="1" t="s">
        <v>13132</v>
      </c>
      <c r="Q7317" s="30" t="s">
        <v>2566</v>
      </c>
      <c r="R7317" s="33" t="s">
        <v>3472</v>
      </c>
      <c r="S7317">
        <v>37</v>
      </c>
      <c r="T7317" s="1" t="s">
        <v>14013</v>
      </c>
      <c r="U7317" s="1" t="str">
        <f>HYPERLINK("http://ictvonline.org/taxonomy/p/taxonomy-history?taxnode_id=202113341","ICTVonline=202113341")</f>
        <v>ICTVonline=202113341</v>
      </c>
    </row>
    <row r="7318" spans="1:21" x14ac:dyDescent="0.2">
      <c r="A7318" s="3">
        <v>7317</v>
      </c>
      <c r="B7318" s="1" t="s">
        <v>4226</v>
      </c>
      <c r="D7318" s="1" t="s">
        <v>5412</v>
      </c>
      <c r="F7318" s="1" t="s">
        <v>3981</v>
      </c>
      <c r="G7318" s="1" t="s">
        <v>3982</v>
      </c>
      <c r="H7318" s="1" t="s">
        <v>3989</v>
      </c>
      <c r="J7318" s="1" t="s">
        <v>921</v>
      </c>
      <c r="L7318" s="1" t="s">
        <v>1299</v>
      </c>
      <c r="N7318" s="1" t="s">
        <v>4231</v>
      </c>
      <c r="P7318" s="1" t="s">
        <v>13133</v>
      </c>
      <c r="Q7318" s="30" t="s">
        <v>2566</v>
      </c>
      <c r="R7318" s="33" t="s">
        <v>3472</v>
      </c>
      <c r="S7318">
        <v>37</v>
      </c>
      <c r="T7318" s="1" t="s">
        <v>14013</v>
      </c>
      <c r="U7318" s="1" t="str">
        <f>HYPERLINK("http://ictvonline.org/taxonomy/p/taxonomy-history?taxnode_id=202113340","ICTVonline=202113340")</f>
        <v>ICTVonline=202113340</v>
      </c>
    </row>
    <row r="7319" spans="1:21" x14ac:dyDescent="0.2">
      <c r="A7319" s="3">
        <v>7318</v>
      </c>
      <c r="B7319" s="1" t="s">
        <v>4226</v>
      </c>
      <c r="D7319" s="1" t="s">
        <v>5412</v>
      </c>
      <c r="F7319" s="1" t="s">
        <v>3981</v>
      </c>
      <c r="G7319" s="1" t="s">
        <v>3982</v>
      </c>
      <c r="H7319" s="1" t="s">
        <v>3989</v>
      </c>
      <c r="J7319" s="1" t="s">
        <v>921</v>
      </c>
      <c r="L7319" s="1" t="s">
        <v>3994</v>
      </c>
      <c r="N7319" s="1" t="s">
        <v>13134</v>
      </c>
      <c r="P7319" s="1" t="s">
        <v>13135</v>
      </c>
      <c r="Q7319" s="30" t="s">
        <v>2566</v>
      </c>
      <c r="R7319" s="33" t="s">
        <v>3472</v>
      </c>
      <c r="S7319">
        <v>37</v>
      </c>
      <c r="T7319" s="1" t="s">
        <v>14015</v>
      </c>
      <c r="U7319" s="1" t="str">
        <f>HYPERLINK("http://ictvonline.org/taxonomy/p/taxonomy-history?taxnode_id=202113371","ICTVonline=202113371")</f>
        <v>ICTVonline=202113371</v>
      </c>
    </row>
    <row r="7320" spans="1:21" x14ac:dyDescent="0.2">
      <c r="A7320" s="3">
        <v>7319</v>
      </c>
      <c r="B7320" s="1" t="s">
        <v>4226</v>
      </c>
      <c r="D7320" s="1" t="s">
        <v>5412</v>
      </c>
      <c r="F7320" s="1" t="s">
        <v>3981</v>
      </c>
      <c r="G7320" s="1" t="s">
        <v>3982</v>
      </c>
      <c r="H7320" s="1" t="s">
        <v>3989</v>
      </c>
      <c r="J7320" s="1" t="s">
        <v>921</v>
      </c>
      <c r="L7320" s="1" t="s">
        <v>3994</v>
      </c>
      <c r="N7320" s="1" t="s">
        <v>13136</v>
      </c>
      <c r="P7320" s="1" t="s">
        <v>13137</v>
      </c>
      <c r="Q7320" s="30" t="s">
        <v>2566</v>
      </c>
      <c r="R7320" s="33" t="s">
        <v>3472</v>
      </c>
      <c r="S7320">
        <v>37</v>
      </c>
      <c r="T7320" s="1" t="s">
        <v>14015</v>
      </c>
      <c r="U7320" s="1" t="str">
        <f>HYPERLINK("http://ictvonline.org/taxonomy/p/taxonomy-history?taxnode_id=202113367","ICTVonline=202113367")</f>
        <v>ICTVonline=202113367</v>
      </c>
    </row>
    <row r="7321" spans="1:21" x14ac:dyDescent="0.2">
      <c r="A7321" s="3">
        <v>7320</v>
      </c>
      <c r="B7321" s="1" t="s">
        <v>4226</v>
      </c>
      <c r="D7321" s="1" t="s">
        <v>5412</v>
      </c>
      <c r="F7321" s="1" t="s">
        <v>3981</v>
      </c>
      <c r="G7321" s="1" t="s">
        <v>3982</v>
      </c>
      <c r="H7321" s="1" t="s">
        <v>3989</v>
      </c>
      <c r="J7321" s="1" t="s">
        <v>921</v>
      </c>
      <c r="L7321" s="1" t="s">
        <v>3994</v>
      </c>
      <c r="N7321" s="1" t="s">
        <v>2760</v>
      </c>
      <c r="P7321" s="1" t="s">
        <v>13138</v>
      </c>
      <c r="Q7321" s="30" t="s">
        <v>2566</v>
      </c>
      <c r="R7321" s="33" t="s">
        <v>3475</v>
      </c>
      <c r="S7321">
        <v>37</v>
      </c>
      <c r="T7321" s="1" t="s">
        <v>14015</v>
      </c>
      <c r="U7321" s="1" t="str">
        <f>HYPERLINK("http://ictvonline.org/taxonomy/p/taxonomy-history?taxnode_id=202101814","ICTVonline=202101814")</f>
        <v>ICTVonline=202101814</v>
      </c>
    </row>
    <row r="7322" spans="1:21" x14ac:dyDescent="0.2">
      <c r="A7322" s="3">
        <v>7321</v>
      </c>
      <c r="B7322" s="1" t="s">
        <v>4226</v>
      </c>
      <c r="D7322" s="1" t="s">
        <v>5412</v>
      </c>
      <c r="F7322" s="1" t="s">
        <v>3981</v>
      </c>
      <c r="G7322" s="1" t="s">
        <v>3982</v>
      </c>
      <c r="H7322" s="1" t="s">
        <v>3989</v>
      </c>
      <c r="J7322" s="1" t="s">
        <v>921</v>
      </c>
      <c r="L7322" s="1" t="s">
        <v>3994</v>
      </c>
      <c r="N7322" s="1" t="s">
        <v>13139</v>
      </c>
      <c r="P7322" s="1" t="s">
        <v>13140</v>
      </c>
      <c r="Q7322" s="30" t="s">
        <v>2566</v>
      </c>
      <c r="R7322" s="33" t="s">
        <v>3472</v>
      </c>
      <c r="S7322">
        <v>37</v>
      </c>
      <c r="T7322" s="1" t="s">
        <v>14015</v>
      </c>
      <c r="U7322" s="1" t="str">
        <f>HYPERLINK("http://ictvonline.org/taxonomy/p/taxonomy-history?taxnode_id=202113359","ICTVonline=202113359")</f>
        <v>ICTVonline=202113359</v>
      </c>
    </row>
    <row r="7323" spans="1:21" x14ac:dyDescent="0.2">
      <c r="A7323" s="3">
        <v>7322</v>
      </c>
      <c r="B7323" s="1" t="s">
        <v>4226</v>
      </c>
      <c r="D7323" s="1" t="s">
        <v>5412</v>
      </c>
      <c r="F7323" s="1" t="s">
        <v>3981</v>
      </c>
      <c r="G7323" s="1" t="s">
        <v>3982</v>
      </c>
      <c r="H7323" s="1" t="s">
        <v>3989</v>
      </c>
      <c r="J7323" s="1" t="s">
        <v>921</v>
      </c>
      <c r="L7323" s="1" t="s">
        <v>3994</v>
      </c>
      <c r="N7323" s="1" t="s">
        <v>13139</v>
      </c>
      <c r="P7323" s="1" t="s">
        <v>13141</v>
      </c>
      <c r="Q7323" s="30" t="s">
        <v>2566</v>
      </c>
      <c r="R7323" s="33" t="s">
        <v>3472</v>
      </c>
      <c r="S7323">
        <v>37</v>
      </c>
      <c r="T7323" s="1" t="s">
        <v>14015</v>
      </c>
      <c r="U7323" s="1" t="str">
        <f>HYPERLINK("http://ictvonline.org/taxonomy/p/taxonomy-history?taxnode_id=202113358","ICTVonline=202113358")</f>
        <v>ICTVonline=202113358</v>
      </c>
    </row>
    <row r="7324" spans="1:21" x14ac:dyDescent="0.2">
      <c r="A7324" s="3">
        <v>7323</v>
      </c>
      <c r="B7324" s="1" t="s">
        <v>4226</v>
      </c>
      <c r="D7324" s="1" t="s">
        <v>5412</v>
      </c>
      <c r="F7324" s="1" t="s">
        <v>3981</v>
      </c>
      <c r="G7324" s="1" t="s">
        <v>3982</v>
      </c>
      <c r="H7324" s="1" t="s">
        <v>3989</v>
      </c>
      <c r="J7324" s="1" t="s">
        <v>921</v>
      </c>
      <c r="L7324" s="1" t="s">
        <v>3994</v>
      </c>
      <c r="N7324" s="1" t="s">
        <v>13142</v>
      </c>
      <c r="P7324" s="1" t="s">
        <v>13143</v>
      </c>
      <c r="Q7324" s="30" t="s">
        <v>2566</v>
      </c>
      <c r="R7324" s="33" t="s">
        <v>3472</v>
      </c>
      <c r="S7324">
        <v>37</v>
      </c>
      <c r="T7324" s="1" t="s">
        <v>14015</v>
      </c>
      <c r="U7324" s="1" t="str">
        <f>HYPERLINK("http://ictvonline.org/taxonomy/p/taxonomy-history?taxnode_id=202113365","ICTVonline=202113365")</f>
        <v>ICTVonline=202113365</v>
      </c>
    </row>
    <row r="7325" spans="1:21" x14ac:dyDescent="0.2">
      <c r="A7325" s="3">
        <v>7324</v>
      </c>
      <c r="B7325" s="1" t="s">
        <v>4226</v>
      </c>
      <c r="D7325" s="1" t="s">
        <v>5412</v>
      </c>
      <c r="F7325" s="1" t="s">
        <v>3981</v>
      </c>
      <c r="G7325" s="1" t="s">
        <v>3982</v>
      </c>
      <c r="H7325" s="1" t="s">
        <v>3989</v>
      </c>
      <c r="J7325" s="1" t="s">
        <v>921</v>
      </c>
      <c r="L7325" s="1" t="s">
        <v>3994</v>
      </c>
      <c r="N7325" s="1" t="s">
        <v>13144</v>
      </c>
      <c r="P7325" s="1" t="s">
        <v>13145</v>
      </c>
      <c r="Q7325" s="30" t="s">
        <v>2566</v>
      </c>
      <c r="R7325" s="33" t="s">
        <v>3473</v>
      </c>
      <c r="S7325">
        <v>37</v>
      </c>
      <c r="T7325" s="1" t="s">
        <v>14015</v>
      </c>
      <c r="U7325" s="1" t="str">
        <f>HYPERLINK("http://ictvonline.org/taxonomy/p/taxonomy-history?taxnode_id=202106268","ICTVonline=202106268")</f>
        <v>ICTVonline=202106268</v>
      </c>
    </row>
    <row r="7326" spans="1:21" x14ac:dyDescent="0.2">
      <c r="A7326" s="3">
        <v>7325</v>
      </c>
      <c r="B7326" s="1" t="s">
        <v>4226</v>
      </c>
      <c r="D7326" s="1" t="s">
        <v>5412</v>
      </c>
      <c r="F7326" s="1" t="s">
        <v>3981</v>
      </c>
      <c r="G7326" s="1" t="s">
        <v>3982</v>
      </c>
      <c r="H7326" s="1" t="s">
        <v>3989</v>
      </c>
      <c r="J7326" s="1" t="s">
        <v>921</v>
      </c>
      <c r="L7326" s="1" t="s">
        <v>3994</v>
      </c>
      <c r="N7326" s="1" t="s">
        <v>13146</v>
      </c>
      <c r="P7326" s="1" t="s">
        <v>13147</v>
      </c>
      <c r="Q7326" s="30" t="s">
        <v>2566</v>
      </c>
      <c r="R7326" s="33" t="s">
        <v>3473</v>
      </c>
      <c r="S7326">
        <v>37</v>
      </c>
      <c r="T7326" s="1" t="s">
        <v>14015</v>
      </c>
      <c r="U7326" s="1" t="str">
        <f>HYPERLINK("http://ictvonline.org/taxonomy/p/taxonomy-history?taxnode_id=202101816","ICTVonline=202101816")</f>
        <v>ICTVonline=202101816</v>
      </c>
    </row>
    <row r="7327" spans="1:21" x14ac:dyDescent="0.2">
      <c r="A7327" s="3">
        <v>7326</v>
      </c>
      <c r="B7327" s="1" t="s">
        <v>4226</v>
      </c>
      <c r="D7327" s="1" t="s">
        <v>5412</v>
      </c>
      <c r="F7327" s="1" t="s">
        <v>3981</v>
      </c>
      <c r="G7327" s="1" t="s">
        <v>3982</v>
      </c>
      <c r="H7327" s="1" t="s">
        <v>3989</v>
      </c>
      <c r="J7327" s="1" t="s">
        <v>921</v>
      </c>
      <c r="L7327" s="1" t="s">
        <v>3994</v>
      </c>
      <c r="N7327" s="1" t="s">
        <v>13148</v>
      </c>
      <c r="P7327" s="1" t="s">
        <v>13149</v>
      </c>
      <c r="Q7327" s="30" t="s">
        <v>2566</v>
      </c>
      <c r="R7327" s="33" t="s">
        <v>3473</v>
      </c>
      <c r="S7327">
        <v>37</v>
      </c>
      <c r="T7327" s="1" t="s">
        <v>14015</v>
      </c>
      <c r="U7327" s="1" t="str">
        <f>HYPERLINK("http://ictvonline.org/taxonomy/p/taxonomy-history?taxnode_id=202106266","ICTVonline=202106266")</f>
        <v>ICTVonline=202106266</v>
      </c>
    </row>
    <row r="7328" spans="1:21" x14ac:dyDescent="0.2">
      <c r="A7328" s="3">
        <v>7327</v>
      </c>
      <c r="B7328" s="1" t="s">
        <v>4226</v>
      </c>
      <c r="D7328" s="1" t="s">
        <v>5412</v>
      </c>
      <c r="F7328" s="1" t="s">
        <v>3981</v>
      </c>
      <c r="G7328" s="1" t="s">
        <v>3982</v>
      </c>
      <c r="H7328" s="1" t="s">
        <v>3989</v>
      </c>
      <c r="J7328" s="1" t="s">
        <v>921</v>
      </c>
      <c r="L7328" s="1" t="s">
        <v>3994</v>
      </c>
      <c r="N7328" s="1" t="s">
        <v>13150</v>
      </c>
      <c r="P7328" s="1" t="s">
        <v>13151</v>
      </c>
      <c r="Q7328" s="30" t="s">
        <v>2566</v>
      </c>
      <c r="R7328" s="33" t="s">
        <v>3473</v>
      </c>
      <c r="S7328">
        <v>37</v>
      </c>
      <c r="T7328" s="1" t="s">
        <v>14015</v>
      </c>
      <c r="U7328" s="1" t="str">
        <f>HYPERLINK("http://ictvonline.org/taxonomy/p/taxonomy-history?taxnode_id=202106267","ICTVonline=202106267")</f>
        <v>ICTVonline=202106267</v>
      </c>
    </row>
    <row r="7329" spans="1:21" x14ac:dyDescent="0.2">
      <c r="A7329" s="3">
        <v>7328</v>
      </c>
      <c r="B7329" s="1" t="s">
        <v>4226</v>
      </c>
      <c r="D7329" s="1" t="s">
        <v>5412</v>
      </c>
      <c r="F7329" s="1" t="s">
        <v>3981</v>
      </c>
      <c r="G7329" s="1" t="s">
        <v>3982</v>
      </c>
      <c r="H7329" s="1" t="s">
        <v>3989</v>
      </c>
      <c r="J7329" s="1" t="s">
        <v>921</v>
      </c>
      <c r="L7329" s="1" t="s">
        <v>3994</v>
      </c>
      <c r="N7329" s="1" t="s">
        <v>13152</v>
      </c>
      <c r="P7329" s="1" t="s">
        <v>13153</v>
      </c>
      <c r="Q7329" s="30" t="s">
        <v>2566</v>
      </c>
      <c r="R7329" s="33" t="s">
        <v>3472</v>
      </c>
      <c r="S7329">
        <v>37</v>
      </c>
      <c r="T7329" s="1" t="s">
        <v>14015</v>
      </c>
      <c r="U7329" s="1" t="str">
        <f>HYPERLINK("http://ictvonline.org/taxonomy/p/taxonomy-history?taxnode_id=202113369","ICTVonline=202113369")</f>
        <v>ICTVonline=202113369</v>
      </c>
    </row>
    <row r="7330" spans="1:21" x14ac:dyDescent="0.2">
      <c r="A7330" s="3">
        <v>7329</v>
      </c>
      <c r="B7330" s="1" t="s">
        <v>4226</v>
      </c>
      <c r="D7330" s="1" t="s">
        <v>5412</v>
      </c>
      <c r="F7330" s="1" t="s">
        <v>3981</v>
      </c>
      <c r="G7330" s="1" t="s">
        <v>3982</v>
      </c>
      <c r="H7330" s="1" t="s">
        <v>3989</v>
      </c>
      <c r="J7330" s="1" t="s">
        <v>921</v>
      </c>
      <c r="L7330" s="1" t="s">
        <v>3994</v>
      </c>
      <c r="N7330" s="1" t="s">
        <v>13154</v>
      </c>
      <c r="P7330" s="1" t="s">
        <v>13155</v>
      </c>
      <c r="Q7330" s="30" t="s">
        <v>2566</v>
      </c>
      <c r="R7330" s="33" t="s">
        <v>3472</v>
      </c>
      <c r="S7330">
        <v>37</v>
      </c>
      <c r="T7330" s="1" t="s">
        <v>14015</v>
      </c>
      <c r="U7330" s="1" t="str">
        <f>HYPERLINK("http://ictvonline.org/taxonomy/p/taxonomy-history?taxnode_id=202112218","ICTVonline=202112218")</f>
        <v>ICTVonline=202112218</v>
      </c>
    </row>
    <row r="7331" spans="1:21" x14ac:dyDescent="0.2">
      <c r="A7331" s="3">
        <v>7330</v>
      </c>
      <c r="B7331" s="1" t="s">
        <v>4226</v>
      </c>
      <c r="D7331" s="1" t="s">
        <v>5412</v>
      </c>
      <c r="F7331" s="1" t="s">
        <v>3981</v>
      </c>
      <c r="G7331" s="1" t="s">
        <v>3982</v>
      </c>
      <c r="H7331" s="1" t="s">
        <v>3989</v>
      </c>
      <c r="J7331" s="1" t="s">
        <v>921</v>
      </c>
      <c r="L7331" s="1" t="s">
        <v>3994</v>
      </c>
      <c r="N7331" s="1" t="s">
        <v>13156</v>
      </c>
      <c r="P7331" s="1" t="s">
        <v>13157</v>
      </c>
      <c r="Q7331" s="30" t="s">
        <v>2566</v>
      </c>
      <c r="R7331" s="33" t="s">
        <v>3473</v>
      </c>
      <c r="S7331">
        <v>37</v>
      </c>
      <c r="T7331" s="1" t="s">
        <v>14015</v>
      </c>
      <c r="U7331" s="1" t="str">
        <f>HYPERLINK("http://ictvonline.org/taxonomy/p/taxonomy-history?taxnode_id=202101820","ICTVonline=202101820")</f>
        <v>ICTVonline=202101820</v>
      </c>
    </row>
    <row r="7332" spans="1:21" x14ac:dyDescent="0.2">
      <c r="A7332" s="3">
        <v>7331</v>
      </c>
      <c r="B7332" s="1" t="s">
        <v>4226</v>
      </c>
      <c r="D7332" s="1" t="s">
        <v>5412</v>
      </c>
      <c r="F7332" s="1" t="s">
        <v>3981</v>
      </c>
      <c r="G7332" s="1" t="s">
        <v>3982</v>
      </c>
      <c r="H7332" s="1" t="s">
        <v>3989</v>
      </c>
      <c r="J7332" s="1" t="s">
        <v>921</v>
      </c>
      <c r="L7332" s="1" t="s">
        <v>3994</v>
      </c>
      <c r="N7332" s="1" t="s">
        <v>13158</v>
      </c>
      <c r="P7332" s="1" t="s">
        <v>13159</v>
      </c>
      <c r="Q7332" s="30" t="s">
        <v>2566</v>
      </c>
      <c r="R7332" s="33" t="s">
        <v>3472</v>
      </c>
      <c r="S7332">
        <v>37</v>
      </c>
      <c r="T7332" s="1" t="s">
        <v>14015</v>
      </c>
      <c r="U7332" s="1" t="str">
        <f>HYPERLINK("http://ictvonline.org/taxonomy/p/taxonomy-history?taxnode_id=202113363","ICTVonline=202113363")</f>
        <v>ICTVonline=202113363</v>
      </c>
    </row>
    <row r="7333" spans="1:21" x14ac:dyDescent="0.2">
      <c r="A7333" s="3">
        <v>7332</v>
      </c>
      <c r="B7333" s="1" t="s">
        <v>4226</v>
      </c>
      <c r="D7333" s="1" t="s">
        <v>5412</v>
      </c>
      <c r="F7333" s="1" t="s">
        <v>3981</v>
      </c>
      <c r="G7333" s="1" t="s">
        <v>3982</v>
      </c>
      <c r="H7333" s="1" t="s">
        <v>3989</v>
      </c>
      <c r="J7333" s="1" t="s">
        <v>921</v>
      </c>
      <c r="L7333" s="1" t="s">
        <v>3994</v>
      </c>
      <c r="N7333" s="1" t="s">
        <v>13160</v>
      </c>
      <c r="P7333" s="1" t="s">
        <v>13161</v>
      </c>
      <c r="Q7333" s="30" t="s">
        <v>2566</v>
      </c>
      <c r="R7333" s="33" t="s">
        <v>3472</v>
      </c>
      <c r="S7333">
        <v>37</v>
      </c>
      <c r="T7333" s="1" t="s">
        <v>14015</v>
      </c>
      <c r="U7333" s="1" t="str">
        <f>HYPERLINK("http://ictvonline.org/taxonomy/p/taxonomy-history?taxnode_id=202113361","ICTVonline=202113361")</f>
        <v>ICTVonline=202113361</v>
      </c>
    </row>
    <row r="7334" spans="1:21" x14ac:dyDescent="0.2">
      <c r="A7334" s="3">
        <v>7333</v>
      </c>
      <c r="B7334" s="1" t="s">
        <v>4226</v>
      </c>
      <c r="D7334" s="1" t="s">
        <v>5412</v>
      </c>
      <c r="F7334" s="1" t="s">
        <v>3981</v>
      </c>
      <c r="G7334" s="1" t="s">
        <v>3982</v>
      </c>
      <c r="H7334" s="1" t="s">
        <v>3989</v>
      </c>
      <c r="J7334" s="1" t="s">
        <v>921</v>
      </c>
      <c r="L7334" s="1" t="s">
        <v>3994</v>
      </c>
      <c r="N7334" s="1" t="s">
        <v>13162</v>
      </c>
      <c r="P7334" s="1" t="s">
        <v>13163</v>
      </c>
      <c r="Q7334" s="30" t="s">
        <v>2566</v>
      </c>
      <c r="R7334" s="33" t="s">
        <v>3472</v>
      </c>
      <c r="S7334">
        <v>37</v>
      </c>
      <c r="T7334" s="1" t="s">
        <v>14015</v>
      </c>
      <c r="U7334" s="1" t="str">
        <f>HYPERLINK("http://ictvonline.org/taxonomy/p/taxonomy-history?taxnode_id=202112216","ICTVonline=202112216")</f>
        <v>ICTVonline=202112216</v>
      </c>
    </row>
    <row r="7335" spans="1:21" x14ac:dyDescent="0.2">
      <c r="A7335" s="3">
        <v>7334</v>
      </c>
      <c r="B7335" s="1" t="s">
        <v>4226</v>
      </c>
      <c r="D7335" s="1" t="s">
        <v>5412</v>
      </c>
      <c r="F7335" s="1" t="s">
        <v>3981</v>
      </c>
      <c r="G7335" s="1" t="s">
        <v>3982</v>
      </c>
      <c r="H7335" s="1" t="s">
        <v>3989</v>
      </c>
      <c r="J7335" s="1" t="s">
        <v>921</v>
      </c>
      <c r="L7335" s="1" t="s">
        <v>3994</v>
      </c>
      <c r="N7335" s="1" t="s">
        <v>13162</v>
      </c>
      <c r="P7335" s="1" t="s">
        <v>13164</v>
      </c>
      <c r="Q7335" s="30" t="s">
        <v>2566</v>
      </c>
      <c r="R7335" s="33" t="s">
        <v>3472</v>
      </c>
      <c r="S7335">
        <v>37</v>
      </c>
      <c r="T7335" s="1" t="s">
        <v>14015</v>
      </c>
      <c r="U7335" s="1" t="str">
        <f>HYPERLINK("http://ictvonline.org/taxonomy/p/taxonomy-history?taxnode_id=202113373","ICTVonline=202113373")</f>
        <v>ICTVonline=202113373</v>
      </c>
    </row>
    <row r="7336" spans="1:21" x14ac:dyDescent="0.2">
      <c r="A7336" s="3">
        <v>7335</v>
      </c>
      <c r="B7336" s="1" t="s">
        <v>4226</v>
      </c>
      <c r="D7336" s="1" t="s">
        <v>5412</v>
      </c>
      <c r="F7336" s="1" t="s">
        <v>3981</v>
      </c>
      <c r="G7336" s="1" t="s">
        <v>3982</v>
      </c>
      <c r="H7336" s="1" t="s">
        <v>3989</v>
      </c>
      <c r="J7336" s="1" t="s">
        <v>921</v>
      </c>
      <c r="L7336" s="1" t="s">
        <v>3994</v>
      </c>
      <c r="N7336" s="1" t="s">
        <v>13165</v>
      </c>
      <c r="P7336" s="1" t="s">
        <v>13166</v>
      </c>
      <c r="Q7336" s="30" t="s">
        <v>2566</v>
      </c>
      <c r="R7336" s="33" t="s">
        <v>3472</v>
      </c>
      <c r="S7336">
        <v>37</v>
      </c>
      <c r="T7336" s="1" t="s">
        <v>14015</v>
      </c>
      <c r="U7336" s="1" t="str">
        <f>HYPERLINK("http://ictvonline.org/taxonomy/p/taxonomy-history?taxnode_id=202112222","ICTVonline=202112222")</f>
        <v>ICTVonline=202112222</v>
      </c>
    </row>
    <row r="7337" spans="1:21" x14ac:dyDescent="0.2">
      <c r="A7337" s="3">
        <v>7336</v>
      </c>
      <c r="B7337" s="1" t="s">
        <v>4226</v>
      </c>
      <c r="D7337" s="1" t="s">
        <v>5412</v>
      </c>
      <c r="F7337" s="1" t="s">
        <v>3981</v>
      </c>
      <c r="G7337" s="1" t="s">
        <v>3982</v>
      </c>
      <c r="H7337" s="1" t="s">
        <v>3989</v>
      </c>
      <c r="J7337" s="1" t="s">
        <v>921</v>
      </c>
      <c r="L7337" s="1" t="s">
        <v>3994</v>
      </c>
      <c r="N7337" s="1" t="s">
        <v>13167</v>
      </c>
      <c r="P7337" s="1" t="s">
        <v>13168</v>
      </c>
      <c r="Q7337" s="30" t="s">
        <v>2566</v>
      </c>
      <c r="R7337" s="33" t="s">
        <v>3472</v>
      </c>
      <c r="S7337">
        <v>37</v>
      </c>
      <c r="T7337" s="1" t="s">
        <v>14015</v>
      </c>
      <c r="U7337" s="1" t="str">
        <f>HYPERLINK("http://ictvonline.org/taxonomy/p/taxonomy-history?taxnode_id=202112220","ICTVonline=202112220")</f>
        <v>ICTVonline=202112220</v>
      </c>
    </row>
    <row r="7338" spans="1:21" x14ac:dyDescent="0.2">
      <c r="A7338" s="3">
        <v>7337</v>
      </c>
      <c r="B7338" s="1" t="s">
        <v>4226</v>
      </c>
      <c r="D7338" s="1" t="s">
        <v>5412</v>
      </c>
      <c r="F7338" s="1" t="s">
        <v>3981</v>
      </c>
      <c r="G7338" s="1" t="s">
        <v>3982</v>
      </c>
      <c r="H7338" s="1" t="s">
        <v>3989</v>
      </c>
      <c r="J7338" s="1" t="s">
        <v>921</v>
      </c>
      <c r="L7338" s="1" t="s">
        <v>2747</v>
      </c>
      <c r="N7338" s="1" t="s">
        <v>8142</v>
      </c>
      <c r="P7338" s="1" t="s">
        <v>8143</v>
      </c>
      <c r="Q7338" s="30" t="s">
        <v>2566</v>
      </c>
      <c r="R7338" s="33" t="s">
        <v>3472</v>
      </c>
      <c r="S7338">
        <v>36</v>
      </c>
      <c r="T7338" s="1" t="s">
        <v>8144</v>
      </c>
      <c r="U7338" s="1" t="str">
        <f>HYPERLINK("http://ictvonline.org/taxonomy/p/taxonomy-history?taxnode_id=202108901","ICTVonline=202108901")</f>
        <v>ICTVonline=202108901</v>
      </c>
    </row>
    <row r="7339" spans="1:21" x14ac:dyDescent="0.2">
      <c r="A7339" s="3">
        <v>7338</v>
      </c>
      <c r="B7339" s="1" t="s">
        <v>4226</v>
      </c>
      <c r="D7339" s="1" t="s">
        <v>5412</v>
      </c>
      <c r="F7339" s="1" t="s">
        <v>3981</v>
      </c>
      <c r="G7339" s="1" t="s">
        <v>3982</v>
      </c>
      <c r="H7339" s="1" t="s">
        <v>3989</v>
      </c>
      <c r="J7339" s="1" t="s">
        <v>921</v>
      </c>
      <c r="L7339" s="1" t="s">
        <v>2747</v>
      </c>
      <c r="N7339" s="1" t="s">
        <v>8142</v>
      </c>
      <c r="P7339" s="1" t="s">
        <v>13169</v>
      </c>
      <c r="Q7339" s="30" t="s">
        <v>2566</v>
      </c>
      <c r="R7339" s="33" t="s">
        <v>3472</v>
      </c>
      <c r="S7339">
        <v>37</v>
      </c>
      <c r="T7339" s="1" t="s">
        <v>14016</v>
      </c>
      <c r="U7339" s="1" t="str">
        <f>HYPERLINK("http://ictvonline.org/taxonomy/p/taxonomy-history?taxnode_id=202112965","ICTVonline=202112965")</f>
        <v>ICTVonline=202112965</v>
      </c>
    </row>
    <row r="7340" spans="1:21" x14ac:dyDescent="0.2">
      <c r="A7340" s="3">
        <v>7339</v>
      </c>
      <c r="B7340" s="1" t="s">
        <v>4226</v>
      </c>
      <c r="D7340" s="1" t="s">
        <v>5412</v>
      </c>
      <c r="F7340" s="1" t="s">
        <v>3981</v>
      </c>
      <c r="G7340" s="1" t="s">
        <v>3982</v>
      </c>
      <c r="H7340" s="1" t="s">
        <v>3989</v>
      </c>
      <c r="J7340" s="1" t="s">
        <v>921</v>
      </c>
      <c r="L7340" s="1" t="s">
        <v>2747</v>
      </c>
      <c r="N7340" s="1" t="s">
        <v>8145</v>
      </c>
      <c r="P7340" s="1" t="s">
        <v>13170</v>
      </c>
      <c r="Q7340" s="30" t="s">
        <v>2566</v>
      </c>
      <c r="R7340" s="33" t="s">
        <v>3472</v>
      </c>
      <c r="S7340">
        <v>37</v>
      </c>
      <c r="T7340" s="1" t="s">
        <v>14016</v>
      </c>
      <c r="U7340" s="1" t="str">
        <f>HYPERLINK("http://ictvonline.org/taxonomy/p/taxonomy-history?taxnode_id=202112966","ICTVonline=202112966")</f>
        <v>ICTVonline=202112966</v>
      </c>
    </row>
    <row r="7341" spans="1:21" x14ac:dyDescent="0.2">
      <c r="A7341" s="3">
        <v>7340</v>
      </c>
      <c r="B7341" s="1" t="s">
        <v>4226</v>
      </c>
      <c r="D7341" s="1" t="s">
        <v>5412</v>
      </c>
      <c r="F7341" s="1" t="s">
        <v>3981</v>
      </c>
      <c r="G7341" s="1" t="s">
        <v>3982</v>
      </c>
      <c r="H7341" s="1" t="s">
        <v>3989</v>
      </c>
      <c r="J7341" s="1" t="s">
        <v>921</v>
      </c>
      <c r="L7341" s="1" t="s">
        <v>2747</v>
      </c>
      <c r="N7341" s="1" t="s">
        <v>8145</v>
      </c>
      <c r="P7341" s="1" t="s">
        <v>8146</v>
      </c>
      <c r="Q7341" s="30" t="s">
        <v>2566</v>
      </c>
      <c r="R7341" s="33" t="s">
        <v>3472</v>
      </c>
      <c r="S7341">
        <v>36</v>
      </c>
      <c r="T7341" s="1" t="s">
        <v>8144</v>
      </c>
      <c r="U7341" s="1" t="str">
        <f>HYPERLINK("http://ictvonline.org/taxonomy/p/taxonomy-history?taxnode_id=202108886","ICTVonline=202108886")</f>
        <v>ICTVonline=202108886</v>
      </c>
    </row>
    <row r="7342" spans="1:21" x14ac:dyDescent="0.2">
      <c r="A7342" s="3">
        <v>7341</v>
      </c>
      <c r="B7342" s="1" t="s">
        <v>4226</v>
      </c>
      <c r="D7342" s="1" t="s">
        <v>5412</v>
      </c>
      <c r="F7342" s="1" t="s">
        <v>3981</v>
      </c>
      <c r="G7342" s="1" t="s">
        <v>3982</v>
      </c>
      <c r="H7342" s="1" t="s">
        <v>3989</v>
      </c>
      <c r="J7342" s="1" t="s">
        <v>921</v>
      </c>
      <c r="L7342" s="1" t="s">
        <v>2747</v>
      </c>
      <c r="N7342" s="1" t="s">
        <v>8145</v>
      </c>
      <c r="P7342" s="1" t="s">
        <v>8147</v>
      </c>
      <c r="Q7342" s="30" t="s">
        <v>2566</v>
      </c>
      <c r="R7342" s="33" t="s">
        <v>3473</v>
      </c>
      <c r="S7342">
        <v>36</v>
      </c>
      <c r="T7342" s="1" t="s">
        <v>8144</v>
      </c>
      <c r="U7342" s="1" t="str">
        <f>HYPERLINK("http://ictvonline.org/taxonomy/p/taxonomy-history?taxnode_id=202106247","ICTVonline=202106247")</f>
        <v>ICTVonline=202106247</v>
      </c>
    </row>
    <row r="7343" spans="1:21" x14ac:dyDescent="0.2">
      <c r="A7343" s="3">
        <v>7342</v>
      </c>
      <c r="B7343" s="1" t="s">
        <v>4226</v>
      </c>
      <c r="D7343" s="1" t="s">
        <v>5412</v>
      </c>
      <c r="F7343" s="1" t="s">
        <v>3981</v>
      </c>
      <c r="G7343" s="1" t="s">
        <v>3982</v>
      </c>
      <c r="H7343" s="1" t="s">
        <v>3989</v>
      </c>
      <c r="J7343" s="1" t="s">
        <v>921</v>
      </c>
      <c r="L7343" s="1" t="s">
        <v>2747</v>
      </c>
      <c r="N7343" s="1" t="s">
        <v>8145</v>
      </c>
      <c r="P7343" s="1" t="s">
        <v>8148</v>
      </c>
      <c r="Q7343" s="30" t="s">
        <v>2566</v>
      </c>
      <c r="R7343" s="33" t="s">
        <v>3473</v>
      </c>
      <c r="S7343">
        <v>36</v>
      </c>
      <c r="T7343" s="1" t="s">
        <v>8144</v>
      </c>
      <c r="U7343" s="1" t="str">
        <f>HYPERLINK("http://ictvonline.org/taxonomy/p/taxonomy-history?taxnode_id=202106248","ICTVonline=202106248")</f>
        <v>ICTVonline=202106248</v>
      </c>
    </row>
    <row r="7344" spans="1:21" x14ac:dyDescent="0.2">
      <c r="A7344" s="3">
        <v>7343</v>
      </c>
      <c r="B7344" s="1" t="s">
        <v>4226</v>
      </c>
      <c r="D7344" s="1" t="s">
        <v>5412</v>
      </c>
      <c r="F7344" s="1" t="s">
        <v>3981</v>
      </c>
      <c r="G7344" s="1" t="s">
        <v>3982</v>
      </c>
      <c r="H7344" s="1" t="s">
        <v>3989</v>
      </c>
      <c r="J7344" s="1" t="s">
        <v>921</v>
      </c>
      <c r="L7344" s="1" t="s">
        <v>2747</v>
      </c>
      <c r="N7344" s="1" t="s">
        <v>5479</v>
      </c>
      <c r="P7344" s="1" t="s">
        <v>8149</v>
      </c>
      <c r="Q7344" s="30" t="s">
        <v>2566</v>
      </c>
      <c r="R7344" s="33" t="s">
        <v>8666</v>
      </c>
      <c r="S7344">
        <v>36</v>
      </c>
      <c r="T7344" s="1" t="s">
        <v>8673</v>
      </c>
      <c r="U7344" s="1" t="str">
        <f>HYPERLINK("http://ictvonline.org/taxonomy/p/taxonomy-history?taxnode_id=202108670","ICTVonline=202108670")</f>
        <v>ICTVonline=202108670</v>
      </c>
    </row>
    <row r="7345" spans="1:21" x14ac:dyDescent="0.2">
      <c r="A7345" s="3">
        <v>7344</v>
      </c>
      <c r="B7345" s="1" t="s">
        <v>4226</v>
      </c>
      <c r="D7345" s="1" t="s">
        <v>5412</v>
      </c>
      <c r="F7345" s="1" t="s">
        <v>3981</v>
      </c>
      <c r="G7345" s="1" t="s">
        <v>3982</v>
      </c>
      <c r="H7345" s="1" t="s">
        <v>3989</v>
      </c>
      <c r="J7345" s="1" t="s">
        <v>921</v>
      </c>
      <c r="L7345" s="1" t="s">
        <v>2747</v>
      </c>
      <c r="N7345" s="1" t="s">
        <v>5479</v>
      </c>
      <c r="P7345" s="1" t="s">
        <v>8150</v>
      </c>
      <c r="Q7345" s="30" t="s">
        <v>2566</v>
      </c>
      <c r="R7345" s="33" t="s">
        <v>3472</v>
      </c>
      <c r="S7345">
        <v>36</v>
      </c>
      <c r="T7345" s="1" t="s">
        <v>8144</v>
      </c>
      <c r="U7345" s="1" t="str">
        <f>HYPERLINK("http://ictvonline.org/taxonomy/p/taxonomy-history?taxnode_id=202108884","ICTVonline=202108884")</f>
        <v>ICTVonline=202108884</v>
      </c>
    </row>
    <row r="7346" spans="1:21" x14ac:dyDescent="0.2">
      <c r="A7346" s="3">
        <v>7345</v>
      </c>
      <c r="B7346" s="1" t="s">
        <v>4226</v>
      </c>
      <c r="D7346" s="1" t="s">
        <v>5412</v>
      </c>
      <c r="F7346" s="1" t="s">
        <v>3981</v>
      </c>
      <c r="G7346" s="1" t="s">
        <v>3982</v>
      </c>
      <c r="H7346" s="1" t="s">
        <v>3989</v>
      </c>
      <c r="J7346" s="1" t="s">
        <v>921</v>
      </c>
      <c r="L7346" s="1" t="s">
        <v>2747</v>
      </c>
      <c r="N7346" s="1" t="s">
        <v>8151</v>
      </c>
      <c r="P7346" s="1" t="s">
        <v>8152</v>
      </c>
      <c r="Q7346" s="30" t="s">
        <v>2566</v>
      </c>
      <c r="R7346" s="33" t="s">
        <v>3473</v>
      </c>
      <c r="S7346">
        <v>36</v>
      </c>
      <c r="T7346" s="1" t="s">
        <v>8144</v>
      </c>
      <c r="U7346" s="1" t="str">
        <f>HYPERLINK("http://ictvonline.org/taxonomy/p/taxonomy-history?taxnode_id=202108671","ICTVonline=202108671")</f>
        <v>ICTVonline=202108671</v>
      </c>
    </row>
    <row r="7347" spans="1:21" x14ac:dyDescent="0.2">
      <c r="A7347" s="3">
        <v>7346</v>
      </c>
      <c r="B7347" s="1" t="s">
        <v>4226</v>
      </c>
      <c r="D7347" s="1" t="s">
        <v>5412</v>
      </c>
      <c r="F7347" s="1" t="s">
        <v>3981</v>
      </c>
      <c r="G7347" s="1" t="s">
        <v>3982</v>
      </c>
      <c r="H7347" s="1" t="s">
        <v>3989</v>
      </c>
      <c r="J7347" s="1" t="s">
        <v>921</v>
      </c>
      <c r="L7347" s="1" t="s">
        <v>2747</v>
      </c>
      <c r="N7347" s="1" t="s">
        <v>8153</v>
      </c>
      <c r="P7347" s="1" t="s">
        <v>8154</v>
      </c>
      <c r="Q7347" s="30" t="s">
        <v>2566</v>
      </c>
      <c r="R7347" s="33" t="s">
        <v>3472</v>
      </c>
      <c r="S7347">
        <v>36</v>
      </c>
      <c r="T7347" s="1" t="s">
        <v>8144</v>
      </c>
      <c r="U7347" s="1" t="str">
        <f>HYPERLINK("http://ictvonline.org/taxonomy/p/taxonomy-history?taxnode_id=202108888","ICTVonline=202108888")</f>
        <v>ICTVonline=202108888</v>
      </c>
    </row>
    <row r="7348" spans="1:21" x14ac:dyDescent="0.2">
      <c r="A7348" s="3">
        <v>7347</v>
      </c>
      <c r="B7348" s="1" t="s">
        <v>4226</v>
      </c>
      <c r="D7348" s="1" t="s">
        <v>5412</v>
      </c>
      <c r="F7348" s="1" t="s">
        <v>3981</v>
      </c>
      <c r="G7348" s="1" t="s">
        <v>3982</v>
      </c>
      <c r="H7348" s="1" t="s">
        <v>3989</v>
      </c>
      <c r="J7348" s="1" t="s">
        <v>921</v>
      </c>
      <c r="L7348" s="1" t="s">
        <v>2747</v>
      </c>
      <c r="N7348" s="1" t="s">
        <v>8153</v>
      </c>
      <c r="P7348" s="1" t="s">
        <v>8155</v>
      </c>
      <c r="Q7348" s="30" t="s">
        <v>2566</v>
      </c>
      <c r="R7348" s="33" t="s">
        <v>3472</v>
      </c>
      <c r="S7348">
        <v>36</v>
      </c>
      <c r="T7348" s="1" t="s">
        <v>8144</v>
      </c>
      <c r="U7348" s="1" t="str">
        <f>HYPERLINK("http://ictvonline.org/taxonomy/p/taxonomy-history?taxnode_id=202108890","ICTVonline=202108890")</f>
        <v>ICTVonline=202108890</v>
      </c>
    </row>
    <row r="7349" spans="1:21" x14ac:dyDescent="0.2">
      <c r="A7349" s="3">
        <v>7348</v>
      </c>
      <c r="B7349" s="1" t="s">
        <v>4226</v>
      </c>
      <c r="D7349" s="1" t="s">
        <v>5412</v>
      </c>
      <c r="F7349" s="1" t="s">
        <v>3981</v>
      </c>
      <c r="G7349" s="1" t="s">
        <v>3982</v>
      </c>
      <c r="H7349" s="1" t="s">
        <v>3989</v>
      </c>
      <c r="J7349" s="1" t="s">
        <v>921</v>
      </c>
      <c r="L7349" s="1" t="s">
        <v>2747</v>
      </c>
      <c r="N7349" s="1" t="s">
        <v>8153</v>
      </c>
      <c r="P7349" s="1" t="s">
        <v>8156</v>
      </c>
      <c r="Q7349" s="30" t="s">
        <v>2566</v>
      </c>
      <c r="R7349" s="33" t="s">
        <v>3472</v>
      </c>
      <c r="S7349">
        <v>36</v>
      </c>
      <c r="T7349" s="1" t="s">
        <v>8144</v>
      </c>
      <c r="U7349" s="1" t="str">
        <f>HYPERLINK("http://ictvonline.org/taxonomy/p/taxonomy-history?taxnode_id=202108889","ICTVonline=202108889")</f>
        <v>ICTVonline=202108889</v>
      </c>
    </row>
    <row r="7350" spans="1:21" x14ac:dyDescent="0.2">
      <c r="A7350" s="3">
        <v>7349</v>
      </c>
      <c r="B7350" s="1" t="s">
        <v>4226</v>
      </c>
      <c r="D7350" s="1" t="s">
        <v>5412</v>
      </c>
      <c r="F7350" s="1" t="s">
        <v>3981</v>
      </c>
      <c r="G7350" s="1" t="s">
        <v>3982</v>
      </c>
      <c r="H7350" s="1" t="s">
        <v>3989</v>
      </c>
      <c r="J7350" s="1" t="s">
        <v>921</v>
      </c>
      <c r="L7350" s="1" t="s">
        <v>2747</v>
      </c>
      <c r="N7350" s="1" t="s">
        <v>8153</v>
      </c>
      <c r="P7350" s="1" t="s">
        <v>8157</v>
      </c>
      <c r="Q7350" s="30" t="s">
        <v>2566</v>
      </c>
      <c r="R7350" s="33" t="s">
        <v>3472</v>
      </c>
      <c r="S7350">
        <v>36</v>
      </c>
      <c r="T7350" s="1" t="s">
        <v>8144</v>
      </c>
      <c r="U7350" s="1" t="str">
        <f>HYPERLINK("http://ictvonline.org/taxonomy/p/taxonomy-history?taxnode_id=202108891","ICTVonline=202108891")</f>
        <v>ICTVonline=202108891</v>
      </c>
    </row>
    <row r="7351" spans="1:21" x14ac:dyDescent="0.2">
      <c r="A7351" s="3">
        <v>7350</v>
      </c>
      <c r="B7351" s="1" t="s">
        <v>4226</v>
      </c>
      <c r="D7351" s="1" t="s">
        <v>5412</v>
      </c>
      <c r="F7351" s="1" t="s">
        <v>3981</v>
      </c>
      <c r="G7351" s="1" t="s">
        <v>3982</v>
      </c>
      <c r="H7351" s="1" t="s">
        <v>3989</v>
      </c>
      <c r="J7351" s="1" t="s">
        <v>921</v>
      </c>
      <c r="L7351" s="1" t="s">
        <v>2747</v>
      </c>
      <c r="N7351" s="1" t="s">
        <v>8153</v>
      </c>
      <c r="P7351" s="1" t="s">
        <v>8158</v>
      </c>
      <c r="Q7351" s="30" t="s">
        <v>2566</v>
      </c>
      <c r="R7351" s="33" t="s">
        <v>3472</v>
      </c>
      <c r="S7351">
        <v>36</v>
      </c>
      <c r="T7351" s="1" t="s">
        <v>8144</v>
      </c>
      <c r="U7351" s="1" t="str">
        <f>HYPERLINK("http://ictvonline.org/taxonomy/p/taxonomy-history?taxnode_id=202108893","ICTVonline=202108893")</f>
        <v>ICTVonline=202108893</v>
      </c>
    </row>
    <row r="7352" spans="1:21" x14ac:dyDescent="0.2">
      <c r="A7352" s="3">
        <v>7351</v>
      </c>
      <c r="B7352" s="1" t="s">
        <v>4226</v>
      </c>
      <c r="D7352" s="1" t="s">
        <v>5412</v>
      </c>
      <c r="F7352" s="1" t="s">
        <v>3981</v>
      </c>
      <c r="G7352" s="1" t="s">
        <v>3982</v>
      </c>
      <c r="H7352" s="1" t="s">
        <v>3989</v>
      </c>
      <c r="J7352" s="1" t="s">
        <v>921</v>
      </c>
      <c r="L7352" s="1" t="s">
        <v>2747</v>
      </c>
      <c r="N7352" s="1" t="s">
        <v>8153</v>
      </c>
      <c r="P7352" s="1" t="s">
        <v>8159</v>
      </c>
      <c r="Q7352" s="30" t="s">
        <v>2566</v>
      </c>
      <c r="R7352" s="33" t="s">
        <v>3472</v>
      </c>
      <c r="S7352">
        <v>36</v>
      </c>
      <c r="T7352" s="1" t="s">
        <v>8144</v>
      </c>
      <c r="U7352" s="1" t="str">
        <f>HYPERLINK("http://ictvonline.org/taxonomy/p/taxonomy-history?taxnode_id=202108894","ICTVonline=202108894")</f>
        <v>ICTVonline=202108894</v>
      </c>
    </row>
    <row r="7353" spans="1:21" x14ac:dyDescent="0.2">
      <c r="A7353" s="3">
        <v>7352</v>
      </c>
      <c r="B7353" s="1" t="s">
        <v>4226</v>
      </c>
      <c r="D7353" s="1" t="s">
        <v>5412</v>
      </c>
      <c r="F7353" s="1" t="s">
        <v>3981</v>
      </c>
      <c r="G7353" s="1" t="s">
        <v>3982</v>
      </c>
      <c r="H7353" s="1" t="s">
        <v>3989</v>
      </c>
      <c r="J7353" s="1" t="s">
        <v>921</v>
      </c>
      <c r="L7353" s="1" t="s">
        <v>2747</v>
      </c>
      <c r="N7353" s="1" t="s">
        <v>8153</v>
      </c>
      <c r="P7353" s="1" t="s">
        <v>8160</v>
      </c>
      <c r="Q7353" s="30" t="s">
        <v>2566</v>
      </c>
      <c r="R7353" s="33" t="s">
        <v>3472</v>
      </c>
      <c r="S7353">
        <v>36</v>
      </c>
      <c r="T7353" s="1" t="s">
        <v>8144</v>
      </c>
      <c r="U7353" s="1" t="str">
        <f>HYPERLINK("http://ictvonline.org/taxonomy/p/taxonomy-history?taxnode_id=202108896","ICTVonline=202108896")</f>
        <v>ICTVonline=202108896</v>
      </c>
    </row>
    <row r="7354" spans="1:21" x14ac:dyDescent="0.2">
      <c r="A7354" s="3">
        <v>7353</v>
      </c>
      <c r="B7354" s="1" t="s">
        <v>4226</v>
      </c>
      <c r="D7354" s="1" t="s">
        <v>5412</v>
      </c>
      <c r="F7354" s="1" t="s">
        <v>3981</v>
      </c>
      <c r="G7354" s="1" t="s">
        <v>3982</v>
      </c>
      <c r="H7354" s="1" t="s">
        <v>3989</v>
      </c>
      <c r="J7354" s="1" t="s">
        <v>921</v>
      </c>
      <c r="L7354" s="1" t="s">
        <v>2747</v>
      </c>
      <c r="N7354" s="1" t="s">
        <v>8153</v>
      </c>
      <c r="P7354" s="1" t="s">
        <v>8161</v>
      </c>
      <c r="Q7354" s="30" t="s">
        <v>2566</v>
      </c>
      <c r="R7354" s="33" t="s">
        <v>3472</v>
      </c>
      <c r="S7354">
        <v>36</v>
      </c>
      <c r="T7354" s="1" t="s">
        <v>8144</v>
      </c>
      <c r="U7354" s="1" t="str">
        <f>HYPERLINK("http://ictvonline.org/taxonomy/p/taxonomy-history?taxnode_id=202108892","ICTVonline=202108892")</f>
        <v>ICTVonline=202108892</v>
      </c>
    </row>
    <row r="7355" spans="1:21" x14ac:dyDescent="0.2">
      <c r="A7355" s="3">
        <v>7354</v>
      </c>
      <c r="B7355" s="1" t="s">
        <v>4226</v>
      </c>
      <c r="D7355" s="1" t="s">
        <v>5412</v>
      </c>
      <c r="F7355" s="1" t="s">
        <v>3981</v>
      </c>
      <c r="G7355" s="1" t="s">
        <v>3982</v>
      </c>
      <c r="H7355" s="1" t="s">
        <v>3989</v>
      </c>
      <c r="J7355" s="1" t="s">
        <v>921</v>
      </c>
      <c r="L7355" s="1" t="s">
        <v>2747</v>
      </c>
      <c r="N7355" s="1" t="s">
        <v>8153</v>
      </c>
      <c r="P7355" s="1" t="s">
        <v>8162</v>
      </c>
      <c r="Q7355" s="30" t="s">
        <v>2566</v>
      </c>
      <c r="R7355" s="33" t="s">
        <v>3472</v>
      </c>
      <c r="S7355">
        <v>36</v>
      </c>
      <c r="T7355" s="1" t="s">
        <v>8144</v>
      </c>
      <c r="U7355" s="1" t="str">
        <f>HYPERLINK("http://ictvonline.org/taxonomy/p/taxonomy-history?taxnode_id=202108897","ICTVonline=202108897")</f>
        <v>ICTVonline=202108897</v>
      </c>
    </row>
    <row r="7356" spans="1:21" x14ac:dyDescent="0.2">
      <c r="A7356" s="3">
        <v>7355</v>
      </c>
      <c r="B7356" s="1" t="s">
        <v>4226</v>
      </c>
      <c r="D7356" s="1" t="s">
        <v>5412</v>
      </c>
      <c r="F7356" s="1" t="s">
        <v>3981</v>
      </c>
      <c r="G7356" s="1" t="s">
        <v>3982</v>
      </c>
      <c r="H7356" s="1" t="s">
        <v>3989</v>
      </c>
      <c r="J7356" s="1" t="s">
        <v>921</v>
      </c>
      <c r="L7356" s="1" t="s">
        <v>2747</v>
      </c>
      <c r="N7356" s="1" t="s">
        <v>8153</v>
      </c>
      <c r="P7356" s="1" t="s">
        <v>8163</v>
      </c>
      <c r="Q7356" s="30" t="s">
        <v>2566</v>
      </c>
      <c r="R7356" s="33" t="s">
        <v>3472</v>
      </c>
      <c r="S7356">
        <v>36</v>
      </c>
      <c r="T7356" s="1" t="s">
        <v>8144</v>
      </c>
      <c r="U7356" s="1" t="str">
        <f>HYPERLINK("http://ictvonline.org/taxonomy/p/taxonomy-history?taxnode_id=202108895","ICTVonline=202108895")</f>
        <v>ICTVonline=202108895</v>
      </c>
    </row>
    <row r="7357" spans="1:21" x14ac:dyDescent="0.2">
      <c r="A7357" s="3">
        <v>7356</v>
      </c>
      <c r="B7357" s="1" t="s">
        <v>4226</v>
      </c>
      <c r="D7357" s="1" t="s">
        <v>5412</v>
      </c>
      <c r="F7357" s="1" t="s">
        <v>3981</v>
      </c>
      <c r="G7357" s="1" t="s">
        <v>3982</v>
      </c>
      <c r="H7357" s="1" t="s">
        <v>3989</v>
      </c>
      <c r="J7357" s="1" t="s">
        <v>921</v>
      </c>
      <c r="L7357" s="1" t="s">
        <v>2747</v>
      </c>
      <c r="N7357" s="1" t="s">
        <v>8164</v>
      </c>
      <c r="P7357" s="1" t="s">
        <v>8165</v>
      </c>
      <c r="Q7357" s="30" t="s">
        <v>2566</v>
      </c>
      <c r="R7357" s="33" t="s">
        <v>3472</v>
      </c>
      <c r="S7357">
        <v>36</v>
      </c>
      <c r="T7357" s="1" t="s">
        <v>8144</v>
      </c>
      <c r="U7357" s="1" t="str">
        <f>HYPERLINK("http://ictvonline.org/taxonomy/p/taxonomy-history?taxnode_id=202108903","ICTVonline=202108903")</f>
        <v>ICTVonline=202108903</v>
      </c>
    </row>
    <row r="7358" spans="1:21" x14ac:dyDescent="0.2">
      <c r="A7358" s="3">
        <v>7357</v>
      </c>
      <c r="B7358" s="1" t="s">
        <v>4226</v>
      </c>
      <c r="D7358" s="1" t="s">
        <v>5412</v>
      </c>
      <c r="F7358" s="1" t="s">
        <v>3981</v>
      </c>
      <c r="G7358" s="1" t="s">
        <v>3982</v>
      </c>
      <c r="H7358" s="1" t="s">
        <v>3989</v>
      </c>
      <c r="J7358" s="1" t="s">
        <v>921</v>
      </c>
      <c r="L7358" s="1" t="s">
        <v>2747</v>
      </c>
      <c r="N7358" s="1" t="s">
        <v>8164</v>
      </c>
      <c r="P7358" s="1" t="s">
        <v>8166</v>
      </c>
      <c r="Q7358" s="30" t="s">
        <v>2566</v>
      </c>
      <c r="R7358" s="33" t="s">
        <v>3473</v>
      </c>
      <c r="S7358">
        <v>36</v>
      </c>
      <c r="T7358" s="1" t="s">
        <v>8144</v>
      </c>
      <c r="U7358" s="1" t="str">
        <f>HYPERLINK("http://ictvonline.org/taxonomy/p/taxonomy-history?taxnode_id=202106245","ICTVonline=202106245")</f>
        <v>ICTVonline=202106245</v>
      </c>
    </row>
    <row r="7359" spans="1:21" x14ac:dyDescent="0.2">
      <c r="A7359" s="3">
        <v>7358</v>
      </c>
      <c r="B7359" s="1" t="s">
        <v>4226</v>
      </c>
      <c r="D7359" s="1" t="s">
        <v>5412</v>
      </c>
      <c r="F7359" s="1" t="s">
        <v>3981</v>
      </c>
      <c r="G7359" s="1" t="s">
        <v>3982</v>
      </c>
      <c r="H7359" s="1" t="s">
        <v>3989</v>
      </c>
      <c r="J7359" s="1" t="s">
        <v>921</v>
      </c>
      <c r="L7359" s="1" t="s">
        <v>2747</v>
      </c>
      <c r="N7359" s="1" t="s">
        <v>8167</v>
      </c>
      <c r="P7359" s="1" t="s">
        <v>8168</v>
      </c>
      <c r="Q7359" s="30" t="s">
        <v>2566</v>
      </c>
      <c r="R7359" s="33" t="s">
        <v>3472</v>
      </c>
      <c r="S7359">
        <v>36</v>
      </c>
      <c r="T7359" s="1" t="s">
        <v>8144</v>
      </c>
      <c r="U7359" s="1" t="str">
        <f>HYPERLINK("http://ictvonline.org/taxonomy/p/taxonomy-history?taxnode_id=202108899","ICTVonline=202108899")</f>
        <v>ICTVonline=202108899</v>
      </c>
    </row>
    <row r="7360" spans="1:21" x14ac:dyDescent="0.2">
      <c r="A7360" s="3">
        <v>7359</v>
      </c>
      <c r="B7360" s="1" t="s">
        <v>4226</v>
      </c>
      <c r="D7360" s="1" t="s">
        <v>5412</v>
      </c>
      <c r="F7360" s="1" t="s">
        <v>3981</v>
      </c>
      <c r="G7360" s="1" t="s">
        <v>3982</v>
      </c>
      <c r="H7360" s="1" t="s">
        <v>3989</v>
      </c>
      <c r="J7360" s="1" t="s">
        <v>921</v>
      </c>
      <c r="L7360" s="1" t="s">
        <v>2747</v>
      </c>
      <c r="N7360" s="1" t="s">
        <v>8169</v>
      </c>
      <c r="P7360" s="1" t="s">
        <v>8170</v>
      </c>
      <c r="Q7360" s="30" t="s">
        <v>2566</v>
      </c>
      <c r="R7360" s="33" t="s">
        <v>3472</v>
      </c>
      <c r="S7360">
        <v>36</v>
      </c>
      <c r="T7360" s="1" t="s">
        <v>8144</v>
      </c>
      <c r="U7360" s="1" t="str">
        <f>HYPERLINK("http://ictvonline.org/taxonomy/p/taxonomy-history?taxnode_id=202108905","ICTVonline=202108905")</f>
        <v>ICTVonline=202108905</v>
      </c>
    </row>
    <row r="7361" spans="1:21" x14ac:dyDescent="0.2">
      <c r="A7361" s="3">
        <v>7360</v>
      </c>
      <c r="B7361" s="1" t="s">
        <v>4226</v>
      </c>
      <c r="D7361" s="1" t="s">
        <v>5412</v>
      </c>
      <c r="F7361" s="1" t="s">
        <v>3981</v>
      </c>
      <c r="G7361" s="1" t="s">
        <v>3982</v>
      </c>
      <c r="H7361" s="1" t="s">
        <v>3989</v>
      </c>
      <c r="J7361" s="1" t="s">
        <v>921</v>
      </c>
      <c r="L7361" s="1" t="s">
        <v>2747</v>
      </c>
      <c r="N7361" s="1" t="s">
        <v>2748</v>
      </c>
      <c r="P7361" s="1" t="s">
        <v>13171</v>
      </c>
      <c r="Q7361" s="30" t="s">
        <v>2566</v>
      </c>
      <c r="R7361" s="33" t="s">
        <v>3472</v>
      </c>
      <c r="S7361">
        <v>37</v>
      </c>
      <c r="T7361" s="1" t="s">
        <v>14016</v>
      </c>
      <c r="U7361" s="1" t="str">
        <f>HYPERLINK("http://ictvonline.org/taxonomy/p/taxonomy-history?taxnode_id=202112962","ICTVonline=202112962")</f>
        <v>ICTVonline=202112962</v>
      </c>
    </row>
    <row r="7362" spans="1:21" x14ac:dyDescent="0.2">
      <c r="A7362" s="3">
        <v>7361</v>
      </c>
      <c r="B7362" s="1" t="s">
        <v>4226</v>
      </c>
      <c r="D7362" s="1" t="s">
        <v>5412</v>
      </c>
      <c r="F7362" s="1" t="s">
        <v>3981</v>
      </c>
      <c r="G7362" s="1" t="s">
        <v>3982</v>
      </c>
      <c r="H7362" s="1" t="s">
        <v>3989</v>
      </c>
      <c r="J7362" s="1" t="s">
        <v>921</v>
      </c>
      <c r="L7362" s="1" t="s">
        <v>2747</v>
      </c>
      <c r="N7362" s="1" t="s">
        <v>2748</v>
      </c>
      <c r="P7362" s="1" t="s">
        <v>8171</v>
      </c>
      <c r="Q7362" s="30" t="s">
        <v>2566</v>
      </c>
      <c r="R7362" s="33" t="s">
        <v>3472</v>
      </c>
      <c r="S7362">
        <v>36</v>
      </c>
      <c r="T7362" s="1" t="s">
        <v>8144</v>
      </c>
      <c r="U7362" s="1" t="str">
        <f>HYPERLINK("http://ictvonline.org/taxonomy/p/taxonomy-history?taxnode_id=202108882","ICTVonline=202108882")</f>
        <v>ICTVonline=202108882</v>
      </c>
    </row>
    <row r="7363" spans="1:21" x14ac:dyDescent="0.2">
      <c r="A7363" s="3">
        <v>7362</v>
      </c>
      <c r="B7363" s="1" t="s">
        <v>4226</v>
      </c>
      <c r="D7363" s="1" t="s">
        <v>5412</v>
      </c>
      <c r="F7363" s="1" t="s">
        <v>3981</v>
      </c>
      <c r="G7363" s="1" t="s">
        <v>3982</v>
      </c>
      <c r="H7363" s="1" t="s">
        <v>3989</v>
      </c>
      <c r="J7363" s="1" t="s">
        <v>921</v>
      </c>
      <c r="L7363" s="1" t="s">
        <v>2747</v>
      </c>
      <c r="N7363" s="1" t="s">
        <v>2748</v>
      </c>
      <c r="P7363" s="1" t="s">
        <v>8172</v>
      </c>
      <c r="Q7363" s="30" t="s">
        <v>2566</v>
      </c>
      <c r="R7363" s="33" t="s">
        <v>3472</v>
      </c>
      <c r="S7363">
        <v>36</v>
      </c>
      <c r="T7363" s="1" t="s">
        <v>8144</v>
      </c>
      <c r="U7363" s="1" t="str">
        <f>HYPERLINK("http://ictvonline.org/taxonomy/p/taxonomy-history?taxnode_id=202108879","ICTVonline=202108879")</f>
        <v>ICTVonline=202108879</v>
      </c>
    </row>
    <row r="7364" spans="1:21" x14ac:dyDescent="0.2">
      <c r="A7364" s="3">
        <v>7363</v>
      </c>
      <c r="B7364" s="1" t="s">
        <v>4226</v>
      </c>
      <c r="D7364" s="1" t="s">
        <v>5412</v>
      </c>
      <c r="F7364" s="1" t="s">
        <v>3981</v>
      </c>
      <c r="G7364" s="1" t="s">
        <v>3982</v>
      </c>
      <c r="H7364" s="1" t="s">
        <v>3989</v>
      </c>
      <c r="J7364" s="1" t="s">
        <v>921</v>
      </c>
      <c r="L7364" s="1" t="s">
        <v>2747</v>
      </c>
      <c r="N7364" s="1" t="s">
        <v>2748</v>
      </c>
      <c r="P7364" s="1" t="s">
        <v>8173</v>
      </c>
      <c r="Q7364" s="30" t="s">
        <v>2566</v>
      </c>
      <c r="R7364" s="33" t="s">
        <v>3472</v>
      </c>
      <c r="S7364">
        <v>36</v>
      </c>
      <c r="T7364" s="1" t="s">
        <v>8144</v>
      </c>
      <c r="U7364" s="1" t="str">
        <f>HYPERLINK("http://ictvonline.org/taxonomy/p/taxonomy-history?taxnode_id=202108876","ICTVonline=202108876")</f>
        <v>ICTVonline=202108876</v>
      </c>
    </row>
    <row r="7365" spans="1:21" x14ac:dyDescent="0.2">
      <c r="A7365" s="3">
        <v>7364</v>
      </c>
      <c r="B7365" s="1" t="s">
        <v>4226</v>
      </c>
      <c r="D7365" s="1" t="s">
        <v>5412</v>
      </c>
      <c r="F7365" s="1" t="s">
        <v>3981</v>
      </c>
      <c r="G7365" s="1" t="s">
        <v>3982</v>
      </c>
      <c r="H7365" s="1" t="s">
        <v>3989</v>
      </c>
      <c r="J7365" s="1" t="s">
        <v>921</v>
      </c>
      <c r="L7365" s="1" t="s">
        <v>2747</v>
      </c>
      <c r="N7365" s="1" t="s">
        <v>2748</v>
      </c>
      <c r="P7365" s="1" t="s">
        <v>13172</v>
      </c>
      <c r="Q7365" s="30" t="s">
        <v>2566</v>
      </c>
      <c r="R7365" s="33" t="s">
        <v>3472</v>
      </c>
      <c r="S7365">
        <v>37</v>
      </c>
      <c r="T7365" s="1" t="s">
        <v>14016</v>
      </c>
      <c r="U7365" s="1" t="str">
        <f>HYPERLINK("http://ictvonline.org/taxonomy/p/taxonomy-history?taxnode_id=202112963","ICTVonline=202112963")</f>
        <v>ICTVonline=202112963</v>
      </c>
    </row>
    <row r="7366" spans="1:21" x14ac:dyDescent="0.2">
      <c r="A7366" s="3">
        <v>7365</v>
      </c>
      <c r="B7366" s="1" t="s">
        <v>4226</v>
      </c>
      <c r="D7366" s="1" t="s">
        <v>5412</v>
      </c>
      <c r="F7366" s="1" t="s">
        <v>3981</v>
      </c>
      <c r="G7366" s="1" t="s">
        <v>3982</v>
      </c>
      <c r="H7366" s="1" t="s">
        <v>3989</v>
      </c>
      <c r="J7366" s="1" t="s">
        <v>921</v>
      </c>
      <c r="L7366" s="1" t="s">
        <v>2747</v>
      </c>
      <c r="N7366" s="1" t="s">
        <v>2748</v>
      </c>
      <c r="P7366" s="1" t="s">
        <v>8174</v>
      </c>
      <c r="Q7366" s="30" t="s">
        <v>2566</v>
      </c>
      <c r="R7366" s="33" t="s">
        <v>3472</v>
      </c>
      <c r="S7366">
        <v>36</v>
      </c>
      <c r="T7366" s="1" t="s">
        <v>8144</v>
      </c>
      <c r="U7366" s="1" t="str">
        <f>HYPERLINK("http://ictvonline.org/taxonomy/p/taxonomy-history?taxnode_id=202108883","ICTVonline=202108883")</f>
        <v>ICTVonline=202108883</v>
      </c>
    </row>
    <row r="7367" spans="1:21" x14ac:dyDescent="0.2">
      <c r="A7367" s="3">
        <v>7366</v>
      </c>
      <c r="B7367" s="1" t="s">
        <v>4226</v>
      </c>
      <c r="D7367" s="1" t="s">
        <v>5412</v>
      </c>
      <c r="F7367" s="1" t="s">
        <v>3981</v>
      </c>
      <c r="G7367" s="1" t="s">
        <v>3982</v>
      </c>
      <c r="H7367" s="1" t="s">
        <v>3989</v>
      </c>
      <c r="J7367" s="1" t="s">
        <v>921</v>
      </c>
      <c r="L7367" s="1" t="s">
        <v>2747</v>
      </c>
      <c r="N7367" s="1" t="s">
        <v>2748</v>
      </c>
      <c r="P7367" s="1" t="s">
        <v>8175</v>
      </c>
      <c r="Q7367" s="30" t="s">
        <v>2566</v>
      </c>
      <c r="R7367" s="33" t="s">
        <v>3472</v>
      </c>
      <c r="S7367">
        <v>36</v>
      </c>
      <c r="T7367" s="1" t="s">
        <v>8144</v>
      </c>
      <c r="U7367" s="1" t="str">
        <f>HYPERLINK("http://ictvonline.org/taxonomy/p/taxonomy-history?taxnode_id=202108880","ICTVonline=202108880")</f>
        <v>ICTVonline=202108880</v>
      </c>
    </row>
    <row r="7368" spans="1:21" x14ac:dyDescent="0.2">
      <c r="A7368" s="3">
        <v>7367</v>
      </c>
      <c r="B7368" s="1" t="s">
        <v>4226</v>
      </c>
      <c r="D7368" s="1" t="s">
        <v>5412</v>
      </c>
      <c r="F7368" s="1" t="s">
        <v>3981</v>
      </c>
      <c r="G7368" s="1" t="s">
        <v>3982</v>
      </c>
      <c r="H7368" s="1" t="s">
        <v>3989</v>
      </c>
      <c r="J7368" s="1" t="s">
        <v>921</v>
      </c>
      <c r="L7368" s="1" t="s">
        <v>2747</v>
      </c>
      <c r="N7368" s="1" t="s">
        <v>2748</v>
      </c>
      <c r="P7368" s="1" t="s">
        <v>8176</v>
      </c>
      <c r="Q7368" s="30" t="s">
        <v>2566</v>
      </c>
      <c r="R7368" s="33" t="s">
        <v>3472</v>
      </c>
      <c r="S7368">
        <v>36</v>
      </c>
      <c r="T7368" s="1" t="s">
        <v>8144</v>
      </c>
      <c r="U7368" s="1" t="str">
        <f>HYPERLINK("http://ictvonline.org/taxonomy/p/taxonomy-history?taxnode_id=202108881","ICTVonline=202108881")</f>
        <v>ICTVonline=202108881</v>
      </c>
    </row>
    <row r="7369" spans="1:21" x14ac:dyDescent="0.2">
      <c r="A7369" s="3">
        <v>7368</v>
      </c>
      <c r="B7369" s="1" t="s">
        <v>4226</v>
      </c>
      <c r="D7369" s="1" t="s">
        <v>5412</v>
      </c>
      <c r="F7369" s="1" t="s">
        <v>3981</v>
      </c>
      <c r="G7369" s="1" t="s">
        <v>3982</v>
      </c>
      <c r="H7369" s="1" t="s">
        <v>3989</v>
      </c>
      <c r="J7369" s="1" t="s">
        <v>921</v>
      </c>
      <c r="L7369" s="1" t="s">
        <v>2747</v>
      </c>
      <c r="N7369" s="1" t="s">
        <v>2748</v>
      </c>
      <c r="P7369" s="1" t="s">
        <v>13173</v>
      </c>
      <c r="Q7369" s="30" t="s">
        <v>2566</v>
      </c>
      <c r="R7369" s="33" t="s">
        <v>3472</v>
      </c>
      <c r="S7369">
        <v>37</v>
      </c>
      <c r="T7369" s="1" t="s">
        <v>14016</v>
      </c>
      <c r="U7369" s="1" t="str">
        <f>HYPERLINK("http://ictvonline.org/taxonomy/p/taxonomy-history?taxnode_id=202112964","ICTVonline=202112964")</f>
        <v>ICTVonline=202112964</v>
      </c>
    </row>
    <row r="7370" spans="1:21" x14ac:dyDescent="0.2">
      <c r="A7370" s="3">
        <v>7369</v>
      </c>
      <c r="B7370" s="1" t="s">
        <v>4226</v>
      </c>
      <c r="D7370" s="1" t="s">
        <v>5412</v>
      </c>
      <c r="F7370" s="1" t="s">
        <v>3981</v>
      </c>
      <c r="G7370" s="1" t="s">
        <v>3982</v>
      </c>
      <c r="H7370" s="1" t="s">
        <v>3989</v>
      </c>
      <c r="J7370" s="1" t="s">
        <v>921</v>
      </c>
      <c r="L7370" s="1" t="s">
        <v>2747</v>
      </c>
      <c r="N7370" s="1" t="s">
        <v>2748</v>
      </c>
      <c r="P7370" s="1" t="s">
        <v>8177</v>
      </c>
      <c r="Q7370" s="30" t="s">
        <v>2566</v>
      </c>
      <c r="R7370" s="33" t="s">
        <v>3475</v>
      </c>
      <c r="S7370">
        <v>36</v>
      </c>
      <c r="T7370" s="1" t="s">
        <v>8144</v>
      </c>
      <c r="U7370" s="1" t="str">
        <f>HYPERLINK("http://ictvonline.org/taxonomy/p/taxonomy-history?taxnode_id=202106243","ICTVonline=202106243")</f>
        <v>ICTVonline=202106243</v>
      </c>
    </row>
    <row r="7371" spans="1:21" x14ac:dyDescent="0.2">
      <c r="A7371" s="3">
        <v>7370</v>
      </c>
      <c r="B7371" s="1" t="s">
        <v>4226</v>
      </c>
      <c r="D7371" s="1" t="s">
        <v>5412</v>
      </c>
      <c r="F7371" s="1" t="s">
        <v>3981</v>
      </c>
      <c r="G7371" s="1" t="s">
        <v>3982</v>
      </c>
      <c r="H7371" s="1" t="s">
        <v>3989</v>
      </c>
      <c r="J7371" s="1" t="s">
        <v>921</v>
      </c>
      <c r="L7371" s="1" t="s">
        <v>2747</v>
      </c>
      <c r="N7371" s="1" t="s">
        <v>2748</v>
      </c>
      <c r="P7371" s="1" t="s">
        <v>8178</v>
      </c>
      <c r="Q7371" s="30" t="s">
        <v>2566</v>
      </c>
      <c r="R7371" s="33" t="s">
        <v>3475</v>
      </c>
      <c r="S7371">
        <v>36</v>
      </c>
      <c r="T7371" s="1" t="s">
        <v>8144</v>
      </c>
      <c r="U7371" s="1" t="str">
        <f>HYPERLINK("http://ictvonline.org/taxonomy/p/taxonomy-history?taxnode_id=202106244","ICTVonline=202106244")</f>
        <v>ICTVonline=202106244</v>
      </c>
    </row>
    <row r="7372" spans="1:21" x14ac:dyDescent="0.2">
      <c r="A7372" s="3">
        <v>7371</v>
      </c>
      <c r="B7372" s="1" t="s">
        <v>4226</v>
      </c>
      <c r="D7372" s="1" t="s">
        <v>5412</v>
      </c>
      <c r="F7372" s="1" t="s">
        <v>3981</v>
      </c>
      <c r="G7372" s="1" t="s">
        <v>3982</v>
      </c>
      <c r="H7372" s="1" t="s">
        <v>3989</v>
      </c>
      <c r="J7372" s="1" t="s">
        <v>921</v>
      </c>
      <c r="L7372" s="1" t="s">
        <v>2747</v>
      </c>
      <c r="N7372" s="1" t="s">
        <v>2748</v>
      </c>
      <c r="P7372" s="1" t="s">
        <v>8179</v>
      </c>
      <c r="Q7372" s="30" t="s">
        <v>2566</v>
      </c>
      <c r="R7372" s="33" t="s">
        <v>3472</v>
      </c>
      <c r="S7372">
        <v>36</v>
      </c>
      <c r="T7372" s="1" t="s">
        <v>8144</v>
      </c>
      <c r="U7372" s="1" t="str">
        <f>HYPERLINK("http://ictvonline.org/taxonomy/p/taxonomy-history?taxnode_id=202108878","ICTVonline=202108878")</f>
        <v>ICTVonline=202108878</v>
      </c>
    </row>
    <row r="7373" spans="1:21" x14ac:dyDescent="0.2">
      <c r="A7373" s="3">
        <v>7372</v>
      </c>
      <c r="B7373" s="1" t="s">
        <v>4226</v>
      </c>
      <c r="D7373" s="1" t="s">
        <v>5412</v>
      </c>
      <c r="F7373" s="1" t="s">
        <v>3981</v>
      </c>
      <c r="G7373" s="1" t="s">
        <v>3982</v>
      </c>
      <c r="H7373" s="1" t="s">
        <v>3989</v>
      </c>
      <c r="J7373" s="1" t="s">
        <v>921</v>
      </c>
      <c r="L7373" s="1" t="s">
        <v>2747</v>
      </c>
      <c r="N7373" s="1" t="s">
        <v>2748</v>
      </c>
      <c r="P7373" s="1" t="s">
        <v>8180</v>
      </c>
      <c r="Q7373" s="30" t="s">
        <v>2566</v>
      </c>
      <c r="R7373" s="33" t="s">
        <v>8666</v>
      </c>
      <c r="S7373">
        <v>36</v>
      </c>
      <c r="T7373" s="1" t="s">
        <v>8673</v>
      </c>
      <c r="U7373" s="1" t="str">
        <f>HYPERLINK("http://ictvonline.org/taxonomy/p/taxonomy-history?taxnode_id=202101575","ICTVonline=202101575")</f>
        <v>ICTVonline=202101575</v>
      </c>
    </row>
    <row r="7374" spans="1:21" x14ac:dyDescent="0.2">
      <c r="A7374" s="3">
        <v>7373</v>
      </c>
      <c r="B7374" s="1" t="s">
        <v>4226</v>
      </c>
      <c r="D7374" s="1" t="s">
        <v>5412</v>
      </c>
      <c r="F7374" s="1" t="s">
        <v>3981</v>
      </c>
      <c r="G7374" s="1" t="s">
        <v>3982</v>
      </c>
      <c r="H7374" s="1" t="s">
        <v>3989</v>
      </c>
      <c r="J7374" s="1" t="s">
        <v>921</v>
      </c>
      <c r="L7374" s="1" t="s">
        <v>2747</v>
      </c>
      <c r="N7374" s="1" t="s">
        <v>2748</v>
      </c>
      <c r="P7374" s="1" t="s">
        <v>8181</v>
      </c>
      <c r="Q7374" s="30" t="s">
        <v>2566</v>
      </c>
      <c r="R7374" s="33" t="s">
        <v>3472</v>
      </c>
      <c r="S7374">
        <v>36</v>
      </c>
      <c r="T7374" s="1" t="s">
        <v>8144</v>
      </c>
      <c r="U7374" s="1" t="str">
        <f>HYPERLINK("http://ictvonline.org/taxonomy/p/taxonomy-history?taxnode_id=202108877","ICTVonline=202108877")</f>
        <v>ICTVonline=202108877</v>
      </c>
    </row>
    <row r="7375" spans="1:21" x14ac:dyDescent="0.2">
      <c r="A7375" s="3">
        <v>7374</v>
      </c>
      <c r="B7375" s="1" t="s">
        <v>4226</v>
      </c>
      <c r="D7375" s="1" t="s">
        <v>5412</v>
      </c>
      <c r="F7375" s="1" t="s">
        <v>3981</v>
      </c>
      <c r="G7375" s="1" t="s">
        <v>3982</v>
      </c>
      <c r="H7375" s="1" t="s">
        <v>3989</v>
      </c>
      <c r="J7375" s="1" t="s">
        <v>921</v>
      </c>
      <c r="L7375" s="1" t="s">
        <v>2142</v>
      </c>
      <c r="N7375" s="1" t="s">
        <v>3995</v>
      </c>
      <c r="P7375" s="1" t="s">
        <v>13174</v>
      </c>
      <c r="Q7375" s="30" t="s">
        <v>2566</v>
      </c>
      <c r="R7375" s="33" t="s">
        <v>3475</v>
      </c>
      <c r="S7375">
        <v>37</v>
      </c>
      <c r="T7375" s="1" t="s">
        <v>14017</v>
      </c>
      <c r="U7375" s="1" t="str">
        <f>HYPERLINK("http://ictvonline.org/taxonomy/p/taxonomy-history?taxnode_id=202106257","ICTVonline=202106257")</f>
        <v>ICTVonline=202106257</v>
      </c>
    </row>
    <row r="7376" spans="1:21" x14ac:dyDescent="0.2">
      <c r="A7376" s="3">
        <v>7375</v>
      </c>
      <c r="B7376" s="1" t="s">
        <v>4226</v>
      </c>
      <c r="D7376" s="1" t="s">
        <v>5412</v>
      </c>
      <c r="F7376" s="1" t="s">
        <v>3981</v>
      </c>
      <c r="G7376" s="1" t="s">
        <v>3982</v>
      </c>
      <c r="H7376" s="1" t="s">
        <v>3989</v>
      </c>
      <c r="J7376" s="1" t="s">
        <v>921</v>
      </c>
      <c r="L7376" s="1" t="s">
        <v>2142</v>
      </c>
      <c r="N7376" s="1" t="s">
        <v>3995</v>
      </c>
      <c r="P7376" s="1" t="s">
        <v>13175</v>
      </c>
      <c r="Q7376" s="30" t="s">
        <v>2566</v>
      </c>
      <c r="R7376" s="33" t="s">
        <v>3475</v>
      </c>
      <c r="S7376">
        <v>37</v>
      </c>
      <c r="T7376" s="1" t="s">
        <v>14017</v>
      </c>
      <c r="U7376" s="1" t="str">
        <f>HYPERLINK("http://ictvonline.org/taxonomy/p/taxonomy-history?taxnode_id=202106258","ICTVonline=202106258")</f>
        <v>ICTVonline=202106258</v>
      </c>
    </row>
    <row r="7377" spans="1:21" x14ac:dyDescent="0.2">
      <c r="A7377" s="3">
        <v>7376</v>
      </c>
      <c r="B7377" s="1" t="s">
        <v>4226</v>
      </c>
      <c r="D7377" s="1" t="s">
        <v>5412</v>
      </c>
      <c r="F7377" s="1" t="s">
        <v>3981</v>
      </c>
      <c r="G7377" s="1" t="s">
        <v>3982</v>
      </c>
      <c r="H7377" s="1" t="s">
        <v>3989</v>
      </c>
      <c r="J7377" s="1" t="s">
        <v>921</v>
      </c>
      <c r="L7377" s="1" t="s">
        <v>2142</v>
      </c>
      <c r="N7377" s="1" t="s">
        <v>3995</v>
      </c>
      <c r="P7377" s="1" t="s">
        <v>13176</v>
      </c>
      <c r="Q7377" s="30" t="s">
        <v>2566</v>
      </c>
      <c r="R7377" s="33" t="s">
        <v>3475</v>
      </c>
      <c r="S7377">
        <v>37</v>
      </c>
      <c r="T7377" s="1" t="s">
        <v>14017</v>
      </c>
      <c r="U7377" s="1" t="str">
        <f>HYPERLINK("http://ictvonline.org/taxonomy/p/taxonomy-history?taxnode_id=202106256","ICTVonline=202106256")</f>
        <v>ICTVonline=202106256</v>
      </c>
    </row>
    <row r="7378" spans="1:21" x14ac:dyDescent="0.2">
      <c r="A7378" s="3">
        <v>7377</v>
      </c>
      <c r="B7378" s="1" t="s">
        <v>4226</v>
      </c>
      <c r="D7378" s="1" t="s">
        <v>5412</v>
      </c>
      <c r="F7378" s="1" t="s">
        <v>3981</v>
      </c>
      <c r="G7378" s="1" t="s">
        <v>3982</v>
      </c>
      <c r="H7378" s="1" t="s">
        <v>3989</v>
      </c>
      <c r="J7378" s="1" t="s">
        <v>921</v>
      </c>
      <c r="L7378" s="1" t="s">
        <v>2142</v>
      </c>
      <c r="N7378" s="1" t="s">
        <v>2761</v>
      </c>
      <c r="P7378" s="1" t="s">
        <v>13177</v>
      </c>
      <c r="Q7378" s="30" t="s">
        <v>2566</v>
      </c>
      <c r="R7378" s="33" t="s">
        <v>3475</v>
      </c>
      <c r="S7378">
        <v>37</v>
      </c>
      <c r="T7378" s="1" t="s">
        <v>14017</v>
      </c>
      <c r="U7378" s="1" t="str">
        <f>HYPERLINK("http://ictvonline.org/taxonomy/p/taxonomy-history?taxnode_id=202106250","ICTVonline=202106250")</f>
        <v>ICTVonline=202106250</v>
      </c>
    </row>
    <row r="7379" spans="1:21" x14ac:dyDescent="0.2">
      <c r="A7379" s="3">
        <v>7378</v>
      </c>
      <c r="B7379" s="1" t="s">
        <v>4226</v>
      </c>
      <c r="D7379" s="1" t="s">
        <v>5412</v>
      </c>
      <c r="F7379" s="1" t="s">
        <v>3981</v>
      </c>
      <c r="G7379" s="1" t="s">
        <v>3982</v>
      </c>
      <c r="H7379" s="1" t="s">
        <v>3989</v>
      </c>
      <c r="J7379" s="1" t="s">
        <v>921</v>
      </c>
      <c r="L7379" s="1" t="s">
        <v>2142</v>
      </c>
      <c r="N7379" s="1" t="s">
        <v>2761</v>
      </c>
      <c r="P7379" s="1" t="s">
        <v>13178</v>
      </c>
      <c r="Q7379" s="30" t="s">
        <v>2566</v>
      </c>
      <c r="R7379" s="33" t="s">
        <v>3475</v>
      </c>
      <c r="S7379">
        <v>37</v>
      </c>
      <c r="T7379" s="1" t="s">
        <v>14017</v>
      </c>
      <c r="U7379" s="1" t="str">
        <f>HYPERLINK("http://ictvonline.org/taxonomy/p/taxonomy-history?taxnode_id=202106249","ICTVonline=202106249")</f>
        <v>ICTVonline=202106249</v>
      </c>
    </row>
    <row r="7380" spans="1:21" x14ac:dyDescent="0.2">
      <c r="A7380" s="3">
        <v>7379</v>
      </c>
      <c r="B7380" s="1" t="s">
        <v>4226</v>
      </c>
      <c r="D7380" s="1" t="s">
        <v>5412</v>
      </c>
      <c r="F7380" s="1" t="s">
        <v>3981</v>
      </c>
      <c r="G7380" s="1" t="s">
        <v>3982</v>
      </c>
      <c r="H7380" s="1" t="s">
        <v>3989</v>
      </c>
      <c r="J7380" s="1" t="s">
        <v>921</v>
      </c>
      <c r="L7380" s="1" t="s">
        <v>2142</v>
      </c>
      <c r="N7380" s="1" t="s">
        <v>2761</v>
      </c>
      <c r="P7380" s="1" t="s">
        <v>13179</v>
      </c>
      <c r="Q7380" s="30" t="s">
        <v>2566</v>
      </c>
      <c r="R7380" s="33" t="s">
        <v>3475</v>
      </c>
      <c r="S7380">
        <v>37</v>
      </c>
      <c r="T7380" s="1" t="s">
        <v>14017</v>
      </c>
      <c r="U7380" s="1" t="str">
        <f>HYPERLINK("http://ictvonline.org/taxonomy/p/taxonomy-history?taxnode_id=202101818","ICTVonline=202101818")</f>
        <v>ICTVonline=202101818</v>
      </c>
    </row>
    <row r="7381" spans="1:21" x14ac:dyDescent="0.2">
      <c r="A7381" s="3">
        <v>7380</v>
      </c>
      <c r="B7381" s="1" t="s">
        <v>4226</v>
      </c>
      <c r="D7381" s="1" t="s">
        <v>5412</v>
      </c>
      <c r="F7381" s="1" t="s">
        <v>3981</v>
      </c>
      <c r="G7381" s="1" t="s">
        <v>3982</v>
      </c>
      <c r="H7381" s="1" t="s">
        <v>3989</v>
      </c>
      <c r="J7381" s="1" t="s">
        <v>921</v>
      </c>
      <c r="L7381" s="1" t="s">
        <v>2142</v>
      </c>
      <c r="N7381" s="1" t="s">
        <v>8182</v>
      </c>
      <c r="P7381" s="1" t="s">
        <v>13180</v>
      </c>
      <c r="Q7381" s="30" t="s">
        <v>2566</v>
      </c>
      <c r="R7381" s="33" t="s">
        <v>3475</v>
      </c>
      <c r="S7381">
        <v>37</v>
      </c>
      <c r="T7381" s="1" t="s">
        <v>14017</v>
      </c>
      <c r="U7381" s="1" t="str">
        <f>HYPERLINK("http://ictvonline.org/taxonomy/p/taxonomy-history?taxnode_id=202109665","ICTVonline=202109665")</f>
        <v>ICTVonline=202109665</v>
      </c>
    </row>
    <row r="7382" spans="1:21" x14ac:dyDescent="0.2">
      <c r="A7382" s="3">
        <v>7381</v>
      </c>
      <c r="B7382" s="1" t="s">
        <v>4226</v>
      </c>
      <c r="D7382" s="1" t="s">
        <v>5412</v>
      </c>
      <c r="F7382" s="1" t="s">
        <v>3981</v>
      </c>
      <c r="G7382" s="1" t="s">
        <v>3982</v>
      </c>
      <c r="H7382" s="1" t="s">
        <v>3989</v>
      </c>
      <c r="J7382" s="1" t="s">
        <v>921</v>
      </c>
      <c r="L7382" s="1" t="s">
        <v>2142</v>
      </c>
      <c r="N7382" s="1" t="s">
        <v>8182</v>
      </c>
      <c r="P7382" s="1" t="s">
        <v>13181</v>
      </c>
      <c r="Q7382" s="30" t="s">
        <v>2566</v>
      </c>
      <c r="R7382" s="33" t="s">
        <v>3475</v>
      </c>
      <c r="S7382">
        <v>37</v>
      </c>
      <c r="T7382" s="1" t="s">
        <v>14017</v>
      </c>
      <c r="U7382" s="1" t="str">
        <f>HYPERLINK("http://ictvonline.org/taxonomy/p/taxonomy-history?taxnode_id=202109668","ICTVonline=202109668")</f>
        <v>ICTVonline=202109668</v>
      </c>
    </row>
    <row r="7383" spans="1:21" x14ac:dyDescent="0.2">
      <c r="A7383" s="3">
        <v>7382</v>
      </c>
      <c r="B7383" s="1" t="s">
        <v>4226</v>
      </c>
      <c r="D7383" s="1" t="s">
        <v>5412</v>
      </c>
      <c r="F7383" s="1" t="s">
        <v>3981</v>
      </c>
      <c r="G7383" s="1" t="s">
        <v>3982</v>
      </c>
      <c r="H7383" s="1" t="s">
        <v>3989</v>
      </c>
      <c r="J7383" s="1" t="s">
        <v>921</v>
      </c>
      <c r="L7383" s="1" t="s">
        <v>2142</v>
      </c>
      <c r="N7383" s="1" t="s">
        <v>8182</v>
      </c>
      <c r="P7383" s="1" t="s">
        <v>13182</v>
      </c>
      <c r="Q7383" s="30" t="s">
        <v>2566</v>
      </c>
      <c r="R7383" s="33" t="s">
        <v>3475</v>
      </c>
      <c r="S7383">
        <v>37</v>
      </c>
      <c r="T7383" s="1" t="s">
        <v>14017</v>
      </c>
      <c r="U7383" s="1" t="str">
        <f>HYPERLINK("http://ictvonline.org/taxonomy/p/taxonomy-history?taxnode_id=202109666","ICTVonline=202109666")</f>
        <v>ICTVonline=202109666</v>
      </c>
    </row>
    <row r="7384" spans="1:21" x14ac:dyDescent="0.2">
      <c r="A7384" s="3">
        <v>7383</v>
      </c>
      <c r="B7384" s="1" t="s">
        <v>4226</v>
      </c>
      <c r="D7384" s="1" t="s">
        <v>5412</v>
      </c>
      <c r="F7384" s="1" t="s">
        <v>3981</v>
      </c>
      <c r="G7384" s="1" t="s">
        <v>3982</v>
      </c>
      <c r="H7384" s="1" t="s">
        <v>3989</v>
      </c>
      <c r="J7384" s="1" t="s">
        <v>921</v>
      </c>
      <c r="L7384" s="1" t="s">
        <v>2142</v>
      </c>
      <c r="N7384" s="1" t="s">
        <v>8182</v>
      </c>
      <c r="P7384" s="1" t="s">
        <v>13183</v>
      </c>
      <c r="Q7384" s="30" t="s">
        <v>2566</v>
      </c>
      <c r="R7384" s="33" t="s">
        <v>3475</v>
      </c>
      <c r="S7384">
        <v>37</v>
      </c>
      <c r="T7384" s="1" t="s">
        <v>14017</v>
      </c>
      <c r="U7384" s="1" t="str">
        <f>HYPERLINK("http://ictvonline.org/taxonomy/p/taxonomy-history?taxnode_id=202109667","ICTVonline=202109667")</f>
        <v>ICTVonline=202109667</v>
      </c>
    </row>
    <row r="7385" spans="1:21" x14ac:dyDescent="0.2">
      <c r="A7385" s="3">
        <v>7384</v>
      </c>
      <c r="B7385" s="1" t="s">
        <v>4226</v>
      </c>
      <c r="D7385" s="1" t="s">
        <v>5412</v>
      </c>
      <c r="F7385" s="1" t="s">
        <v>3981</v>
      </c>
      <c r="G7385" s="1" t="s">
        <v>3982</v>
      </c>
      <c r="H7385" s="1" t="s">
        <v>3989</v>
      </c>
      <c r="J7385" s="1" t="s">
        <v>921</v>
      </c>
      <c r="L7385" s="1" t="s">
        <v>2142</v>
      </c>
      <c r="N7385" s="1" t="s">
        <v>8182</v>
      </c>
      <c r="P7385" s="1" t="s">
        <v>13184</v>
      </c>
      <c r="Q7385" s="30" t="s">
        <v>2566</v>
      </c>
      <c r="R7385" s="33" t="s">
        <v>3472</v>
      </c>
      <c r="S7385">
        <v>37</v>
      </c>
      <c r="T7385" s="1" t="s">
        <v>14018</v>
      </c>
      <c r="U7385" s="1" t="str">
        <f>HYPERLINK("http://ictvonline.org/taxonomy/p/taxonomy-history?taxnode_id=202112225","ICTVonline=202112225")</f>
        <v>ICTVonline=202112225</v>
      </c>
    </row>
    <row r="7386" spans="1:21" x14ac:dyDescent="0.2">
      <c r="A7386" s="3">
        <v>7385</v>
      </c>
      <c r="B7386" s="1" t="s">
        <v>4226</v>
      </c>
      <c r="D7386" s="1" t="s">
        <v>5412</v>
      </c>
      <c r="F7386" s="1" t="s">
        <v>3981</v>
      </c>
      <c r="G7386" s="1" t="s">
        <v>3982</v>
      </c>
      <c r="H7386" s="1" t="s">
        <v>3989</v>
      </c>
      <c r="J7386" s="1" t="s">
        <v>921</v>
      </c>
      <c r="L7386" s="1" t="s">
        <v>2142</v>
      </c>
      <c r="N7386" s="1" t="s">
        <v>2143</v>
      </c>
      <c r="P7386" s="1" t="s">
        <v>13185</v>
      </c>
      <c r="Q7386" s="30" t="s">
        <v>2566</v>
      </c>
      <c r="R7386" s="33" t="s">
        <v>3472</v>
      </c>
      <c r="S7386">
        <v>37</v>
      </c>
      <c r="T7386" s="1" t="s">
        <v>14018</v>
      </c>
      <c r="U7386" s="1" t="str">
        <f>HYPERLINK("http://ictvonline.org/taxonomy/p/taxonomy-history?taxnode_id=202112223","ICTVonline=202112223")</f>
        <v>ICTVonline=202112223</v>
      </c>
    </row>
    <row r="7387" spans="1:21" x14ac:dyDescent="0.2">
      <c r="A7387" s="3">
        <v>7386</v>
      </c>
      <c r="B7387" s="1" t="s">
        <v>4226</v>
      </c>
      <c r="D7387" s="1" t="s">
        <v>5412</v>
      </c>
      <c r="F7387" s="1" t="s">
        <v>3981</v>
      </c>
      <c r="G7387" s="1" t="s">
        <v>3982</v>
      </c>
      <c r="H7387" s="1" t="s">
        <v>3989</v>
      </c>
      <c r="J7387" s="1" t="s">
        <v>921</v>
      </c>
      <c r="L7387" s="1" t="s">
        <v>2142</v>
      </c>
      <c r="N7387" s="1" t="s">
        <v>2143</v>
      </c>
      <c r="P7387" s="1" t="s">
        <v>13186</v>
      </c>
      <c r="Q7387" s="30" t="s">
        <v>2566</v>
      </c>
      <c r="R7387" s="33" t="s">
        <v>3475</v>
      </c>
      <c r="S7387">
        <v>37</v>
      </c>
      <c r="T7387" s="1" t="s">
        <v>14017</v>
      </c>
      <c r="U7387" s="1" t="str">
        <f>HYPERLINK("http://ictvonline.org/taxonomy/p/taxonomy-history?taxnode_id=202101579","ICTVonline=202101579")</f>
        <v>ICTVonline=202101579</v>
      </c>
    </row>
    <row r="7388" spans="1:21" x14ac:dyDescent="0.2">
      <c r="A7388" s="3">
        <v>7387</v>
      </c>
      <c r="B7388" s="1" t="s">
        <v>4226</v>
      </c>
      <c r="D7388" s="1" t="s">
        <v>5412</v>
      </c>
      <c r="F7388" s="1" t="s">
        <v>3981</v>
      </c>
      <c r="G7388" s="1" t="s">
        <v>3982</v>
      </c>
      <c r="H7388" s="1" t="s">
        <v>3989</v>
      </c>
      <c r="J7388" s="1" t="s">
        <v>921</v>
      </c>
      <c r="L7388" s="1" t="s">
        <v>2142</v>
      </c>
      <c r="N7388" s="1" t="s">
        <v>2143</v>
      </c>
      <c r="P7388" s="1" t="s">
        <v>13187</v>
      </c>
      <c r="Q7388" s="30" t="s">
        <v>2566</v>
      </c>
      <c r="R7388" s="33" t="s">
        <v>3475</v>
      </c>
      <c r="S7388">
        <v>37</v>
      </c>
      <c r="T7388" s="1" t="s">
        <v>14017</v>
      </c>
      <c r="U7388" s="1" t="str">
        <f>HYPERLINK("http://ictvonline.org/taxonomy/p/taxonomy-history?taxnode_id=202101580","ICTVonline=202101580")</f>
        <v>ICTVonline=202101580</v>
      </c>
    </row>
    <row r="7389" spans="1:21" x14ac:dyDescent="0.2">
      <c r="A7389" s="3">
        <v>7388</v>
      </c>
      <c r="B7389" s="1" t="s">
        <v>4226</v>
      </c>
      <c r="D7389" s="1" t="s">
        <v>5412</v>
      </c>
      <c r="F7389" s="1" t="s">
        <v>3981</v>
      </c>
      <c r="G7389" s="1" t="s">
        <v>3982</v>
      </c>
      <c r="H7389" s="1" t="s">
        <v>3989</v>
      </c>
      <c r="J7389" s="1" t="s">
        <v>921</v>
      </c>
      <c r="L7389" s="1" t="s">
        <v>2142</v>
      </c>
      <c r="N7389" s="1" t="s">
        <v>2143</v>
      </c>
      <c r="P7389" s="1" t="s">
        <v>13188</v>
      </c>
      <c r="Q7389" s="30" t="s">
        <v>2566</v>
      </c>
      <c r="R7389" s="33" t="s">
        <v>3475</v>
      </c>
      <c r="S7389">
        <v>37</v>
      </c>
      <c r="T7389" s="1" t="s">
        <v>14017</v>
      </c>
      <c r="U7389" s="1" t="str">
        <f>HYPERLINK("http://ictvonline.org/taxonomy/p/taxonomy-history?taxnode_id=202109663","ICTVonline=202109663")</f>
        <v>ICTVonline=202109663</v>
      </c>
    </row>
    <row r="7390" spans="1:21" x14ac:dyDescent="0.2">
      <c r="A7390" s="3">
        <v>7389</v>
      </c>
      <c r="B7390" s="1" t="s">
        <v>4226</v>
      </c>
      <c r="D7390" s="1" t="s">
        <v>5412</v>
      </c>
      <c r="F7390" s="1" t="s">
        <v>3981</v>
      </c>
      <c r="G7390" s="1" t="s">
        <v>3982</v>
      </c>
      <c r="H7390" s="1" t="s">
        <v>3989</v>
      </c>
      <c r="J7390" s="1" t="s">
        <v>921</v>
      </c>
      <c r="L7390" s="1" t="s">
        <v>2142</v>
      </c>
      <c r="N7390" s="1" t="s">
        <v>2143</v>
      </c>
      <c r="P7390" s="1" t="s">
        <v>13189</v>
      </c>
      <c r="Q7390" s="30" t="s">
        <v>2566</v>
      </c>
      <c r="R7390" s="33" t="s">
        <v>3475</v>
      </c>
      <c r="S7390">
        <v>37</v>
      </c>
      <c r="T7390" s="1" t="s">
        <v>14017</v>
      </c>
      <c r="U7390" s="1" t="str">
        <f>HYPERLINK("http://ictvonline.org/taxonomy/p/taxonomy-history?taxnode_id=202101581","ICTVonline=202101581")</f>
        <v>ICTVonline=202101581</v>
      </c>
    </row>
    <row r="7391" spans="1:21" x14ac:dyDescent="0.2">
      <c r="A7391" s="3">
        <v>7390</v>
      </c>
      <c r="B7391" s="1" t="s">
        <v>4226</v>
      </c>
      <c r="D7391" s="1" t="s">
        <v>5412</v>
      </c>
      <c r="F7391" s="1" t="s">
        <v>3981</v>
      </c>
      <c r="G7391" s="1" t="s">
        <v>3982</v>
      </c>
      <c r="H7391" s="1" t="s">
        <v>3989</v>
      </c>
      <c r="J7391" s="1" t="s">
        <v>921</v>
      </c>
      <c r="L7391" s="1" t="s">
        <v>2142</v>
      </c>
      <c r="N7391" s="1" t="s">
        <v>2143</v>
      </c>
      <c r="P7391" s="1" t="s">
        <v>13190</v>
      </c>
      <c r="Q7391" s="30" t="s">
        <v>2566</v>
      </c>
      <c r="R7391" s="33" t="s">
        <v>3472</v>
      </c>
      <c r="S7391">
        <v>37</v>
      </c>
      <c r="T7391" s="1" t="s">
        <v>14018</v>
      </c>
      <c r="U7391" s="1" t="str">
        <f>HYPERLINK("http://ictvonline.org/taxonomy/p/taxonomy-history?taxnode_id=202112224","ICTVonline=202112224")</f>
        <v>ICTVonline=202112224</v>
      </c>
    </row>
    <row r="7392" spans="1:21" x14ac:dyDescent="0.2">
      <c r="A7392" s="3">
        <v>7391</v>
      </c>
      <c r="B7392" s="1" t="s">
        <v>4226</v>
      </c>
      <c r="D7392" s="1" t="s">
        <v>5412</v>
      </c>
      <c r="F7392" s="1" t="s">
        <v>3981</v>
      </c>
      <c r="G7392" s="1" t="s">
        <v>3982</v>
      </c>
      <c r="H7392" s="1" t="s">
        <v>3989</v>
      </c>
      <c r="J7392" s="1" t="s">
        <v>921</v>
      </c>
      <c r="L7392" s="1" t="s">
        <v>2142</v>
      </c>
      <c r="N7392" s="1" t="s">
        <v>3996</v>
      </c>
      <c r="P7392" s="1" t="s">
        <v>13191</v>
      </c>
      <c r="Q7392" s="30" t="s">
        <v>2566</v>
      </c>
      <c r="R7392" s="33" t="s">
        <v>3475</v>
      </c>
      <c r="S7392">
        <v>37</v>
      </c>
      <c r="T7392" s="1" t="s">
        <v>14017</v>
      </c>
      <c r="U7392" s="1" t="str">
        <f>HYPERLINK("http://ictvonline.org/taxonomy/p/taxonomy-history?taxnode_id=202106252","ICTVonline=202106252")</f>
        <v>ICTVonline=202106252</v>
      </c>
    </row>
    <row r="7393" spans="1:21" x14ac:dyDescent="0.2">
      <c r="A7393" s="3">
        <v>7392</v>
      </c>
      <c r="B7393" s="1" t="s">
        <v>4226</v>
      </c>
      <c r="D7393" s="1" t="s">
        <v>5412</v>
      </c>
      <c r="F7393" s="1" t="s">
        <v>3981</v>
      </c>
      <c r="G7393" s="1" t="s">
        <v>3982</v>
      </c>
      <c r="H7393" s="1" t="s">
        <v>3989</v>
      </c>
      <c r="J7393" s="1" t="s">
        <v>921</v>
      </c>
      <c r="L7393" s="1" t="s">
        <v>2142</v>
      </c>
      <c r="N7393" s="1" t="s">
        <v>2749</v>
      </c>
      <c r="P7393" s="1" t="s">
        <v>13192</v>
      </c>
      <c r="Q7393" s="30" t="s">
        <v>2566</v>
      </c>
      <c r="R7393" s="33" t="s">
        <v>3475</v>
      </c>
      <c r="S7393">
        <v>37</v>
      </c>
      <c r="T7393" s="1" t="s">
        <v>14017</v>
      </c>
      <c r="U7393" s="1" t="str">
        <f>HYPERLINK("http://ictvonline.org/taxonomy/p/taxonomy-history?taxnode_id=202101585","ICTVonline=202101585")</f>
        <v>ICTVonline=202101585</v>
      </c>
    </row>
    <row r="7394" spans="1:21" x14ac:dyDescent="0.2">
      <c r="A7394" s="3">
        <v>7393</v>
      </c>
      <c r="B7394" s="1" t="s">
        <v>4226</v>
      </c>
      <c r="D7394" s="1" t="s">
        <v>5412</v>
      </c>
      <c r="F7394" s="1" t="s">
        <v>3981</v>
      </c>
      <c r="G7394" s="1" t="s">
        <v>3982</v>
      </c>
      <c r="H7394" s="1" t="s">
        <v>3989</v>
      </c>
      <c r="J7394" s="1" t="s">
        <v>921</v>
      </c>
      <c r="L7394" s="1" t="s">
        <v>2142</v>
      </c>
      <c r="N7394" s="1" t="s">
        <v>3997</v>
      </c>
      <c r="P7394" s="1" t="s">
        <v>13193</v>
      </c>
      <c r="Q7394" s="30" t="s">
        <v>2566</v>
      </c>
      <c r="R7394" s="33" t="s">
        <v>3475</v>
      </c>
      <c r="S7394">
        <v>37</v>
      </c>
      <c r="T7394" s="1" t="s">
        <v>14017</v>
      </c>
      <c r="U7394" s="1" t="str">
        <f>HYPERLINK("http://ictvonline.org/taxonomy/p/taxonomy-history?taxnode_id=202106254","ICTVonline=202106254")</f>
        <v>ICTVonline=202106254</v>
      </c>
    </row>
    <row r="7395" spans="1:21" x14ac:dyDescent="0.2">
      <c r="A7395" s="3">
        <v>7394</v>
      </c>
      <c r="B7395" s="1" t="s">
        <v>4226</v>
      </c>
      <c r="D7395" s="1" t="s">
        <v>5412</v>
      </c>
      <c r="F7395" s="1" t="s">
        <v>3981</v>
      </c>
      <c r="G7395" s="1" t="s">
        <v>3982</v>
      </c>
      <c r="H7395" s="1" t="s">
        <v>3989</v>
      </c>
      <c r="J7395" s="1" t="s">
        <v>921</v>
      </c>
      <c r="L7395" s="1" t="s">
        <v>1305</v>
      </c>
      <c r="M7395" s="1" t="s">
        <v>4233</v>
      </c>
      <c r="N7395" s="1" t="s">
        <v>4234</v>
      </c>
      <c r="P7395" s="1" t="s">
        <v>4235</v>
      </c>
      <c r="Q7395" s="30" t="s">
        <v>2566</v>
      </c>
      <c r="R7395" s="33" t="s">
        <v>8665</v>
      </c>
      <c r="S7395">
        <v>36</v>
      </c>
      <c r="T7395" s="1" t="s">
        <v>8661</v>
      </c>
      <c r="U7395" s="1" t="str">
        <f>HYPERLINK("http://ictvonline.org/taxonomy/p/taxonomy-history?taxnode_id=202101592","ICTVonline=202101592")</f>
        <v>ICTVonline=202101592</v>
      </c>
    </row>
    <row r="7396" spans="1:21" x14ac:dyDescent="0.2">
      <c r="A7396" s="3">
        <v>7395</v>
      </c>
      <c r="B7396" s="1" t="s">
        <v>4226</v>
      </c>
      <c r="D7396" s="1" t="s">
        <v>5412</v>
      </c>
      <c r="F7396" s="1" t="s">
        <v>3981</v>
      </c>
      <c r="G7396" s="1" t="s">
        <v>3982</v>
      </c>
      <c r="H7396" s="1" t="s">
        <v>3989</v>
      </c>
      <c r="J7396" s="1" t="s">
        <v>921</v>
      </c>
      <c r="L7396" s="1" t="s">
        <v>1305</v>
      </c>
      <c r="M7396" s="1" t="s">
        <v>4233</v>
      </c>
      <c r="N7396" s="1" t="s">
        <v>4234</v>
      </c>
      <c r="P7396" s="1" t="s">
        <v>4236</v>
      </c>
      <c r="Q7396" s="30" t="s">
        <v>2566</v>
      </c>
      <c r="R7396" s="33" t="s">
        <v>3474</v>
      </c>
      <c r="S7396">
        <v>35</v>
      </c>
      <c r="T7396" s="1" t="s">
        <v>5416</v>
      </c>
      <c r="U7396" s="1" t="str">
        <f>HYPERLINK("http://ictvonline.org/taxonomy/p/taxonomy-history?taxnode_id=202101595","ICTVonline=202101595")</f>
        <v>ICTVonline=202101595</v>
      </c>
    </row>
    <row r="7397" spans="1:21" x14ac:dyDescent="0.2">
      <c r="A7397" s="3">
        <v>7396</v>
      </c>
      <c r="B7397" s="1" t="s">
        <v>4226</v>
      </c>
      <c r="D7397" s="1" t="s">
        <v>5412</v>
      </c>
      <c r="F7397" s="1" t="s">
        <v>3981</v>
      </c>
      <c r="G7397" s="1" t="s">
        <v>3982</v>
      </c>
      <c r="H7397" s="1" t="s">
        <v>3989</v>
      </c>
      <c r="J7397" s="1" t="s">
        <v>921</v>
      </c>
      <c r="L7397" s="1" t="s">
        <v>1305</v>
      </c>
      <c r="M7397" s="1" t="s">
        <v>4233</v>
      </c>
      <c r="N7397" s="1" t="s">
        <v>4234</v>
      </c>
      <c r="P7397" s="1" t="s">
        <v>4237</v>
      </c>
      <c r="Q7397" s="30" t="s">
        <v>2566</v>
      </c>
      <c r="R7397" s="33" t="s">
        <v>3474</v>
      </c>
      <c r="S7397">
        <v>35</v>
      </c>
      <c r="T7397" s="1" t="s">
        <v>5416</v>
      </c>
      <c r="U7397" s="1" t="str">
        <f>HYPERLINK("http://ictvonline.org/taxonomy/p/taxonomy-history?taxnode_id=202101596","ICTVonline=202101596")</f>
        <v>ICTVonline=202101596</v>
      </c>
    </row>
    <row r="7398" spans="1:21" x14ac:dyDescent="0.2">
      <c r="A7398" s="3">
        <v>7397</v>
      </c>
      <c r="B7398" s="1" t="s">
        <v>4226</v>
      </c>
      <c r="D7398" s="1" t="s">
        <v>5412</v>
      </c>
      <c r="F7398" s="1" t="s">
        <v>3981</v>
      </c>
      <c r="G7398" s="1" t="s">
        <v>3982</v>
      </c>
      <c r="H7398" s="1" t="s">
        <v>3989</v>
      </c>
      <c r="J7398" s="1" t="s">
        <v>921</v>
      </c>
      <c r="L7398" s="1" t="s">
        <v>1305</v>
      </c>
      <c r="M7398" s="1" t="s">
        <v>4233</v>
      </c>
      <c r="N7398" s="1" t="s">
        <v>4234</v>
      </c>
      <c r="P7398" s="1" t="s">
        <v>4238</v>
      </c>
      <c r="Q7398" s="30" t="s">
        <v>2566</v>
      </c>
      <c r="R7398" s="33" t="s">
        <v>3474</v>
      </c>
      <c r="S7398">
        <v>35</v>
      </c>
      <c r="T7398" s="1" t="s">
        <v>5416</v>
      </c>
      <c r="U7398" s="1" t="str">
        <f>HYPERLINK("http://ictvonline.org/taxonomy/p/taxonomy-history?taxnode_id=202101597","ICTVonline=202101597")</f>
        <v>ICTVonline=202101597</v>
      </c>
    </row>
    <row r="7399" spans="1:21" x14ac:dyDescent="0.2">
      <c r="A7399" s="3">
        <v>7398</v>
      </c>
      <c r="B7399" s="1" t="s">
        <v>4226</v>
      </c>
      <c r="D7399" s="1" t="s">
        <v>5412</v>
      </c>
      <c r="F7399" s="1" t="s">
        <v>3981</v>
      </c>
      <c r="G7399" s="1" t="s">
        <v>3982</v>
      </c>
      <c r="H7399" s="1" t="s">
        <v>3989</v>
      </c>
      <c r="J7399" s="1" t="s">
        <v>921</v>
      </c>
      <c r="L7399" s="1" t="s">
        <v>1305</v>
      </c>
      <c r="M7399" s="1" t="s">
        <v>4233</v>
      </c>
      <c r="N7399" s="1" t="s">
        <v>4234</v>
      </c>
      <c r="P7399" s="1" t="s">
        <v>4239</v>
      </c>
      <c r="Q7399" s="30" t="s">
        <v>2566</v>
      </c>
      <c r="R7399" s="33" t="s">
        <v>3474</v>
      </c>
      <c r="S7399">
        <v>35</v>
      </c>
      <c r="T7399" s="1" t="s">
        <v>5416</v>
      </c>
      <c r="U7399" s="1" t="str">
        <f>HYPERLINK("http://ictvonline.org/taxonomy/p/taxonomy-history?taxnode_id=202101598","ICTVonline=202101598")</f>
        <v>ICTVonline=202101598</v>
      </c>
    </row>
    <row r="7400" spans="1:21" x14ac:dyDescent="0.2">
      <c r="A7400" s="3">
        <v>7399</v>
      </c>
      <c r="B7400" s="1" t="s">
        <v>4226</v>
      </c>
      <c r="D7400" s="1" t="s">
        <v>5412</v>
      </c>
      <c r="F7400" s="1" t="s">
        <v>3981</v>
      </c>
      <c r="G7400" s="1" t="s">
        <v>3982</v>
      </c>
      <c r="H7400" s="1" t="s">
        <v>3989</v>
      </c>
      <c r="J7400" s="1" t="s">
        <v>921</v>
      </c>
      <c r="L7400" s="1" t="s">
        <v>1305</v>
      </c>
      <c r="M7400" s="1" t="s">
        <v>4233</v>
      </c>
      <c r="N7400" s="1" t="s">
        <v>4234</v>
      </c>
      <c r="P7400" s="1" t="s">
        <v>4240</v>
      </c>
      <c r="Q7400" s="30" t="s">
        <v>2566</v>
      </c>
      <c r="R7400" s="33" t="s">
        <v>3474</v>
      </c>
      <c r="S7400">
        <v>35</v>
      </c>
      <c r="T7400" s="1" t="s">
        <v>5416</v>
      </c>
      <c r="U7400" s="1" t="str">
        <f>HYPERLINK("http://ictvonline.org/taxonomy/p/taxonomy-history?taxnode_id=202101600","ICTVonline=202101600")</f>
        <v>ICTVonline=202101600</v>
      </c>
    </row>
    <row r="7401" spans="1:21" x14ac:dyDescent="0.2">
      <c r="A7401" s="3">
        <v>7400</v>
      </c>
      <c r="B7401" s="1" t="s">
        <v>4226</v>
      </c>
      <c r="D7401" s="1" t="s">
        <v>5412</v>
      </c>
      <c r="F7401" s="1" t="s">
        <v>3981</v>
      </c>
      <c r="G7401" s="1" t="s">
        <v>3982</v>
      </c>
      <c r="H7401" s="1" t="s">
        <v>3989</v>
      </c>
      <c r="J7401" s="1" t="s">
        <v>921</v>
      </c>
      <c r="L7401" s="1" t="s">
        <v>1305</v>
      </c>
      <c r="M7401" s="1" t="s">
        <v>4233</v>
      </c>
      <c r="N7401" s="1" t="s">
        <v>4234</v>
      </c>
      <c r="P7401" s="1" t="s">
        <v>4241</v>
      </c>
      <c r="Q7401" s="30" t="s">
        <v>2566</v>
      </c>
      <c r="R7401" s="33" t="s">
        <v>3474</v>
      </c>
      <c r="S7401">
        <v>35</v>
      </c>
      <c r="T7401" s="1" t="s">
        <v>5416</v>
      </c>
      <c r="U7401" s="1" t="str">
        <f>HYPERLINK("http://ictvonline.org/taxonomy/p/taxonomy-history?taxnode_id=202101601","ICTVonline=202101601")</f>
        <v>ICTVonline=202101601</v>
      </c>
    </row>
    <row r="7402" spans="1:21" x14ac:dyDescent="0.2">
      <c r="A7402" s="3">
        <v>7401</v>
      </c>
      <c r="B7402" s="1" t="s">
        <v>4226</v>
      </c>
      <c r="D7402" s="1" t="s">
        <v>5412</v>
      </c>
      <c r="F7402" s="1" t="s">
        <v>3981</v>
      </c>
      <c r="G7402" s="1" t="s">
        <v>3982</v>
      </c>
      <c r="H7402" s="1" t="s">
        <v>3989</v>
      </c>
      <c r="J7402" s="1" t="s">
        <v>921</v>
      </c>
      <c r="L7402" s="1" t="s">
        <v>1305</v>
      </c>
      <c r="M7402" s="1" t="s">
        <v>4233</v>
      </c>
      <c r="N7402" s="1" t="s">
        <v>4234</v>
      </c>
      <c r="P7402" s="1" t="s">
        <v>4242</v>
      </c>
      <c r="Q7402" s="30" t="s">
        <v>2566</v>
      </c>
      <c r="R7402" s="33" t="s">
        <v>3474</v>
      </c>
      <c r="S7402">
        <v>35</v>
      </c>
      <c r="T7402" s="1" t="s">
        <v>5416</v>
      </c>
      <c r="U7402" s="1" t="str">
        <f>HYPERLINK("http://ictvonline.org/taxonomy/p/taxonomy-history?taxnode_id=202105574","ICTVonline=202105574")</f>
        <v>ICTVonline=202105574</v>
      </c>
    </row>
    <row r="7403" spans="1:21" x14ac:dyDescent="0.2">
      <c r="A7403" s="3">
        <v>7402</v>
      </c>
      <c r="B7403" s="1" t="s">
        <v>4226</v>
      </c>
      <c r="D7403" s="1" t="s">
        <v>5412</v>
      </c>
      <c r="F7403" s="1" t="s">
        <v>3981</v>
      </c>
      <c r="G7403" s="1" t="s">
        <v>3982</v>
      </c>
      <c r="H7403" s="1" t="s">
        <v>3989</v>
      </c>
      <c r="J7403" s="1" t="s">
        <v>921</v>
      </c>
      <c r="L7403" s="1" t="s">
        <v>1305</v>
      </c>
      <c r="M7403" s="1" t="s">
        <v>4233</v>
      </c>
      <c r="N7403" s="1" t="s">
        <v>4234</v>
      </c>
      <c r="P7403" s="1" t="s">
        <v>4243</v>
      </c>
      <c r="Q7403" s="30" t="s">
        <v>2566</v>
      </c>
      <c r="R7403" s="33" t="s">
        <v>3474</v>
      </c>
      <c r="S7403">
        <v>35</v>
      </c>
      <c r="T7403" s="1" t="s">
        <v>5416</v>
      </c>
      <c r="U7403" s="1" t="str">
        <f>HYPERLINK("http://ictvonline.org/taxonomy/p/taxonomy-history?taxnode_id=202105575","ICTVonline=202105575")</f>
        <v>ICTVonline=202105575</v>
      </c>
    </row>
    <row r="7404" spans="1:21" x14ac:dyDescent="0.2">
      <c r="A7404" s="3">
        <v>7403</v>
      </c>
      <c r="B7404" s="1" t="s">
        <v>4226</v>
      </c>
      <c r="D7404" s="1" t="s">
        <v>5412</v>
      </c>
      <c r="F7404" s="1" t="s">
        <v>3981</v>
      </c>
      <c r="G7404" s="1" t="s">
        <v>3982</v>
      </c>
      <c r="H7404" s="1" t="s">
        <v>3989</v>
      </c>
      <c r="J7404" s="1" t="s">
        <v>921</v>
      </c>
      <c r="L7404" s="1" t="s">
        <v>1305</v>
      </c>
      <c r="M7404" s="1" t="s">
        <v>4233</v>
      </c>
      <c r="N7404" s="1" t="s">
        <v>4234</v>
      </c>
      <c r="P7404" s="1" t="s">
        <v>4244</v>
      </c>
      <c r="Q7404" s="30" t="s">
        <v>2566</v>
      </c>
      <c r="R7404" s="33" t="s">
        <v>3474</v>
      </c>
      <c r="S7404">
        <v>35</v>
      </c>
      <c r="T7404" s="1" t="s">
        <v>5416</v>
      </c>
      <c r="U7404" s="1" t="str">
        <f>HYPERLINK("http://ictvonline.org/taxonomy/p/taxonomy-history?taxnode_id=202106448","ICTVonline=202106448")</f>
        <v>ICTVonline=202106448</v>
      </c>
    </row>
    <row r="7405" spans="1:21" x14ac:dyDescent="0.2">
      <c r="A7405" s="3">
        <v>7404</v>
      </c>
      <c r="B7405" s="1" t="s">
        <v>4226</v>
      </c>
      <c r="D7405" s="1" t="s">
        <v>5412</v>
      </c>
      <c r="F7405" s="1" t="s">
        <v>3981</v>
      </c>
      <c r="G7405" s="1" t="s">
        <v>3982</v>
      </c>
      <c r="H7405" s="1" t="s">
        <v>3989</v>
      </c>
      <c r="J7405" s="1" t="s">
        <v>921</v>
      </c>
      <c r="L7405" s="1" t="s">
        <v>1305</v>
      </c>
      <c r="M7405" s="1" t="s">
        <v>4233</v>
      </c>
      <c r="N7405" s="1" t="s">
        <v>4234</v>
      </c>
      <c r="P7405" s="1" t="s">
        <v>8183</v>
      </c>
      <c r="Q7405" s="30" t="s">
        <v>2566</v>
      </c>
      <c r="R7405" s="33" t="s">
        <v>3472</v>
      </c>
      <c r="S7405">
        <v>36</v>
      </c>
      <c r="T7405" s="1" t="s">
        <v>8184</v>
      </c>
      <c r="U7405" s="1" t="str">
        <f>HYPERLINK("http://ictvonline.org/taxonomy/p/taxonomy-history?taxnode_id=202109286","ICTVonline=202109286")</f>
        <v>ICTVonline=202109286</v>
      </c>
    </row>
    <row r="7406" spans="1:21" x14ac:dyDescent="0.2">
      <c r="A7406" s="3">
        <v>7405</v>
      </c>
      <c r="B7406" s="1" t="s">
        <v>4226</v>
      </c>
      <c r="D7406" s="1" t="s">
        <v>5412</v>
      </c>
      <c r="F7406" s="1" t="s">
        <v>3981</v>
      </c>
      <c r="G7406" s="1" t="s">
        <v>3982</v>
      </c>
      <c r="H7406" s="1" t="s">
        <v>3989</v>
      </c>
      <c r="J7406" s="1" t="s">
        <v>921</v>
      </c>
      <c r="L7406" s="1" t="s">
        <v>1305</v>
      </c>
      <c r="M7406" s="1" t="s">
        <v>4233</v>
      </c>
      <c r="N7406" s="1" t="s">
        <v>4245</v>
      </c>
      <c r="P7406" s="1" t="s">
        <v>4246</v>
      </c>
      <c r="Q7406" s="30" t="s">
        <v>2566</v>
      </c>
      <c r="R7406" s="33" t="s">
        <v>8665</v>
      </c>
      <c r="S7406">
        <v>36</v>
      </c>
      <c r="T7406" s="1" t="s">
        <v>8661</v>
      </c>
      <c r="U7406" s="1" t="str">
        <f>HYPERLINK("http://ictvonline.org/taxonomy/p/taxonomy-history?taxnode_id=202101591","ICTVonline=202101591")</f>
        <v>ICTVonline=202101591</v>
      </c>
    </row>
    <row r="7407" spans="1:21" x14ac:dyDescent="0.2">
      <c r="A7407" s="3">
        <v>7406</v>
      </c>
      <c r="B7407" s="1" t="s">
        <v>4226</v>
      </c>
      <c r="D7407" s="1" t="s">
        <v>5412</v>
      </c>
      <c r="F7407" s="1" t="s">
        <v>3981</v>
      </c>
      <c r="G7407" s="1" t="s">
        <v>3982</v>
      </c>
      <c r="H7407" s="1" t="s">
        <v>3989</v>
      </c>
      <c r="J7407" s="1" t="s">
        <v>921</v>
      </c>
      <c r="L7407" s="1" t="s">
        <v>1305</v>
      </c>
      <c r="M7407" s="1" t="s">
        <v>4233</v>
      </c>
      <c r="N7407" s="1" t="s">
        <v>4245</v>
      </c>
      <c r="P7407" s="1" t="s">
        <v>4247</v>
      </c>
      <c r="Q7407" s="30" t="s">
        <v>2566</v>
      </c>
      <c r="R7407" s="33" t="s">
        <v>3474</v>
      </c>
      <c r="S7407">
        <v>35</v>
      </c>
      <c r="T7407" s="1" t="s">
        <v>5416</v>
      </c>
      <c r="U7407" s="1" t="str">
        <f>HYPERLINK("http://ictvonline.org/taxonomy/p/taxonomy-history?taxnode_id=202101599","ICTVonline=202101599")</f>
        <v>ICTVonline=202101599</v>
      </c>
    </row>
    <row r="7408" spans="1:21" x14ac:dyDescent="0.2">
      <c r="A7408" s="3">
        <v>7407</v>
      </c>
      <c r="B7408" s="1" t="s">
        <v>4226</v>
      </c>
      <c r="D7408" s="1" t="s">
        <v>5412</v>
      </c>
      <c r="F7408" s="1" t="s">
        <v>3981</v>
      </c>
      <c r="G7408" s="1" t="s">
        <v>3982</v>
      </c>
      <c r="H7408" s="1" t="s">
        <v>3989</v>
      </c>
      <c r="J7408" s="1" t="s">
        <v>921</v>
      </c>
      <c r="L7408" s="1" t="s">
        <v>1305</v>
      </c>
      <c r="M7408" s="1" t="s">
        <v>4233</v>
      </c>
      <c r="N7408" s="1" t="s">
        <v>4245</v>
      </c>
      <c r="P7408" s="1" t="s">
        <v>4248</v>
      </c>
      <c r="Q7408" s="30" t="s">
        <v>2566</v>
      </c>
      <c r="R7408" s="33" t="s">
        <v>3474</v>
      </c>
      <c r="S7408">
        <v>35</v>
      </c>
      <c r="T7408" s="1" t="s">
        <v>5416</v>
      </c>
      <c r="U7408" s="1" t="str">
        <f>HYPERLINK("http://ictvonline.org/taxonomy/p/taxonomy-history?taxnode_id=202101602","ICTVonline=202101602")</f>
        <v>ICTVonline=202101602</v>
      </c>
    </row>
    <row r="7409" spans="1:21" x14ac:dyDescent="0.2">
      <c r="A7409" s="3">
        <v>7408</v>
      </c>
      <c r="B7409" s="1" t="s">
        <v>4226</v>
      </c>
      <c r="D7409" s="1" t="s">
        <v>5412</v>
      </c>
      <c r="F7409" s="1" t="s">
        <v>3981</v>
      </c>
      <c r="G7409" s="1" t="s">
        <v>3982</v>
      </c>
      <c r="H7409" s="1" t="s">
        <v>3989</v>
      </c>
      <c r="J7409" s="1" t="s">
        <v>921</v>
      </c>
      <c r="L7409" s="1" t="s">
        <v>1305</v>
      </c>
      <c r="M7409" s="1" t="s">
        <v>4233</v>
      </c>
      <c r="N7409" s="1" t="s">
        <v>4245</v>
      </c>
      <c r="P7409" s="1" t="s">
        <v>4249</v>
      </c>
      <c r="Q7409" s="30" t="s">
        <v>2566</v>
      </c>
      <c r="R7409" s="33" t="s">
        <v>3474</v>
      </c>
      <c r="S7409">
        <v>35</v>
      </c>
      <c r="T7409" s="1" t="s">
        <v>5416</v>
      </c>
      <c r="U7409" s="1" t="str">
        <f>HYPERLINK("http://ictvonline.org/taxonomy/p/taxonomy-history?taxnode_id=202101603","ICTVonline=202101603")</f>
        <v>ICTVonline=202101603</v>
      </c>
    </row>
    <row r="7410" spans="1:21" x14ac:dyDescent="0.2">
      <c r="A7410" s="3">
        <v>7409</v>
      </c>
      <c r="B7410" s="1" t="s">
        <v>4226</v>
      </c>
      <c r="D7410" s="1" t="s">
        <v>5412</v>
      </c>
      <c r="F7410" s="1" t="s">
        <v>3981</v>
      </c>
      <c r="G7410" s="1" t="s">
        <v>3982</v>
      </c>
      <c r="H7410" s="1" t="s">
        <v>3989</v>
      </c>
      <c r="J7410" s="1" t="s">
        <v>921</v>
      </c>
      <c r="L7410" s="1" t="s">
        <v>1305</v>
      </c>
      <c r="M7410" s="1" t="s">
        <v>4233</v>
      </c>
      <c r="N7410" s="1" t="s">
        <v>4245</v>
      </c>
      <c r="P7410" s="1" t="s">
        <v>4250</v>
      </c>
      <c r="Q7410" s="30" t="s">
        <v>2566</v>
      </c>
      <c r="R7410" s="33" t="s">
        <v>3474</v>
      </c>
      <c r="S7410">
        <v>35</v>
      </c>
      <c r="T7410" s="1" t="s">
        <v>5416</v>
      </c>
      <c r="U7410" s="1" t="str">
        <f>HYPERLINK("http://ictvonline.org/taxonomy/p/taxonomy-history?taxnode_id=202105576","ICTVonline=202105576")</f>
        <v>ICTVonline=202105576</v>
      </c>
    </row>
    <row r="7411" spans="1:21" x14ac:dyDescent="0.2">
      <c r="A7411" s="3">
        <v>7410</v>
      </c>
      <c r="B7411" s="1" t="s">
        <v>4226</v>
      </c>
      <c r="D7411" s="1" t="s">
        <v>5412</v>
      </c>
      <c r="F7411" s="1" t="s">
        <v>3981</v>
      </c>
      <c r="G7411" s="1" t="s">
        <v>3982</v>
      </c>
      <c r="H7411" s="1" t="s">
        <v>3989</v>
      </c>
      <c r="J7411" s="1" t="s">
        <v>921</v>
      </c>
      <c r="L7411" s="1" t="s">
        <v>1305</v>
      </c>
      <c r="M7411" s="1" t="s">
        <v>4233</v>
      </c>
      <c r="N7411" s="1" t="s">
        <v>4245</v>
      </c>
      <c r="P7411" s="1" t="s">
        <v>4251</v>
      </c>
      <c r="Q7411" s="30" t="s">
        <v>2566</v>
      </c>
      <c r="R7411" s="33" t="s">
        <v>3474</v>
      </c>
      <c r="S7411">
        <v>35</v>
      </c>
      <c r="T7411" s="1" t="s">
        <v>5416</v>
      </c>
      <c r="U7411" s="1" t="str">
        <f>HYPERLINK("http://ictvonline.org/taxonomy/p/taxonomy-history?taxnode_id=202105577","ICTVonline=202105577")</f>
        <v>ICTVonline=202105577</v>
      </c>
    </row>
    <row r="7412" spans="1:21" x14ac:dyDescent="0.2">
      <c r="A7412" s="3">
        <v>7411</v>
      </c>
      <c r="B7412" s="1" t="s">
        <v>4226</v>
      </c>
      <c r="D7412" s="1" t="s">
        <v>5412</v>
      </c>
      <c r="F7412" s="1" t="s">
        <v>3981</v>
      </c>
      <c r="G7412" s="1" t="s">
        <v>3982</v>
      </c>
      <c r="H7412" s="1" t="s">
        <v>3989</v>
      </c>
      <c r="J7412" s="1" t="s">
        <v>921</v>
      </c>
      <c r="L7412" s="1" t="s">
        <v>1305</v>
      </c>
      <c r="M7412" s="1" t="s">
        <v>4233</v>
      </c>
      <c r="N7412" s="1" t="s">
        <v>4245</v>
      </c>
      <c r="P7412" s="1" t="s">
        <v>4252</v>
      </c>
      <c r="Q7412" s="30" t="s">
        <v>2566</v>
      </c>
      <c r="R7412" s="33" t="s">
        <v>3474</v>
      </c>
      <c r="S7412">
        <v>35</v>
      </c>
      <c r="T7412" s="1" t="s">
        <v>5416</v>
      </c>
      <c r="U7412" s="1" t="str">
        <f>HYPERLINK("http://ictvonline.org/taxonomy/p/taxonomy-history?taxnode_id=202105578","ICTVonline=202105578")</f>
        <v>ICTVonline=202105578</v>
      </c>
    </row>
    <row r="7413" spans="1:21" x14ac:dyDescent="0.2">
      <c r="A7413" s="3">
        <v>7412</v>
      </c>
      <c r="B7413" s="1" t="s">
        <v>4226</v>
      </c>
      <c r="D7413" s="1" t="s">
        <v>5412</v>
      </c>
      <c r="F7413" s="1" t="s">
        <v>3981</v>
      </c>
      <c r="G7413" s="1" t="s">
        <v>3982</v>
      </c>
      <c r="H7413" s="1" t="s">
        <v>3989</v>
      </c>
      <c r="J7413" s="1" t="s">
        <v>921</v>
      </c>
      <c r="L7413" s="1" t="s">
        <v>1305</v>
      </c>
      <c r="M7413" s="1" t="s">
        <v>4233</v>
      </c>
      <c r="N7413" s="1" t="s">
        <v>4245</v>
      </c>
      <c r="P7413" s="1" t="s">
        <v>4253</v>
      </c>
      <c r="Q7413" s="30" t="s">
        <v>2566</v>
      </c>
      <c r="R7413" s="33" t="s">
        <v>3474</v>
      </c>
      <c r="S7413">
        <v>35</v>
      </c>
      <c r="T7413" s="1" t="s">
        <v>5416</v>
      </c>
      <c r="U7413" s="1" t="str">
        <f>HYPERLINK("http://ictvonline.org/taxonomy/p/taxonomy-history?taxnode_id=202105579","ICTVonline=202105579")</f>
        <v>ICTVonline=202105579</v>
      </c>
    </row>
    <row r="7414" spans="1:21" x14ac:dyDescent="0.2">
      <c r="A7414" s="3">
        <v>7413</v>
      </c>
      <c r="B7414" s="1" t="s">
        <v>4226</v>
      </c>
      <c r="D7414" s="1" t="s">
        <v>5412</v>
      </c>
      <c r="F7414" s="1" t="s">
        <v>3981</v>
      </c>
      <c r="G7414" s="1" t="s">
        <v>3982</v>
      </c>
      <c r="H7414" s="1" t="s">
        <v>3989</v>
      </c>
      <c r="J7414" s="1" t="s">
        <v>921</v>
      </c>
      <c r="L7414" s="1" t="s">
        <v>1305</v>
      </c>
      <c r="M7414" s="1" t="s">
        <v>4233</v>
      </c>
      <c r="N7414" s="1" t="s">
        <v>4245</v>
      </c>
      <c r="P7414" s="1" t="s">
        <v>5480</v>
      </c>
      <c r="Q7414" s="30" t="s">
        <v>2566</v>
      </c>
      <c r="R7414" s="33" t="s">
        <v>3472</v>
      </c>
      <c r="S7414">
        <v>35</v>
      </c>
      <c r="T7414" s="1" t="s">
        <v>13194</v>
      </c>
      <c r="U7414" s="1" t="str">
        <f>HYPERLINK("http://ictvonline.org/taxonomy/p/taxonomy-history?taxnode_id=202107416","ICTVonline=202107416")</f>
        <v>ICTVonline=202107416</v>
      </c>
    </row>
    <row r="7415" spans="1:21" x14ac:dyDescent="0.2">
      <c r="A7415" s="3">
        <v>7414</v>
      </c>
      <c r="B7415" s="1" t="s">
        <v>4226</v>
      </c>
      <c r="D7415" s="1" t="s">
        <v>5412</v>
      </c>
      <c r="F7415" s="1" t="s">
        <v>3981</v>
      </c>
      <c r="G7415" s="1" t="s">
        <v>3982</v>
      </c>
      <c r="H7415" s="1" t="s">
        <v>3989</v>
      </c>
      <c r="J7415" s="1" t="s">
        <v>921</v>
      </c>
      <c r="L7415" s="1" t="s">
        <v>1305</v>
      </c>
      <c r="M7415" s="1" t="s">
        <v>4233</v>
      </c>
      <c r="N7415" s="1" t="s">
        <v>4254</v>
      </c>
      <c r="P7415" s="1" t="s">
        <v>4255</v>
      </c>
      <c r="Q7415" s="30" t="s">
        <v>2566</v>
      </c>
      <c r="R7415" s="33" t="s">
        <v>8665</v>
      </c>
      <c r="S7415">
        <v>36</v>
      </c>
      <c r="T7415" s="1" t="s">
        <v>8661</v>
      </c>
      <c r="U7415" s="1" t="str">
        <f>HYPERLINK("http://ictvonline.org/taxonomy/p/taxonomy-history?taxnode_id=202101593","ICTVonline=202101593")</f>
        <v>ICTVonline=202101593</v>
      </c>
    </row>
    <row r="7416" spans="1:21" x14ac:dyDescent="0.2">
      <c r="A7416" s="3">
        <v>7415</v>
      </c>
      <c r="B7416" s="1" t="s">
        <v>4226</v>
      </c>
      <c r="D7416" s="1" t="s">
        <v>5412</v>
      </c>
      <c r="F7416" s="1" t="s">
        <v>3981</v>
      </c>
      <c r="G7416" s="1" t="s">
        <v>3982</v>
      </c>
      <c r="H7416" s="1" t="s">
        <v>3989</v>
      </c>
      <c r="J7416" s="1" t="s">
        <v>921</v>
      </c>
      <c r="L7416" s="1" t="s">
        <v>1305</v>
      </c>
      <c r="M7416" s="1" t="s">
        <v>4233</v>
      </c>
      <c r="N7416" s="1" t="s">
        <v>4254</v>
      </c>
      <c r="P7416" s="1" t="s">
        <v>4256</v>
      </c>
      <c r="Q7416" s="30" t="s">
        <v>2566</v>
      </c>
      <c r="R7416" s="33" t="s">
        <v>3474</v>
      </c>
      <c r="S7416">
        <v>35</v>
      </c>
      <c r="T7416" s="1" t="s">
        <v>5416</v>
      </c>
      <c r="U7416" s="1" t="str">
        <f>HYPERLINK("http://ictvonline.org/taxonomy/p/taxonomy-history?taxnode_id=202101594","ICTVonline=202101594")</f>
        <v>ICTVonline=202101594</v>
      </c>
    </row>
    <row r="7417" spans="1:21" x14ac:dyDescent="0.2">
      <c r="A7417" s="3">
        <v>7416</v>
      </c>
      <c r="B7417" s="1" t="s">
        <v>4226</v>
      </c>
      <c r="D7417" s="1" t="s">
        <v>5412</v>
      </c>
      <c r="F7417" s="1" t="s">
        <v>3981</v>
      </c>
      <c r="G7417" s="1" t="s">
        <v>3982</v>
      </c>
      <c r="H7417" s="1" t="s">
        <v>3989</v>
      </c>
      <c r="J7417" s="1" t="s">
        <v>921</v>
      </c>
      <c r="L7417" s="1" t="s">
        <v>1305</v>
      </c>
      <c r="M7417" s="1" t="s">
        <v>4257</v>
      </c>
      <c r="N7417" s="1" t="s">
        <v>4258</v>
      </c>
      <c r="P7417" s="1" t="s">
        <v>5481</v>
      </c>
      <c r="Q7417" s="30" t="s">
        <v>2566</v>
      </c>
      <c r="R7417" s="33" t="s">
        <v>8665</v>
      </c>
      <c r="S7417">
        <v>36</v>
      </c>
      <c r="T7417" s="1" t="s">
        <v>8661</v>
      </c>
      <c r="U7417" s="1" t="str">
        <f>HYPERLINK("http://ictvonline.org/taxonomy/p/taxonomy-history?taxnode_id=202106472","ICTVonline=202106472")</f>
        <v>ICTVonline=202106472</v>
      </c>
    </row>
    <row r="7418" spans="1:21" x14ac:dyDescent="0.2">
      <c r="A7418" s="3">
        <v>7417</v>
      </c>
      <c r="B7418" s="1" t="s">
        <v>4226</v>
      </c>
      <c r="D7418" s="1" t="s">
        <v>5412</v>
      </c>
      <c r="F7418" s="1" t="s">
        <v>3981</v>
      </c>
      <c r="G7418" s="1" t="s">
        <v>3982</v>
      </c>
      <c r="H7418" s="1" t="s">
        <v>3989</v>
      </c>
      <c r="J7418" s="1" t="s">
        <v>921</v>
      </c>
      <c r="L7418" s="1" t="s">
        <v>1305</v>
      </c>
      <c r="M7418" s="1" t="s">
        <v>4259</v>
      </c>
      <c r="N7418" s="1" t="s">
        <v>1244</v>
      </c>
      <c r="P7418" s="1" t="s">
        <v>5483</v>
      </c>
      <c r="Q7418" s="30" t="s">
        <v>2566</v>
      </c>
      <c r="R7418" s="33" t="s">
        <v>3472</v>
      </c>
      <c r="S7418">
        <v>35</v>
      </c>
      <c r="T7418" s="1" t="s">
        <v>5484</v>
      </c>
      <c r="U7418" s="1" t="str">
        <f>HYPERLINK("http://ictvonline.org/taxonomy/p/taxonomy-history?taxnode_id=202107559","ICTVonline=202107559")</f>
        <v>ICTVonline=202107559</v>
      </c>
    </row>
    <row r="7419" spans="1:21" x14ac:dyDescent="0.2">
      <c r="A7419" s="3">
        <v>7418</v>
      </c>
      <c r="B7419" s="1" t="s">
        <v>4226</v>
      </c>
      <c r="D7419" s="1" t="s">
        <v>5412</v>
      </c>
      <c r="F7419" s="1" t="s">
        <v>3981</v>
      </c>
      <c r="G7419" s="1" t="s">
        <v>3982</v>
      </c>
      <c r="H7419" s="1" t="s">
        <v>3989</v>
      </c>
      <c r="J7419" s="1" t="s">
        <v>921</v>
      </c>
      <c r="L7419" s="1" t="s">
        <v>1305</v>
      </c>
      <c r="M7419" s="1" t="s">
        <v>4259</v>
      </c>
      <c r="N7419" s="1" t="s">
        <v>1244</v>
      </c>
      <c r="P7419" s="1" t="s">
        <v>5485</v>
      </c>
      <c r="Q7419" s="30" t="s">
        <v>2566</v>
      </c>
      <c r="R7419" s="33" t="s">
        <v>8665</v>
      </c>
      <c r="S7419">
        <v>36</v>
      </c>
      <c r="T7419" s="1" t="s">
        <v>8661</v>
      </c>
      <c r="U7419" s="1" t="str">
        <f>HYPERLINK("http://ictvonline.org/taxonomy/p/taxonomy-history?taxnode_id=202101589","ICTVonline=202101589")</f>
        <v>ICTVonline=202101589</v>
      </c>
    </row>
    <row r="7420" spans="1:21" x14ac:dyDescent="0.2">
      <c r="A7420" s="3">
        <v>7419</v>
      </c>
      <c r="B7420" s="1" t="s">
        <v>4226</v>
      </c>
      <c r="D7420" s="1" t="s">
        <v>5412</v>
      </c>
      <c r="F7420" s="1" t="s">
        <v>3981</v>
      </c>
      <c r="G7420" s="1" t="s">
        <v>3982</v>
      </c>
      <c r="H7420" s="1" t="s">
        <v>3989</v>
      </c>
      <c r="J7420" s="1" t="s">
        <v>921</v>
      </c>
      <c r="L7420" s="1" t="s">
        <v>1305</v>
      </c>
      <c r="M7420" s="1" t="s">
        <v>4259</v>
      </c>
      <c r="N7420" s="1" t="s">
        <v>1245</v>
      </c>
      <c r="P7420" s="1" t="s">
        <v>3476</v>
      </c>
      <c r="Q7420" s="30" t="s">
        <v>2566</v>
      </c>
      <c r="R7420" s="33" t="s">
        <v>8665</v>
      </c>
      <c r="S7420">
        <v>36</v>
      </c>
      <c r="T7420" s="1" t="s">
        <v>8661</v>
      </c>
      <c r="U7420" s="1" t="str">
        <f>HYPERLINK("http://ictvonline.org/taxonomy/p/taxonomy-history?taxnode_id=202101605","ICTVonline=202101605")</f>
        <v>ICTVonline=202101605</v>
      </c>
    </row>
    <row r="7421" spans="1:21" x14ac:dyDescent="0.2">
      <c r="A7421" s="3">
        <v>7420</v>
      </c>
      <c r="B7421" s="1" t="s">
        <v>4226</v>
      </c>
      <c r="D7421" s="1" t="s">
        <v>5412</v>
      </c>
      <c r="F7421" s="1" t="s">
        <v>3981</v>
      </c>
      <c r="G7421" s="1" t="s">
        <v>3982</v>
      </c>
      <c r="H7421" s="1" t="s">
        <v>3989</v>
      </c>
      <c r="J7421" s="1" t="s">
        <v>921</v>
      </c>
      <c r="L7421" s="1" t="s">
        <v>1305</v>
      </c>
      <c r="M7421" s="1" t="s">
        <v>4259</v>
      </c>
      <c r="N7421" s="1" t="s">
        <v>1224</v>
      </c>
      <c r="P7421" s="1" t="s">
        <v>2750</v>
      </c>
      <c r="Q7421" s="30" t="s">
        <v>2566</v>
      </c>
      <c r="R7421" s="33" t="s">
        <v>3474</v>
      </c>
      <c r="S7421">
        <v>35</v>
      </c>
      <c r="T7421" s="1" t="s">
        <v>5416</v>
      </c>
      <c r="U7421" s="1" t="str">
        <f>HYPERLINK("http://ictvonline.org/taxonomy/p/taxonomy-history?taxnode_id=202101607","ICTVonline=202101607")</f>
        <v>ICTVonline=202101607</v>
      </c>
    </row>
    <row r="7422" spans="1:21" x14ac:dyDescent="0.2">
      <c r="A7422" s="3">
        <v>7421</v>
      </c>
      <c r="B7422" s="1" t="s">
        <v>4226</v>
      </c>
      <c r="D7422" s="1" t="s">
        <v>5412</v>
      </c>
      <c r="F7422" s="1" t="s">
        <v>3981</v>
      </c>
      <c r="G7422" s="1" t="s">
        <v>3982</v>
      </c>
      <c r="H7422" s="1" t="s">
        <v>3989</v>
      </c>
      <c r="J7422" s="1" t="s">
        <v>921</v>
      </c>
      <c r="L7422" s="1" t="s">
        <v>1305</v>
      </c>
      <c r="M7422" s="1" t="s">
        <v>4259</v>
      </c>
      <c r="N7422" s="1" t="s">
        <v>1224</v>
      </c>
      <c r="P7422" s="1" t="s">
        <v>2751</v>
      </c>
      <c r="Q7422" s="30" t="s">
        <v>2566</v>
      </c>
      <c r="R7422" s="33" t="s">
        <v>3474</v>
      </c>
      <c r="S7422">
        <v>35</v>
      </c>
      <c r="T7422" s="1" t="s">
        <v>5416</v>
      </c>
      <c r="U7422" s="1" t="str">
        <f>HYPERLINK("http://ictvonline.org/taxonomy/p/taxonomy-history?taxnode_id=202101608","ICTVonline=202101608")</f>
        <v>ICTVonline=202101608</v>
      </c>
    </row>
    <row r="7423" spans="1:21" x14ac:dyDescent="0.2">
      <c r="A7423" s="3">
        <v>7422</v>
      </c>
      <c r="B7423" s="1" t="s">
        <v>4226</v>
      </c>
      <c r="D7423" s="1" t="s">
        <v>5412</v>
      </c>
      <c r="F7423" s="1" t="s">
        <v>3981</v>
      </c>
      <c r="G7423" s="1" t="s">
        <v>3982</v>
      </c>
      <c r="H7423" s="1" t="s">
        <v>3989</v>
      </c>
      <c r="J7423" s="1" t="s">
        <v>921</v>
      </c>
      <c r="L7423" s="1" t="s">
        <v>1305</v>
      </c>
      <c r="M7423" s="1" t="s">
        <v>4259</v>
      </c>
      <c r="N7423" s="1" t="s">
        <v>1224</v>
      </c>
      <c r="P7423" s="1" t="s">
        <v>3477</v>
      </c>
      <c r="Q7423" s="30" t="s">
        <v>2566</v>
      </c>
      <c r="R7423" s="33" t="s">
        <v>8665</v>
      </c>
      <c r="S7423">
        <v>36</v>
      </c>
      <c r="T7423" s="1" t="s">
        <v>8661</v>
      </c>
      <c r="U7423" s="1" t="str">
        <f>HYPERLINK("http://ictvonline.org/taxonomy/p/taxonomy-history?taxnode_id=202101609","ICTVonline=202101609")</f>
        <v>ICTVonline=202101609</v>
      </c>
    </row>
    <row r="7424" spans="1:21" x14ac:dyDescent="0.2">
      <c r="A7424" s="3">
        <v>7423</v>
      </c>
      <c r="B7424" s="1" t="s">
        <v>4226</v>
      </c>
      <c r="D7424" s="1" t="s">
        <v>5412</v>
      </c>
      <c r="F7424" s="1" t="s">
        <v>3981</v>
      </c>
      <c r="G7424" s="1" t="s">
        <v>3982</v>
      </c>
      <c r="H7424" s="1" t="s">
        <v>3989</v>
      </c>
      <c r="J7424" s="1" t="s">
        <v>921</v>
      </c>
      <c r="L7424" s="1" t="s">
        <v>1305</v>
      </c>
      <c r="M7424" s="1" t="s">
        <v>4259</v>
      </c>
      <c r="N7424" s="1" t="s">
        <v>1224</v>
      </c>
      <c r="P7424" s="1" t="s">
        <v>2752</v>
      </c>
      <c r="Q7424" s="30" t="s">
        <v>2566</v>
      </c>
      <c r="R7424" s="33" t="s">
        <v>3474</v>
      </c>
      <c r="S7424">
        <v>35</v>
      </c>
      <c r="T7424" s="1" t="s">
        <v>5416</v>
      </c>
      <c r="U7424" s="1" t="str">
        <f>HYPERLINK("http://ictvonline.org/taxonomy/p/taxonomy-history?taxnode_id=202101610","ICTVonline=202101610")</f>
        <v>ICTVonline=202101610</v>
      </c>
    </row>
    <row r="7425" spans="1:21" x14ac:dyDescent="0.2">
      <c r="A7425" s="3">
        <v>7424</v>
      </c>
      <c r="B7425" s="1" t="s">
        <v>4226</v>
      </c>
      <c r="D7425" s="1" t="s">
        <v>5412</v>
      </c>
      <c r="F7425" s="1" t="s">
        <v>3981</v>
      </c>
      <c r="G7425" s="1" t="s">
        <v>3982</v>
      </c>
      <c r="H7425" s="1" t="s">
        <v>3989</v>
      </c>
      <c r="J7425" s="1" t="s">
        <v>921</v>
      </c>
      <c r="L7425" s="1" t="s">
        <v>1305</v>
      </c>
      <c r="M7425" s="1" t="s">
        <v>4259</v>
      </c>
      <c r="N7425" s="1" t="s">
        <v>1224</v>
      </c>
      <c r="P7425" s="1" t="s">
        <v>3478</v>
      </c>
      <c r="Q7425" s="30" t="s">
        <v>2566</v>
      </c>
      <c r="R7425" s="33" t="s">
        <v>3474</v>
      </c>
      <c r="S7425">
        <v>35</v>
      </c>
      <c r="T7425" s="1" t="s">
        <v>5416</v>
      </c>
      <c r="U7425" s="1" t="str">
        <f>HYPERLINK("http://ictvonline.org/taxonomy/p/taxonomy-history?taxnode_id=202101611","ICTVonline=202101611")</f>
        <v>ICTVonline=202101611</v>
      </c>
    </row>
    <row r="7426" spans="1:21" x14ac:dyDescent="0.2">
      <c r="A7426" s="3">
        <v>7425</v>
      </c>
      <c r="B7426" s="1" t="s">
        <v>4226</v>
      </c>
      <c r="D7426" s="1" t="s">
        <v>5412</v>
      </c>
      <c r="F7426" s="1" t="s">
        <v>3981</v>
      </c>
      <c r="G7426" s="1" t="s">
        <v>3982</v>
      </c>
      <c r="H7426" s="1" t="s">
        <v>3989</v>
      </c>
      <c r="J7426" s="1" t="s">
        <v>921</v>
      </c>
      <c r="L7426" s="1" t="s">
        <v>1305</v>
      </c>
      <c r="M7426" s="1" t="s">
        <v>4259</v>
      </c>
      <c r="N7426" s="1" t="s">
        <v>4260</v>
      </c>
      <c r="P7426" s="1" t="s">
        <v>4261</v>
      </c>
      <c r="Q7426" s="30" t="s">
        <v>2566</v>
      </c>
      <c r="R7426" s="33" t="s">
        <v>8665</v>
      </c>
      <c r="S7426">
        <v>36</v>
      </c>
      <c r="T7426" s="1" t="s">
        <v>8661</v>
      </c>
      <c r="U7426" s="1" t="str">
        <f>HYPERLINK("http://ictvonline.org/taxonomy/p/taxonomy-history?taxnode_id=202106453","ICTVonline=202106453")</f>
        <v>ICTVonline=202106453</v>
      </c>
    </row>
    <row r="7427" spans="1:21" x14ac:dyDescent="0.2">
      <c r="A7427" s="3">
        <v>7426</v>
      </c>
      <c r="B7427" s="1" t="s">
        <v>4226</v>
      </c>
      <c r="D7427" s="1" t="s">
        <v>5412</v>
      </c>
      <c r="F7427" s="1" t="s">
        <v>3981</v>
      </c>
      <c r="G7427" s="1" t="s">
        <v>3982</v>
      </c>
      <c r="H7427" s="1" t="s">
        <v>3989</v>
      </c>
      <c r="J7427" s="1" t="s">
        <v>921</v>
      </c>
      <c r="L7427" s="1" t="s">
        <v>1305</v>
      </c>
      <c r="M7427" s="1" t="s">
        <v>4259</v>
      </c>
      <c r="N7427" s="1" t="s">
        <v>4260</v>
      </c>
      <c r="P7427" s="1" t="s">
        <v>13195</v>
      </c>
      <c r="Q7427" s="30" t="s">
        <v>2566</v>
      </c>
      <c r="R7427" s="33" t="s">
        <v>3472</v>
      </c>
      <c r="S7427">
        <v>37</v>
      </c>
      <c r="T7427" s="1" t="s">
        <v>14019</v>
      </c>
      <c r="U7427" s="1" t="str">
        <f>HYPERLINK("http://ictvonline.org/taxonomy/p/taxonomy-history?taxnode_id=202113350","ICTVonline=202113350")</f>
        <v>ICTVonline=202113350</v>
      </c>
    </row>
    <row r="7428" spans="1:21" x14ac:dyDescent="0.2">
      <c r="A7428" s="3">
        <v>7427</v>
      </c>
      <c r="B7428" s="1" t="s">
        <v>4226</v>
      </c>
      <c r="D7428" s="1" t="s">
        <v>5412</v>
      </c>
      <c r="F7428" s="1" t="s">
        <v>3981</v>
      </c>
      <c r="G7428" s="1" t="s">
        <v>3982</v>
      </c>
      <c r="H7428" s="1" t="s">
        <v>3989</v>
      </c>
      <c r="J7428" s="1" t="s">
        <v>921</v>
      </c>
      <c r="L7428" s="1" t="s">
        <v>1305</v>
      </c>
      <c r="M7428" s="1" t="s">
        <v>4259</v>
      </c>
      <c r="N7428" s="1" t="s">
        <v>4260</v>
      </c>
      <c r="P7428" s="1" t="s">
        <v>13196</v>
      </c>
      <c r="Q7428" s="30" t="s">
        <v>2566</v>
      </c>
      <c r="R7428" s="33" t="s">
        <v>3472</v>
      </c>
      <c r="S7428">
        <v>37</v>
      </c>
      <c r="T7428" s="1" t="s">
        <v>14019</v>
      </c>
      <c r="U7428" s="1" t="str">
        <f>HYPERLINK("http://ictvonline.org/taxonomy/p/taxonomy-history?taxnode_id=202113346","ICTVonline=202113346")</f>
        <v>ICTVonline=202113346</v>
      </c>
    </row>
    <row r="7429" spans="1:21" x14ac:dyDescent="0.2">
      <c r="A7429" s="3">
        <v>7428</v>
      </c>
      <c r="B7429" s="1" t="s">
        <v>4226</v>
      </c>
      <c r="D7429" s="1" t="s">
        <v>5412</v>
      </c>
      <c r="F7429" s="1" t="s">
        <v>3981</v>
      </c>
      <c r="G7429" s="1" t="s">
        <v>3982</v>
      </c>
      <c r="H7429" s="1" t="s">
        <v>3989</v>
      </c>
      <c r="J7429" s="1" t="s">
        <v>921</v>
      </c>
      <c r="L7429" s="1" t="s">
        <v>1305</v>
      </c>
      <c r="M7429" s="1" t="s">
        <v>4259</v>
      </c>
      <c r="N7429" s="1" t="s">
        <v>4260</v>
      </c>
      <c r="P7429" s="1" t="s">
        <v>13197</v>
      </c>
      <c r="Q7429" s="30" t="s">
        <v>2566</v>
      </c>
      <c r="R7429" s="33" t="s">
        <v>3472</v>
      </c>
      <c r="S7429">
        <v>37</v>
      </c>
      <c r="T7429" s="1" t="s">
        <v>14019</v>
      </c>
      <c r="U7429" s="1" t="str">
        <f>HYPERLINK("http://ictvonline.org/taxonomy/p/taxonomy-history?taxnode_id=202113347","ICTVonline=202113347")</f>
        <v>ICTVonline=202113347</v>
      </c>
    </row>
    <row r="7430" spans="1:21" x14ac:dyDescent="0.2">
      <c r="A7430" s="3">
        <v>7429</v>
      </c>
      <c r="B7430" s="1" t="s">
        <v>4226</v>
      </c>
      <c r="D7430" s="1" t="s">
        <v>5412</v>
      </c>
      <c r="F7430" s="1" t="s">
        <v>3981</v>
      </c>
      <c r="G7430" s="1" t="s">
        <v>3982</v>
      </c>
      <c r="H7430" s="1" t="s">
        <v>3989</v>
      </c>
      <c r="J7430" s="1" t="s">
        <v>921</v>
      </c>
      <c r="L7430" s="1" t="s">
        <v>1305</v>
      </c>
      <c r="M7430" s="1" t="s">
        <v>4259</v>
      </c>
      <c r="N7430" s="1" t="s">
        <v>4260</v>
      </c>
      <c r="P7430" s="1" t="s">
        <v>13198</v>
      </c>
      <c r="Q7430" s="30" t="s">
        <v>2566</v>
      </c>
      <c r="R7430" s="33" t="s">
        <v>3472</v>
      </c>
      <c r="S7430">
        <v>37</v>
      </c>
      <c r="T7430" s="1" t="s">
        <v>14019</v>
      </c>
      <c r="U7430" s="1" t="str">
        <f>HYPERLINK("http://ictvonline.org/taxonomy/p/taxonomy-history?taxnode_id=202113345","ICTVonline=202113345")</f>
        <v>ICTVonline=202113345</v>
      </c>
    </row>
    <row r="7431" spans="1:21" x14ac:dyDescent="0.2">
      <c r="A7431" s="3">
        <v>7430</v>
      </c>
      <c r="B7431" s="1" t="s">
        <v>4226</v>
      </c>
      <c r="D7431" s="1" t="s">
        <v>5412</v>
      </c>
      <c r="F7431" s="1" t="s">
        <v>3981</v>
      </c>
      <c r="G7431" s="1" t="s">
        <v>3982</v>
      </c>
      <c r="H7431" s="1" t="s">
        <v>3989</v>
      </c>
      <c r="J7431" s="1" t="s">
        <v>921</v>
      </c>
      <c r="L7431" s="1" t="s">
        <v>1305</v>
      </c>
      <c r="M7431" s="1" t="s">
        <v>4259</v>
      </c>
      <c r="N7431" s="1" t="s">
        <v>4260</v>
      </c>
      <c r="P7431" s="1" t="s">
        <v>13199</v>
      </c>
      <c r="Q7431" s="30" t="s">
        <v>2566</v>
      </c>
      <c r="R7431" s="33" t="s">
        <v>3472</v>
      </c>
      <c r="S7431">
        <v>37</v>
      </c>
      <c r="T7431" s="1" t="s">
        <v>14019</v>
      </c>
      <c r="U7431" s="1" t="str">
        <f>HYPERLINK("http://ictvonline.org/taxonomy/p/taxonomy-history?taxnode_id=202113349","ICTVonline=202113349")</f>
        <v>ICTVonline=202113349</v>
      </c>
    </row>
    <row r="7432" spans="1:21" x14ac:dyDescent="0.2">
      <c r="A7432" s="3">
        <v>7431</v>
      </c>
      <c r="B7432" s="1" t="s">
        <v>4226</v>
      </c>
      <c r="D7432" s="1" t="s">
        <v>5412</v>
      </c>
      <c r="F7432" s="1" t="s">
        <v>3981</v>
      </c>
      <c r="G7432" s="1" t="s">
        <v>3982</v>
      </c>
      <c r="H7432" s="1" t="s">
        <v>3989</v>
      </c>
      <c r="J7432" s="1" t="s">
        <v>921</v>
      </c>
      <c r="L7432" s="1" t="s">
        <v>1305</v>
      </c>
      <c r="M7432" s="1" t="s">
        <v>4259</v>
      </c>
      <c r="N7432" s="1" t="s">
        <v>4260</v>
      </c>
      <c r="P7432" s="1" t="s">
        <v>13200</v>
      </c>
      <c r="Q7432" s="30" t="s">
        <v>2566</v>
      </c>
      <c r="R7432" s="33" t="s">
        <v>3472</v>
      </c>
      <c r="S7432">
        <v>37</v>
      </c>
      <c r="T7432" s="1" t="s">
        <v>14019</v>
      </c>
      <c r="U7432" s="1" t="str">
        <f>HYPERLINK("http://ictvonline.org/taxonomy/p/taxonomy-history?taxnode_id=202113348","ICTVonline=202113348")</f>
        <v>ICTVonline=202113348</v>
      </c>
    </row>
    <row r="7433" spans="1:21" x14ac:dyDescent="0.2">
      <c r="A7433" s="3">
        <v>7432</v>
      </c>
      <c r="B7433" s="1" t="s">
        <v>4226</v>
      </c>
      <c r="D7433" s="1" t="s">
        <v>5412</v>
      </c>
      <c r="F7433" s="1" t="s">
        <v>3981</v>
      </c>
      <c r="G7433" s="1" t="s">
        <v>3982</v>
      </c>
      <c r="H7433" s="1" t="s">
        <v>3989</v>
      </c>
      <c r="J7433" s="1" t="s">
        <v>921</v>
      </c>
      <c r="L7433" s="1" t="s">
        <v>1305</v>
      </c>
      <c r="M7433" s="1" t="s">
        <v>4259</v>
      </c>
      <c r="N7433" s="1" t="s">
        <v>4260</v>
      </c>
      <c r="P7433" s="1" t="s">
        <v>13201</v>
      </c>
      <c r="Q7433" s="30" t="s">
        <v>2566</v>
      </c>
      <c r="R7433" s="33" t="s">
        <v>3472</v>
      </c>
      <c r="S7433">
        <v>37</v>
      </c>
      <c r="T7433" s="1" t="s">
        <v>14019</v>
      </c>
      <c r="U7433" s="1" t="str">
        <f>HYPERLINK("http://ictvonline.org/taxonomy/p/taxonomy-history?taxnode_id=202113351","ICTVonline=202113351")</f>
        <v>ICTVonline=202113351</v>
      </c>
    </row>
    <row r="7434" spans="1:21" x14ac:dyDescent="0.2">
      <c r="A7434" s="3">
        <v>7433</v>
      </c>
      <c r="B7434" s="1" t="s">
        <v>4226</v>
      </c>
      <c r="D7434" s="1" t="s">
        <v>5412</v>
      </c>
      <c r="F7434" s="1" t="s">
        <v>3981</v>
      </c>
      <c r="G7434" s="1" t="s">
        <v>3982</v>
      </c>
      <c r="H7434" s="1" t="s">
        <v>3989</v>
      </c>
      <c r="J7434" s="1" t="s">
        <v>921</v>
      </c>
      <c r="L7434" s="1" t="s">
        <v>1305</v>
      </c>
      <c r="M7434" s="1" t="s">
        <v>4259</v>
      </c>
      <c r="N7434" s="1" t="s">
        <v>4260</v>
      </c>
      <c r="P7434" s="1" t="s">
        <v>13202</v>
      </c>
      <c r="Q7434" s="30" t="s">
        <v>2566</v>
      </c>
      <c r="R7434" s="33" t="s">
        <v>3472</v>
      </c>
      <c r="S7434">
        <v>37</v>
      </c>
      <c r="T7434" s="1" t="s">
        <v>14019</v>
      </c>
      <c r="U7434" s="1" t="str">
        <f>HYPERLINK("http://ictvonline.org/taxonomy/p/taxonomy-history?taxnode_id=202113344","ICTVonline=202113344")</f>
        <v>ICTVonline=202113344</v>
      </c>
    </row>
    <row r="7435" spans="1:21" x14ac:dyDescent="0.2">
      <c r="A7435" s="3">
        <v>7434</v>
      </c>
      <c r="B7435" s="1" t="s">
        <v>4226</v>
      </c>
      <c r="D7435" s="1" t="s">
        <v>5412</v>
      </c>
      <c r="F7435" s="1" t="s">
        <v>3981</v>
      </c>
      <c r="G7435" s="1" t="s">
        <v>3982</v>
      </c>
      <c r="H7435" s="1" t="s">
        <v>3989</v>
      </c>
      <c r="J7435" s="1" t="s">
        <v>921</v>
      </c>
      <c r="L7435" s="1" t="s">
        <v>1305</v>
      </c>
      <c r="M7435" s="1" t="s">
        <v>4259</v>
      </c>
      <c r="N7435" s="1" t="s">
        <v>4260</v>
      </c>
      <c r="P7435" s="1" t="s">
        <v>4262</v>
      </c>
      <c r="Q7435" s="30" t="s">
        <v>2566</v>
      </c>
      <c r="R7435" s="33" t="s">
        <v>3474</v>
      </c>
      <c r="S7435">
        <v>35</v>
      </c>
      <c r="T7435" s="1" t="s">
        <v>5416</v>
      </c>
      <c r="U7435" s="1" t="str">
        <f>HYPERLINK("http://ictvonline.org/taxonomy/p/taxonomy-history?taxnode_id=202106454","ICTVonline=202106454")</f>
        <v>ICTVonline=202106454</v>
      </c>
    </row>
    <row r="7436" spans="1:21" x14ac:dyDescent="0.2">
      <c r="A7436" s="3">
        <v>7435</v>
      </c>
      <c r="B7436" s="1" t="s">
        <v>4226</v>
      </c>
      <c r="D7436" s="1" t="s">
        <v>5412</v>
      </c>
      <c r="F7436" s="1" t="s">
        <v>3981</v>
      </c>
      <c r="G7436" s="1" t="s">
        <v>3982</v>
      </c>
      <c r="H7436" s="1" t="s">
        <v>3989</v>
      </c>
      <c r="J7436" s="1" t="s">
        <v>921</v>
      </c>
      <c r="L7436" s="1" t="s">
        <v>1305</v>
      </c>
      <c r="M7436" s="1" t="s">
        <v>4259</v>
      </c>
      <c r="N7436" s="1" t="s">
        <v>4260</v>
      </c>
      <c r="P7436" s="1" t="s">
        <v>4263</v>
      </c>
      <c r="Q7436" s="30" t="s">
        <v>2566</v>
      </c>
      <c r="R7436" s="33" t="s">
        <v>3474</v>
      </c>
      <c r="S7436">
        <v>35</v>
      </c>
      <c r="T7436" s="1" t="s">
        <v>5416</v>
      </c>
      <c r="U7436" s="1" t="str">
        <f>HYPERLINK("http://ictvonline.org/taxonomy/p/taxonomy-history?taxnode_id=202106455","ICTVonline=202106455")</f>
        <v>ICTVonline=202106455</v>
      </c>
    </row>
    <row r="7437" spans="1:21" x14ac:dyDescent="0.2">
      <c r="A7437" s="3">
        <v>7436</v>
      </c>
      <c r="B7437" s="1" t="s">
        <v>4226</v>
      </c>
      <c r="D7437" s="1" t="s">
        <v>5412</v>
      </c>
      <c r="F7437" s="1" t="s">
        <v>3981</v>
      </c>
      <c r="G7437" s="1" t="s">
        <v>3982</v>
      </c>
      <c r="H7437" s="1" t="s">
        <v>3989</v>
      </c>
      <c r="J7437" s="1" t="s">
        <v>921</v>
      </c>
      <c r="L7437" s="1" t="s">
        <v>1305</v>
      </c>
      <c r="M7437" s="1" t="s">
        <v>4259</v>
      </c>
      <c r="N7437" s="1" t="s">
        <v>4260</v>
      </c>
      <c r="P7437" s="1" t="s">
        <v>4264</v>
      </c>
      <c r="Q7437" s="30" t="s">
        <v>2566</v>
      </c>
      <c r="R7437" s="33" t="s">
        <v>3474</v>
      </c>
      <c r="S7437">
        <v>35</v>
      </c>
      <c r="T7437" s="1" t="s">
        <v>5416</v>
      </c>
      <c r="U7437" s="1" t="str">
        <f>HYPERLINK("http://ictvonline.org/taxonomy/p/taxonomy-history?taxnode_id=202106456","ICTVonline=202106456")</f>
        <v>ICTVonline=202106456</v>
      </c>
    </row>
    <row r="7438" spans="1:21" x14ac:dyDescent="0.2">
      <c r="A7438" s="3">
        <v>7437</v>
      </c>
      <c r="B7438" s="1" t="s">
        <v>4226</v>
      </c>
      <c r="D7438" s="1" t="s">
        <v>5412</v>
      </c>
      <c r="F7438" s="1" t="s">
        <v>3981</v>
      </c>
      <c r="G7438" s="1" t="s">
        <v>3982</v>
      </c>
      <c r="H7438" s="1" t="s">
        <v>3989</v>
      </c>
      <c r="J7438" s="1" t="s">
        <v>921</v>
      </c>
      <c r="L7438" s="1" t="s">
        <v>1305</v>
      </c>
      <c r="M7438" s="1" t="s">
        <v>4259</v>
      </c>
      <c r="N7438" s="1" t="s">
        <v>4260</v>
      </c>
      <c r="P7438" s="1" t="s">
        <v>5486</v>
      </c>
      <c r="Q7438" s="30" t="s">
        <v>2566</v>
      </c>
      <c r="R7438" s="33" t="s">
        <v>3472</v>
      </c>
      <c r="S7438">
        <v>35</v>
      </c>
      <c r="T7438" s="1" t="s">
        <v>5484</v>
      </c>
      <c r="U7438" s="1" t="str">
        <f>HYPERLINK("http://ictvonline.org/taxonomy/p/taxonomy-history?taxnode_id=202107560","ICTVonline=202107560")</f>
        <v>ICTVonline=202107560</v>
      </c>
    </row>
    <row r="7439" spans="1:21" x14ac:dyDescent="0.2">
      <c r="A7439" s="3">
        <v>7438</v>
      </c>
      <c r="B7439" s="1" t="s">
        <v>4226</v>
      </c>
      <c r="D7439" s="1" t="s">
        <v>5412</v>
      </c>
      <c r="F7439" s="1" t="s">
        <v>3981</v>
      </c>
      <c r="G7439" s="1" t="s">
        <v>3982</v>
      </c>
      <c r="H7439" s="1" t="s">
        <v>3989</v>
      </c>
      <c r="J7439" s="1" t="s">
        <v>921</v>
      </c>
      <c r="L7439" s="1" t="s">
        <v>1305</v>
      </c>
      <c r="M7439" s="1" t="s">
        <v>4259</v>
      </c>
      <c r="N7439" s="1" t="s">
        <v>4260</v>
      </c>
      <c r="P7439" s="1" t="s">
        <v>4265</v>
      </c>
      <c r="Q7439" s="30" t="s">
        <v>2566</v>
      </c>
      <c r="R7439" s="33" t="s">
        <v>3474</v>
      </c>
      <c r="S7439">
        <v>35</v>
      </c>
      <c r="T7439" s="1" t="s">
        <v>5416</v>
      </c>
      <c r="U7439" s="1" t="str">
        <f>HYPERLINK("http://ictvonline.org/taxonomy/p/taxonomy-history?taxnode_id=202106457","ICTVonline=202106457")</f>
        <v>ICTVonline=202106457</v>
      </c>
    </row>
    <row r="7440" spans="1:21" x14ac:dyDescent="0.2">
      <c r="A7440" s="3">
        <v>7439</v>
      </c>
      <c r="B7440" s="1" t="s">
        <v>4226</v>
      </c>
      <c r="D7440" s="1" t="s">
        <v>5412</v>
      </c>
      <c r="F7440" s="1" t="s">
        <v>3981</v>
      </c>
      <c r="G7440" s="1" t="s">
        <v>3982</v>
      </c>
      <c r="H7440" s="1" t="s">
        <v>3989</v>
      </c>
      <c r="J7440" s="1" t="s">
        <v>921</v>
      </c>
      <c r="L7440" s="1" t="s">
        <v>1305</v>
      </c>
      <c r="M7440" s="1" t="s">
        <v>4259</v>
      </c>
      <c r="N7440" s="1" t="s">
        <v>4260</v>
      </c>
      <c r="P7440" s="1" t="s">
        <v>4266</v>
      </c>
      <c r="Q7440" s="30" t="s">
        <v>2566</v>
      </c>
      <c r="R7440" s="33" t="s">
        <v>3474</v>
      </c>
      <c r="S7440">
        <v>35</v>
      </c>
      <c r="T7440" s="1" t="s">
        <v>5416</v>
      </c>
      <c r="U7440" s="1" t="str">
        <f>HYPERLINK("http://ictvonline.org/taxonomy/p/taxonomy-history?taxnode_id=202106458","ICTVonline=202106458")</f>
        <v>ICTVonline=202106458</v>
      </c>
    </row>
    <row r="7441" spans="1:21" x14ac:dyDescent="0.2">
      <c r="A7441" s="3">
        <v>7440</v>
      </c>
      <c r="B7441" s="1" t="s">
        <v>4226</v>
      </c>
      <c r="D7441" s="1" t="s">
        <v>5412</v>
      </c>
      <c r="F7441" s="1" t="s">
        <v>3981</v>
      </c>
      <c r="G7441" s="1" t="s">
        <v>3982</v>
      </c>
      <c r="H7441" s="1" t="s">
        <v>3989</v>
      </c>
      <c r="J7441" s="1" t="s">
        <v>921</v>
      </c>
      <c r="L7441" s="1" t="s">
        <v>1305</v>
      </c>
      <c r="M7441" s="1" t="s">
        <v>4259</v>
      </c>
      <c r="N7441" s="1" t="s">
        <v>1225</v>
      </c>
      <c r="P7441" s="1" t="s">
        <v>3479</v>
      </c>
      <c r="Q7441" s="30" t="s">
        <v>2566</v>
      </c>
      <c r="R7441" s="33" t="s">
        <v>3474</v>
      </c>
      <c r="S7441">
        <v>35</v>
      </c>
      <c r="T7441" s="1" t="s">
        <v>5416</v>
      </c>
      <c r="U7441" s="1" t="str">
        <f>HYPERLINK("http://ictvonline.org/taxonomy/p/taxonomy-history?taxnode_id=202101613","ICTVonline=202101613")</f>
        <v>ICTVonline=202101613</v>
      </c>
    </row>
    <row r="7442" spans="1:21" x14ac:dyDescent="0.2">
      <c r="A7442" s="3">
        <v>7441</v>
      </c>
      <c r="B7442" s="1" t="s">
        <v>4226</v>
      </c>
      <c r="D7442" s="1" t="s">
        <v>5412</v>
      </c>
      <c r="F7442" s="1" t="s">
        <v>3981</v>
      </c>
      <c r="G7442" s="1" t="s">
        <v>3982</v>
      </c>
      <c r="H7442" s="1" t="s">
        <v>3989</v>
      </c>
      <c r="J7442" s="1" t="s">
        <v>921</v>
      </c>
      <c r="L7442" s="1" t="s">
        <v>1305</v>
      </c>
      <c r="M7442" s="1" t="s">
        <v>4259</v>
      </c>
      <c r="N7442" s="1" t="s">
        <v>1225</v>
      </c>
      <c r="P7442" s="1" t="s">
        <v>1226</v>
      </c>
      <c r="Q7442" s="30" t="s">
        <v>2566</v>
      </c>
      <c r="R7442" s="33" t="s">
        <v>3474</v>
      </c>
      <c r="S7442">
        <v>35</v>
      </c>
      <c r="T7442" s="1" t="s">
        <v>5416</v>
      </c>
      <c r="U7442" s="1" t="str">
        <f>HYPERLINK("http://ictvonline.org/taxonomy/p/taxonomy-history?taxnode_id=202101614","ICTVonline=202101614")</f>
        <v>ICTVonline=202101614</v>
      </c>
    </row>
    <row r="7443" spans="1:21" x14ac:dyDescent="0.2">
      <c r="A7443" s="3">
        <v>7442</v>
      </c>
      <c r="B7443" s="1" t="s">
        <v>4226</v>
      </c>
      <c r="D7443" s="1" t="s">
        <v>5412</v>
      </c>
      <c r="F7443" s="1" t="s">
        <v>3981</v>
      </c>
      <c r="G7443" s="1" t="s">
        <v>3982</v>
      </c>
      <c r="H7443" s="1" t="s">
        <v>3989</v>
      </c>
      <c r="J7443" s="1" t="s">
        <v>921</v>
      </c>
      <c r="L7443" s="1" t="s">
        <v>1305</v>
      </c>
      <c r="M7443" s="1" t="s">
        <v>4259</v>
      </c>
      <c r="N7443" s="1" t="s">
        <v>1225</v>
      </c>
      <c r="P7443" s="1" t="s">
        <v>2753</v>
      </c>
      <c r="Q7443" s="30" t="s">
        <v>2566</v>
      </c>
      <c r="R7443" s="33" t="s">
        <v>3474</v>
      </c>
      <c r="S7443">
        <v>35</v>
      </c>
      <c r="T7443" s="1" t="s">
        <v>5416</v>
      </c>
      <c r="U7443" s="1" t="str">
        <f>HYPERLINK("http://ictvonline.org/taxonomy/p/taxonomy-history?taxnode_id=202101615","ICTVonline=202101615")</f>
        <v>ICTVonline=202101615</v>
      </c>
    </row>
    <row r="7444" spans="1:21" x14ac:dyDescent="0.2">
      <c r="A7444" s="3">
        <v>7443</v>
      </c>
      <c r="B7444" s="1" t="s">
        <v>4226</v>
      </c>
      <c r="D7444" s="1" t="s">
        <v>5412</v>
      </c>
      <c r="F7444" s="1" t="s">
        <v>3981</v>
      </c>
      <c r="G7444" s="1" t="s">
        <v>3982</v>
      </c>
      <c r="H7444" s="1" t="s">
        <v>3989</v>
      </c>
      <c r="J7444" s="1" t="s">
        <v>921</v>
      </c>
      <c r="L7444" s="1" t="s">
        <v>1305</v>
      </c>
      <c r="M7444" s="1" t="s">
        <v>4259</v>
      </c>
      <c r="N7444" s="1" t="s">
        <v>1225</v>
      </c>
      <c r="P7444" s="1" t="s">
        <v>3480</v>
      </c>
      <c r="Q7444" s="30" t="s">
        <v>2566</v>
      </c>
      <c r="R7444" s="33" t="s">
        <v>8665</v>
      </c>
      <c r="S7444">
        <v>36</v>
      </c>
      <c r="T7444" s="1" t="s">
        <v>8661</v>
      </c>
      <c r="U7444" s="1" t="str">
        <f>HYPERLINK("http://ictvonline.org/taxonomy/p/taxonomy-history?taxnode_id=202101616","ICTVonline=202101616")</f>
        <v>ICTVonline=202101616</v>
      </c>
    </row>
    <row r="7445" spans="1:21" x14ac:dyDescent="0.2">
      <c r="A7445" s="3">
        <v>7444</v>
      </c>
      <c r="B7445" s="1" t="s">
        <v>4226</v>
      </c>
      <c r="D7445" s="1" t="s">
        <v>5412</v>
      </c>
      <c r="F7445" s="1" t="s">
        <v>3981</v>
      </c>
      <c r="G7445" s="1" t="s">
        <v>3982</v>
      </c>
      <c r="H7445" s="1" t="s">
        <v>3989</v>
      </c>
      <c r="J7445" s="1" t="s">
        <v>921</v>
      </c>
      <c r="L7445" s="1" t="s">
        <v>1305</v>
      </c>
      <c r="M7445" s="1" t="s">
        <v>4259</v>
      </c>
      <c r="N7445" s="1" t="s">
        <v>1225</v>
      </c>
      <c r="P7445" s="1" t="s">
        <v>3481</v>
      </c>
      <c r="Q7445" s="30" t="s">
        <v>2566</v>
      </c>
      <c r="R7445" s="33" t="s">
        <v>3474</v>
      </c>
      <c r="S7445">
        <v>35</v>
      </c>
      <c r="T7445" s="1" t="s">
        <v>5416</v>
      </c>
      <c r="U7445" s="1" t="str">
        <f>HYPERLINK("http://ictvonline.org/taxonomy/p/taxonomy-history?taxnode_id=202101617","ICTVonline=202101617")</f>
        <v>ICTVonline=202101617</v>
      </c>
    </row>
    <row r="7446" spans="1:21" x14ac:dyDescent="0.2">
      <c r="A7446" s="3">
        <v>7445</v>
      </c>
      <c r="B7446" s="1" t="s">
        <v>4226</v>
      </c>
      <c r="D7446" s="1" t="s">
        <v>5412</v>
      </c>
      <c r="F7446" s="1" t="s">
        <v>3981</v>
      </c>
      <c r="G7446" s="1" t="s">
        <v>3982</v>
      </c>
      <c r="H7446" s="1" t="s">
        <v>3989</v>
      </c>
      <c r="J7446" s="1" t="s">
        <v>921</v>
      </c>
      <c r="L7446" s="1" t="s">
        <v>1305</v>
      </c>
      <c r="M7446" s="1" t="s">
        <v>4259</v>
      </c>
      <c r="N7446" s="1" t="s">
        <v>1225</v>
      </c>
      <c r="P7446" s="1" t="s">
        <v>3482</v>
      </c>
      <c r="Q7446" s="30" t="s">
        <v>2566</v>
      </c>
      <c r="R7446" s="33" t="s">
        <v>3474</v>
      </c>
      <c r="S7446">
        <v>35</v>
      </c>
      <c r="T7446" s="1" t="s">
        <v>5416</v>
      </c>
      <c r="U7446" s="1" t="str">
        <f>HYPERLINK("http://ictvonline.org/taxonomy/p/taxonomy-history?taxnode_id=202101618","ICTVonline=202101618")</f>
        <v>ICTVonline=202101618</v>
      </c>
    </row>
    <row r="7447" spans="1:21" x14ac:dyDescent="0.2">
      <c r="A7447" s="3">
        <v>7446</v>
      </c>
      <c r="B7447" s="1" t="s">
        <v>4226</v>
      </c>
      <c r="D7447" s="1" t="s">
        <v>5412</v>
      </c>
      <c r="F7447" s="1" t="s">
        <v>3981</v>
      </c>
      <c r="G7447" s="1" t="s">
        <v>3982</v>
      </c>
      <c r="H7447" s="1" t="s">
        <v>3989</v>
      </c>
      <c r="J7447" s="1" t="s">
        <v>921</v>
      </c>
      <c r="L7447" s="1" t="s">
        <v>1305</v>
      </c>
      <c r="M7447" s="1" t="s">
        <v>4259</v>
      </c>
      <c r="N7447" s="1" t="s">
        <v>1225</v>
      </c>
      <c r="P7447" s="1" t="s">
        <v>3483</v>
      </c>
      <c r="Q7447" s="30" t="s">
        <v>2566</v>
      </c>
      <c r="R7447" s="33" t="s">
        <v>3474</v>
      </c>
      <c r="S7447">
        <v>35</v>
      </c>
      <c r="T7447" s="1" t="s">
        <v>5416</v>
      </c>
      <c r="U7447" s="1" t="str">
        <f>HYPERLINK("http://ictvonline.org/taxonomy/p/taxonomy-history?taxnode_id=202101619","ICTVonline=202101619")</f>
        <v>ICTVonline=202101619</v>
      </c>
    </row>
    <row r="7448" spans="1:21" x14ac:dyDescent="0.2">
      <c r="A7448" s="3">
        <v>7447</v>
      </c>
      <c r="B7448" s="1" t="s">
        <v>4226</v>
      </c>
      <c r="D7448" s="1" t="s">
        <v>5412</v>
      </c>
      <c r="F7448" s="1" t="s">
        <v>3981</v>
      </c>
      <c r="G7448" s="1" t="s">
        <v>3982</v>
      </c>
      <c r="H7448" s="1" t="s">
        <v>3989</v>
      </c>
      <c r="J7448" s="1" t="s">
        <v>921</v>
      </c>
      <c r="L7448" s="1" t="s">
        <v>1305</v>
      </c>
      <c r="M7448" s="1" t="s">
        <v>4259</v>
      </c>
      <c r="N7448" s="1" t="s">
        <v>4267</v>
      </c>
      <c r="P7448" s="1" t="s">
        <v>4268</v>
      </c>
      <c r="Q7448" s="30" t="s">
        <v>2566</v>
      </c>
      <c r="R7448" s="33" t="s">
        <v>3474</v>
      </c>
      <c r="S7448">
        <v>35</v>
      </c>
      <c r="T7448" s="1" t="s">
        <v>5416</v>
      </c>
      <c r="U7448" s="1" t="str">
        <f>HYPERLINK("http://ictvonline.org/taxonomy/p/taxonomy-history?taxnode_id=202106460","ICTVonline=202106460")</f>
        <v>ICTVonline=202106460</v>
      </c>
    </row>
    <row r="7449" spans="1:21" x14ac:dyDescent="0.2">
      <c r="A7449" s="3">
        <v>7448</v>
      </c>
      <c r="B7449" s="1" t="s">
        <v>4226</v>
      </c>
      <c r="D7449" s="1" t="s">
        <v>5412</v>
      </c>
      <c r="F7449" s="1" t="s">
        <v>3981</v>
      </c>
      <c r="G7449" s="1" t="s">
        <v>3982</v>
      </c>
      <c r="H7449" s="1" t="s">
        <v>3989</v>
      </c>
      <c r="J7449" s="1" t="s">
        <v>921</v>
      </c>
      <c r="L7449" s="1" t="s">
        <v>1305</v>
      </c>
      <c r="M7449" s="1" t="s">
        <v>4259</v>
      </c>
      <c r="N7449" s="1" t="s">
        <v>4267</v>
      </c>
      <c r="P7449" s="1" t="s">
        <v>4269</v>
      </c>
      <c r="Q7449" s="30" t="s">
        <v>2566</v>
      </c>
      <c r="R7449" s="33" t="s">
        <v>3474</v>
      </c>
      <c r="S7449">
        <v>35</v>
      </c>
      <c r="T7449" s="1" t="s">
        <v>5416</v>
      </c>
      <c r="U7449" s="1" t="str">
        <f>HYPERLINK("http://ictvonline.org/taxonomy/p/taxonomy-history?taxnode_id=202106461","ICTVonline=202106461")</f>
        <v>ICTVonline=202106461</v>
      </c>
    </row>
    <row r="7450" spans="1:21" x14ac:dyDescent="0.2">
      <c r="A7450" s="3">
        <v>7449</v>
      </c>
      <c r="B7450" s="1" t="s">
        <v>4226</v>
      </c>
      <c r="D7450" s="1" t="s">
        <v>5412</v>
      </c>
      <c r="F7450" s="1" t="s">
        <v>3981</v>
      </c>
      <c r="G7450" s="1" t="s">
        <v>3982</v>
      </c>
      <c r="H7450" s="1" t="s">
        <v>3989</v>
      </c>
      <c r="J7450" s="1" t="s">
        <v>921</v>
      </c>
      <c r="L7450" s="1" t="s">
        <v>1305</v>
      </c>
      <c r="M7450" s="1" t="s">
        <v>4259</v>
      </c>
      <c r="N7450" s="1" t="s">
        <v>4267</v>
      </c>
      <c r="P7450" s="1" t="s">
        <v>4270</v>
      </c>
      <c r="Q7450" s="30" t="s">
        <v>2566</v>
      </c>
      <c r="R7450" s="33" t="s">
        <v>8665</v>
      </c>
      <c r="S7450">
        <v>36</v>
      </c>
      <c r="T7450" s="1" t="s">
        <v>8661</v>
      </c>
      <c r="U7450" s="1" t="str">
        <f>HYPERLINK("http://ictvonline.org/taxonomy/p/taxonomy-history?taxnode_id=202106462","ICTVonline=202106462")</f>
        <v>ICTVonline=202106462</v>
      </c>
    </row>
    <row r="7451" spans="1:21" x14ac:dyDescent="0.2">
      <c r="A7451" s="3">
        <v>7450</v>
      </c>
      <c r="B7451" s="1" t="s">
        <v>4226</v>
      </c>
      <c r="D7451" s="1" t="s">
        <v>5412</v>
      </c>
      <c r="F7451" s="1" t="s">
        <v>3981</v>
      </c>
      <c r="G7451" s="1" t="s">
        <v>3982</v>
      </c>
      <c r="H7451" s="1" t="s">
        <v>3989</v>
      </c>
      <c r="J7451" s="1" t="s">
        <v>921</v>
      </c>
      <c r="L7451" s="1" t="s">
        <v>1305</v>
      </c>
      <c r="M7451" s="1" t="s">
        <v>4259</v>
      </c>
      <c r="N7451" s="1" t="s">
        <v>4267</v>
      </c>
      <c r="P7451" s="1" t="s">
        <v>4271</v>
      </c>
      <c r="Q7451" s="30" t="s">
        <v>2566</v>
      </c>
      <c r="R7451" s="33" t="s">
        <v>3474</v>
      </c>
      <c r="S7451">
        <v>35</v>
      </c>
      <c r="T7451" s="1" t="s">
        <v>5416</v>
      </c>
      <c r="U7451" s="1" t="str">
        <f>HYPERLINK("http://ictvonline.org/taxonomy/p/taxonomy-history?taxnode_id=202106463","ICTVonline=202106463")</f>
        <v>ICTVonline=202106463</v>
      </c>
    </row>
    <row r="7452" spans="1:21" x14ac:dyDescent="0.2">
      <c r="A7452" s="3">
        <v>7451</v>
      </c>
      <c r="B7452" s="1" t="s">
        <v>4226</v>
      </c>
      <c r="D7452" s="1" t="s">
        <v>5412</v>
      </c>
      <c r="F7452" s="1" t="s">
        <v>3981</v>
      </c>
      <c r="G7452" s="1" t="s">
        <v>3982</v>
      </c>
      <c r="H7452" s="1" t="s">
        <v>3989</v>
      </c>
      <c r="J7452" s="1" t="s">
        <v>921</v>
      </c>
      <c r="L7452" s="1" t="s">
        <v>1305</v>
      </c>
      <c r="M7452" s="1" t="s">
        <v>4259</v>
      </c>
      <c r="N7452" s="1" t="s">
        <v>1227</v>
      </c>
      <c r="P7452" s="1" t="s">
        <v>3484</v>
      </c>
      <c r="Q7452" s="30" t="s">
        <v>2566</v>
      </c>
      <c r="R7452" s="33" t="s">
        <v>3474</v>
      </c>
      <c r="S7452">
        <v>35</v>
      </c>
      <c r="T7452" s="1" t="s">
        <v>5416</v>
      </c>
      <c r="U7452" s="1" t="str">
        <f>HYPERLINK("http://ictvonline.org/taxonomy/p/taxonomy-history?taxnode_id=202101621","ICTVonline=202101621")</f>
        <v>ICTVonline=202101621</v>
      </c>
    </row>
    <row r="7453" spans="1:21" x14ac:dyDescent="0.2">
      <c r="A7453" s="3">
        <v>7452</v>
      </c>
      <c r="B7453" s="1" t="s">
        <v>4226</v>
      </c>
      <c r="D7453" s="1" t="s">
        <v>5412</v>
      </c>
      <c r="F7453" s="1" t="s">
        <v>3981</v>
      </c>
      <c r="G7453" s="1" t="s">
        <v>3982</v>
      </c>
      <c r="H7453" s="1" t="s">
        <v>3989</v>
      </c>
      <c r="J7453" s="1" t="s">
        <v>921</v>
      </c>
      <c r="L7453" s="1" t="s">
        <v>1305</v>
      </c>
      <c r="M7453" s="1" t="s">
        <v>4259</v>
      </c>
      <c r="N7453" s="1" t="s">
        <v>1227</v>
      </c>
      <c r="P7453" s="1" t="s">
        <v>4272</v>
      </c>
      <c r="Q7453" s="30" t="s">
        <v>2566</v>
      </c>
      <c r="R7453" s="33" t="s">
        <v>3474</v>
      </c>
      <c r="S7453">
        <v>35</v>
      </c>
      <c r="T7453" s="1" t="s">
        <v>5416</v>
      </c>
      <c r="U7453" s="1" t="str">
        <f>HYPERLINK("http://ictvonline.org/taxonomy/p/taxonomy-history?taxnode_id=202106464","ICTVonline=202106464")</f>
        <v>ICTVonline=202106464</v>
      </c>
    </row>
    <row r="7454" spans="1:21" x14ac:dyDescent="0.2">
      <c r="A7454" s="3">
        <v>7453</v>
      </c>
      <c r="B7454" s="1" t="s">
        <v>4226</v>
      </c>
      <c r="D7454" s="1" t="s">
        <v>5412</v>
      </c>
      <c r="F7454" s="1" t="s">
        <v>3981</v>
      </c>
      <c r="G7454" s="1" t="s">
        <v>3982</v>
      </c>
      <c r="H7454" s="1" t="s">
        <v>3989</v>
      </c>
      <c r="J7454" s="1" t="s">
        <v>921</v>
      </c>
      <c r="L7454" s="1" t="s">
        <v>1305</v>
      </c>
      <c r="M7454" s="1" t="s">
        <v>4259</v>
      </c>
      <c r="N7454" s="1" t="s">
        <v>1227</v>
      </c>
      <c r="P7454" s="1" t="s">
        <v>3485</v>
      </c>
      <c r="Q7454" s="30" t="s">
        <v>2566</v>
      </c>
      <c r="R7454" s="33" t="s">
        <v>3474</v>
      </c>
      <c r="S7454">
        <v>35</v>
      </c>
      <c r="T7454" s="1" t="s">
        <v>5416</v>
      </c>
      <c r="U7454" s="1" t="str">
        <f>HYPERLINK("http://ictvonline.org/taxonomy/p/taxonomy-history?taxnode_id=202101622","ICTVonline=202101622")</f>
        <v>ICTVonline=202101622</v>
      </c>
    </row>
    <row r="7455" spans="1:21" x14ac:dyDescent="0.2">
      <c r="A7455" s="3">
        <v>7454</v>
      </c>
      <c r="B7455" s="1" t="s">
        <v>4226</v>
      </c>
      <c r="D7455" s="1" t="s">
        <v>5412</v>
      </c>
      <c r="F7455" s="1" t="s">
        <v>3981</v>
      </c>
      <c r="G7455" s="1" t="s">
        <v>3982</v>
      </c>
      <c r="H7455" s="1" t="s">
        <v>3989</v>
      </c>
      <c r="J7455" s="1" t="s">
        <v>921</v>
      </c>
      <c r="L7455" s="1" t="s">
        <v>1305</v>
      </c>
      <c r="M7455" s="1" t="s">
        <v>4259</v>
      </c>
      <c r="N7455" s="1" t="s">
        <v>1227</v>
      </c>
      <c r="P7455" s="1" t="s">
        <v>3486</v>
      </c>
      <c r="Q7455" s="30" t="s">
        <v>2566</v>
      </c>
      <c r="R7455" s="33" t="s">
        <v>3474</v>
      </c>
      <c r="S7455">
        <v>35</v>
      </c>
      <c r="T7455" s="1" t="s">
        <v>5416</v>
      </c>
      <c r="U7455" s="1" t="str">
        <f>HYPERLINK("http://ictvonline.org/taxonomy/p/taxonomy-history?taxnode_id=202101623","ICTVonline=202101623")</f>
        <v>ICTVonline=202101623</v>
      </c>
    </row>
    <row r="7456" spans="1:21" x14ac:dyDescent="0.2">
      <c r="A7456" s="3">
        <v>7455</v>
      </c>
      <c r="B7456" s="1" t="s">
        <v>4226</v>
      </c>
      <c r="D7456" s="1" t="s">
        <v>5412</v>
      </c>
      <c r="F7456" s="1" t="s">
        <v>3981</v>
      </c>
      <c r="G7456" s="1" t="s">
        <v>3982</v>
      </c>
      <c r="H7456" s="1" t="s">
        <v>3989</v>
      </c>
      <c r="J7456" s="1" t="s">
        <v>921</v>
      </c>
      <c r="L7456" s="1" t="s">
        <v>1305</v>
      </c>
      <c r="M7456" s="1" t="s">
        <v>4259</v>
      </c>
      <c r="N7456" s="1" t="s">
        <v>1227</v>
      </c>
      <c r="P7456" s="1" t="s">
        <v>3487</v>
      </c>
      <c r="Q7456" s="30" t="s">
        <v>2566</v>
      </c>
      <c r="R7456" s="33" t="s">
        <v>8665</v>
      </c>
      <c r="S7456">
        <v>36</v>
      </c>
      <c r="T7456" s="1" t="s">
        <v>8661</v>
      </c>
      <c r="U7456" s="1" t="str">
        <f>HYPERLINK("http://ictvonline.org/taxonomy/p/taxonomy-history?taxnode_id=202101624","ICTVonline=202101624")</f>
        <v>ICTVonline=202101624</v>
      </c>
    </row>
    <row r="7457" spans="1:21" x14ac:dyDescent="0.2">
      <c r="A7457" s="3">
        <v>7456</v>
      </c>
      <c r="B7457" s="1" t="s">
        <v>4226</v>
      </c>
      <c r="D7457" s="1" t="s">
        <v>5412</v>
      </c>
      <c r="F7457" s="1" t="s">
        <v>3981</v>
      </c>
      <c r="G7457" s="1" t="s">
        <v>3982</v>
      </c>
      <c r="H7457" s="1" t="s">
        <v>3989</v>
      </c>
      <c r="J7457" s="1" t="s">
        <v>921</v>
      </c>
      <c r="L7457" s="1" t="s">
        <v>1305</v>
      </c>
      <c r="M7457" s="1" t="s">
        <v>4259</v>
      </c>
      <c r="N7457" s="1" t="s">
        <v>1227</v>
      </c>
      <c r="P7457" s="1" t="s">
        <v>3488</v>
      </c>
      <c r="Q7457" s="30" t="s">
        <v>2566</v>
      </c>
      <c r="R7457" s="33" t="s">
        <v>3474</v>
      </c>
      <c r="S7457">
        <v>35</v>
      </c>
      <c r="T7457" s="1" t="s">
        <v>5416</v>
      </c>
      <c r="U7457" s="1" t="str">
        <f>HYPERLINK("http://ictvonline.org/taxonomy/p/taxonomy-history?taxnode_id=202101625","ICTVonline=202101625")</f>
        <v>ICTVonline=202101625</v>
      </c>
    </row>
    <row r="7458" spans="1:21" x14ac:dyDescent="0.2">
      <c r="A7458" s="3">
        <v>7457</v>
      </c>
      <c r="B7458" s="1" t="s">
        <v>4226</v>
      </c>
      <c r="D7458" s="1" t="s">
        <v>5412</v>
      </c>
      <c r="F7458" s="1" t="s">
        <v>3981</v>
      </c>
      <c r="G7458" s="1" t="s">
        <v>3982</v>
      </c>
      <c r="H7458" s="1" t="s">
        <v>3989</v>
      </c>
      <c r="J7458" s="1" t="s">
        <v>921</v>
      </c>
      <c r="L7458" s="1" t="s">
        <v>1305</v>
      </c>
      <c r="M7458" s="1" t="s">
        <v>4259</v>
      </c>
      <c r="N7458" s="1" t="s">
        <v>1227</v>
      </c>
      <c r="P7458" s="1" t="s">
        <v>5487</v>
      </c>
      <c r="Q7458" s="30" t="s">
        <v>2566</v>
      </c>
      <c r="R7458" s="33" t="s">
        <v>3472</v>
      </c>
      <c r="S7458">
        <v>35</v>
      </c>
      <c r="T7458" s="1" t="s">
        <v>5488</v>
      </c>
      <c r="U7458" s="1" t="str">
        <f>HYPERLINK("http://ictvonline.org/taxonomy/p/taxonomy-history?taxnode_id=202107454","ICTVonline=202107454")</f>
        <v>ICTVonline=202107454</v>
      </c>
    </row>
    <row r="7459" spans="1:21" x14ac:dyDescent="0.2">
      <c r="A7459" s="3">
        <v>7458</v>
      </c>
      <c r="B7459" s="1" t="s">
        <v>4226</v>
      </c>
      <c r="D7459" s="1" t="s">
        <v>5412</v>
      </c>
      <c r="F7459" s="1" t="s">
        <v>3981</v>
      </c>
      <c r="G7459" s="1" t="s">
        <v>3982</v>
      </c>
      <c r="H7459" s="1" t="s">
        <v>3989</v>
      </c>
      <c r="J7459" s="1" t="s">
        <v>921</v>
      </c>
      <c r="L7459" s="1" t="s">
        <v>1305</v>
      </c>
      <c r="M7459" s="1" t="s">
        <v>4259</v>
      </c>
      <c r="N7459" s="1" t="s">
        <v>4273</v>
      </c>
      <c r="P7459" s="1" t="s">
        <v>4274</v>
      </c>
      <c r="Q7459" s="30" t="s">
        <v>2566</v>
      </c>
      <c r="R7459" s="33" t="s">
        <v>8665</v>
      </c>
      <c r="S7459">
        <v>36</v>
      </c>
      <c r="T7459" s="1" t="s">
        <v>8661</v>
      </c>
      <c r="U7459" s="1" t="str">
        <f>HYPERLINK("http://ictvonline.org/taxonomy/p/taxonomy-history?taxnode_id=202106466","ICTVonline=202106466")</f>
        <v>ICTVonline=202106466</v>
      </c>
    </row>
    <row r="7460" spans="1:21" x14ac:dyDescent="0.2">
      <c r="A7460" s="3">
        <v>7459</v>
      </c>
      <c r="B7460" s="1" t="s">
        <v>4226</v>
      </c>
      <c r="D7460" s="1" t="s">
        <v>5412</v>
      </c>
      <c r="F7460" s="1" t="s">
        <v>3981</v>
      </c>
      <c r="G7460" s="1" t="s">
        <v>3982</v>
      </c>
      <c r="H7460" s="1" t="s">
        <v>3989</v>
      </c>
      <c r="J7460" s="1" t="s">
        <v>921</v>
      </c>
      <c r="L7460" s="1" t="s">
        <v>1305</v>
      </c>
      <c r="M7460" s="1" t="s">
        <v>4275</v>
      </c>
      <c r="N7460" s="1" t="s">
        <v>4276</v>
      </c>
      <c r="P7460" s="1" t="s">
        <v>4277</v>
      </c>
      <c r="Q7460" s="30" t="s">
        <v>2566</v>
      </c>
      <c r="R7460" s="33" t="s">
        <v>3474</v>
      </c>
      <c r="S7460">
        <v>35</v>
      </c>
      <c r="T7460" s="1" t="s">
        <v>5416</v>
      </c>
      <c r="U7460" s="1" t="str">
        <f>HYPERLINK("http://ictvonline.org/taxonomy/p/taxonomy-history?taxnode_id=202101630","ICTVonline=202101630")</f>
        <v>ICTVonline=202101630</v>
      </c>
    </row>
    <row r="7461" spans="1:21" x14ac:dyDescent="0.2">
      <c r="A7461" s="3">
        <v>7460</v>
      </c>
      <c r="B7461" s="1" t="s">
        <v>4226</v>
      </c>
      <c r="D7461" s="1" t="s">
        <v>5412</v>
      </c>
      <c r="F7461" s="1" t="s">
        <v>3981</v>
      </c>
      <c r="G7461" s="1" t="s">
        <v>3982</v>
      </c>
      <c r="H7461" s="1" t="s">
        <v>3989</v>
      </c>
      <c r="J7461" s="1" t="s">
        <v>921</v>
      </c>
      <c r="L7461" s="1" t="s">
        <v>1305</v>
      </c>
      <c r="M7461" s="1" t="s">
        <v>4275</v>
      </c>
      <c r="N7461" s="1" t="s">
        <v>4276</v>
      </c>
      <c r="P7461" s="1" t="s">
        <v>4278</v>
      </c>
      <c r="Q7461" s="30" t="s">
        <v>2566</v>
      </c>
      <c r="R7461" s="33" t="s">
        <v>3474</v>
      </c>
      <c r="S7461">
        <v>35</v>
      </c>
      <c r="T7461" s="1" t="s">
        <v>5416</v>
      </c>
      <c r="U7461" s="1" t="str">
        <f>HYPERLINK("http://ictvonline.org/taxonomy/p/taxonomy-history?taxnode_id=202101631","ICTVonline=202101631")</f>
        <v>ICTVonline=202101631</v>
      </c>
    </row>
    <row r="7462" spans="1:21" x14ac:dyDescent="0.2">
      <c r="A7462" s="3">
        <v>7461</v>
      </c>
      <c r="B7462" s="1" t="s">
        <v>4226</v>
      </c>
      <c r="D7462" s="1" t="s">
        <v>5412</v>
      </c>
      <c r="F7462" s="1" t="s">
        <v>3981</v>
      </c>
      <c r="G7462" s="1" t="s">
        <v>3982</v>
      </c>
      <c r="H7462" s="1" t="s">
        <v>3989</v>
      </c>
      <c r="J7462" s="1" t="s">
        <v>921</v>
      </c>
      <c r="L7462" s="1" t="s">
        <v>1305</v>
      </c>
      <c r="M7462" s="1" t="s">
        <v>4275</v>
      </c>
      <c r="N7462" s="1" t="s">
        <v>4276</v>
      </c>
      <c r="P7462" s="1" t="s">
        <v>4279</v>
      </c>
      <c r="Q7462" s="30" t="s">
        <v>2566</v>
      </c>
      <c r="R7462" s="33" t="s">
        <v>3474</v>
      </c>
      <c r="S7462">
        <v>35</v>
      </c>
      <c r="T7462" s="1" t="s">
        <v>5416</v>
      </c>
      <c r="U7462" s="1" t="str">
        <f>HYPERLINK("http://ictvonline.org/taxonomy/p/taxonomy-history?taxnode_id=202101632","ICTVonline=202101632")</f>
        <v>ICTVonline=202101632</v>
      </c>
    </row>
    <row r="7463" spans="1:21" x14ac:dyDescent="0.2">
      <c r="A7463" s="3">
        <v>7462</v>
      </c>
      <c r="B7463" s="1" t="s">
        <v>4226</v>
      </c>
      <c r="D7463" s="1" t="s">
        <v>5412</v>
      </c>
      <c r="F7463" s="1" t="s">
        <v>3981</v>
      </c>
      <c r="G7463" s="1" t="s">
        <v>3982</v>
      </c>
      <c r="H7463" s="1" t="s">
        <v>3989</v>
      </c>
      <c r="J7463" s="1" t="s">
        <v>921</v>
      </c>
      <c r="L7463" s="1" t="s">
        <v>1305</v>
      </c>
      <c r="M7463" s="1" t="s">
        <v>4275</v>
      </c>
      <c r="N7463" s="1" t="s">
        <v>4276</v>
      </c>
      <c r="P7463" s="1" t="s">
        <v>5489</v>
      </c>
      <c r="Q7463" s="30" t="s">
        <v>2566</v>
      </c>
      <c r="R7463" s="33" t="s">
        <v>3472</v>
      </c>
      <c r="S7463">
        <v>35</v>
      </c>
      <c r="T7463" s="1" t="s">
        <v>5484</v>
      </c>
      <c r="U7463" s="1" t="str">
        <f>HYPERLINK("http://ictvonline.org/taxonomy/p/taxonomy-history?taxnode_id=202107557","ICTVonline=202107557")</f>
        <v>ICTVonline=202107557</v>
      </c>
    </row>
    <row r="7464" spans="1:21" x14ac:dyDescent="0.2">
      <c r="A7464" s="3">
        <v>7463</v>
      </c>
      <c r="B7464" s="1" t="s">
        <v>4226</v>
      </c>
      <c r="D7464" s="1" t="s">
        <v>5412</v>
      </c>
      <c r="F7464" s="1" t="s">
        <v>3981</v>
      </c>
      <c r="G7464" s="1" t="s">
        <v>3982</v>
      </c>
      <c r="H7464" s="1" t="s">
        <v>3989</v>
      </c>
      <c r="J7464" s="1" t="s">
        <v>921</v>
      </c>
      <c r="L7464" s="1" t="s">
        <v>1305</v>
      </c>
      <c r="M7464" s="1" t="s">
        <v>4275</v>
      </c>
      <c r="N7464" s="1" t="s">
        <v>4276</v>
      </c>
      <c r="P7464" s="1" t="s">
        <v>4280</v>
      </c>
      <c r="Q7464" s="30" t="s">
        <v>2566</v>
      </c>
      <c r="R7464" s="33" t="s">
        <v>3474</v>
      </c>
      <c r="S7464">
        <v>35</v>
      </c>
      <c r="T7464" s="1" t="s">
        <v>5416</v>
      </c>
      <c r="U7464" s="1" t="str">
        <f>HYPERLINK("http://ictvonline.org/taxonomy/p/taxonomy-history?taxnode_id=202101633","ICTVonline=202101633")</f>
        <v>ICTVonline=202101633</v>
      </c>
    </row>
    <row r="7465" spans="1:21" x14ac:dyDescent="0.2">
      <c r="A7465" s="3">
        <v>7464</v>
      </c>
      <c r="B7465" s="1" t="s">
        <v>4226</v>
      </c>
      <c r="D7465" s="1" t="s">
        <v>5412</v>
      </c>
      <c r="F7465" s="1" t="s">
        <v>3981</v>
      </c>
      <c r="G7465" s="1" t="s">
        <v>3982</v>
      </c>
      <c r="H7465" s="1" t="s">
        <v>3989</v>
      </c>
      <c r="J7465" s="1" t="s">
        <v>921</v>
      </c>
      <c r="L7465" s="1" t="s">
        <v>1305</v>
      </c>
      <c r="M7465" s="1" t="s">
        <v>4275</v>
      </c>
      <c r="N7465" s="1" t="s">
        <v>4276</v>
      </c>
      <c r="P7465" s="1" t="s">
        <v>4281</v>
      </c>
      <c r="Q7465" s="30" t="s">
        <v>2566</v>
      </c>
      <c r="R7465" s="33" t="s">
        <v>8665</v>
      </c>
      <c r="S7465">
        <v>36</v>
      </c>
      <c r="T7465" s="1" t="s">
        <v>8661</v>
      </c>
      <c r="U7465" s="1" t="str">
        <f>HYPERLINK("http://ictvonline.org/taxonomy/p/taxonomy-history?taxnode_id=202101635","ICTVonline=202101635")</f>
        <v>ICTVonline=202101635</v>
      </c>
    </row>
    <row r="7466" spans="1:21" x14ac:dyDescent="0.2">
      <c r="A7466" s="3">
        <v>7465</v>
      </c>
      <c r="B7466" s="1" t="s">
        <v>4226</v>
      </c>
      <c r="D7466" s="1" t="s">
        <v>5412</v>
      </c>
      <c r="F7466" s="1" t="s">
        <v>3981</v>
      </c>
      <c r="G7466" s="1" t="s">
        <v>3982</v>
      </c>
      <c r="H7466" s="1" t="s">
        <v>3989</v>
      </c>
      <c r="J7466" s="1" t="s">
        <v>921</v>
      </c>
      <c r="L7466" s="1" t="s">
        <v>1305</v>
      </c>
      <c r="M7466" s="1" t="s">
        <v>4275</v>
      </c>
      <c r="N7466" s="1" t="s">
        <v>4276</v>
      </c>
      <c r="P7466" s="1" t="s">
        <v>4282</v>
      </c>
      <c r="Q7466" s="30" t="s">
        <v>2566</v>
      </c>
      <c r="R7466" s="33" t="s">
        <v>3474</v>
      </c>
      <c r="S7466">
        <v>35</v>
      </c>
      <c r="T7466" s="1" t="s">
        <v>5416</v>
      </c>
      <c r="U7466" s="1" t="str">
        <f>HYPERLINK("http://ictvonline.org/taxonomy/p/taxonomy-history?taxnode_id=202101636","ICTVonline=202101636")</f>
        <v>ICTVonline=202101636</v>
      </c>
    </row>
    <row r="7467" spans="1:21" x14ac:dyDescent="0.2">
      <c r="A7467" s="3">
        <v>7466</v>
      </c>
      <c r="B7467" s="1" t="s">
        <v>4226</v>
      </c>
      <c r="D7467" s="1" t="s">
        <v>5412</v>
      </c>
      <c r="F7467" s="1" t="s">
        <v>3981</v>
      </c>
      <c r="G7467" s="1" t="s">
        <v>3982</v>
      </c>
      <c r="H7467" s="1" t="s">
        <v>3989</v>
      </c>
      <c r="J7467" s="1" t="s">
        <v>921</v>
      </c>
      <c r="L7467" s="1" t="s">
        <v>1305</v>
      </c>
      <c r="M7467" s="1" t="s">
        <v>4275</v>
      </c>
      <c r="N7467" s="1" t="s">
        <v>4276</v>
      </c>
      <c r="P7467" s="1" t="s">
        <v>4283</v>
      </c>
      <c r="Q7467" s="30" t="s">
        <v>2566</v>
      </c>
      <c r="R7467" s="33" t="s">
        <v>3474</v>
      </c>
      <c r="S7467">
        <v>35</v>
      </c>
      <c r="T7467" s="1" t="s">
        <v>5416</v>
      </c>
      <c r="U7467" s="1" t="str">
        <f>HYPERLINK("http://ictvonline.org/taxonomy/p/taxonomy-history?taxnode_id=202101637","ICTVonline=202101637")</f>
        <v>ICTVonline=202101637</v>
      </c>
    </row>
    <row r="7468" spans="1:21" x14ac:dyDescent="0.2">
      <c r="A7468" s="3">
        <v>7467</v>
      </c>
      <c r="B7468" s="1" t="s">
        <v>4226</v>
      </c>
      <c r="D7468" s="1" t="s">
        <v>5412</v>
      </c>
      <c r="F7468" s="1" t="s">
        <v>3981</v>
      </c>
      <c r="G7468" s="1" t="s">
        <v>3982</v>
      </c>
      <c r="H7468" s="1" t="s">
        <v>3989</v>
      </c>
      <c r="J7468" s="1" t="s">
        <v>921</v>
      </c>
      <c r="L7468" s="1" t="s">
        <v>1305</v>
      </c>
      <c r="M7468" s="1" t="s">
        <v>4275</v>
      </c>
      <c r="N7468" s="1" t="s">
        <v>4284</v>
      </c>
      <c r="P7468" s="1" t="s">
        <v>4285</v>
      </c>
      <c r="Q7468" s="30" t="s">
        <v>2566</v>
      </c>
      <c r="R7468" s="33" t="s">
        <v>3474</v>
      </c>
      <c r="S7468">
        <v>35</v>
      </c>
      <c r="T7468" s="1" t="s">
        <v>5416</v>
      </c>
      <c r="U7468" s="1" t="str">
        <f>HYPERLINK("http://ictvonline.org/taxonomy/p/taxonomy-history?taxnode_id=202101627","ICTVonline=202101627")</f>
        <v>ICTVonline=202101627</v>
      </c>
    </row>
    <row r="7469" spans="1:21" x14ac:dyDescent="0.2">
      <c r="A7469" s="3">
        <v>7468</v>
      </c>
      <c r="B7469" s="1" t="s">
        <v>4226</v>
      </c>
      <c r="D7469" s="1" t="s">
        <v>5412</v>
      </c>
      <c r="F7469" s="1" t="s">
        <v>3981</v>
      </c>
      <c r="G7469" s="1" t="s">
        <v>3982</v>
      </c>
      <c r="H7469" s="1" t="s">
        <v>3989</v>
      </c>
      <c r="J7469" s="1" t="s">
        <v>921</v>
      </c>
      <c r="L7469" s="1" t="s">
        <v>1305</v>
      </c>
      <c r="M7469" s="1" t="s">
        <v>4275</v>
      </c>
      <c r="N7469" s="1" t="s">
        <v>4284</v>
      </c>
      <c r="P7469" s="1" t="s">
        <v>4286</v>
      </c>
      <c r="Q7469" s="30" t="s">
        <v>2566</v>
      </c>
      <c r="R7469" s="33" t="s">
        <v>3474</v>
      </c>
      <c r="S7469">
        <v>35</v>
      </c>
      <c r="T7469" s="1" t="s">
        <v>5416</v>
      </c>
      <c r="U7469" s="1" t="str">
        <f>HYPERLINK("http://ictvonline.org/taxonomy/p/taxonomy-history?taxnode_id=202101628","ICTVonline=202101628")</f>
        <v>ICTVonline=202101628</v>
      </c>
    </row>
    <row r="7470" spans="1:21" x14ac:dyDescent="0.2">
      <c r="A7470" s="3">
        <v>7469</v>
      </c>
      <c r="B7470" s="1" t="s">
        <v>4226</v>
      </c>
      <c r="D7470" s="1" t="s">
        <v>5412</v>
      </c>
      <c r="F7470" s="1" t="s">
        <v>3981</v>
      </c>
      <c r="G7470" s="1" t="s">
        <v>3982</v>
      </c>
      <c r="H7470" s="1" t="s">
        <v>3989</v>
      </c>
      <c r="J7470" s="1" t="s">
        <v>921</v>
      </c>
      <c r="L7470" s="1" t="s">
        <v>1305</v>
      </c>
      <c r="M7470" s="1" t="s">
        <v>4275</v>
      </c>
      <c r="N7470" s="1" t="s">
        <v>4284</v>
      </c>
      <c r="P7470" s="1" t="s">
        <v>5490</v>
      </c>
      <c r="Q7470" s="30" t="s">
        <v>2566</v>
      </c>
      <c r="R7470" s="33" t="s">
        <v>3472</v>
      </c>
      <c r="S7470">
        <v>35</v>
      </c>
      <c r="T7470" s="1" t="s">
        <v>5484</v>
      </c>
      <c r="U7470" s="1" t="str">
        <f>HYPERLINK("http://ictvonline.org/taxonomy/p/taxonomy-history?taxnode_id=202107558","ICTVonline=202107558")</f>
        <v>ICTVonline=202107558</v>
      </c>
    </row>
    <row r="7471" spans="1:21" x14ac:dyDescent="0.2">
      <c r="A7471" s="3">
        <v>7470</v>
      </c>
      <c r="B7471" s="1" t="s">
        <v>4226</v>
      </c>
      <c r="D7471" s="1" t="s">
        <v>5412</v>
      </c>
      <c r="F7471" s="1" t="s">
        <v>3981</v>
      </c>
      <c r="G7471" s="1" t="s">
        <v>3982</v>
      </c>
      <c r="H7471" s="1" t="s">
        <v>3989</v>
      </c>
      <c r="J7471" s="1" t="s">
        <v>921</v>
      </c>
      <c r="L7471" s="1" t="s">
        <v>1305</v>
      </c>
      <c r="M7471" s="1" t="s">
        <v>4275</v>
      </c>
      <c r="N7471" s="1" t="s">
        <v>4284</v>
      </c>
      <c r="P7471" s="1" t="s">
        <v>4287</v>
      </c>
      <c r="Q7471" s="30" t="s">
        <v>2566</v>
      </c>
      <c r="R7471" s="33" t="s">
        <v>8665</v>
      </c>
      <c r="S7471">
        <v>36</v>
      </c>
      <c r="T7471" s="1" t="s">
        <v>8661</v>
      </c>
      <c r="U7471" s="1" t="str">
        <f>HYPERLINK("http://ictvonline.org/taxonomy/p/taxonomy-history?taxnode_id=202101634","ICTVonline=202101634")</f>
        <v>ICTVonline=202101634</v>
      </c>
    </row>
    <row r="7472" spans="1:21" x14ac:dyDescent="0.2">
      <c r="A7472" s="3">
        <v>7471</v>
      </c>
      <c r="B7472" s="1" t="s">
        <v>4226</v>
      </c>
      <c r="D7472" s="1" t="s">
        <v>5412</v>
      </c>
      <c r="F7472" s="1" t="s">
        <v>3981</v>
      </c>
      <c r="G7472" s="1" t="s">
        <v>3982</v>
      </c>
      <c r="H7472" s="1" t="s">
        <v>3989</v>
      </c>
      <c r="J7472" s="1" t="s">
        <v>921</v>
      </c>
      <c r="L7472" s="1" t="s">
        <v>1305</v>
      </c>
      <c r="M7472" s="1" t="s">
        <v>4275</v>
      </c>
      <c r="N7472" s="1" t="s">
        <v>4284</v>
      </c>
      <c r="P7472" s="1" t="s">
        <v>4288</v>
      </c>
      <c r="Q7472" s="30" t="s">
        <v>2566</v>
      </c>
      <c r="R7472" s="33" t="s">
        <v>3474</v>
      </c>
      <c r="S7472">
        <v>35</v>
      </c>
      <c r="T7472" s="1" t="s">
        <v>5416</v>
      </c>
      <c r="U7472" s="1" t="str">
        <f>HYPERLINK("http://ictvonline.org/taxonomy/p/taxonomy-history?taxnode_id=202101638","ICTVonline=202101638")</f>
        <v>ICTVonline=202101638</v>
      </c>
    </row>
    <row r="7473" spans="1:21" x14ac:dyDescent="0.2">
      <c r="A7473" s="3">
        <v>7472</v>
      </c>
      <c r="B7473" s="1" t="s">
        <v>4226</v>
      </c>
      <c r="D7473" s="1" t="s">
        <v>5412</v>
      </c>
      <c r="F7473" s="1" t="s">
        <v>3981</v>
      </c>
      <c r="G7473" s="1" t="s">
        <v>3982</v>
      </c>
      <c r="H7473" s="1" t="s">
        <v>3989</v>
      </c>
      <c r="J7473" s="1" t="s">
        <v>921</v>
      </c>
      <c r="L7473" s="1" t="s">
        <v>1305</v>
      </c>
      <c r="M7473" s="1" t="s">
        <v>4275</v>
      </c>
      <c r="N7473" s="1" t="s">
        <v>4284</v>
      </c>
      <c r="P7473" s="1" t="s">
        <v>4289</v>
      </c>
      <c r="Q7473" s="30" t="s">
        <v>2566</v>
      </c>
      <c r="R7473" s="33" t="s">
        <v>3474</v>
      </c>
      <c r="S7473">
        <v>35</v>
      </c>
      <c r="T7473" s="1" t="s">
        <v>5416</v>
      </c>
      <c r="U7473" s="1" t="str">
        <f>HYPERLINK("http://ictvonline.org/taxonomy/p/taxonomy-history?taxnode_id=202101639","ICTVonline=202101639")</f>
        <v>ICTVonline=202101639</v>
      </c>
    </row>
    <row r="7474" spans="1:21" x14ac:dyDescent="0.2">
      <c r="A7474" s="3">
        <v>7473</v>
      </c>
      <c r="B7474" s="1" t="s">
        <v>4226</v>
      </c>
      <c r="D7474" s="1" t="s">
        <v>5412</v>
      </c>
      <c r="F7474" s="1" t="s">
        <v>3981</v>
      </c>
      <c r="G7474" s="1" t="s">
        <v>3982</v>
      </c>
      <c r="H7474" s="1" t="s">
        <v>3989</v>
      </c>
      <c r="J7474" s="1" t="s">
        <v>921</v>
      </c>
      <c r="L7474" s="1" t="s">
        <v>1305</v>
      </c>
      <c r="M7474" s="1" t="s">
        <v>4275</v>
      </c>
      <c r="N7474" s="1" t="s">
        <v>4284</v>
      </c>
      <c r="P7474" s="1" t="s">
        <v>4290</v>
      </c>
      <c r="Q7474" s="30" t="s">
        <v>2566</v>
      </c>
      <c r="R7474" s="33" t="s">
        <v>3474</v>
      </c>
      <c r="S7474">
        <v>35</v>
      </c>
      <c r="T7474" s="1" t="s">
        <v>5416</v>
      </c>
      <c r="U7474" s="1" t="str">
        <f>HYPERLINK("http://ictvonline.org/taxonomy/p/taxonomy-history?taxnode_id=202101640","ICTVonline=202101640")</f>
        <v>ICTVonline=202101640</v>
      </c>
    </row>
    <row r="7475" spans="1:21" x14ac:dyDescent="0.2">
      <c r="A7475" s="3">
        <v>7474</v>
      </c>
      <c r="B7475" s="1" t="s">
        <v>4226</v>
      </c>
      <c r="D7475" s="1" t="s">
        <v>5412</v>
      </c>
      <c r="F7475" s="1" t="s">
        <v>3981</v>
      </c>
      <c r="G7475" s="1" t="s">
        <v>3982</v>
      </c>
      <c r="H7475" s="1" t="s">
        <v>3989</v>
      </c>
      <c r="J7475" s="1" t="s">
        <v>921</v>
      </c>
      <c r="L7475" s="1" t="s">
        <v>1305</v>
      </c>
      <c r="M7475" s="1" t="s">
        <v>4275</v>
      </c>
      <c r="N7475" s="1" t="s">
        <v>4284</v>
      </c>
      <c r="P7475" s="1" t="s">
        <v>4291</v>
      </c>
      <c r="Q7475" s="30" t="s">
        <v>2566</v>
      </c>
      <c r="R7475" s="33" t="s">
        <v>3474</v>
      </c>
      <c r="S7475">
        <v>35</v>
      </c>
      <c r="T7475" s="1" t="s">
        <v>5416</v>
      </c>
      <c r="U7475" s="1" t="str">
        <f>HYPERLINK("http://ictvonline.org/taxonomy/p/taxonomy-history?taxnode_id=202101641","ICTVonline=202101641")</f>
        <v>ICTVonline=202101641</v>
      </c>
    </row>
    <row r="7476" spans="1:21" x14ac:dyDescent="0.2">
      <c r="A7476" s="3">
        <v>7475</v>
      </c>
      <c r="B7476" s="1" t="s">
        <v>4226</v>
      </c>
      <c r="D7476" s="1" t="s">
        <v>5412</v>
      </c>
      <c r="F7476" s="1" t="s">
        <v>3981</v>
      </c>
      <c r="G7476" s="1" t="s">
        <v>3982</v>
      </c>
      <c r="H7476" s="1" t="s">
        <v>3989</v>
      </c>
      <c r="J7476" s="1" t="s">
        <v>921</v>
      </c>
      <c r="L7476" s="1" t="s">
        <v>1305</v>
      </c>
      <c r="M7476" s="1" t="s">
        <v>4275</v>
      </c>
      <c r="N7476" s="1" t="s">
        <v>4284</v>
      </c>
      <c r="P7476" s="1" t="s">
        <v>4292</v>
      </c>
      <c r="Q7476" s="30" t="s">
        <v>2566</v>
      </c>
      <c r="R7476" s="33" t="s">
        <v>3474</v>
      </c>
      <c r="S7476">
        <v>35</v>
      </c>
      <c r="T7476" s="1" t="s">
        <v>5416</v>
      </c>
      <c r="U7476" s="1" t="str">
        <f>HYPERLINK("http://ictvonline.org/taxonomy/p/taxonomy-history?taxnode_id=202101642","ICTVonline=202101642")</f>
        <v>ICTVonline=202101642</v>
      </c>
    </row>
    <row r="7477" spans="1:21" x14ac:dyDescent="0.2">
      <c r="A7477" s="3">
        <v>7476</v>
      </c>
      <c r="B7477" s="1" t="s">
        <v>4226</v>
      </c>
      <c r="D7477" s="1" t="s">
        <v>5412</v>
      </c>
      <c r="F7477" s="1" t="s">
        <v>3981</v>
      </c>
      <c r="G7477" s="1" t="s">
        <v>3982</v>
      </c>
      <c r="H7477" s="1" t="s">
        <v>3989</v>
      </c>
      <c r="J7477" s="1" t="s">
        <v>921</v>
      </c>
      <c r="L7477" s="1" t="s">
        <v>1305</v>
      </c>
      <c r="M7477" s="1" t="s">
        <v>4275</v>
      </c>
      <c r="N7477" s="1" t="s">
        <v>4284</v>
      </c>
      <c r="P7477" s="1" t="s">
        <v>4293</v>
      </c>
      <c r="Q7477" s="30" t="s">
        <v>2566</v>
      </c>
      <c r="R7477" s="33" t="s">
        <v>3474</v>
      </c>
      <c r="S7477">
        <v>35</v>
      </c>
      <c r="T7477" s="1" t="s">
        <v>5416</v>
      </c>
      <c r="U7477" s="1" t="str">
        <f>HYPERLINK("http://ictvonline.org/taxonomy/p/taxonomy-history?taxnode_id=202101643","ICTVonline=202101643")</f>
        <v>ICTVonline=202101643</v>
      </c>
    </row>
    <row r="7478" spans="1:21" x14ac:dyDescent="0.2">
      <c r="A7478" s="3">
        <v>7477</v>
      </c>
      <c r="B7478" s="1" t="s">
        <v>4226</v>
      </c>
      <c r="D7478" s="1" t="s">
        <v>5412</v>
      </c>
      <c r="F7478" s="1" t="s">
        <v>3981</v>
      </c>
      <c r="G7478" s="1" t="s">
        <v>3982</v>
      </c>
      <c r="H7478" s="1" t="s">
        <v>3989</v>
      </c>
      <c r="J7478" s="1" t="s">
        <v>921</v>
      </c>
      <c r="L7478" s="1" t="s">
        <v>1305</v>
      </c>
      <c r="N7478" s="1" t="s">
        <v>5491</v>
      </c>
      <c r="P7478" s="1" t="s">
        <v>5492</v>
      </c>
      <c r="Q7478" s="30" t="s">
        <v>2566</v>
      </c>
      <c r="R7478" s="33" t="s">
        <v>8665</v>
      </c>
      <c r="S7478">
        <v>36</v>
      </c>
      <c r="T7478" s="1" t="s">
        <v>8661</v>
      </c>
      <c r="U7478" s="1" t="str">
        <f>HYPERLINK("http://ictvonline.org/taxonomy/p/taxonomy-history?taxnode_id=202106473","ICTVonline=202106473")</f>
        <v>ICTVonline=202106473</v>
      </c>
    </row>
    <row r="7479" spans="1:21" x14ac:dyDescent="0.2">
      <c r="A7479" s="3">
        <v>7478</v>
      </c>
      <c r="B7479" s="1" t="s">
        <v>4226</v>
      </c>
      <c r="D7479" s="1" t="s">
        <v>5412</v>
      </c>
      <c r="F7479" s="1" t="s">
        <v>3981</v>
      </c>
      <c r="G7479" s="1" t="s">
        <v>3982</v>
      </c>
      <c r="H7479" s="1" t="s">
        <v>3989</v>
      </c>
      <c r="J7479" s="1" t="s">
        <v>921</v>
      </c>
      <c r="L7479" s="1" t="s">
        <v>1305</v>
      </c>
      <c r="N7479" s="1" t="s">
        <v>5493</v>
      </c>
      <c r="P7479" s="1" t="s">
        <v>5494</v>
      </c>
      <c r="Q7479" s="30" t="s">
        <v>2566</v>
      </c>
      <c r="R7479" s="33" t="s">
        <v>8665</v>
      </c>
      <c r="S7479">
        <v>36</v>
      </c>
      <c r="T7479" s="1" t="s">
        <v>8661</v>
      </c>
      <c r="U7479" s="1" t="str">
        <f>HYPERLINK("http://ictvonline.org/taxonomy/p/taxonomy-history?taxnode_id=202106474","ICTVonline=202106474")</f>
        <v>ICTVonline=202106474</v>
      </c>
    </row>
    <row r="7480" spans="1:21" x14ac:dyDescent="0.2">
      <c r="A7480" s="3">
        <v>7479</v>
      </c>
      <c r="B7480" s="1" t="s">
        <v>4226</v>
      </c>
      <c r="D7480" s="1" t="s">
        <v>5412</v>
      </c>
      <c r="F7480" s="1" t="s">
        <v>3981</v>
      </c>
      <c r="G7480" s="1" t="s">
        <v>3982</v>
      </c>
      <c r="H7480" s="1" t="s">
        <v>3989</v>
      </c>
      <c r="J7480" s="1" t="s">
        <v>921</v>
      </c>
      <c r="L7480" s="1" t="s">
        <v>1305</v>
      </c>
      <c r="N7480" s="1" t="s">
        <v>5495</v>
      </c>
      <c r="P7480" s="1" t="s">
        <v>5496</v>
      </c>
      <c r="Q7480" s="30" t="s">
        <v>2566</v>
      </c>
      <c r="R7480" s="33" t="s">
        <v>8665</v>
      </c>
      <c r="S7480">
        <v>36</v>
      </c>
      <c r="T7480" s="1" t="s">
        <v>8661</v>
      </c>
      <c r="U7480" s="1" t="str">
        <f>HYPERLINK("http://ictvonline.org/taxonomy/p/taxonomy-history?taxnode_id=202106475","ICTVonline=202106475")</f>
        <v>ICTVonline=202106475</v>
      </c>
    </row>
    <row r="7481" spans="1:21" x14ac:dyDescent="0.2">
      <c r="A7481" s="3">
        <v>7480</v>
      </c>
      <c r="B7481" s="1" t="s">
        <v>4226</v>
      </c>
      <c r="D7481" s="1" t="s">
        <v>5412</v>
      </c>
      <c r="F7481" s="1" t="s">
        <v>3981</v>
      </c>
      <c r="G7481" s="1" t="s">
        <v>3982</v>
      </c>
      <c r="H7481" s="1" t="s">
        <v>3989</v>
      </c>
      <c r="J7481" s="1" t="s">
        <v>921</v>
      </c>
      <c r="L7481" s="1" t="s">
        <v>2754</v>
      </c>
      <c r="N7481" s="1" t="s">
        <v>3061</v>
      </c>
      <c r="P7481" s="1" t="s">
        <v>1327</v>
      </c>
      <c r="Q7481" s="30" t="s">
        <v>2566</v>
      </c>
      <c r="R7481" s="33" t="s">
        <v>8665</v>
      </c>
      <c r="S7481">
        <v>36</v>
      </c>
      <c r="T7481" s="1" t="s">
        <v>8661</v>
      </c>
      <c r="U7481" s="1" t="str">
        <f>HYPERLINK("http://ictvonline.org/taxonomy/p/taxonomy-history?taxnode_id=202101647","ICTVonline=202101647")</f>
        <v>ICTVonline=202101647</v>
      </c>
    </row>
    <row r="7482" spans="1:21" x14ac:dyDescent="0.2">
      <c r="A7482" s="3">
        <v>7481</v>
      </c>
      <c r="B7482" s="1" t="s">
        <v>4226</v>
      </c>
      <c r="D7482" s="1" t="s">
        <v>5412</v>
      </c>
      <c r="F7482" s="1" t="s">
        <v>3981</v>
      </c>
      <c r="G7482" s="1" t="s">
        <v>3982</v>
      </c>
      <c r="H7482" s="1" t="s">
        <v>3989</v>
      </c>
      <c r="J7482" s="1" t="s">
        <v>921</v>
      </c>
      <c r="L7482" s="1" t="s">
        <v>2754</v>
      </c>
      <c r="N7482" s="1" t="s">
        <v>3061</v>
      </c>
      <c r="P7482" s="1" t="s">
        <v>1328</v>
      </c>
      <c r="Q7482" s="30" t="s">
        <v>2566</v>
      </c>
      <c r="R7482" s="33" t="s">
        <v>3474</v>
      </c>
      <c r="S7482">
        <v>35</v>
      </c>
      <c r="T7482" s="1" t="s">
        <v>5416</v>
      </c>
      <c r="U7482" s="1" t="str">
        <f>HYPERLINK("http://ictvonline.org/taxonomy/p/taxonomy-history?taxnode_id=202101648","ICTVonline=202101648")</f>
        <v>ICTVonline=202101648</v>
      </c>
    </row>
    <row r="7483" spans="1:21" x14ac:dyDescent="0.2">
      <c r="A7483" s="3">
        <v>7482</v>
      </c>
      <c r="B7483" s="1" t="s">
        <v>4226</v>
      </c>
      <c r="D7483" s="1" t="s">
        <v>5412</v>
      </c>
      <c r="F7483" s="1" t="s">
        <v>3981</v>
      </c>
      <c r="G7483" s="1" t="s">
        <v>3982</v>
      </c>
      <c r="H7483" s="1" t="s">
        <v>3989</v>
      </c>
      <c r="J7483" s="1" t="s">
        <v>921</v>
      </c>
      <c r="L7483" s="1" t="s">
        <v>2754</v>
      </c>
      <c r="N7483" s="1" t="s">
        <v>2755</v>
      </c>
      <c r="P7483" s="1" t="s">
        <v>3489</v>
      </c>
      <c r="Q7483" s="30" t="s">
        <v>2566</v>
      </c>
      <c r="R7483" s="33" t="s">
        <v>3474</v>
      </c>
      <c r="S7483">
        <v>35</v>
      </c>
      <c r="T7483" s="1" t="s">
        <v>5416</v>
      </c>
      <c r="U7483" s="1" t="str">
        <f>HYPERLINK("http://ictvonline.org/taxonomy/p/taxonomy-history?taxnode_id=202101650","ICTVonline=202101650")</f>
        <v>ICTVonline=202101650</v>
      </c>
    </row>
    <row r="7484" spans="1:21" x14ac:dyDescent="0.2">
      <c r="A7484" s="3">
        <v>7483</v>
      </c>
      <c r="B7484" s="1" t="s">
        <v>4226</v>
      </c>
      <c r="D7484" s="1" t="s">
        <v>5412</v>
      </c>
      <c r="F7484" s="1" t="s">
        <v>3981</v>
      </c>
      <c r="G7484" s="1" t="s">
        <v>3982</v>
      </c>
      <c r="H7484" s="1" t="s">
        <v>3989</v>
      </c>
      <c r="J7484" s="1" t="s">
        <v>921</v>
      </c>
      <c r="L7484" s="1" t="s">
        <v>2754</v>
      </c>
      <c r="N7484" s="1" t="s">
        <v>2755</v>
      </c>
      <c r="P7484" s="1" t="s">
        <v>3490</v>
      </c>
      <c r="Q7484" s="30" t="s">
        <v>2566</v>
      </c>
      <c r="R7484" s="33" t="s">
        <v>8665</v>
      </c>
      <c r="S7484">
        <v>36</v>
      </c>
      <c r="T7484" s="1" t="s">
        <v>8661</v>
      </c>
      <c r="U7484" s="1" t="str">
        <f>HYPERLINK("http://ictvonline.org/taxonomy/p/taxonomy-history?taxnode_id=202101651","ICTVonline=202101651")</f>
        <v>ICTVonline=202101651</v>
      </c>
    </row>
    <row r="7485" spans="1:21" x14ac:dyDescent="0.2">
      <c r="A7485" s="3">
        <v>7484</v>
      </c>
      <c r="B7485" s="1" t="s">
        <v>4226</v>
      </c>
      <c r="D7485" s="1" t="s">
        <v>5412</v>
      </c>
      <c r="F7485" s="1" t="s">
        <v>3981</v>
      </c>
      <c r="G7485" s="1" t="s">
        <v>3982</v>
      </c>
      <c r="H7485" s="1" t="s">
        <v>3989</v>
      </c>
      <c r="J7485" s="1" t="s">
        <v>921</v>
      </c>
      <c r="L7485" s="1" t="s">
        <v>2754</v>
      </c>
      <c r="N7485" s="1" t="s">
        <v>2755</v>
      </c>
      <c r="P7485" s="1" t="s">
        <v>3491</v>
      </c>
      <c r="Q7485" s="30" t="s">
        <v>2566</v>
      </c>
      <c r="R7485" s="33" t="s">
        <v>3474</v>
      </c>
      <c r="S7485">
        <v>35</v>
      </c>
      <c r="T7485" s="1" t="s">
        <v>5416</v>
      </c>
      <c r="U7485" s="1" t="str">
        <f>HYPERLINK("http://ictvonline.org/taxonomy/p/taxonomy-history?taxnode_id=202101652","ICTVonline=202101652")</f>
        <v>ICTVonline=202101652</v>
      </c>
    </row>
    <row r="7486" spans="1:21" x14ac:dyDescent="0.2">
      <c r="A7486" s="3">
        <v>7485</v>
      </c>
      <c r="B7486" s="1" t="s">
        <v>4226</v>
      </c>
      <c r="D7486" s="1" t="s">
        <v>5412</v>
      </c>
      <c r="F7486" s="1" t="s">
        <v>3981</v>
      </c>
      <c r="G7486" s="1" t="s">
        <v>3982</v>
      </c>
      <c r="H7486" s="1" t="s">
        <v>3989</v>
      </c>
      <c r="J7486" s="1" t="s">
        <v>921</v>
      </c>
      <c r="L7486" s="1" t="s">
        <v>1329</v>
      </c>
      <c r="M7486" s="1" t="s">
        <v>8185</v>
      </c>
      <c r="N7486" s="1" t="s">
        <v>3225</v>
      </c>
      <c r="P7486" s="1" t="s">
        <v>13203</v>
      </c>
      <c r="Q7486" s="30" t="s">
        <v>2566</v>
      </c>
      <c r="R7486" s="33" t="s">
        <v>3475</v>
      </c>
      <c r="S7486">
        <v>37</v>
      </c>
      <c r="T7486" s="1" t="s">
        <v>14020</v>
      </c>
      <c r="U7486" s="1" t="str">
        <f>HYPERLINK("http://ictvonline.org/taxonomy/p/taxonomy-history?taxnode_id=202101659","ICTVonline=202101659")</f>
        <v>ICTVonline=202101659</v>
      </c>
    </row>
    <row r="7487" spans="1:21" x14ac:dyDescent="0.2">
      <c r="A7487" s="3">
        <v>7486</v>
      </c>
      <c r="B7487" s="1" t="s">
        <v>4226</v>
      </c>
      <c r="D7487" s="1" t="s">
        <v>5412</v>
      </c>
      <c r="F7487" s="1" t="s">
        <v>3981</v>
      </c>
      <c r="G7487" s="1" t="s">
        <v>3982</v>
      </c>
      <c r="H7487" s="1" t="s">
        <v>3989</v>
      </c>
      <c r="J7487" s="1" t="s">
        <v>921</v>
      </c>
      <c r="L7487" s="1" t="s">
        <v>1329</v>
      </c>
      <c r="M7487" s="1" t="s">
        <v>8185</v>
      </c>
      <c r="N7487" s="1" t="s">
        <v>3225</v>
      </c>
      <c r="P7487" s="1" t="s">
        <v>13204</v>
      </c>
      <c r="Q7487" s="30" t="s">
        <v>2566</v>
      </c>
      <c r="R7487" s="33" t="s">
        <v>3475</v>
      </c>
      <c r="S7487">
        <v>37</v>
      </c>
      <c r="T7487" s="1" t="s">
        <v>14020</v>
      </c>
      <c r="U7487" s="1" t="str">
        <f>HYPERLINK("http://ictvonline.org/taxonomy/p/taxonomy-history?taxnode_id=202101656","ICTVonline=202101656")</f>
        <v>ICTVonline=202101656</v>
      </c>
    </row>
    <row r="7488" spans="1:21" x14ac:dyDescent="0.2">
      <c r="A7488" s="3">
        <v>7487</v>
      </c>
      <c r="B7488" s="1" t="s">
        <v>4226</v>
      </c>
      <c r="D7488" s="1" t="s">
        <v>5412</v>
      </c>
      <c r="F7488" s="1" t="s">
        <v>3981</v>
      </c>
      <c r="G7488" s="1" t="s">
        <v>3982</v>
      </c>
      <c r="H7488" s="1" t="s">
        <v>3989</v>
      </c>
      <c r="J7488" s="1" t="s">
        <v>921</v>
      </c>
      <c r="L7488" s="1" t="s">
        <v>1329</v>
      </c>
      <c r="M7488" s="1" t="s">
        <v>8185</v>
      </c>
      <c r="N7488" s="1" t="s">
        <v>3225</v>
      </c>
      <c r="P7488" s="1" t="s">
        <v>13205</v>
      </c>
      <c r="Q7488" s="30" t="s">
        <v>2566</v>
      </c>
      <c r="R7488" s="33" t="s">
        <v>3475</v>
      </c>
      <c r="S7488">
        <v>37</v>
      </c>
      <c r="T7488" s="1" t="s">
        <v>14020</v>
      </c>
      <c r="U7488" s="1" t="str">
        <f>HYPERLINK("http://ictvonline.org/taxonomy/p/taxonomy-history?taxnode_id=202101657","ICTVonline=202101657")</f>
        <v>ICTVonline=202101657</v>
      </c>
    </row>
    <row r="7489" spans="1:21" x14ac:dyDescent="0.2">
      <c r="A7489" s="3">
        <v>7488</v>
      </c>
      <c r="B7489" s="1" t="s">
        <v>4226</v>
      </c>
      <c r="D7489" s="1" t="s">
        <v>5412</v>
      </c>
      <c r="F7489" s="1" t="s">
        <v>3981</v>
      </c>
      <c r="G7489" s="1" t="s">
        <v>3982</v>
      </c>
      <c r="H7489" s="1" t="s">
        <v>3989</v>
      </c>
      <c r="J7489" s="1" t="s">
        <v>921</v>
      </c>
      <c r="L7489" s="1" t="s">
        <v>1329</v>
      </c>
      <c r="M7489" s="1" t="s">
        <v>8185</v>
      </c>
      <c r="N7489" s="1" t="s">
        <v>3225</v>
      </c>
      <c r="P7489" s="1" t="s">
        <v>13206</v>
      </c>
      <c r="Q7489" s="30" t="s">
        <v>2566</v>
      </c>
      <c r="R7489" s="33" t="s">
        <v>3475</v>
      </c>
      <c r="S7489">
        <v>37</v>
      </c>
      <c r="T7489" s="1" t="s">
        <v>14020</v>
      </c>
      <c r="U7489" s="1" t="str">
        <f>HYPERLINK("http://ictvonline.org/taxonomy/p/taxonomy-history?taxnode_id=202101660","ICTVonline=202101660")</f>
        <v>ICTVonline=202101660</v>
      </c>
    </row>
    <row r="7490" spans="1:21" x14ac:dyDescent="0.2">
      <c r="A7490" s="3">
        <v>7489</v>
      </c>
      <c r="B7490" s="1" t="s">
        <v>4226</v>
      </c>
      <c r="D7490" s="1" t="s">
        <v>5412</v>
      </c>
      <c r="F7490" s="1" t="s">
        <v>3981</v>
      </c>
      <c r="G7490" s="1" t="s">
        <v>3982</v>
      </c>
      <c r="H7490" s="1" t="s">
        <v>3989</v>
      </c>
      <c r="J7490" s="1" t="s">
        <v>921</v>
      </c>
      <c r="L7490" s="1" t="s">
        <v>1329</v>
      </c>
      <c r="M7490" s="1" t="s">
        <v>8185</v>
      </c>
      <c r="N7490" s="1" t="s">
        <v>3225</v>
      </c>
      <c r="P7490" s="1" t="s">
        <v>13207</v>
      </c>
      <c r="Q7490" s="30" t="s">
        <v>2566</v>
      </c>
      <c r="R7490" s="33" t="s">
        <v>3475</v>
      </c>
      <c r="S7490">
        <v>37</v>
      </c>
      <c r="T7490" s="1" t="s">
        <v>14020</v>
      </c>
      <c r="U7490" s="1" t="str">
        <f>HYPERLINK("http://ictvonline.org/taxonomy/p/taxonomy-history?taxnode_id=202101658","ICTVonline=202101658")</f>
        <v>ICTVonline=202101658</v>
      </c>
    </row>
    <row r="7491" spans="1:21" x14ac:dyDescent="0.2">
      <c r="A7491" s="3">
        <v>7490</v>
      </c>
      <c r="B7491" s="1" t="s">
        <v>4226</v>
      </c>
      <c r="D7491" s="1" t="s">
        <v>5412</v>
      </c>
      <c r="F7491" s="1" t="s">
        <v>3981</v>
      </c>
      <c r="G7491" s="1" t="s">
        <v>3982</v>
      </c>
      <c r="H7491" s="1" t="s">
        <v>3989</v>
      </c>
      <c r="J7491" s="1" t="s">
        <v>921</v>
      </c>
      <c r="L7491" s="1" t="s">
        <v>1329</v>
      </c>
      <c r="M7491" s="1" t="s">
        <v>8185</v>
      </c>
      <c r="N7491" s="1" t="s">
        <v>3225</v>
      </c>
      <c r="P7491" s="1" t="s">
        <v>13208</v>
      </c>
      <c r="Q7491" s="30" t="s">
        <v>2566</v>
      </c>
      <c r="R7491" s="33" t="s">
        <v>3475</v>
      </c>
      <c r="S7491">
        <v>37</v>
      </c>
      <c r="T7491" s="1" t="s">
        <v>14020</v>
      </c>
      <c r="U7491" s="1" t="str">
        <f>HYPERLINK("http://ictvonline.org/taxonomy/p/taxonomy-history?taxnode_id=202107700","ICTVonline=202107700")</f>
        <v>ICTVonline=202107700</v>
      </c>
    </row>
    <row r="7492" spans="1:21" x14ac:dyDescent="0.2">
      <c r="A7492" s="3">
        <v>7491</v>
      </c>
      <c r="B7492" s="1" t="s">
        <v>4226</v>
      </c>
      <c r="D7492" s="1" t="s">
        <v>5412</v>
      </c>
      <c r="F7492" s="1" t="s">
        <v>3981</v>
      </c>
      <c r="G7492" s="1" t="s">
        <v>3982</v>
      </c>
      <c r="H7492" s="1" t="s">
        <v>3989</v>
      </c>
      <c r="J7492" s="1" t="s">
        <v>921</v>
      </c>
      <c r="L7492" s="1" t="s">
        <v>1329</v>
      </c>
      <c r="M7492" s="1" t="s">
        <v>8185</v>
      </c>
      <c r="N7492" s="1" t="s">
        <v>4294</v>
      </c>
      <c r="P7492" s="1" t="s">
        <v>13209</v>
      </c>
      <c r="Q7492" s="30" t="s">
        <v>2566</v>
      </c>
      <c r="R7492" s="33" t="s">
        <v>3475</v>
      </c>
      <c r="S7492">
        <v>37</v>
      </c>
      <c r="T7492" s="1" t="s">
        <v>14020</v>
      </c>
      <c r="U7492" s="1" t="str">
        <f>HYPERLINK("http://ictvonline.org/taxonomy/p/taxonomy-history?taxnode_id=202106519","ICTVonline=202106519")</f>
        <v>ICTVonline=202106519</v>
      </c>
    </row>
    <row r="7493" spans="1:21" x14ac:dyDescent="0.2">
      <c r="A7493" s="3">
        <v>7492</v>
      </c>
      <c r="B7493" s="1" t="s">
        <v>4226</v>
      </c>
      <c r="D7493" s="1" t="s">
        <v>5412</v>
      </c>
      <c r="F7493" s="1" t="s">
        <v>3981</v>
      </c>
      <c r="G7493" s="1" t="s">
        <v>3982</v>
      </c>
      <c r="H7493" s="1" t="s">
        <v>3989</v>
      </c>
      <c r="J7493" s="1" t="s">
        <v>921</v>
      </c>
      <c r="L7493" s="1" t="s">
        <v>1329</v>
      </c>
      <c r="M7493" s="1" t="s">
        <v>8185</v>
      </c>
      <c r="N7493" s="1" t="s">
        <v>4294</v>
      </c>
      <c r="P7493" s="1" t="s">
        <v>13210</v>
      </c>
      <c r="Q7493" s="30" t="s">
        <v>2566</v>
      </c>
      <c r="R7493" s="33" t="s">
        <v>3475</v>
      </c>
      <c r="S7493">
        <v>37</v>
      </c>
      <c r="T7493" s="1" t="s">
        <v>14020</v>
      </c>
      <c r="U7493" s="1" t="str">
        <f>HYPERLINK("http://ictvonline.org/taxonomy/p/taxonomy-history?taxnode_id=202106520","ICTVonline=202106520")</f>
        <v>ICTVonline=202106520</v>
      </c>
    </row>
    <row r="7494" spans="1:21" x14ac:dyDescent="0.2">
      <c r="A7494" s="3">
        <v>7493</v>
      </c>
      <c r="B7494" s="1" t="s">
        <v>4226</v>
      </c>
      <c r="D7494" s="1" t="s">
        <v>5412</v>
      </c>
      <c r="F7494" s="1" t="s">
        <v>3981</v>
      </c>
      <c r="G7494" s="1" t="s">
        <v>3982</v>
      </c>
      <c r="H7494" s="1" t="s">
        <v>3989</v>
      </c>
      <c r="J7494" s="1" t="s">
        <v>921</v>
      </c>
      <c r="L7494" s="1" t="s">
        <v>1329</v>
      </c>
      <c r="M7494" s="1" t="s">
        <v>8185</v>
      </c>
      <c r="N7494" s="1" t="s">
        <v>8186</v>
      </c>
      <c r="P7494" s="1" t="s">
        <v>13211</v>
      </c>
      <c r="Q7494" s="30" t="s">
        <v>2566</v>
      </c>
      <c r="R7494" s="33" t="s">
        <v>3475</v>
      </c>
      <c r="S7494">
        <v>37</v>
      </c>
      <c r="T7494" s="1" t="s">
        <v>14020</v>
      </c>
      <c r="U7494" s="1" t="str">
        <f>HYPERLINK("http://ictvonline.org/taxonomy/p/taxonomy-history?taxnode_id=202108751","ICTVonline=202108751")</f>
        <v>ICTVonline=202108751</v>
      </c>
    </row>
    <row r="7495" spans="1:21" x14ac:dyDescent="0.2">
      <c r="A7495" s="3">
        <v>7494</v>
      </c>
      <c r="B7495" s="1" t="s">
        <v>4226</v>
      </c>
      <c r="D7495" s="1" t="s">
        <v>5412</v>
      </c>
      <c r="F7495" s="1" t="s">
        <v>3981</v>
      </c>
      <c r="G7495" s="1" t="s">
        <v>3982</v>
      </c>
      <c r="H7495" s="1" t="s">
        <v>3989</v>
      </c>
      <c r="J7495" s="1" t="s">
        <v>921</v>
      </c>
      <c r="L7495" s="1" t="s">
        <v>1329</v>
      </c>
      <c r="M7495" s="1" t="s">
        <v>8185</v>
      </c>
      <c r="N7495" s="1" t="s">
        <v>8186</v>
      </c>
      <c r="P7495" s="1" t="s">
        <v>13212</v>
      </c>
      <c r="Q7495" s="30" t="s">
        <v>2566</v>
      </c>
      <c r="R7495" s="33" t="s">
        <v>3475</v>
      </c>
      <c r="S7495">
        <v>37</v>
      </c>
      <c r="T7495" s="1" t="s">
        <v>14020</v>
      </c>
      <c r="U7495" s="1" t="str">
        <f>HYPERLINK("http://ictvonline.org/taxonomy/p/taxonomy-history?taxnode_id=202108750","ICTVonline=202108750")</f>
        <v>ICTVonline=202108750</v>
      </c>
    </row>
    <row r="7496" spans="1:21" x14ac:dyDescent="0.2">
      <c r="A7496" s="3">
        <v>7495</v>
      </c>
      <c r="B7496" s="1" t="s">
        <v>4226</v>
      </c>
      <c r="D7496" s="1" t="s">
        <v>5412</v>
      </c>
      <c r="F7496" s="1" t="s">
        <v>3981</v>
      </c>
      <c r="G7496" s="1" t="s">
        <v>3982</v>
      </c>
      <c r="H7496" s="1" t="s">
        <v>3989</v>
      </c>
      <c r="J7496" s="1" t="s">
        <v>921</v>
      </c>
      <c r="L7496" s="1" t="s">
        <v>1329</v>
      </c>
      <c r="M7496" s="1" t="s">
        <v>8185</v>
      </c>
      <c r="N7496" s="1" t="s">
        <v>8187</v>
      </c>
      <c r="P7496" s="1" t="s">
        <v>14021</v>
      </c>
      <c r="Q7496" s="30" t="s">
        <v>2566</v>
      </c>
      <c r="R7496" s="33" t="s">
        <v>3475</v>
      </c>
      <c r="S7496">
        <v>37</v>
      </c>
      <c r="T7496" s="1" t="s">
        <v>14022</v>
      </c>
      <c r="U7496" s="1" t="str">
        <f>HYPERLINK("http://ictvonline.org/taxonomy/p/taxonomy-history?taxnode_id=202108755","ICTVonline=202108755")</f>
        <v>ICTVonline=202108755</v>
      </c>
    </row>
    <row r="7497" spans="1:21" x14ac:dyDescent="0.2">
      <c r="A7497" s="3">
        <v>7496</v>
      </c>
      <c r="B7497" s="1" t="s">
        <v>4226</v>
      </c>
      <c r="D7497" s="1" t="s">
        <v>5412</v>
      </c>
      <c r="F7497" s="1" t="s">
        <v>3981</v>
      </c>
      <c r="G7497" s="1" t="s">
        <v>3982</v>
      </c>
      <c r="H7497" s="1" t="s">
        <v>3989</v>
      </c>
      <c r="J7497" s="1" t="s">
        <v>921</v>
      </c>
      <c r="L7497" s="1" t="s">
        <v>1329</v>
      </c>
      <c r="M7497" s="1" t="s">
        <v>8185</v>
      </c>
      <c r="N7497" s="1" t="s">
        <v>8187</v>
      </c>
      <c r="P7497" s="1" t="s">
        <v>13213</v>
      </c>
      <c r="Q7497" s="30" t="s">
        <v>2566</v>
      </c>
      <c r="R7497" s="33" t="s">
        <v>3475</v>
      </c>
      <c r="S7497">
        <v>37</v>
      </c>
      <c r="T7497" s="1" t="s">
        <v>14020</v>
      </c>
      <c r="U7497" s="1" t="str">
        <f>HYPERLINK("http://ictvonline.org/taxonomy/p/taxonomy-history?taxnode_id=202108753","ICTVonline=202108753")</f>
        <v>ICTVonline=202108753</v>
      </c>
    </row>
    <row r="7498" spans="1:21" x14ac:dyDescent="0.2">
      <c r="A7498" s="3">
        <v>7497</v>
      </c>
      <c r="B7498" s="1" t="s">
        <v>4226</v>
      </c>
      <c r="D7498" s="1" t="s">
        <v>5412</v>
      </c>
      <c r="F7498" s="1" t="s">
        <v>3981</v>
      </c>
      <c r="G7498" s="1" t="s">
        <v>3982</v>
      </c>
      <c r="H7498" s="1" t="s">
        <v>3989</v>
      </c>
      <c r="J7498" s="1" t="s">
        <v>921</v>
      </c>
      <c r="L7498" s="1" t="s">
        <v>1329</v>
      </c>
      <c r="M7498" s="1" t="s">
        <v>8185</v>
      </c>
      <c r="N7498" s="1" t="s">
        <v>8187</v>
      </c>
      <c r="P7498" s="1" t="s">
        <v>13214</v>
      </c>
      <c r="Q7498" s="30" t="s">
        <v>2566</v>
      </c>
      <c r="R7498" s="33" t="s">
        <v>3475</v>
      </c>
      <c r="S7498">
        <v>37</v>
      </c>
      <c r="T7498" s="1" t="s">
        <v>14020</v>
      </c>
      <c r="U7498" s="1" t="str">
        <f>HYPERLINK("http://ictvonline.org/taxonomy/p/taxonomy-history?taxnode_id=202108754","ICTVonline=202108754")</f>
        <v>ICTVonline=202108754</v>
      </c>
    </row>
    <row r="7499" spans="1:21" x14ac:dyDescent="0.2">
      <c r="A7499" s="3">
        <v>7498</v>
      </c>
      <c r="B7499" s="1" t="s">
        <v>4226</v>
      </c>
      <c r="D7499" s="1" t="s">
        <v>5412</v>
      </c>
      <c r="F7499" s="1" t="s">
        <v>3981</v>
      </c>
      <c r="G7499" s="1" t="s">
        <v>3982</v>
      </c>
      <c r="H7499" s="1" t="s">
        <v>3989</v>
      </c>
      <c r="J7499" s="1" t="s">
        <v>921</v>
      </c>
      <c r="L7499" s="1" t="s">
        <v>1329</v>
      </c>
      <c r="M7499" s="1" t="s">
        <v>8185</v>
      </c>
      <c r="N7499" s="1" t="s">
        <v>13215</v>
      </c>
      <c r="P7499" s="1" t="s">
        <v>13216</v>
      </c>
      <c r="Q7499" s="30" t="s">
        <v>2566</v>
      </c>
      <c r="R7499" s="33" t="s">
        <v>3472</v>
      </c>
      <c r="S7499">
        <v>37</v>
      </c>
      <c r="T7499" s="1" t="s">
        <v>14023</v>
      </c>
      <c r="U7499" s="1" t="str">
        <f>HYPERLINK("http://ictvonline.org/taxonomy/p/taxonomy-history?taxnode_id=202112249","ICTVonline=202112249")</f>
        <v>ICTVonline=202112249</v>
      </c>
    </row>
    <row r="7500" spans="1:21" x14ac:dyDescent="0.2">
      <c r="A7500" s="3">
        <v>7499</v>
      </c>
      <c r="B7500" s="1" t="s">
        <v>4226</v>
      </c>
      <c r="D7500" s="1" t="s">
        <v>5412</v>
      </c>
      <c r="F7500" s="1" t="s">
        <v>3981</v>
      </c>
      <c r="G7500" s="1" t="s">
        <v>3982</v>
      </c>
      <c r="H7500" s="1" t="s">
        <v>3989</v>
      </c>
      <c r="J7500" s="1" t="s">
        <v>921</v>
      </c>
      <c r="L7500" s="1" t="s">
        <v>1329</v>
      </c>
      <c r="M7500" s="1" t="s">
        <v>8185</v>
      </c>
      <c r="N7500" s="1" t="s">
        <v>5498</v>
      </c>
      <c r="P7500" s="1" t="s">
        <v>13217</v>
      </c>
      <c r="Q7500" s="30" t="s">
        <v>2566</v>
      </c>
      <c r="R7500" s="33" t="s">
        <v>3475</v>
      </c>
      <c r="S7500">
        <v>37</v>
      </c>
      <c r="T7500" s="1" t="s">
        <v>14020</v>
      </c>
      <c r="U7500" s="1" t="str">
        <f>HYPERLINK("http://ictvonline.org/taxonomy/p/taxonomy-history?taxnode_id=202107241","ICTVonline=202107241")</f>
        <v>ICTVonline=202107241</v>
      </c>
    </row>
    <row r="7501" spans="1:21" x14ac:dyDescent="0.2">
      <c r="A7501" s="3">
        <v>7500</v>
      </c>
      <c r="B7501" s="1" t="s">
        <v>4226</v>
      </c>
      <c r="D7501" s="1" t="s">
        <v>5412</v>
      </c>
      <c r="F7501" s="1" t="s">
        <v>3981</v>
      </c>
      <c r="G7501" s="1" t="s">
        <v>3982</v>
      </c>
      <c r="H7501" s="1" t="s">
        <v>3989</v>
      </c>
      <c r="J7501" s="1" t="s">
        <v>921</v>
      </c>
      <c r="L7501" s="1" t="s">
        <v>1329</v>
      </c>
      <c r="M7501" s="1" t="s">
        <v>8185</v>
      </c>
      <c r="N7501" s="1" t="s">
        <v>5498</v>
      </c>
      <c r="P7501" s="1" t="s">
        <v>13218</v>
      </c>
      <c r="Q7501" s="30" t="s">
        <v>2566</v>
      </c>
      <c r="R7501" s="33" t="s">
        <v>3475</v>
      </c>
      <c r="S7501">
        <v>37</v>
      </c>
      <c r="T7501" s="1" t="s">
        <v>14020</v>
      </c>
      <c r="U7501" s="1" t="str">
        <f>HYPERLINK("http://ictvonline.org/taxonomy/p/taxonomy-history?taxnode_id=202107243","ICTVonline=202107243")</f>
        <v>ICTVonline=202107243</v>
      </c>
    </row>
    <row r="7502" spans="1:21" x14ac:dyDescent="0.2">
      <c r="A7502" s="3">
        <v>7501</v>
      </c>
      <c r="B7502" s="1" t="s">
        <v>4226</v>
      </c>
      <c r="D7502" s="1" t="s">
        <v>5412</v>
      </c>
      <c r="F7502" s="1" t="s">
        <v>3981</v>
      </c>
      <c r="G7502" s="1" t="s">
        <v>3982</v>
      </c>
      <c r="H7502" s="1" t="s">
        <v>3989</v>
      </c>
      <c r="J7502" s="1" t="s">
        <v>921</v>
      </c>
      <c r="L7502" s="1" t="s">
        <v>1329</v>
      </c>
      <c r="M7502" s="1" t="s">
        <v>8185</v>
      </c>
      <c r="N7502" s="1" t="s">
        <v>5498</v>
      </c>
      <c r="P7502" s="1" t="s">
        <v>13219</v>
      </c>
      <c r="Q7502" s="30" t="s">
        <v>2566</v>
      </c>
      <c r="R7502" s="33" t="s">
        <v>3475</v>
      </c>
      <c r="S7502">
        <v>37</v>
      </c>
      <c r="T7502" s="1" t="s">
        <v>14020</v>
      </c>
      <c r="U7502" s="1" t="str">
        <f>HYPERLINK("http://ictvonline.org/taxonomy/p/taxonomy-history?taxnode_id=202107244","ICTVonline=202107244")</f>
        <v>ICTVonline=202107244</v>
      </c>
    </row>
    <row r="7503" spans="1:21" x14ac:dyDescent="0.2">
      <c r="A7503" s="3">
        <v>7502</v>
      </c>
      <c r="B7503" s="1" t="s">
        <v>4226</v>
      </c>
      <c r="D7503" s="1" t="s">
        <v>5412</v>
      </c>
      <c r="F7503" s="1" t="s">
        <v>3981</v>
      </c>
      <c r="G7503" s="1" t="s">
        <v>3982</v>
      </c>
      <c r="H7503" s="1" t="s">
        <v>3989</v>
      </c>
      <c r="J7503" s="1" t="s">
        <v>921</v>
      </c>
      <c r="L7503" s="1" t="s">
        <v>1329</v>
      </c>
      <c r="M7503" s="1" t="s">
        <v>8185</v>
      </c>
      <c r="N7503" s="1" t="s">
        <v>5498</v>
      </c>
      <c r="P7503" s="1" t="s">
        <v>13220</v>
      </c>
      <c r="Q7503" s="30" t="s">
        <v>2566</v>
      </c>
      <c r="R7503" s="33" t="s">
        <v>3475</v>
      </c>
      <c r="S7503">
        <v>37</v>
      </c>
      <c r="T7503" s="1" t="s">
        <v>14020</v>
      </c>
      <c r="U7503" s="1" t="str">
        <f>HYPERLINK("http://ictvonline.org/taxonomy/p/taxonomy-history?taxnode_id=202107242","ICTVonline=202107242")</f>
        <v>ICTVonline=202107242</v>
      </c>
    </row>
    <row r="7504" spans="1:21" x14ac:dyDescent="0.2">
      <c r="A7504" s="3">
        <v>7503</v>
      </c>
      <c r="B7504" s="1" t="s">
        <v>4226</v>
      </c>
      <c r="D7504" s="1" t="s">
        <v>5412</v>
      </c>
      <c r="F7504" s="1" t="s">
        <v>3981</v>
      </c>
      <c r="G7504" s="1" t="s">
        <v>3982</v>
      </c>
      <c r="H7504" s="1" t="s">
        <v>3989</v>
      </c>
      <c r="J7504" s="1" t="s">
        <v>921</v>
      </c>
      <c r="L7504" s="1" t="s">
        <v>1329</v>
      </c>
      <c r="M7504" s="1" t="s">
        <v>8185</v>
      </c>
      <c r="N7504" s="1" t="s">
        <v>5898</v>
      </c>
      <c r="P7504" s="1" t="s">
        <v>13221</v>
      </c>
      <c r="Q7504" s="30" t="s">
        <v>2566</v>
      </c>
      <c r="R7504" s="33" t="s">
        <v>3475</v>
      </c>
      <c r="S7504">
        <v>37</v>
      </c>
      <c r="T7504" s="1" t="s">
        <v>14020</v>
      </c>
      <c r="U7504" s="1" t="str">
        <f>HYPERLINK("http://ictvonline.org/taxonomy/p/taxonomy-history?taxnode_id=202107393","ICTVonline=202107393")</f>
        <v>ICTVonline=202107393</v>
      </c>
    </row>
    <row r="7505" spans="1:21" x14ac:dyDescent="0.2">
      <c r="A7505" s="3">
        <v>7504</v>
      </c>
      <c r="B7505" s="1" t="s">
        <v>4226</v>
      </c>
      <c r="D7505" s="1" t="s">
        <v>5412</v>
      </c>
      <c r="F7505" s="1" t="s">
        <v>3981</v>
      </c>
      <c r="G7505" s="1" t="s">
        <v>3982</v>
      </c>
      <c r="H7505" s="1" t="s">
        <v>3989</v>
      </c>
      <c r="J7505" s="1" t="s">
        <v>921</v>
      </c>
      <c r="L7505" s="1" t="s">
        <v>1329</v>
      </c>
      <c r="M7505" s="1" t="s">
        <v>8185</v>
      </c>
      <c r="N7505" s="1" t="s">
        <v>5898</v>
      </c>
      <c r="P7505" s="1" t="s">
        <v>13222</v>
      </c>
      <c r="Q7505" s="30" t="s">
        <v>2566</v>
      </c>
      <c r="R7505" s="33" t="s">
        <v>3475</v>
      </c>
      <c r="S7505">
        <v>37</v>
      </c>
      <c r="T7505" s="1" t="s">
        <v>14020</v>
      </c>
      <c r="U7505" s="1" t="str">
        <f>HYPERLINK("http://ictvonline.org/taxonomy/p/taxonomy-history?taxnode_id=202107394","ICTVonline=202107394")</f>
        <v>ICTVonline=202107394</v>
      </c>
    </row>
    <row r="7506" spans="1:21" x14ac:dyDescent="0.2">
      <c r="A7506" s="3">
        <v>7505</v>
      </c>
      <c r="B7506" s="1" t="s">
        <v>4226</v>
      </c>
      <c r="D7506" s="1" t="s">
        <v>5412</v>
      </c>
      <c r="F7506" s="1" t="s">
        <v>3981</v>
      </c>
      <c r="G7506" s="1" t="s">
        <v>3982</v>
      </c>
      <c r="H7506" s="1" t="s">
        <v>3989</v>
      </c>
      <c r="J7506" s="1" t="s">
        <v>921</v>
      </c>
      <c r="L7506" s="1" t="s">
        <v>1329</v>
      </c>
      <c r="M7506" s="1" t="s">
        <v>8185</v>
      </c>
      <c r="N7506" s="1" t="s">
        <v>4295</v>
      </c>
      <c r="P7506" s="1" t="s">
        <v>13223</v>
      </c>
      <c r="Q7506" s="30" t="s">
        <v>2566</v>
      </c>
      <c r="R7506" s="33" t="s">
        <v>3475</v>
      </c>
      <c r="S7506">
        <v>37</v>
      </c>
      <c r="T7506" s="1" t="s">
        <v>14020</v>
      </c>
      <c r="U7506" s="1" t="str">
        <f>HYPERLINK("http://ictvonline.org/taxonomy/p/taxonomy-history?taxnode_id=202106556","ICTVonline=202106556")</f>
        <v>ICTVonline=202106556</v>
      </c>
    </row>
    <row r="7507" spans="1:21" x14ac:dyDescent="0.2">
      <c r="A7507" s="3">
        <v>7506</v>
      </c>
      <c r="B7507" s="1" t="s">
        <v>4226</v>
      </c>
      <c r="D7507" s="1" t="s">
        <v>5412</v>
      </c>
      <c r="F7507" s="1" t="s">
        <v>3981</v>
      </c>
      <c r="G7507" s="1" t="s">
        <v>3982</v>
      </c>
      <c r="H7507" s="1" t="s">
        <v>3989</v>
      </c>
      <c r="J7507" s="1" t="s">
        <v>921</v>
      </c>
      <c r="L7507" s="1" t="s">
        <v>1329</v>
      </c>
      <c r="M7507" s="1" t="s">
        <v>8185</v>
      </c>
      <c r="N7507" s="1" t="s">
        <v>4295</v>
      </c>
      <c r="P7507" s="1" t="s">
        <v>13224</v>
      </c>
      <c r="Q7507" s="30" t="s">
        <v>2566</v>
      </c>
      <c r="R7507" s="33" t="s">
        <v>3475</v>
      </c>
      <c r="S7507">
        <v>37</v>
      </c>
      <c r="T7507" s="1" t="s">
        <v>14020</v>
      </c>
      <c r="U7507" s="1" t="str">
        <f>HYPERLINK("http://ictvonline.org/taxonomy/p/taxonomy-history?taxnode_id=202106554","ICTVonline=202106554")</f>
        <v>ICTVonline=202106554</v>
      </c>
    </row>
    <row r="7508" spans="1:21" x14ac:dyDescent="0.2">
      <c r="A7508" s="3">
        <v>7507</v>
      </c>
      <c r="B7508" s="1" t="s">
        <v>4226</v>
      </c>
      <c r="D7508" s="1" t="s">
        <v>5412</v>
      </c>
      <c r="F7508" s="1" t="s">
        <v>3981</v>
      </c>
      <c r="G7508" s="1" t="s">
        <v>3982</v>
      </c>
      <c r="H7508" s="1" t="s">
        <v>3989</v>
      </c>
      <c r="J7508" s="1" t="s">
        <v>921</v>
      </c>
      <c r="L7508" s="1" t="s">
        <v>1329</v>
      </c>
      <c r="M7508" s="1" t="s">
        <v>8185</v>
      </c>
      <c r="N7508" s="1" t="s">
        <v>4295</v>
      </c>
      <c r="P7508" s="1" t="s">
        <v>13225</v>
      </c>
      <c r="Q7508" s="30" t="s">
        <v>2566</v>
      </c>
      <c r="R7508" s="33" t="s">
        <v>3475</v>
      </c>
      <c r="S7508">
        <v>37</v>
      </c>
      <c r="T7508" s="1" t="s">
        <v>14020</v>
      </c>
      <c r="U7508" s="1" t="str">
        <f>HYPERLINK("http://ictvonline.org/taxonomy/p/taxonomy-history?taxnode_id=202106555","ICTVonline=202106555")</f>
        <v>ICTVonline=202106555</v>
      </c>
    </row>
    <row r="7509" spans="1:21" x14ac:dyDescent="0.2">
      <c r="A7509" s="3">
        <v>7508</v>
      </c>
      <c r="B7509" s="1" t="s">
        <v>4226</v>
      </c>
      <c r="D7509" s="1" t="s">
        <v>5412</v>
      </c>
      <c r="F7509" s="1" t="s">
        <v>3981</v>
      </c>
      <c r="G7509" s="1" t="s">
        <v>3982</v>
      </c>
      <c r="H7509" s="1" t="s">
        <v>3989</v>
      </c>
      <c r="J7509" s="1" t="s">
        <v>921</v>
      </c>
      <c r="L7509" s="1" t="s">
        <v>1329</v>
      </c>
      <c r="M7509" s="1" t="s">
        <v>8185</v>
      </c>
      <c r="N7509" s="1" t="s">
        <v>13226</v>
      </c>
      <c r="P7509" s="1" t="s">
        <v>13227</v>
      </c>
      <c r="Q7509" s="30" t="s">
        <v>2566</v>
      </c>
      <c r="R7509" s="33" t="s">
        <v>3472</v>
      </c>
      <c r="S7509">
        <v>37</v>
      </c>
      <c r="T7509" s="1" t="s">
        <v>14024</v>
      </c>
      <c r="U7509" s="1" t="str">
        <f>HYPERLINK("http://ictvonline.org/taxonomy/p/taxonomy-history?taxnode_id=202113315","ICTVonline=202113315")</f>
        <v>ICTVonline=202113315</v>
      </c>
    </row>
    <row r="7510" spans="1:21" x14ac:dyDescent="0.2">
      <c r="A7510" s="3">
        <v>7509</v>
      </c>
      <c r="B7510" s="1" t="s">
        <v>4226</v>
      </c>
      <c r="D7510" s="1" t="s">
        <v>5412</v>
      </c>
      <c r="F7510" s="1" t="s">
        <v>3981</v>
      </c>
      <c r="G7510" s="1" t="s">
        <v>3982</v>
      </c>
      <c r="H7510" s="1" t="s">
        <v>3989</v>
      </c>
      <c r="J7510" s="1" t="s">
        <v>921</v>
      </c>
      <c r="L7510" s="1" t="s">
        <v>1329</v>
      </c>
      <c r="M7510" s="1" t="s">
        <v>8185</v>
      </c>
      <c r="N7510" s="1" t="s">
        <v>13226</v>
      </c>
      <c r="P7510" s="1" t="s">
        <v>13228</v>
      </c>
      <c r="Q7510" s="30" t="s">
        <v>2566</v>
      </c>
      <c r="R7510" s="33" t="s">
        <v>3472</v>
      </c>
      <c r="S7510">
        <v>37</v>
      </c>
      <c r="T7510" s="1" t="s">
        <v>14024</v>
      </c>
      <c r="U7510" s="1" t="str">
        <f>HYPERLINK("http://ictvonline.org/taxonomy/p/taxonomy-history?taxnode_id=202113316","ICTVonline=202113316")</f>
        <v>ICTVonline=202113316</v>
      </c>
    </row>
    <row r="7511" spans="1:21" x14ac:dyDescent="0.2">
      <c r="A7511" s="3">
        <v>7510</v>
      </c>
      <c r="B7511" s="1" t="s">
        <v>4226</v>
      </c>
      <c r="D7511" s="1" t="s">
        <v>5412</v>
      </c>
      <c r="F7511" s="1" t="s">
        <v>3981</v>
      </c>
      <c r="G7511" s="1" t="s">
        <v>3982</v>
      </c>
      <c r="H7511" s="1" t="s">
        <v>3989</v>
      </c>
      <c r="J7511" s="1" t="s">
        <v>921</v>
      </c>
      <c r="L7511" s="1" t="s">
        <v>1329</v>
      </c>
      <c r="M7511" s="1" t="s">
        <v>8185</v>
      </c>
      <c r="N7511" s="1" t="s">
        <v>3226</v>
      </c>
      <c r="P7511" s="1" t="s">
        <v>13229</v>
      </c>
      <c r="Q7511" s="30" t="s">
        <v>2566</v>
      </c>
      <c r="R7511" s="33" t="s">
        <v>3475</v>
      </c>
      <c r="S7511">
        <v>37</v>
      </c>
      <c r="T7511" s="1" t="s">
        <v>14020</v>
      </c>
      <c r="U7511" s="1" t="str">
        <f>HYPERLINK("http://ictvonline.org/taxonomy/p/taxonomy-history?taxnode_id=202101662","ICTVonline=202101662")</f>
        <v>ICTVonline=202101662</v>
      </c>
    </row>
    <row r="7512" spans="1:21" x14ac:dyDescent="0.2">
      <c r="A7512" s="3">
        <v>7511</v>
      </c>
      <c r="B7512" s="1" t="s">
        <v>4226</v>
      </c>
      <c r="D7512" s="1" t="s">
        <v>5412</v>
      </c>
      <c r="F7512" s="1" t="s">
        <v>3981</v>
      </c>
      <c r="G7512" s="1" t="s">
        <v>3982</v>
      </c>
      <c r="H7512" s="1" t="s">
        <v>3989</v>
      </c>
      <c r="J7512" s="1" t="s">
        <v>921</v>
      </c>
      <c r="L7512" s="1" t="s">
        <v>1329</v>
      </c>
      <c r="M7512" s="1" t="s">
        <v>8185</v>
      </c>
      <c r="N7512" s="1" t="s">
        <v>3226</v>
      </c>
      <c r="P7512" s="1" t="s">
        <v>13230</v>
      </c>
      <c r="Q7512" s="30" t="s">
        <v>2566</v>
      </c>
      <c r="R7512" s="33" t="s">
        <v>3475</v>
      </c>
      <c r="S7512">
        <v>37</v>
      </c>
      <c r="T7512" s="1" t="s">
        <v>14020</v>
      </c>
      <c r="U7512" s="1" t="str">
        <f>HYPERLINK("http://ictvonline.org/taxonomy/p/taxonomy-history?taxnode_id=202101663","ICTVonline=202101663")</f>
        <v>ICTVonline=202101663</v>
      </c>
    </row>
    <row r="7513" spans="1:21" x14ac:dyDescent="0.2">
      <c r="A7513" s="3">
        <v>7512</v>
      </c>
      <c r="B7513" s="1" t="s">
        <v>4226</v>
      </c>
      <c r="D7513" s="1" t="s">
        <v>5412</v>
      </c>
      <c r="F7513" s="1" t="s">
        <v>3981</v>
      </c>
      <c r="G7513" s="1" t="s">
        <v>3982</v>
      </c>
      <c r="H7513" s="1" t="s">
        <v>3989</v>
      </c>
      <c r="J7513" s="1" t="s">
        <v>921</v>
      </c>
      <c r="L7513" s="1" t="s">
        <v>1329</v>
      </c>
      <c r="M7513" s="1" t="s">
        <v>8185</v>
      </c>
      <c r="N7513" s="1" t="s">
        <v>3226</v>
      </c>
      <c r="P7513" s="1" t="s">
        <v>13231</v>
      </c>
      <c r="Q7513" s="30" t="s">
        <v>2566</v>
      </c>
      <c r="R7513" s="33" t="s">
        <v>3475</v>
      </c>
      <c r="S7513">
        <v>37</v>
      </c>
      <c r="T7513" s="1" t="s">
        <v>14020</v>
      </c>
      <c r="U7513" s="1" t="str">
        <f>HYPERLINK("http://ictvonline.org/taxonomy/p/taxonomy-history?taxnode_id=202101664","ICTVonline=202101664")</f>
        <v>ICTVonline=202101664</v>
      </c>
    </row>
    <row r="7514" spans="1:21" x14ac:dyDescent="0.2">
      <c r="A7514" s="3">
        <v>7513</v>
      </c>
      <c r="B7514" s="1" t="s">
        <v>4226</v>
      </c>
      <c r="D7514" s="1" t="s">
        <v>5412</v>
      </c>
      <c r="F7514" s="1" t="s">
        <v>3981</v>
      </c>
      <c r="G7514" s="1" t="s">
        <v>3982</v>
      </c>
      <c r="H7514" s="1" t="s">
        <v>3989</v>
      </c>
      <c r="J7514" s="1" t="s">
        <v>921</v>
      </c>
      <c r="L7514" s="1" t="s">
        <v>1329</v>
      </c>
      <c r="M7514" s="1" t="s">
        <v>8185</v>
      </c>
      <c r="N7514" s="1" t="s">
        <v>3226</v>
      </c>
      <c r="P7514" s="1" t="s">
        <v>13232</v>
      </c>
      <c r="Q7514" s="30" t="s">
        <v>2566</v>
      </c>
      <c r="R7514" s="33" t="s">
        <v>3475</v>
      </c>
      <c r="S7514">
        <v>37</v>
      </c>
      <c r="T7514" s="1" t="s">
        <v>14020</v>
      </c>
      <c r="U7514" s="1" t="str">
        <f>HYPERLINK("http://ictvonline.org/taxonomy/p/taxonomy-history?taxnode_id=202101665","ICTVonline=202101665")</f>
        <v>ICTVonline=202101665</v>
      </c>
    </row>
    <row r="7515" spans="1:21" x14ac:dyDescent="0.2">
      <c r="A7515" s="3">
        <v>7514</v>
      </c>
      <c r="B7515" s="1" t="s">
        <v>4226</v>
      </c>
      <c r="D7515" s="1" t="s">
        <v>5412</v>
      </c>
      <c r="F7515" s="1" t="s">
        <v>3981</v>
      </c>
      <c r="G7515" s="1" t="s">
        <v>3982</v>
      </c>
      <c r="H7515" s="1" t="s">
        <v>3989</v>
      </c>
      <c r="J7515" s="1" t="s">
        <v>921</v>
      </c>
      <c r="L7515" s="1" t="s">
        <v>1329</v>
      </c>
      <c r="M7515" s="1" t="s">
        <v>8185</v>
      </c>
      <c r="N7515" s="1" t="s">
        <v>1274</v>
      </c>
      <c r="P7515" s="1" t="s">
        <v>13233</v>
      </c>
      <c r="Q7515" s="30" t="s">
        <v>2566</v>
      </c>
      <c r="R7515" s="33" t="s">
        <v>3475</v>
      </c>
      <c r="S7515">
        <v>37</v>
      </c>
      <c r="T7515" s="1" t="s">
        <v>14020</v>
      </c>
      <c r="U7515" s="1" t="str">
        <f>HYPERLINK("http://ictvonline.org/taxonomy/p/taxonomy-history?taxnode_id=202101682","ICTVonline=202101682")</f>
        <v>ICTVonline=202101682</v>
      </c>
    </row>
    <row r="7516" spans="1:21" x14ac:dyDescent="0.2">
      <c r="A7516" s="3">
        <v>7515</v>
      </c>
      <c r="B7516" s="1" t="s">
        <v>4226</v>
      </c>
      <c r="D7516" s="1" t="s">
        <v>5412</v>
      </c>
      <c r="F7516" s="1" t="s">
        <v>3981</v>
      </c>
      <c r="G7516" s="1" t="s">
        <v>3982</v>
      </c>
      <c r="H7516" s="1" t="s">
        <v>3989</v>
      </c>
      <c r="J7516" s="1" t="s">
        <v>921</v>
      </c>
      <c r="L7516" s="1" t="s">
        <v>1329</v>
      </c>
      <c r="M7516" s="1" t="s">
        <v>8185</v>
      </c>
      <c r="N7516" s="1" t="s">
        <v>1274</v>
      </c>
      <c r="P7516" s="1" t="s">
        <v>13234</v>
      </c>
      <c r="Q7516" s="30" t="s">
        <v>2566</v>
      </c>
      <c r="R7516" s="33" t="s">
        <v>3475</v>
      </c>
      <c r="S7516">
        <v>37</v>
      </c>
      <c r="T7516" s="1" t="s">
        <v>14020</v>
      </c>
      <c r="U7516" s="1" t="str">
        <f>HYPERLINK("http://ictvonline.org/taxonomy/p/taxonomy-history?taxnode_id=202101683","ICTVonline=202101683")</f>
        <v>ICTVonline=202101683</v>
      </c>
    </row>
    <row r="7517" spans="1:21" x14ac:dyDescent="0.2">
      <c r="A7517" s="3">
        <v>7516</v>
      </c>
      <c r="B7517" s="1" t="s">
        <v>4226</v>
      </c>
      <c r="D7517" s="1" t="s">
        <v>5412</v>
      </c>
      <c r="F7517" s="1" t="s">
        <v>3981</v>
      </c>
      <c r="G7517" s="1" t="s">
        <v>3982</v>
      </c>
      <c r="H7517" s="1" t="s">
        <v>3989</v>
      </c>
      <c r="J7517" s="1" t="s">
        <v>921</v>
      </c>
      <c r="L7517" s="1" t="s">
        <v>1329</v>
      </c>
      <c r="M7517" s="1" t="s">
        <v>8185</v>
      </c>
      <c r="N7517" s="1" t="s">
        <v>1274</v>
      </c>
      <c r="P7517" s="1" t="s">
        <v>13235</v>
      </c>
      <c r="Q7517" s="30" t="s">
        <v>2566</v>
      </c>
      <c r="R7517" s="33" t="s">
        <v>3475</v>
      </c>
      <c r="S7517">
        <v>37</v>
      </c>
      <c r="T7517" s="1" t="s">
        <v>14020</v>
      </c>
      <c r="U7517" s="1" t="str">
        <f>HYPERLINK("http://ictvonline.org/taxonomy/p/taxonomy-history?taxnode_id=202101684","ICTVonline=202101684")</f>
        <v>ICTVonline=202101684</v>
      </c>
    </row>
    <row r="7518" spans="1:21" x14ac:dyDescent="0.2">
      <c r="A7518" s="3">
        <v>7517</v>
      </c>
      <c r="B7518" s="1" t="s">
        <v>4226</v>
      </c>
      <c r="D7518" s="1" t="s">
        <v>5412</v>
      </c>
      <c r="F7518" s="1" t="s">
        <v>3981</v>
      </c>
      <c r="G7518" s="1" t="s">
        <v>3982</v>
      </c>
      <c r="H7518" s="1" t="s">
        <v>3989</v>
      </c>
      <c r="J7518" s="1" t="s">
        <v>921</v>
      </c>
      <c r="L7518" s="1" t="s">
        <v>1329</v>
      </c>
      <c r="M7518" s="1" t="s">
        <v>8185</v>
      </c>
      <c r="N7518" s="1" t="s">
        <v>1274</v>
      </c>
      <c r="P7518" s="1" t="s">
        <v>13236</v>
      </c>
      <c r="Q7518" s="30" t="s">
        <v>2566</v>
      </c>
      <c r="R7518" s="33" t="s">
        <v>3475</v>
      </c>
      <c r="S7518">
        <v>37</v>
      </c>
      <c r="T7518" s="1" t="s">
        <v>14020</v>
      </c>
      <c r="U7518" s="1" t="str">
        <f>HYPERLINK("http://ictvonline.org/taxonomy/p/taxonomy-history?taxnode_id=202109101","ICTVonline=202109101")</f>
        <v>ICTVonline=202109101</v>
      </c>
    </row>
    <row r="7519" spans="1:21" x14ac:dyDescent="0.2">
      <c r="A7519" s="3">
        <v>7518</v>
      </c>
      <c r="B7519" s="1" t="s">
        <v>4226</v>
      </c>
      <c r="D7519" s="1" t="s">
        <v>5412</v>
      </c>
      <c r="F7519" s="1" t="s">
        <v>3981</v>
      </c>
      <c r="G7519" s="1" t="s">
        <v>3982</v>
      </c>
      <c r="H7519" s="1" t="s">
        <v>3989</v>
      </c>
      <c r="J7519" s="1" t="s">
        <v>921</v>
      </c>
      <c r="L7519" s="1" t="s">
        <v>1329</v>
      </c>
      <c r="M7519" s="1" t="s">
        <v>8185</v>
      </c>
      <c r="N7519" s="1" t="s">
        <v>1274</v>
      </c>
      <c r="P7519" s="1" t="s">
        <v>13237</v>
      </c>
      <c r="Q7519" s="30" t="s">
        <v>2566</v>
      </c>
      <c r="R7519" s="33" t="s">
        <v>3475</v>
      </c>
      <c r="S7519">
        <v>37</v>
      </c>
      <c r="T7519" s="1" t="s">
        <v>14020</v>
      </c>
      <c r="U7519" s="1" t="str">
        <f>HYPERLINK("http://ictvonline.org/taxonomy/p/taxonomy-history?taxnode_id=202109103","ICTVonline=202109103")</f>
        <v>ICTVonline=202109103</v>
      </c>
    </row>
    <row r="7520" spans="1:21" x14ac:dyDescent="0.2">
      <c r="A7520" s="3">
        <v>7519</v>
      </c>
      <c r="B7520" s="1" t="s">
        <v>4226</v>
      </c>
      <c r="D7520" s="1" t="s">
        <v>5412</v>
      </c>
      <c r="F7520" s="1" t="s">
        <v>3981</v>
      </c>
      <c r="G7520" s="1" t="s">
        <v>3982</v>
      </c>
      <c r="H7520" s="1" t="s">
        <v>3989</v>
      </c>
      <c r="J7520" s="1" t="s">
        <v>921</v>
      </c>
      <c r="L7520" s="1" t="s">
        <v>1329</v>
      </c>
      <c r="M7520" s="1" t="s">
        <v>8185</v>
      </c>
      <c r="N7520" s="1" t="s">
        <v>1274</v>
      </c>
      <c r="P7520" s="1" t="s">
        <v>13238</v>
      </c>
      <c r="Q7520" s="30" t="s">
        <v>2566</v>
      </c>
      <c r="R7520" s="33" t="s">
        <v>3475</v>
      </c>
      <c r="S7520">
        <v>37</v>
      </c>
      <c r="T7520" s="1" t="s">
        <v>14020</v>
      </c>
      <c r="U7520" s="1" t="str">
        <f>HYPERLINK("http://ictvonline.org/taxonomy/p/taxonomy-history?taxnode_id=202101685","ICTVonline=202101685")</f>
        <v>ICTVonline=202101685</v>
      </c>
    </row>
    <row r="7521" spans="1:21" x14ac:dyDescent="0.2">
      <c r="A7521" s="3">
        <v>7520</v>
      </c>
      <c r="B7521" s="1" t="s">
        <v>4226</v>
      </c>
      <c r="D7521" s="1" t="s">
        <v>5412</v>
      </c>
      <c r="F7521" s="1" t="s">
        <v>3981</v>
      </c>
      <c r="G7521" s="1" t="s">
        <v>3982</v>
      </c>
      <c r="H7521" s="1" t="s">
        <v>3989</v>
      </c>
      <c r="J7521" s="1" t="s">
        <v>921</v>
      </c>
      <c r="L7521" s="1" t="s">
        <v>1329</v>
      </c>
      <c r="M7521" s="1" t="s">
        <v>8185</v>
      </c>
      <c r="N7521" s="1" t="s">
        <v>1274</v>
      </c>
      <c r="P7521" s="1" t="s">
        <v>13239</v>
      </c>
      <c r="Q7521" s="30" t="s">
        <v>2566</v>
      </c>
      <c r="R7521" s="33" t="s">
        <v>3475</v>
      </c>
      <c r="S7521">
        <v>37</v>
      </c>
      <c r="T7521" s="1" t="s">
        <v>14020</v>
      </c>
      <c r="U7521" s="1" t="str">
        <f>HYPERLINK("http://ictvonline.org/taxonomy/p/taxonomy-history?taxnode_id=202101686","ICTVonline=202101686")</f>
        <v>ICTVonline=202101686</v>
      </c>
    </row>
    <row r="7522" spans="1:21" x14ac:dyDescent="0.2">
      <c r="A7522" s="3">
        <v>7521</v>
      </c>
      <c r="B7522" s="1" t="s">
        <v>4226</v>
      </c>
      <c r="D7522" s="1" t="s">
        <v>5412</v>
      </c>
      <c r="F7522" s="1" t="s">
        <v>3981</v>
      </c>
      <c r="G7522" s="1" t="s">
        <v>3982</v>
      </c>
      <c r="H7522" s="1" t="s">
        <v>3989</v>
      </c>
      <c r="J7522" s="1" t="s">
        <v>921</v>
      </c>
      <c r="L7522" s="1" t="s">
        <v>1329</v>
      </c>
      <c r="M7522" s="1" t="s">
        <v>8185</v>
      </c>
      <c r="N7522" s="1" t="s">
        <v>1274</v>
      </c>
      <c r="P7522" s="1" t="s">
        <v>13240</v>
      </c>
      <c r="Q7522" s="30" t="s">
        <v>2566</v>
      </c>
      <c r="R7522" s="33" t="s">
        <v>3475</v>
      </c>
      <c r="S7522">
        <v>37</v>
      </c>
      <c r="T7522" s="1" t="s">
        <v>14020</v>
      </c>
      <c r="U7522" s="1" t="str">
        <f>HYPERLINK("http://ictvonline.org/taxonomy/p/taxonomy-history?taxnode_id=202101687","ICTVonline=202101687")</f>
        <v>ICTVonline=202101687</v>
      </c>
    </row>
    <row r="7523" spans="1:21" x14ac:dyDescent="0.2">
      <c r="A7523" s="3">
        <v>7522</v>
      </c>
      <c r="B7523" s="1" t="s">
        <v>4226</v>
      </c>
      <c r="D7523" s="1" t="s">
        <v>5412</v>
      </c>
      <c r="F7523" s="1" t="s">
        <v>3981</v>
      </c>
      <c r="G7523" s="1" t="s">
        <v>3982</v>
      </c>
      <c r="H7523" s="1" t="s">
        <v>3989</v>
      </c>
      <c r="J7523" s="1" t="s">
        <v>921</v>
      </c>
      <c r="L7523" s="1" t="s">
        <v>1329</v>
      </c>
      <c r="M7523" s="1" t="s">
        <v>8185</v>
      </c>
      <c r="N7523" s="1" t="s">
        <v>1274</v>
      </c>
      <c r="P7523" s="1" t="s">
        <v>13241</v>
      </c>
      <c r="Q7523" s="30" t="s">
        <v>2566</v>
      </c>
      <c r="R7523" s="33" t="s">
        <v>3475</v>
      </c>
      <c r="S7523">
        <v>37</v>
      </c>
      <c r="T7523" s="1" t="s">
        <v>14020</v>
      </c>
      <c r="U7523" s="1" t="str">
        <f>HYPERLINK("http://ictvonline.org/taxonomy/p/taxonomy-history?taxnode_id=202101688","ICTVonline=202101688")</f>
        <v>ICTVonline=202101688</v>
      </c>
    </row>
    <row r="7524" spans="1:21" x14ac:dyDescent="0.2">
      <c r="A7524" s="3">
        <v>7523</v>
      </c>
      <c r="B7524" s="1" t="s">
        <v>4226</v>
      </c>
      <c r="D7524" s="1" t="s">
        <v>5412</v>
      </c>
      <c r="F7524" s="1" t="s">
        <v>3981</v>
      </c>
      <c r="G7524" s="1" t="s">
        <v>3982</v>
      </c>
      <c r="H7524" s="1" t="s">
        <v>3989</v>
      </c>
      <c r="J7524" s="1" t="s">
        <v>921</v>
      </c>
      <c r="L7524" s="1" t="s">
        <v>1329</v>
      </c>
      <c r="M7524" s="1" t="s">
        <v>8185</v>
      </c>
      <c r="N7524" s="1" t="s">
        <v>1274</v>
      </c>
      <c r="P7524" s="1" t="s">
        <v>13242</v>
      </c>
      <c r="Q7524" s="30" t="s">
        <v>2566</v>
      </c>
      <c r="R7524" s="33" t="s">
        <v>3475</v>
      </c>
      <c r="S7524">
        <v>37</v>
      </c>
      <c r="T7524" s="1" t="s">
        <v>14020</v>
      </c>
      <c r="U7524" s="1" t="str">
        <f>HYPERLINK("http://ictvonline.org/taxonomy/p/taxonomy-history?taxnode_id=202109102","ICTVonline=202109102")</f>
        <v>ICTVonline=202109102</v>
      </c>
    </row>
    <row r="7525" spans="1:21" x14ac:dyDescent="0.2">
      <c r="A7525" s="3">
        <v>7524</v>
      </c>
      <c r="B7525" s="1" t="s">
        <v>4226</v>
      </c>
      <c r="D7525" s="1" t="s">
        <v>5412</v>
      </c>
      <c r="F7525" s="1" t="s">
        <v>3981</v>
      </c>
      <c r="G7525" s="1" t="s">
        <v>3982</v>
      </c>
      <c r="H7525" s="1" t="s">
        <v>3989</v>
      </c>
      <c r="J7525" s="1" t="s">
        <v>921</v>
      </c>
      <c r="L7525" s="1" t="s">
        <v>1329</v>
      </c>
      <c r="M7525" s="1" t="s">
        <v>8185</v>
      </c>
      <c r="N7525" s="1" t="s">
        <v>1274</v>
      </c>
      <c r="P7525" s="1" t="s">
        <v>13243</v>
      </c>
      <c r="Q7525" s="30" t="s">
        <v>2566</v>
      </c>
      <c r="R7525" s="33" t="s">
        <v>3475</v>
      </c>
      <c r="S7525">
        <v>37</v>
      </c>
      <c r="T7525" s="1" t="s">
        <v>14020</v>
      </c>
      <c r="U7525" s="1" t="str">
        <f>HYPERLINK("http://ictvonline.org/taxonomy/p/taxonomy-history?taxnode_id=202101689","ICTVonline=202101689")</f>
        <v>ICTVonline=202101689</v>
      </c>
    </row>
    <row r="7526" spans="1:21" x14ac:dyDescent="0.2">
      <c r="A7526" s="3">
        <v>7525</v>
      </c>
      <c r="B7526" s="1" t="s">
        <v>4226</v>
      </c>
      <c r="D7526" s="1" t="s">
        <v>5412</v>
      </c>
      <c r="F7526" s="1" t="s">
        <v>3981</v>
      </c>
      <c r="G7526" s="1" t="s">
        <v>3982</v>
      </c>
      <c r="H7526" s="1" t="s">
        <v>3989</v>
      </c>
      <c r="J7526" s="1" t="s">
        <v>921</v>
      </c>
      <c r="L7526" s="1" t="s">
        <v>1329</v>
      </c>
      <c r="M7526" s="1" t="s">
        <v>8185</v>
      </c>
      <c r="N7526" s="1" t="s">
        <v>3129</v>
      </c>
      <c r="P7526" s="1" t="s">
        <v>13244</v>
      </c>
      <c r="Q7526" s="30" t="s">
        <v>2566</v>
      </c>
      <c r="R7526" s="33" t="s">
        <v>3472</v>
      </c>
      <c r="S7526">
        <v>37</v>
      </c>
      <c r="T7526" s="1" t="s">
        <v>14025</v>
      </c>
      <c r="U7526" s="1" t="str">
        <f>HYPERLINK("http://ictvonline.org/taxonomy/p/taxonomy-history?taxnode_id=202113335","ICTVonline=202113335")</f>
        <v>ICTVonline=202113335</v>
      </c>
    </row>
    <row r="7527" spans="1:21" x14ac:dyDescent="0.2">
      <c r="A7527" s="3">
        <v>7526</v>
      </c>
      <c r="B7527" s="1" t="s">
        <v>4226</v>
      </c>
      <c r="D7527" s="1" t="s">
        <v>5412</v>
      </c>
      <c r="F7527" s="1" t="s">
        <v>3981</v>
      </c>
      <c r="G7527" s="1" t="s">
        <v>3982</v>
      </c>
      <c r="H7527" s="1" t="s">
        <v>3989</v>
      </c>
      <c r="J7527" s="1" t="s">
        <v>921</v>
      </c>
      <c r="L7527" s="1" t="s">
        <v>1329</v>
      </c>
      <c r="M7527" s="1" t="s">
        <v>8185</v>
      </c>
      <c r="N7527" s="1" t="s">
        <v>3129</v>
      </c>
      <c r="P7527" s="1" t="s">
        <v>13245</v>
      </c>
      <c r="Q7527" s="30" t="s">
        <v>2566</v>
      </c>
      <c r="R7527" s="33" t="s">
        <v>3475</v>
      </c>
      <c r="S7527">
        <v>37</v>
      </c>
      <c r="T7527" s="1" t="s">
        <v>14020</v>
      </c>
      <c r="U7527" s="1" t="str">
        <f>HYPERLINK("http://ictvonline.org/taxonomy/p/taxonomy-history?taxnode_id=202101691","ICTVonline=202101691")</f>
        <v>ICTVonline=202101691</v>
      </c>
    </row>
    <row r="7528" spans="1:21" x14ac:dyDescent="0.2">
      <c r="A7528" s="3">
        <v>7527</v>
      </c>
      <c r="B7528" s="1" t="s">
        <v>4226</v>
      </c>
      <c r="D7528" s="1" t="s">
        <v>5412</v>
      </c>
      <c r="F7528" s="1" t="s">
        <v>3981</v>
      </c>
      <c r="G7528" s="1" t="s">
        <v>3982</v>
      </c>
      <c r="H7528" s="1" t="s">
        <v>3989</v>
      </c>
      <c r="J7528" s="1" t="s">
        <v>921</v>
      </c>
      <c r="L7528" s="1" t="s">
        <v>1329</v>
      </c>
      <c r="M7528" s="1" t="s">
        <v>8185</v>
      </c>
      <c r="N7528" s="1" t="s">
        <v>3129</v>
      </c>
      <c r="P7528" s="1" t="s">
        <v>13246</v>
      </c>
      <c r="Q7528" s="30" t="s">
        <v>2566</v>
      </c>
      <c r="R7528" s="33" t="s">
        <v>3475</v>
      </c>
      <c r="S7528">
        <v>37</v>
      </c>
      <c r="T7528" s="1" t="s">
        <v>14020</v>
      </c>
      <c r="U7528" s="1" t="str">
        <f>HYPERLINK("http://ictvonline.org/taxonomy/p/taxonomy-history?taxnode_id=202101692","ICTVonline=202101692")</f>
        <v>ICTVonline=202101692</v>
      </c>
    </row>
    <row r="7529" spans="1:21" x14ac:dyDescent="0.2">
      <c r="A7529" s="3">
        <v>7528</v>
      </c>
      <c r="B7529" s="1" t="s">
        <v>4226</v>
      </c>
      <c r="D7529" s="1" t="s">
        <v>5412</v>
      </c>
      <c r="F7529" s="1" t="s">
        <v>3981</v>
      </c>
      <c r="G7529" s="1" t="s">
        <v>3982</v>
      </c>
      <c r="H7529" s="1" t="s">
        <v>3989</v>
      </c>
      <c r="J7529" s="1" t="s">
        <v>921</v>
      </c>
      <c r="L7529" s="1" t="s">
        <v>1329</v>
      </c>
      <c r="M7529" s="1" t="s">
        <v>8185</v>
      </c>
      <c r="N7529" s="1" t="s">
        <v>3129</v>
      </c>
      <c r="P7529" s="1" t="s">
        <v>13247</v>
      </c>
      <c r="Q7529" s="30" t="s">
        <v>2566</v>
      </c>
      <c r="R7529" s="33" t="s">
        <v>3475</v>
      </c>
      <c r="S7529">
        <v>37</v>
      </c>
      <c r="T7529" s="1" t="s">
        <v>14020</v>
      </c>
      <c r="U7529" s="1" t="str">
        <f>HYPERLINK("http://ictvonline.org/taxonomy/p/taxonomy-history?taxnode_id=202101693","ICTVonline=202101693")</f>
        <v>ICTVonline=202101693</v>
      </c>
    </row>
    <row r="7530" spans="1:21" x14ac:dyDescent="0.2">
      <c r="A7530" s="3">
        <v>7529</v>
      </c>
      <c r="B7530" s="1" t="s">
        <v>4226</v>
      </c>
      <c r="D7530" s="1" t="s">
        <v>5412</v>
      </c>
      <c r="F7530" s="1" t="s">
        <v>3981</v>
      </c>
      <c r="G7530" s="1" t="s">
        <v>3982</v>
      </c>
      <c r="H7530" s="1" t="s">
        <v>3989</v>
      </c>
      <c r="J7530" s="1" t="s">
        <v>921</v>
      </c>
      <c r="L7530" s="1" t="s">
        <v>1329</v>
      </c>
      <c r="M7530" s="1" t="s">
        <v>8185</v>
      </c>
      <c r="N7530" s="1" t="s">
        <v>3129</v>
      </c>
      <c r="P7530" s="1" t="s">
        <v>13248</v>
      </c>
      <c r="Q7530" s="30" t="s">
        <v>2566</v>
      </c>
      <c r="R7530" s="33" t="s">
        <v>3475</v>
      </c>
      <c r="S7530">
        <v>37</v>
      </c>
      <c r="T7530" s="1" t="s">
        <v>14020</v>
      </c>
      <c r="U7530" s="1" t="str">
        <f>HYPERLINK("http://ictvonline.org/taxonomy/p/taxonomy-history?taxnode_id=202107103","ICTVonline=202107103")</f>
        <v>ICTVonline=202107103</v>
      </c>
    </row>
    <row r="7531" spans="1:21" x14ac:dyDescent="0.2">
      <c r="A7531" s="3">
        <v>7530</v>
      </c>
      <c r="B7531" s="1" t="s">
        <v>4226</v>
      </c>
      <c r="D7531" s="1" t="s">
        <v>5412</v>
      </c>
      <c r="F7531" s="1" t="s">
        <v>3981</v>
      </c>
      <c r="G7531" s="1" t="s">
        <v>3982</v>
      </c>
      <c r="H7531" s="1" t="s">
        <v>3989</v>
      </c>
      <c r="J7531" s="1" t="s">
        <v>921</v>
      </c>
      <c r="L7531" s="1" t="s">
        <v>1329</v>
      </c>
      <c r="M7531" s="1" t="s">
        <v>8185</v>
      </c>
      <c r="N7531" s="1" t="s">
        <v>3129</v>
      </c>
      <c r="P7531" s="1" t="s">
        <v>13249</v>
      </c>
      <c r="Q7531" s="30" t="s">
        <v>2566</v>
      </c>
      <c r="R7531" s="33" t="s">
        <v>3475</v>
      </c>
      <c r="S7531">
        <v>37</v>
      </c>
      <c r="T7531" s="1" t="s">
        <v>14020</v>
      </c>
      <c r="U7531" s="1" t="str">
        <f>HYPERLINK("http://ictvonline.org/taxonomy/p/taxonomy-history?taxnode_id=202101694","ICTVonline=202101694")</f>
        <v>ICTVonline=202101694</v>
      </c>
    </row>
    <row r="7532" spans="1:21" x14ac:dyDescent="0.2">
      <c r="A7532" s="3">
        <v>7531</v>
      </c>
      <c r="B7532" s="1" t="s">
        <v>4226</v>
      </c>
      <c r="D7532" s="1" t="s">
        <v>5412</v>
      </c>
      <c r="F7532" s="1" t="s">
        <v>3981</v>
      </c>
      <c r="G7532" s="1" t="s">
        <v>3982</v>
      </c>
      <c r="H7532" s="1" t="s">
        <v>3989</v>
      </c>
      <c r="J7532" s="1" t="s">
        <v>921</v>
      </c>
      <c r="L7532" s="1" t="s">
        <v>1329</v>
      </c>
      <c r="M7532" s="1" t="s">
        <v>8185</v>
      </c>
      <c r="N7532" s="1" t="s">
        <v>3129</v>
      </c>
      <c r="P7532" s="1" t="s">
        <v>13250</v>
      </c>
      <c r="Q7532" s="30" t="s">
        <v>2566</v>
      </c>
      <c r="R7532" s="33" t="s">
        <v>3475</v>
      </c>
      <c r="S7532">
        <v>37</v>
      </c>
      <c r="T7532" s="1" t="s">
        <v>14020</v>
      </c>
      <c r="U7532" s="1" t="str">
        <f>HYPERLINK("http://ictvonline.org/taxonomy/p/taxonomy-history?taxnode_id=202101695","ICTVonline=202101695")</f>
        <v>ICTVonline=202101695</v>
      </c>
    </row>
    <row r="7533" spans="1:21" x14ac:dyDescent="0.2">
      <c r="A7533" s="3">
        <v>7532</v>
      </c>
      <c r="B7533" s="1" t="s">
        <v>4226</v>
      </c>
      <c r="D7533" s="1" t="s">
        <v>5412</v>
      </c>
      <c r="F7533" s="1" t="s">
        <v>3981</v>
      </c>
      <c r="G7533" s="1" t="s">
        <v>3982</v>
      </c>
      <c r="H7533" s="1" t="s">
        <v>3989</v>
      </c>
      <c r="J7533" s="1" t="s">
        <v>921</v>
      </c>
      <c r="L7533" s="1" t="s">
        <v>1329</v>
      </c>
      <c r="M7533" s="1" t="s">
        <v>8185</v>
      </c>
      <c r="N7533" s="1" t="s">
        <v>3129</v>
      </c>
      <c r="P7533" s="1" t="s">
        <v>13251</v>
      </c>
      <c r="Q7533" s="30" t="s">
        <v>2566</v>
      </c>
      <c r="R7533" s="33" t="s">
        <v>3475</v>
      </c>
      <c r="S7533">
        <v>37</v>
      </c>
      <c r="T7533" s="1" t="s">
        <v>14020</v>
      </c>
      <c r="U7533" s="1" t="str">
        <f>HYPERLINK("http://ictvonline.org/taxonomy/p/taxonomy-history?taxnode_id=202101696","ICTVonline=202101696")</f>
        <v>ICTVonline=202101696</v>
      </c>
    </row>
    <row r="7534" spans="1:21" x14ac:dyDescent="0.2">
      <c r="A7534" s="3">
        <v>7533</v>
      </c>
      <c r="B7534" s="1" t="s">
        <v>4226</v>
      </c>
      <c r="D7534" s="1" t="s">
        <v>5412</v>
      </c>
      <c r="F7534" s="1" t="s">
        <v>3981</v>
      </c>
      <c r="G7534" s="1" t="s">
        <v>3982</v>
      </c>
      <c r="H7534" s="1" t="s">
        <v>3989</v>
      </c>
      <c r="J7534" s="1" t="s">
        <v>921</v>
      </c>
      <c r="L7534" s="1" t="s">
        <v>1329</v>
      </c>
      <c r="M7534" s="1" t="s">
        <v>8185</v>
      </c>
      <c r="N7534" s="1" t="s">
        <v>3129</v>
      </c>
      <c r="P7534" s="1" t="s">
        <v>13252</v>
      </c>
      <c r="Q7534" s="30" t="s">
        <v>2566</v>
      </c>
      <c r="R7534" s="33" t="s">
        <v>3475</v>
      </c>
      <c r="S7534">
        <v>37</v>
      </c>
      <c r="T7534" s="1" t="s">
        <v>14020</v>
      </c>
      <c r="U7534" s="1" t="str">
        <f>HYPERLINK("http://ictvonline.org/taxonomy/p/taxonomy-history?taxnode_id=202101697","ICTVonline=202101697")</f>
        <v>ICTVonline=202101697</v>
      </c>
    </row>
    <row r="7535" spans="1:21" x14ac:dyDescent="0.2">
      <c r="A7535" s="3">
        <v>7534</v>
      </c>
      <c r="B7535" s="1" t="s">
        <v>4226</v>
      </c>
      <c r="D7535" s="1" t="s">
        <v>5412</v>
      </c>
      <c r="F7535" s="1" t="s">
        <v>3981</v>
      </c>
      <c r="G7535" s="1" t="s">
        <v>3982</v>
      </c>
      <c r="H7535" s="1" t="s">
        <v>3989</v>
      </c>
      <c r="J7535" s="1" t="s">
        <v>921</v>
      </c>
      <c r="L7535" s="1" t="s">
        <v>1329</v>
      </c>
      <c r="M7535" s="1" t="s">
        <v>8185</v>
      </c>
      <c r="N7535" s="1" t="s">
        <v>3129</v>
      </c>
      <c r="P7535" s="1" t="s">
        <v>13253</v>
      </c>
      <c r="Q7535" s="30" t="s">
        <v>2566</v>
      </c>
      <c r="R7535" s="33" t="s">
        <v>3475</v>
      </c>
      <c r="S7535">
        <v>37</v>
      </c>
      <c r="T7535" s="1" t="s">
        <v>14020</v>
      </c>
      <c r="U7535" s="1" t="str">
        <f>HYPERLINK("http://ictvonline.org/taxonomy/p/taxonomy-history?taxnode_id=202101698","ICTVonline=202101698")</f>
        <v>ICTVonline=202101698</v>
      </c>
    </row>
    <row r="7536" spans="1:21" x14ac:dyDescent="0.2">
      <c r="A7536" s="3">
        <v>7535</v>
      </c>
      <c r="B7536" s="1" t="s">
        <v>4226</v>
      </c>
      <c r="D7536" s="1" t="s">
        <v>5412</v>
      </c>
      <c r="F7536" s="1" t="s">
        <v>3981</v>
      </c>
      <c r="G7536" s="1" t="s">
        <v>3982</v>
      </c>
      <c r="H7536" s="1" t="s">
        <v>3989</v>
      </c>
      <c r="J7536" s="1" t="s">
        <v>921</v>
      </c>
      <c r="L7536" s="1" t="s">
        <v>1329</v>
      </c>
      <c r="M7536" s="1" t="s">
        <v>8185</v>
      </c>
      <c r="N7536" s="1" t="s">
        <v>3129</v>
      </c>
      <c r="P7536" s="1" t="s">
        <v>13254</v>
      </c>
      <c r="Q7536" s="30" t="s">
        <v>2566</v>
      </c>
      <c r="R7536" s="33" t="s">
        <v>3475</v>
      </c>
      <c r="S7536">
        <v>37</v>
      </c>
      <c r="T7536" s="1" t="s">
        <v>14020</v>
      </c>
      <c r="U7536" s="1" t="str">
        <f>HYPERLINK("http://ictvonline.org/taxonomy/p/taxonomy-history?taxnode_id=202101699","ICTVonline=202101699")</f>
        <v>ICTVonline=202101699</v>
      </c>
    </row>
    <row r="7537" spans="1:21" x14ac:dyDescent="0.2">
      <c r="A7537" s="3">
        <v>7536</v>
      </c>
      <c r="B7537" s="1" t="s">
        <v>4226</v>
      </c>
      <c r="D7537" s="1" t="s">
        <v>5412</v>
      </c>
      <c r="F7537" s="1" t="s">
        <v>3981</v>
      </c>
      <c r="G7537" s="1" t="s">
        <v>3982</v>
      </c>
      <c r="H7537" s="1" t="s">
        <v>3989</v>
      </c>
      <c r="J7537" s="1" t="s">
        <v>921</v>
      </c>
      <c r="L7537" s="1" t="s">
        <v>1329</v>
      </c>
      <c r="M7537" s="1" t="s">
        <v>8185</v>
      </c>
      <c r="N7537" s="1" t="s">
        <v>3129</v>
      </c>
      <c r="P7537" s="1" t="s">
        <v>13255</v>
      </c>
      <c r="Q7537" s="30" t="s">
        <v>2566</v>
      </c>
      <c r="R7537" s="33" t="s">
        <v>3475</v>
      </c>
      <c r="S7537">
        <v>37</v>
      </c>
      <c r="T7537" s="1" t="s">
        <v>14020</v>
      </c>
      <c r="U7537" s="1" t="str">
        <f>HYPERLINK("http://ictvonline.org/taxonomy/p/taxonomy-history?taxnode_id=202101700","ICTVonline=202101700")</f>
        <v>ICTVonline=202101700</v>
      </c>
    </row>
    <row r="7538" spans="1:21" x14ac:dyDescent="0.2">
      <c r="A7538" s="3">
        <v>7537</v>
      </c>
      <c r="B7538" s="1" t="s">
        <v>4226</v>
      </c>
      <c r="D7538" s="1" t="s">
        <v>5412</v>
      </c>
      <c r="F7538" s="1" t="s">
        <v>3981</v>
      </c>
      <c r="G7538" s="1" t="s">
        <v>3982</v>
      </c>
      <c r="H7538" s="1" t="s">
        <v>3989</v>
      </c>
      <c r="J7538" s="1" t="s">
        <v>921</v>
      </c>
      <c r="L7538" s="1" t="s">
        <v>1329</v>
      </c>
      <c r="M7538" s="1" t="s">
        <v>8185</v>
      </c>
      <c r="N7538" s="1" t="s">
        <v>3129</v>
      </c>
      <c r="P7538" s="1" t="s">
        <v>13256</v>
      </c>
      <c r="Q7538" s="30" t="s">
        <v>2566</v>
      </c>
      <c r="R7538" s="33" t="s">
        <v>3475</v>
      </c>
      <c r="S7538">
        <v>37</v>
      </c>
      <c r="T7538" s="1" t="s">
        <v>14020</v>
      </c>
      <c r="U7538" s="1" t="str">
        <f>HYPERLINK("http://ictvonline.org/taxonomy/p/taxonomy-history?taxnode_id=202101701","ICTVonline=202101701")</f>
        <v>ICTVonline=202101701</v>
      </c>
    </row>
    <row r="7539" spans="1:21" x14ac:dyDescent="0.2">
      <c r="A7539" s="3">
        <v>7538</v>
      </c>
      <c r="B7539" s="1" t="s">
        <v>4226</v>
      </c>
      <c r="D7539" s="1" t="s">
        <v>5412</v>
      </c>
      <c r="F7539" s="1" t="s">
        <v>3981</v>
      </c>
      <c r="G7539" s="1" t="s">
        <v>3982</v>
      </c>
      <c r="H7539" s="1" t="s">
        <v>3989</v>
      </c>
      <c r="J7539" s="1" t="s">
        <v>921</v>
      </c>
      <c r="L7539" s="1" t="s">
        <v>1329</v>
      </c>
      <c r="M7539" s="1" t="s">
        <v>8185</v>
      </c>
      <c r="N7539" s="1" t="s">
        <v>3129</v>
      </c>
      <c r="P7539" s="1" t="s">
        <v>13257</v>
      </c>
      <c r="Q7539" s="30" t="s">
        <v>2566</v>
      </c>
      <c r="R7539" s="33" t="s">
        <v>3475</v>
      </c>
      <c r="S7539">
        <v>37</v>
      </c>
      <c r="T7539" s="1" t="s">
        <v>14020</v>
      </c>
      <c r="U7539" s="1" t="str">
        <f>HYPERLINK("http://ictvonline.org/taxonomy/p/taxonomy-history?taxnode_id=202101702","ICTVonline=202101702")</f>
        <v>ICTVonline=202101702</v>
      </c>
    </row>
    <row r="7540" spans="1:21" x14ac:dyDescent="0.2">
      <c r="A7540" s="3">
        <v>7539</v>
      </c>
      <c r="B7540" s="1" t="s">
        <v>4226</v>
      </c>
      <c r="D7540" s="1" t="s">
        <v>5412</v>
      </c>
      <c r="F7540" s="1" t="s">
        <v>3981</v>
      </c>
      <c r="G7540" s="1" t="s">
        <v>3982</v>
      </c>
      <c r="H7540" s="1" t="s">
        <v>3989</v>
      </c>
      <c r="J7540" s="1" t="s">
        <v>921</v>
      </c>
      <c r="L7540" s="1" t="s">
        <v>1329</v>
      </c>
      <c r="M7540" s="1" t="s">
        <v>8185</v>
      </c>
      <c r="N7540" s="1" t="s">
        <v>3129</v>
      </c>
      <c r="P7540" s="1" t="s">
        <v>13258</v>
      </c>
      <c r="Q7540" s="30" t="s">
        <v>2566</v>
      </c>
      <c r="R7540" s="33" t="s">
        <v>3475</v>
      </c>
      <c r="S7540">
        <v>37</v>
      </c>
      <c r="T7540" s="1" t="s">
        <v>14020</v>
      </c>
      <c r="U7540" s="1" t="str">
        <f>HYPERLINK("http://ictvonline.org/taxonomy/p/taxonomy-history?taxnode_id=202101703","ICTVonline=202101703")</f>
        <v>ICTVonline=202101703</v>
      </c>
    </row>
    <row r="7541" spans="1:21" x14ac:dyDescent="0.2">
      <c r="A7541" s="3">
        <v>7540</v>
      </c>
      <c r="B7541" s="1" t="s">
        <v>4226</v>
      </c>
      <c r="D7541" s="1" t="s">
        <v>5412</v>
      </c>
      <c r="F7541" s="1" t="s">
        <v>3981</v>
      </c>
      <c r="G7541" s="1" t="s">
        <v>3982</v>
      </c>
      <c r="H7541" s="1" t="s">
        <v>3989</v>
      </c>
      <c r="J7541" s="1" t="s">
        <v>921</v>
      </c>
      <c r="L7541" s="1" t="s">
        <v>1329</v>
      </c>
      <c r="M7541" s="1" t="s">
        <v>8185</v>
      </c>
      <c r="N7541" s="1" t="s">
        <v>3129</v>
      </c>
      <c r="P7541" s="1" t="s">
        <v>13259</v>
      </c>
      <c r="Q7541" s="30" t="s">
        <v>2566</v>
      </c>
      <c r="R7541" s="33" t="s">
        <v>3475</v>
      </c>
      <c r="S7541">
        <v>37</v>
      </c>
      <c r="T7541" s="1" t="s">
        <v>14020</v>
      </c>
      <c r="U7541" s="1" t="str">
        <f>HYPERLINK("http://ictvonline.org/taxonomy/p/taxonomy-history?taxnode_id=202101704","ICTVonline=202101704")</f>
        <v>ICTVonline=202101704</v>
      </c>
    </row>
    <row r="7542" spans="1:21" x14ac:dyDescent="0.2">
      <c r="A7542" s="3">
        <v>7541</v>
      </c>
      <c r="B7542" s="1" t="s">
        <v>4226</v>
      </c>
      <c r="D7542" s="1" t="s">
        <v>5412</v>
      </c>
      <c r="F7542" s="1" t="s">
        <v>3981</v>
      </c>
      <c r="G7542" s="1" t="s">
        <v>3982</v>
      </c>
      <c r="H7542" s="1" t="s">
        <v>3989</v>
      </c>
      <c r="J7542" s="1" t="s">
        <v>921</v>
      </c>
      <c r="L7542" s="1" t="s">
        <v>1329</v>
      </c>
      <c r="M7542" s="1" t="s">
        <v>8185</v>
      </c>
      <c r="N7542" s="1" t="s">
        <v>3129</v>
      </c>
      <c r="P7542" s="1" t="s">
        <v>13260</v>
      </c>
      <c r="Q7542" s="30" t="s">
        <v>2566</v>
      </c>
      <c r="R7542" s="33" t="s">
        <v>3472</v>
      </c>
      <c r="S7542">
        <v>37</v>
      </c>
      <c r="T7542" s="1" t="s">
        <v>14025</v>
      </c>
      <c r="U7542" s="1" t="str">
        <f>HYPERLINK("http://ictvonline.org/taxonomy/p/taxonomy-history?taxnode_id=202113334","ICTVonline=202113334")</f>
        <v>ICTVonline=202113334</v>
      </c>
    </row>
    <row r="7543" spans="1:21" x14ac:dyDescent="0.2">
      <c r="A7543" s="3">
        <v>7542</v>
      </c>
      <c r="B7543" s="1" t="s">
        <v>4226</v>
      </c>
      <c r="D7543" s="1" t="s">
        <v>5412</v>
      </c>
      <c r="F7543" s="1" t="s">
        <v>3981</v>
      </c>
      <c r="G7543" s="1" t="s">
        <v>3982</v>
      </c>
      <c r="H7543" s="1" t="s">
        <v>3989</v>
      </c>
      <c r="J7543" s="1" t="s">
        <v>921</v>
      </c>
      <c r="L7543" s="1" t="s">
        <v>1329</v>
      </c>
      <c r="M7543" s="1" t="s">
        <v>8185</v>
      </c>
      <c r="N7543" s="1" t="s">
        <v>3129</v>
      </c>
      <c r="P7543" s="1" t="s">
        <v>13261</v>
      </c>
      <c r="Q7543" s="30" t="s">
        <v>2566</v>
      </c>
      <c r="R7543" s="33" t="s">
        <v>3475</v>
      </c>
      <c r="S7543">
        <v>37</v>
      </c>
      <c r="T7543" s="1" t="s">
        <v>14020</v>
      </c>
      <c r="U7543" s="1" t="str">
        <f>HYPERLINK("http://ictvonline.org/taxonomy/p/taxonomy-history?taxnode_id=202101705","ICTVonline=202101705")</f>
        <v>ICTVonline=202101705</v>
      </c>
    </row>
    <row r="7544" spans="1:21" x14ac:dyDescent="0.2">
      <c r="A7544" s="3">
        <v>7543</v>
      </c>
      <c r="B7544" s="1" t="s">
        <v>4226</v>
      </c>
      <c r="D7544" s="1" t="s">
        <v>5412</v>
      </c>
      <c r="F7544" s="1" t="s">
        <v>3981</v>
      </c>
      <c r="G7544" s="1" t="s">
        <v>3982</v>
      </c>
      <c r="H7544" s="1" t="s">
        <v>3989</v>
      </c>
      <c r="J7544" s="1" t="s">
        <v>921</v>
      </c>
      <c r="L7544" s="1" t="s">
        <v>1329</v>
      </c>
      <c r="M7544" s="1" t="s">
        <v>8185</v>
      </c>
      <c r="N7544" s="1" t="s">
        <v>3227</v>
      </c>
      <c r="P7544" s="1" t="s">
        <v>13262</v>
      </c>
      <c r="Q7544" s="30" t="s">
        <v>2566</v>
      </c>
      <c r="R7544" s="33" t="s">
        <v>3475</v>
      </c>
      <c r="S7544">
        <v>37</v>
      </c>
      <c r="T7544" s="1" t="s">
        <v>14020</v>
      </c>
      <c r="U7544" s="1" t="str">
        <f>HYPERLINK("http://ictvonline.org/taxonomy/p/taxonomy-history?taxnode_id=202101707","ICTVonline=202101707")</f>
        <v>ICTVonline=202101707</v>
      </c>
    </row>
    <row r="7545" spans="1:21" x14ac:dyDescent="0.2">
      <c r="A7545" s="3">
        <v>7544</v>
      </c>
      <c r="B7545" s="1" t="s">
        <v>4226</v>
      </c>
      <c r="D7545" s="1" t="s">
        <v>5412</v>
      </c>
      <c r="F7545" s="1" t="s">
        <v>3981</v>
      </c>
      <c r="G7545" s="1" t="s">
        <v>3982</v>
      </c>
      <c r="H7545" s="1" t="s">
        <v>3989</v>
      </c>
      <c r="J7545" s="1" t="s">
        <v>921</v>
      </c>
      <c r="L7545" s="1" t="s">
        <v>1329</v>
      </c>
      <c r="M7545" s="1" t="s">
        <v>8185</v>
      </c>
      <c r="N7545" s="1" t="s">
        <v>3227</v>
      </c>
      <c r="P7545" s="1" t="s">
        <v>13263</v>
      </c>
      <c r="Q7545" s="30" t="s">
        <v>2566</v>
      </c>
      <c r="R7545" s="33" t="s">
        <v>3475</v>
      </c>
      <c r="S7545">
        <v>37</v>
      </c>
      <c r="T7545" s="1" t="s">
        <v>14020</v>
      </c>
      <c r="U7545" s="1" t="str">
        <f>HYPERLINK("http://ictvonline.org/taxonomy/p/taxonomy-history?taxnode_id=202109617","ICTVonline=202109617")</f>
        <v>ICTVonline=202109617</v>
      </c>
    </row>
    <row r="7546" spans="1:21" x14ac:dyDescent="0.2">
      <c r="A7546" s="3">
        <v>7545</v>
      </c>
      <c r="B7546" s="1" t="s">
        <v>4226</v>
      </c>
      <c r="D7546" s="1" t="s">
        <v>5412</v>
      </c>
      <c r="F7546" s="1" t="s">
        <v>3981</v>
      </c>
      <c r="G7546" s="1" t="s">
        <v>3982</v>
      </c>
      <c r="H7546" s="1" t="s">
        <v>3989</v>
      </c>
      <c r="J7546" s="1" t="s">
        <v>921</v>
      </c>
      <c r="L7546" s="1" t="s">
        <v>1329</v>
      </c>
      <c r="M7546" s="1" t="s">
        <v>8185</v>
      </c>
      <c r="N7546" s="1" t="s">
        <v>3227</v>
      </c>
      <c r="P7546" s="1" t="s">
        <v>13264</v>
      </c>
      <c r="Q7546" s="30" t="s">
        <v>2566</v>
      </c>
      <c r="R7546" s="33" t="s">
        <v>3475</v>
      </c>
      <c r="S7546">
        <v>37</v>
      </c>
      <c r="T7546" s="1" t="s">
        <v>14020</v>
      </c>
      <c r="U7546" s="1" t="str">
        <f>HYPERLINK("http://ictvonline.org/taxonomy/p/taxonomy-history?taxnode_id=202101715","ICTVonline=202101715")</f>
        <v>ICTVonline=202101715</v>
      </c>
    </row>
    <row r="7547" spans="1:21" x14ac:dyDescent="0.2">
      <c r="A7547" s="3">
        <v>7546</v>
      </c>
      <c r="B7547" s="1" t="s">
        <v>4226</v>
      </c>
      <c r="D7547" s="1" t="s">
        <v>5412</v>
      </c>
      <c r="F7547" s="1" t="s">
        <v>3981</v>
      </c>
      <c r="G7547" s="1" t="s">
        <v>3982</v>
      </c>
      <c r="H7547" s="1" t="s">
        <v>3989</v>
      </c>
      <c r="J7547" s="1" t="s">
        <v>921</v>
      </c>
      <c r="L7547" s="1" t="s">
        <v>1329</v>
      </c>
      <c r="M7547" s="1" t="s">
        <v>8185</v>
      </c>
      <c r="N7547" s="1" t="s">
        <v>3227</v>
      </c>
      <c r="P7547" s="1" t="s">
        <v>13265</v>
      </c>
      <c r="Q7547" s="30" t="s">
        <v>2566</v>
      </c>
      <c r="R7547" s="33" t="s">
        <v>3475</v>
      </c>
      <c r="S7547">
        <v>37</v>
      </c>
      <c r="T7547" s="1" t="s">
        <v>14020</v>
      </c>
      <c r="U7547" s="1" t="str">
        <f>HYPERLINK("http://ictvonline.org/taxonomy/p/taxonomy-history?taxnode_id=202101708","ICTVonline=202101708")</f>
        <v>ICTVonline=202101708</v>
      </c>
    </row>
    <row r="7548" spans="1:21" x14ac:dyDescent="0.2">
      <c r="A7548" s="3">
        <v>7547</v>
      </c>
      <c r="B7548" s="1" t="s">
        <v>4226</v>
      </c>
      <c r="D7548" s="1" t="s">
        <v>5412</v>
      </c>
      <c r="F7548" s="1" t="s">
        <v>3981</v>
      </c>
      <c r="G7548" s="1" t="s">
        <v>3982</v>
      </c>
      <c r="H7548" s="1" t="s">
        <v>3989</v>
      </c>
      <c r="J7548" s="1" t="s">
        <v>921</v>
      </c>
      <c r="L7548" s="1" t="s">
        <v>1329</v>
      </c>
      <c r="M7548" s="1" t="s">
        <v>8185</v>
      </c>
      <c r="N7548" s="1" t="s">
        <v>3227</v>
      </c>
      <c r="P7548" s="1" t="s">
        <v>13266</v>
      </c>
      <c r="Q7548" s="30" t="s">
        <v>2566</v>
      </c>
      <c r="R7548" s="33" t="s">
        <v>3475</v>
      </c>
      <c r="S7548">
        <v>37</v>
      </c>
      <c r="T7548" s="1" t="s">
        <v>14020</v>
      </c>
      <c r="U7548" s="1" t="str">
        <f>HYPERLINK("http://ictvonline.org/taxonomy/p/taxonomy-history?taxnode_id=202101709","ICTVonline=202101709")</f>
        <v>ICTVonline=202101709</v>
      </c>
    </row>
    <row r="7549" spans="1:21" x14ac:dyDescent="0.2">
      <c r="A7549" s="3">
        <v>7548</v>
      </c>
      <c r="B7549" s="1" t="s">
        <v>4226</v>
      </c>
      <c r="D7549" s="1" t="s">
        <v>5412</v>
      </c>
      <c r="F7549" s="1" t="s">
        <v>3981</v>
      </c>
      <c r="G7549" s="1" t="s">
        <v>3982</v>
      </c>
      <c r="H7549" s="1" t="s">
        <v>3989</v>
      </c>
      <c r="J7549" s="1" t="s">
        <v>921</v>
      </c>
      <c r="L7549" s="1" t="s">
        <v>1329</v>
      </c>
      <c r="M7549" s="1" t="s">
        <v>8185</v>
      </c>
      <c r="N7549" s="1" t="s">
        <v>3227</v>
      </c>
      <c r="P7549" s="1" t="s">
        <v>13267</v>
      </c>
      <c r="Q7549" s="30" t="s">
        <v>2566</v>
      </c>
      <c r="R7549" s="33" t="s">
        <v>3475</v>
      </c>
      <c r="S7549">
        <v>37</v>
      </c>
      <c r="T7549" s="1" t="s">
        <v>14020</v>
      </c>
      <c r="U7549" s="1" t="str">
        <f>HYPERLINK("http://ictvonline.org/taxonomy/p/taxonomy-history?taxnode_id=202105580","ICTVonline=202105580")</f>
        <v>ICTVonline=202105580</v>
      </c>
    </row>
    <row r="7550" spans="1:21" x14ac:dyDescent="0.2">
      <c r="A7550" s="3">
        <v>7549</v>
      </c>
      <c r="B7550" s="1" t="s">
        <v>4226</v>
      </c>
      <c r="D7550" s="1" t="s">
        <v>5412</v>
      </c>
      <c r="F7550" s="1" t="s">
        <v>3981</v>
      </c>
      <c r="G7550" s="1" t="s">
        <v>3982</v>
      </c>
      <c r="H7550" s="1" t="s">
        <v>3989</v>
      </c>
      <c r="J7550" s="1" t="s">
        <v>921</v>
      </c>
      <c r="L7550" s="1" t="s">
        <v>1329</v>
      </c>
      <c r="M7550" s="1" t="s">
        <v>8185</v>
      </c>
      <c r="N7550" s="1" t="s">
        <v>3227</v>
      </c>
      <c r="P7550" s="1" t="s">
        <v>13268</v>
      </c>
      <c r="Q7550" s="30" t="s">
        <v>2566</v>
      </c>
      <c r="R7550" s="33" t="s">
        <v>3475</v>
      </c>
      <c r="S7550">
        <v>37</v>
      </c>
      <c r="T7550" s="1" t="s">
        <v>14020</v>
      </c>
      <c r="U7550" s="1" t="str">
        <f>HYPERLINK("http://ictvonline.org/taxonomy/p/taxonomy-history?taxnode_id=202101710","ICTVonline=202101710")</f>
        <v>ICTVonline=202101710</v>
      </c>
    </row>
    <row r="7551" spans="1:21" x14ac:dyDescent="0.2">
      <c r="A7551" s="3">
        <v>7550</v>
      </c>
      <c r="B7551" s="1" t="s">
        <v>4226</v>
      </c>
      <c r="D7551" s="1" t="s">
        <v>5412</v>
      </c>
      <c r="F7551" s="1" t="s">
        <v>3981</v>
      </c>
      <c r="G7551" s="1" t="s">
        <v>3982</v>
      </c>
      <c r="H7551" s="1" t="s">
        <v>3989</v>
      </c>
      <c r="J7551" s="1" t="s">
        <v>921</v>
      </c>
      <c r="L7551" s="1" t="s">
        <v>1329</v>
      </c>
      <c r="M7551" s="1" t="s">
        <v>8185</v>
      </c>
      <c r="N7551" s="1" t="s">
        <v>3227</v>
      </c>
      <c r="P7551" s="1" t="s">
        <v>13269</v>
      </c>
      <c r="Q7551" s="30" t="s">
        <v>2566</v>
      </c>
      <c r="R7551" s="33" t="s">
        <v>3475</v>
      </c>
      <c r="S7551">
        <v>37</v>
      </c>
      <c r="T7551" s="1" t="s">
        <v>14020</v>
      </c>
      <c r="U7551" s="1" t="str">
        <f>HYPERLINK("http://ictvonline.org/taxonomy/p/taxonomy-history?taxnode_id=202101711","ICTVonline=202101711")</f>
        <v>ICTVonline=202101711</v>
      </c>
    </row>
    <row r="7552" spans="1:21" x14ac:dyDescent="0.2">
      <c r="A7552" s="3">
        <v>7551</v>
      </c>
      <c r="B7552" s="1" t="s">
        <v>4226</v>
      </c>
      <c r="D7552" s="1" t="s">
        <v>5412</v>
      </c>
      <c r="F7552" s="1" t="s">
        <v>3981</v>
      </c>
      <c r="G7552" s="1" t="s">
        <v>3982</v>
      </c>
      <c r="H7552" s="1" t="s">
        <v>3989</v>
      </c>
      <c r="J7552" s="1" t="s">
        <v>921</v>
      </c>
      <c r="L7552" s="1" t="s">
        <v>1329</v>
      </c>
      <c r="M7552" s="1" t="s">
        <v>8185</v>
      </c>
      <c r="N7552" s="1" t="s">
        <v>3227</v>
      </c>
      <c r="P7552" s="1" t="s">
        <v>13270</v>
      </c>
      <c r="Q7552" s="30" t="s">
        <v>2566</v>
      </c>
      <c r="R7552" s="33" t="s">
        <v>3475</v>
      </c>
      <c r="S7552">
        <v>37</v>
      </c>
      <c r="T7552" s="1" t="s">
        <v>14020</v>
      </c>
      <c r="U7552" s="1" t="str">
        <f>HYPERLINK("http://ictvonline.org/taxonomy/p/taxonomy-history?taxnode_id=202101712","ICTVonline=202101712")</f>
        <v>ICTVonline=202101712</v>
      </c>
    </row>
    <row r="7553" spans="1:21" x14ac:dyDescent="0.2">
      <c r="A7553" s="3">
        <v>7552</v>
      </c>
      <c r="B7553" s="1" t="s">
        <v>4226</v>
      </c>
      <c r="D7553" s="1" t="s">
        <v>5412</v>
      </c>
      <c r="F7553" s="1" t="s">
        <v>3981</v>
      </c>
      <c r="G7553" s="1" t="s">
        <v>3982</v>
      </c>
      <c r="H7553" s="1" t="s">
        <v>3989</v>
      </c>
      <c r="J7553" s="1" t="s">
        <v>921</v>
      </c>
      <c r="L7553" s="1" t="s">
        <v>1329</v>
      </c>
      <c r="M7553" s="1" t="s">
        <v>8185</v>
      </c>
      <c r="N7553" s="1" t="s">
        <v>3227</v>
      </c>
      <c r="P7553" s="1" t="s">
        <v>13271</v>
      </c>
      <c r="Q7553" s="30" t="s">
        <v>2566</v>
      </c>
      <c r="R7553" s="33" t="s">
        <v>3475</v>
      </c>
      <c r="S7553">
        <v>37</v>
      </c>
      <c r="T7553" s="1" t="s">
        <v>14020</v>
      </c>
      <c r="U7553" s="1" t="str">
        <f>HYPERLINK("http://ictvonline.org/taxonomy/p/taxonomy-history?taxnode_id=202101713","ICTVonline=202101713")</f>
        <v>ICTVonline=202101713</v>
      </c>
    </row>
    <row r="7554" spans="1:21" x14ac:dyDescent="0.2">
      <c r="A7554" s="3">
        <v>7553</v>
      </c>
      <c r="B7554" s="1" t="s">
        <v>4226</v>
      </c>
      <c r="D7554" s="1" t="s">
        <v>5412</v>
      </c>
      <c r="F7554" s="1" t="s">
        <v>3981</v>
      </c>
      <c r="G7554" s="1" t="s">
        <v>3982</v>
      </c>
      <c r="H7554" s="1" t="s">
        <v>3989</v>
      </c>
      <c r="J7554" s="1" t="s">
        <v>921</v>
      </c>
      <c r="L7554" s="1" t="s">
        <v>1329</v>
      </c>
      <c r="M7554" s="1" t="s">
        <v>8185</v>
      </c>
      <c r="N7554" s="1" t="s">
        <v>3227</v>
      </c>
      <c r="P7554" s="1" t="s">
        <v>13272</v>
      </c>
      <c r="Q7554" s="30" t="s">
        <v>2566</v>
      </c>
      <c r="R7554" s="33" t="s">
        <v>3475</v>
      </c>
      <c r="S7554">
        <v>37</v>
      </c>
      <c r="T7554" s="1" t="s">
        <v>14020</v>
      </c>
      <c r="U7554" s="1" t="str">
        <f>HYPERLINK("http://ictvonline.org/taxonomy/p/taxonomy-history?taxnode_id=202101714","ICTVonline=202101714")</f>
        <v>ICTVonline=202101714</v>
      </c>
    </row>
    <row r="7555" spans="1:21" x14ac:dyDescent="0.2">
      <c r="A7555" s="3">
        <v>7554</v>
      </c>
      <c r="B7555" s="1" t="s">
        <v>4226</v>
      </c>
      <c r="D7555" s="1" t="s">
        <v>5412</v>
      </c>
      <c r="F7555" s="1" t="s">
        <v>3981</v>
      </c>
      <c r="G7555" s="1" t="s">
        <v>3982</v>
      </c>
      <c r="H7555" s="1" t="s">
        <v>3989</v>
      </c>
      <c r="J7555" s="1" t="s">
        <v>921</v>
      </c>
      <c r="L7555" s="1" t="s">
        <v>1329</v>
      </c>
      <c r="M7555" s="1" t="s">
        <v>8185</v>
      </c>
      <c r="N7555" s="1" t="s">
        <v>3227</v>
      </c>
      <c r="P7555" s="1" t="s">
        <v>13273</v>
      </c>
      <c r="Q7555" s="30" t="s">
        <v>2566</v>
      </c>
      <c r="R7555" s="33" t="s">
        <v>3475</v>
      </c>
      <c r="S7555">
        <v>37</v>
      </c>
      <c r="T7555" s="1" t="s">
        <v>14020</v>
      </c>
      <c r="U7555" s="1" t="str">
        <f>HYPERLINK("http://ictvonline.org/taxonomy/p/taxonomy-history?taxnode_id=202101716","ICTVonline=202101716")</f>
        <v>ICTVonline=202101716</v>
      </c>
    </row>
    <row r="7556" spans="1:21" x14ac:dyDescent="0.2">
      <c r="A7556" s="3">
        <v>7555</v>
      </c>
      <c r="B7556" s="1" t="s">
        <v>4226</v>
      </c>
      <c r="D7556" s="1" t="s">
        <v>5412</v>
      </c>
      <c r="F7556" s="1" t="s">
        <v>3981</v>
      </c>
      <c r="G7556" s="1" t="s">
        <v>3982</v>
      </c>
      <c r="H7556" s="1" t="s">
        <v>3989</v>
      </c>
      <c r="J7556" s="1" t="s">
        <v>921</v>
      </c>
      <c r="L7556" s="1" t="s">
        <v>1329</v>
      </c>
      <c r="M7556" s="1" t="s">
        <v>8185</v>
      </c>
      <c r="N7556" s="1" t="s">
        <v>3227</v>
      </c>
      <c r="P7556" s="1" t="s">
        <v>13274</v>
      </c>
      <c r="Q7556" s="30" t="s">
        <v>2566</v>
      </c>
      <c r="R7556" s="33" t="s">
        <v>3475</v>
      </c>
      <c r="S7556">
        <v>37</v>
      </c>
      <c r="T7556" s="1" t="s">
        <v>14020</v>
      </c>
      <c r="U7556" s="1" t="str">
        <f>HYPERLINK("http://ictvonline.org/taxonomy/p/taxonomy-history?taxnode_id=202101717","ICTVonline=202101717")</f>
        <v>ICTVonline=202101717</v>
      </c>
    </row>
    <row r="7557" spans="1:21" x14ac:dyDescent="0.2">
      <c r="A7557" s="3">
        <v>7556</v>
      </c>
      <c r="B7557" s="1" t="s">
        <v>4226</v>
      </c>
      <c r="D7557" s="1" t="s">
        <v>5412</v>
      </c>
      <c r="F7557" s="1" t="s">
        <v>3981</v>
      </c>
      <c r="G7557" s="1" t="s">
        <v>3982</v>
      </c>
      <c r="H7557" s="1" t="s">
        <v>3989</v>
      </c>
      <c r="J7557" s="1" t="s">
        <v>921</v>
      </c>
      <c r="L7557" s="1" t="s">
        <v>1329</v>
      </c>
      <c r="M7557" s="1" t="s">
        <v>8185</v>
      </c>
      <c r="N7557" s="1" t="s">
        <v>3227</v>
      </c>
      <c r="P7557" s="1" t="s">
        <v>13275</v>
      </c>
      <c r="Q7557" s="30" t="s">
        <v>2566</v>
      </c>
      <c r="R7557" s="33" t="s">
        <v>3475</v>
      </c>
      <c r="S7557">
        <v>37</v>
      </c>
      <c r="T7557" s="1" t="s">
        <v>14020</v>
      </c>
      <c r="U7557" s="1" t="str">
        <f>HYPERLINK("http://ictvonline.org/taxonomy/p/taxonomy-history?taxnode_id=202101718","ICTVonline=202101718")</f>
        <v>ICTVonline=202101718</v>
      </c>
    </row>
    <row r="7558" spans="1:21" x14ac:dyDescent="0.2">
      <c r="A7558" s="3">
        <v>7557</v>
      </c>
      <c r="B7558" s="1" t="s">
        <v>4226</v>
      </c>
      <c r="D7558" s="1" t="s">
        <v>5412</v>
      </c>
      <c r="F7558" s="1" t="s">
        <v>3981</v>
      </c>
      <c r="G7558" s="1" t="s">
        <v>3982</v>
      </c>
      <c r="H7558" s="1" t="s">
        <v>3989</v>
      </c>
      <c r="J7558" s="1" t="s">
        <v>921</v>
      </c>
      <c r="L7558" s="1" t="s">
        <v>1329</v>
      </c>
      <c r="M7558" s="1" t="s">
        <v>8185</v>
      </c>
      <c r="N7558" s="1" t="s">
        <v>3227</v>
      </c>
      <c r="P7558" s="1" t="s">
        <v>13276</v>
      </c>
      <c r="Q7558" s="30" t="s">
        <v>2566</v>
      </c>
      <c r="R7558" s="33" t="s">
        <v>3472</v>
      </c>
      <c r="S7558">
        <v>37</v>
      </c>
      <c r="T7558" s="1" t="s">
        <v>14025</v>
      </c>
      <c r="U7558" s="1" t="str">
        <f>HYPERLINK("http://ictvonline.org/taxonomy/p/taxonomy-history?taxnode_id=202113325","ICTVonline=202113325")</f>
        <v>ICTVonline=202113325</v>
      </c>
    </row>
    <row r="7559" spans="1:21" x14ac:dyDescent="0.2">
      <c r="A7559" s="3">
        <v>7558</v>
      </c>
      <c r="B7559" s="1" t="s">
        <v>4226</v>
      </c>
      <c r="D7559" s="1" t="s">
        <v>5412</v>
      </c>
      <c r="F7559" s="1" t="s">
        <v>3981</v>
      </c>
      <c r="G7559" s="1" t="s">
        <v>3982</v>
      </c>
      <c r="H7559" s="1" t="s">
        <v>3989</v>
      </c>
      <c r="J7559" s="1" t="s">
        <v>921</v>
      </c>
      <c r="L7559" s="1" t="s">
        <v>1329</v>
      </c>
      <c r="M7559" s="1" t="s">
        <v>8185</v>
      </c>
      <c r="N7559" s="1" t="s">
        <v>3227</v>
      </c>
      <c r="P7559" s="1" t="s">
        <v>13277</v>
      </c>
      <c r="Q7559" s="30" t="s">
        <v>2566</v>
      </c>
      <c r="R7559" s="33" t="s">
        <v>3475</v>
      </c>
      <c r="S7559">
        <v>37</v>
      </c>
      <c r="T7559" s="1" t="s">
        <v>14020</v>
      </c>
      <c r="U7559" s="1" t="str">
        <f>HYPERLINK("http://ictvonline.org/taxonomy/p/taxonomy-history?taxnode_id=202106313","ICTVonline=202106313")</f>
        <v>ICTVonline=202106313</v>
      </c>
    </row>
    <row r="7560" spans="1:21" x14ac:dyDescent="0.2">
      <c r="A7560" s="3">
        <v>7559</v>
      </c>
      <c r="B7560" s="1" t="s">
        <v>4226</v>
      </c>
      <c r="D7560" s="1" t="s">
        <v>5412</v>
      </c>
      <c r="F7560" s="1" t="s">
        <v>3981</v>
      </c>
      <c r="G7560" s="1" t="s">
        <v>3982</v>
      </c>
      <c r="H7560" s="1" t="s">
        <v>3989</v>
      </c>
      <c r="J7560" s="1" t="s">
        <v>921</v>
      </c>
      <c r="L7560" s="1" t="s">
        <v>1329</v>
      </c>
      <c r="M7560" s="1" t="s">
        <v>8185</v>
      </c>
      <c r="N7560" s="1" t="s">
        <v>3227</v>
      </c>
      <c r="P7560" s="1" t="s">
        <v>13278</v>
      </c>
      <c r="Q7560" s="30" t="s">
        <v>2566</v>
      </c>
      <c r="R7560" s="33" t="s">
        <v>3475</v>
      </c>
      <c r="S7560">
        <v>37</v>
      </c>
      <c r="T7560" s="1" t="s">
        <v>14020</v>
      </c>
      <c r="U7560" s="1" t="str">
        <f>HYPERLINK("http://ictvonline.org/taxonomy/p/taxonomy-history?taxnode_id=202101719","ICTVonline=202101719")</f>
        <v>ICTVonline=202101719</v>
      </c>
    </row>
    <row r="7561" spans="1:21" x14ac:dyDescent="0.2">
      <c r="A7561" s="3">
        <v>7560</v>
      </c>
      <c r="B7561" s="1" t="s">
        <v>4226</v>
      </c>
      <c r="D7561" s="1" t="s">
        <v>5412</v>
      </c>
      <c r="F7561" s="1" t="s">
        <v>3981</v>
      </c>
      <c r="G7561" s="1" t="s">
        <v>3982</v>
      </c>
      <c r="H7561" s="1" t="s">
        <v>3989</v>
      </c>
      <c r="J7561" s="1" t="s">
        <v>921</v>
      </c>
      <c r="L7561" s="1" t="s">
        <v>1329</v>
      </c>
      <c r="M7561" s="1" t="s">
        <v>8185</v>
      </c>
      <c r="N7561" s="1" t="s">
        <v>3227</v>
      </c>
      <c r="P7561" s="1" t="s">
        <v>13279</v>
      </c>
      <c r="Q7561" s="30" t="s">
        <v>2566</v>
      </c>
      <c r="R7561" s="33" t="s">
        <v>3475</v>
      </c>
      <c r="S7561">
        <v>37</v>
      </c>
      <c r="T7561" s="1" t="s">
        <v>14020</v>
      </c>
      <c r="U7561" s="1" t="str">
        <f>HYPERLINK("http://ictvonline.org/taxonomy/p/taxonomy-history?taxnode_id=202101720","ICTVonline=202101720")</f>
        <v>ICTVonline=202101720</v>
      </c>
    </row>
    <row r="7562" spans="1:21" x14ac:dyDescent="0.2">
      <c r="A7562" s="3">
        <v>7561</v>
      </c>
      <c r="B7562" s="1" t="s">
        <v>4226</v>
      </c>
      <c r="D7562" s="1" t="s">
        <v>5412</v>
      </c>
      <c r="F7562" s="1" t="s">
        <v>3981</v>
      </c>
      <c r="G7562" s="1" t="s">
        <v>3982</v>
      </c>
      <c r="H7562" s="1" t="s">
        <v>3989</v>
      </c>
      <c r="J7562" s="1" t="s">
        <v>921</v>
      </c>
      <c r="L7562" s="1" t="s">
        <v>1329</v>
      </c>
      <c r="M7562" s="1" t="s">
        <v>8185</v>
      </c>
      <c r="N7562" s="1" t="s">
        <v>5899</v>
      </c>
      <c r="P7562" s="1" t="s">
        <v>13280</v>
      </c>
      <c r="Q7562" s="30" t="s">
        <v>2566</v>
      </c>
      <c r="R7562" s="33" t="s">
        <v>3475</v>
      </c>
      <c r="S7562">
        <v>37</v>
      </c>
      <c r="T7562" s="1" t="s">
        <v>14020</v>
      </c>
      <c r="U7562" s="1" t="str">
        <f>HYPERLINK("http://ictvonline.org/taxonomy/p/taxonomy-history?taxnode_id=202109258","ICTVonline=202109258")</f>
        <v>ICTVonline=202109258</v>
      </c>
    </row>
    <row r="7563" spans="1:21" x14ac:dyDescent="0.2">
      <c r="A7563" s="3">
        <v>7562</v>
      </c>
      <c r="B7563" s="1" t="s">
        <v>4226</v>
      </c>
      <c r="D7563" s="1" t="s">
        <v>5412</v>
      </c>
      <c r="F7563" s="1" t="s">
        <v>3981</v>
      </c>
      <c r="G7563" s="1" t="s">
        <v>3982</v>
      </c>
      <c r="H7563" s="1" t="s">
        <v>3989</v>
      </c>
      <c r="J7563" s="1" t="s">
        <v>921</v>
      </c>
      <c r="L7563" s="1" t="s">
        <v>1329</v>
      </c>
      <c r="M7563" s="1" t="s">
        <v>8185</v>
      </c>
      <c r="N7563" s="1" t="s">
        <v>5899</v>
      </c>
      <c r="P7563" s="1" t="s">
        <v>13281</v>
      </c>
      <c r="Q7563" s="30" t="s">
        <v>2566</v>
      </c>
      <c r="R7563" s="33" t="s">
        <v>3475</v>
      </c>
      <c r="S7563">
        <v>37</v>
      </c>
      <c r="T7563" s="1" t="s">
        <v>14020</v>
      </c>
      <c r="U7563" s="1" t="str">
        <f>HYPERLINK("http://ictvonline.org/taxonomy/p/taxonomy-history?taxnode_id=202107391","ICTVonline=202107391")</f>
        <v>ICTVonline=202107391</v>
      </c>
    </row>
    <row r="7564" spans="1:21" x14ac:dyDescent="0.2">
      <c r="A7564" s="3">
        <v>7563</v>
      </c>
      <c r="B7564" s="1" t="s">
        <v>4226</v>
      </c>
      <c r="D7564" s="1" t="s">
        <v>5412</v>
      </c>
      <c r="F7564" s="1" t="s">
        <v>3981</v>
      </c>
      <c r="G7564" s="1" t="s">
        <v>3982</v>
      </c>
      <c r="H7564" s="1" t="s">
        <v>3989</v>
      </c>
      <c r="J7564" s="1" t="s">
        <v>921</v>
      </c>
      <c r="L7564" s="1" t="s">
        <v>1329</v>
      </c>
      <c r="M7564" s="1" t="s">
        <v>8185</v>
      </c>
      <c r="N7564" s="1" t="s">
        <v>1275</v>
      </c>
      <c r="P7564" s="1" t="s">
        <v>13282</v>
      </c>
      <c r="Q7564" s="30" t="s">
        <v>2566</v>
      </c>
      <c r="R7564" s="33" t="s">
        <v>3475</v>
      </c>
      <c r="S7564">
        <v>37</v>
      </c>
      <c r="T7564" s="1" t="s">
        <v>14020</v>
      </c>
      <c r="U7564" s="1" t="str">
        <f>HYPERLINK("http://ictvonline.org/taxonomy/p/taxonomy-history?taxnode_id=202101722","ICTVonline=202101722")</f>
        <v>ICTVonline=202101722</v>
      </c>
    </row>
    <row r="7565" spans="1:21" x14ac:dyDescent="0.2">
      <c r="A7565" s="3">
        <v>7564</v>
      </c>
      <c r="B7565" s="1" t="s">
        <v>4226</v>
      </c>
      <c r="D7565" s="1" t="s">
        <v>5412</v>
      </c>
      <c r="F7565" s="1" t="s">
        <v>3981</v>
      </c>
      <c r="G7565" s="1" t="s">
        <v>3982</v>
      </c>
      <c r="H7565" s="1" t="s">
        <v>3989</v>
      </c>
      <c r="J7565" s="1" t="s">
        <v>921</v>
      </c>
      <c r="L7565" s="1" t="s">
        <v>1329</v>
      </c>
      <c r="M7565" s="1" t="s">
        <v>8185</v>
      </c>
      <c r="N7565" s="1" t="s">
        <v>1275</v>
      </c>
      <c r="P7565" s="1" t="s">
        <v>13283</v>
      </c>
      <c r="Q7565" s="30" t="s">
        <v>2566</v>
      </c>
      <c r="R7565" s="33" t="s">
        <v>3475</v>
      </c>
      <c r="S7565">
        <v>37</v>
      </c>
      <c r="T7565" s="1" t="s">
        <v>14020</v>
      </c>
      <c r="U7565" s="1" t="str">
        <f>HYPERLINK("http://ictvonline.org/taxonomy/p/taxonomy-history?taxnode_id=202101723","ICTVonline=202101723")</f>
        <v>ICTVonline=202101723</v>
      </c>
    </row>
    <row r="7566" spans="1:21" x14ac:dyDescent="0.2">
      <c r="A7566" s="3">
        <v>7565</v>
      </c>
      <c r="B7566" s="1" t="s">
        <v>4226</v>
      </c>
      <c r="D7566" s="1" t="s">
        <v>5412</v>
      </c>
      <c r="F7566" s="1" t="s">
        <v>3981</v>
      </c>
      <c r="G7566" s="1" t="s">
        <v>3982</v>
      </c>
      <c r="H7566" s="1" t="s">
        <v>3989</v>
      </c>
      <c r="J7566" s="1" t="s">
        <v>921</v>
      </c>
      <c r="L7566" s="1" t="s">
        <v>1329</v>
      </c>
      <c r="M7566" s="1" t="s">
        <v>8185</v>
      </c>
      <c r="N7566" s="1" t="s">
        <v>1275</v>
      </c>
      <c r="P7566" s="1" t="s">
        <v>13284</v>
      </c>
      <c r="Q7566" s="30" t="s">
        <v>2566</v>
      </c>
      <c r="R7566" s="33" t="s">
        <v>3475</v>
      </c>
      <c r="S7566">
        <v>37</v>
      </c>
      <c r="T7566" s="1" t="s">
        <v>14020</v>
      </c>
      <c r="U7566" s="1" t="str">
        <f>HYPERLINK("http://ictvonline.org/taxonomy/p/taxonomy-history?taxnode_id=202101724","ICTVonline=202101724")</f>
        <v>ICTVonline=202101724</v>
      </c>
    </row>
    <row r="7567" spans="1:21" x14ac:dyDescent="0.2">
      <c r="A7567" s="3">
        <v>7566</v>
      </c>
      <c r="B7567" s="1" t="s">
        <v>4226</v>
      </c>
      <c r="D7567" s="1" t="s">
        <v>5412</v>
      </c>
      <c r="F7567" s="1" t="s">
        <v>3981</v>
      </c>
      <c r="G7567" s="1" t="s">
        <v>3982</v>
      </c>
      <c r="H7567" s="1" t="s">
        <v>3989</v>
      </c>
      <c r="J7567" s="1" t="s">
        <v>921</v>
      </c>
      <c r="L7567" s="1" t="s">
        <v>1329</v>
      </c>
      <c r="M7567" s="1" t="s">
        <v>8185</v>
      </c>
      <c r="N7567" s="1" t="s">
        <v>1275</v>
      </c>
      <c r="P7567" s="1" t="s">
        <v>13285</v>
      </c>
      <c r="Q7567" s="30" t="s">
        <v>2566</v>
      </c>
      <c r="R7567" s="33" t="s">
        <v>3475</v>
      </c>
      <c r="S7567">
        <v>37</v>
      </c>
      <c r="T7567" s="1" t="s">
        <v>14020</v>
      </c>
      <c r="U7567" s="1" t="str">
        <f>HYPERLINK("http://ictvonline.org/taxonomy/p/taxonomy-history?taxnode_id=202101735","ICTVonline=202101735")</f>
        <v>ICTVonline=202101735</v>
      </c>
    </row>
    <row r="7568" spans="1:21" x14ac:dyDescent="0.2">
      <c r="A7568" s="3">
        <v>7567</v>
      </c>
      <c r="B7568" s="1" t="s">
        <v>4226</v>
      </c>
      <c r="D7568" s="1" t="s">
        <v>5412</v>
      </c>
      <c r="F7568" s="1" t="s">
        <v>3981</v>
      </c>
      <c r="G7568" s="1" t="s">
        <v>3982</v>
      </c>
      <c r="H7568" s="1" t="s">
        <v>3989</v>
      </c>
      <c r="J7568" s="1" t="s">
        <v>921</v>
      </c>
      <c r="L7568" s="1" t="s">
        <v>1329</v>
      </c>
      <c r="M7568" s="1" t="s">
        <v>8185</v>
      </c>
      <c r="N7568" s="1" t="s">
        <v>1275</v>
      </c>
      <c r="P7568" s="1" t="s">
        <v>13286</v>
      </c>
      <c r="Q7568" s="30" t="s">
        <v>2566</v>
      </c>
      <c r="R7568" s="33" t="s">
        <v>3475</v>
      </c>
      <c r="S7568">
        <v>37</v>
      </c>
      <c r="T7568" s="1" t="s">
        <v>14020</v>
      </c>
      <c r="U7568" s="1" t="str">
        <f>HYPERLINK("http://ictvonline.org/taxonomy/p/taxonomy-history?taxnode_id=202101725","ICTVonline=202101725")</f>
        <v>ICTVonline=202101725</v>
      </c>
    </row>
    <row r="7569" spans="1:21" x14ac:dyDescent="0.2">
      <c r="A7569" s="3">
        <v>7568</v>
      </c>
      <c r="B7569" s="1" t="s">
        <v>4226</v>
      </c>
      <c r="D7569" s="1" t="s">
        <v>5412</v>
      </c>
      <c r="F7569" s="1" t="s">
        <v>3981</v>
      </c>
      <c r="G7569" s="1" t="s">
        <v>3982</v>
      </c>
      <c r="H7569" s="1" t="s">
        <v>3989</v>
      </c>
      <c r="J7569" s="1" t="s">
        <v>921</v>
      </c>
      <c r="L7569" s="1" t="s">
        <v>1329</v>
      </c>
      <c r="M7569" s="1" t="s">
        <v>8185</v>
      </c>
      <c r="N7569" s="1" t="s">
        <v>1275</v>
      </c>
      <c r="P7569" s="1" t="s">
        <v>13287</v>
      </c>
      <c r="Q7569" s="30" t="s">
        <v>2566</v>
      </c>
      <c r="R7569" s="33" t="s">
        <v>3475</v>
      </c>
      <c r="S7569">
        <v>37</v>
      </c>
      <c r="T7569" s="1" t="s">
        <v>14020</v>
      </c>
      <c r="U7569" s="1" t="str">
        <f>HYPERLINK("http://ictvonline.org/taxonomy/p/taxonomy-history?taxnode_id=202108672","ICTVonline=202108672")</f>
        <v>ICTVonline=202108672</v>
      </c>
    </row>
    <row r="7570" spans="1:21" x14ac:dyDescent="0.2">
      <c r="A7570" s="3">
        <v>7569</v>
      </c>
      <c r="B7570" s="1" t="s">
        <v>4226</v>
      </c>
      <c r="D7570" s="1" t="s">
        <v>5412</v>
      </c>
      <c r="F7570" s="1" t="s">
        <v>3981</v>
      </c>
      <c r="G7570" s="1" t="s">
        <v>3982</v>
      </c>
      <c r="H7570" s="1" t="s">
        <v>3989</v>
      </c>
      <c r="J7570" s="1" t="s">
        <v>921</v>
      </c>
      <c r="L7570" s="1" t="s">
        <v>1329</v>
      </c>
      <c r="M7570" s="1" t="s">
        <v>8185</v>
      </c>
      <c r="N7570" s="1" t="s">
        <v>1275</v>
      </c>
      <c r="P7570" s="1" t="s">
        <v>13288</v>
      </c>
      <c r="Q7570" s="30" t="s">
        <v>2566</v>
      </c>
      <c r="R7570" s="33" t="s">
        <v>3475</v>
      </c>
      <c r="S7570">
        <v>37</v>
      </c>
      <c r="T7570" s="1" t="s">
        <v>14020</v>
      </c>
      <c r="U7570" s="1" t="str">
        <f>HYPERLINK("http://ictvonline.org/taxonomy/p/taxonomy-history?taxnode_id=202105581","ICTVonline=202105581")</f>
        <v>ICTVonline=202105581</v>
      </c>
    </row>
    <row r="7571" spans="1:21" x14ac:dyDescent="0.2">
      <c r="A7571" s="3">
        <v>7570</v>
      </c>
      <c r="B7571" s="1" t="s">
        <v>4226</v>
      </c>
      <c r="D7571" s="1" t="s">
        <v>5412</v>
      </c>
      <c r="F7571" s="1" t="s">
        <v>3981</v>
      </c>
      <c r="G7571" s="1" t="s">
        <v>3982</v>
      </c>
      <c r="H7571" s="1" t="s">
        <v>3989</v>
      </c>
      <c r="J7571" s="1" t="s">
        <v>921</v>
      </c>
      <c r="L7571" s="1" t="s">
        <v>1329</v>
      </c>
      <c r="M7571" s="1" t="s">
        <v>8185</v>
      </c>
      <c r="N7571" s="1" t="s">
        <v>1275</v>
      </c>
      <c r="P7571" s="1" t="s">
        <v>13289</v>
      </c>
      <c r="Q7571" s="30" t="s">
        <v>2566</v>
      </c>
      <c r="R7571" s="33" t="s">
        <v>3475</v>
      </c>
      <c r="S7571">
        <v>37</v>
      </c>
      <c r="T7571" s="1" t="s">
        <v>14020</v>
      </c>
      <c r="U7571" s="1" t="str">
        <f>HYPERLINK("http://ictvonline.org/taxonomy/p/taxonomy-history?taxnode_id=202101726","ICTVonline=202101726")</f>
        <v>ICTVonline=202101726</v>
      </c>
    </row>
    <row r="7572" spans="1:21" x14ac:dyDescent="0.2">
      <c r="A7572" s="3">
        <v>7571</v>
      </c>
      <c r="B7572" s="1" t="s">
        <v>4226</v>
      </c>
      <c r="D7572" s="1" t="s">
        <v>5412</v>
      </c>
      <c r="F7572" s="1" t="s">
        <v>3981</v>
      </c>
      <c r="G7572" s="1" t="s">
        <v>3982</v>
      </c>
      <c r="H7572" s="1" t="s">
        <v>3989</v>
      </c>
      <c r="J7572" s="1" t="s">
        <v>921</v>
      </c>
      <c r="L7572" s="1" t="s">
        <v>1329</v>
      </c>
      <c r="M7572" s="1" t="s">
        <v>8185</v>
      </c>
      <c r="N7572" s="1" t="s">
        <v>1275</v>
      </c>
      <c r="P7572" s="1" t="s">
        <v>13290</v>
      </c>
      <c r="Q7572" s="30" t="s">
        <v>2566</v>
      </c>
      <c r="R7572" s="33" t="s">
        <v>3475</v>
      </c>
      <c r="S7572">
        <v>37</v>
      </c>
      <c r="T7572" s="1" t="s">
        <v>14020</v>
      </c>
      <c r="U7572" s="1" t="str">
        <f>HYPERLINK("http://ictvonline.org/taxonomy/p/taxonomy-history?taxnode_id=202101727","ICTVonline=202101727")</f>
        <v>ICTVonline=202101727</v>
      </c>
    </row>
    <row r="7573" spans="1:21" x14ac:dyDescent="0.2">
      <c r="A7573" s="3">
        <v>7572</v>
      </c>
      <c r="B7573" s="1" t="s">
        <v>4226</v>
      </c>
      <c r="D7573" s="1" t="s">
        <v>5412</v>
      </c>
      <c r="F7573" s="1" t="s">
        <v>3981</v>
      </c>
      <c r="G7573" s="1" t="s">
        <v>3982</v>
      </c>
      <c r="H7573" s="1" t="s">
        <v>3989</v>
      </c>
      <c r="J7573" s="1" t="s">
        <v>921</v>
      </c>
      <c r="L7573" s="1" t="s">
        <v>1329</v>
      </c>
      <c r="M7573" s="1" t="s">
        <v>8185</v>
      </c>
      <c r="N7573" s="1" t="s">
        <v>1275</v>
      </c>
      <c r="P7573" s="1" t="s">
        <v>13291</v>
      </c>
      <c r="Q7573" s="30" t="s">
        <v>2566</v>
      </c>
      <c r="R7573" s="33" t="s">
        <v>3475</v>
      </c>
      <c r="S7573">
        <v>37</v>
      </c>
      <c r="T7573" s="1" t="s">
        <v>14020</v>
      </c>
      <c r="U7573" s="1" t="str">
        <f>HYPERLINK("http://ictvonline.org/taxonomy/p/taxonomy-history?taxnode_id=202101728","ICTVonline=202101728")</f>
        <v>ICTVonline=202101728</v>
      </c>
    </row>
    <row r="7574" spans="1:21" x14ac:dyDescent="0.2">
      <c r="A7574" s="3">
        <v>7573</v>
      </c>
      <c r="B7574" s="1" t="s">
        <v>4226</v>
      </c>
      <c r="D7574" s="1" t="s">
        <v>5412</v>
      </c>
      <c r="F7574" s="1" t="s">
        <v>3981</v>
      </c>
      <c r="G7574" s="1" t="s">
        <v>3982</v>
      </c>
      <c r="H7574" s="1" t="s">
        <v>3989</v>
      </c>
      <c r="J7574" s="1" t="s">
        <v>921</v>
      </c>
      <c r="L7574" s="1" t="s">
        <v>1329</v>
      </c>
      <c r="M7574" s="1" t="s">
        <v>8185</v>
      </c>
      <c r="N7574" s="1" t="s">
        <v>1275</v>
      </c>
      <c r="P7574" s="1" t="s">
        <v>13292</v>
      </c>
      <c r="Q7574" s="30" t="s">
        <v>2566</v>
      </c>
      <c r="R7574" s="33" t="s">
        <v>3475</v>
      </c>
      <c r="S7574">
        <v>37</v>
      </c>
      <c r="T7574" s="1" t="s">
        <v>14020</v>
      </c>
      <c r="U7574" s="1" t="str">
        <f>HYPERLINK("http://ictvonline.org/taxonomy/p/taxonomy-history?taxnode_id=202101729","ICTVonline=202101729")</f>
        <v>ICTVonline=202101729</v>
      </c>
    </row>
    <row r="7575" spans="1:21" x14ac:dyDescent="0.2">
      <c r="A7575" s="3">
        <v>7574</v>
      </c>
      <c r="B7575" s="1" t="s">
        <v>4226</v>
      </c>
      <c r="D7575" s="1" t="s">
        <v>5412</v>
      </c>
      <c r="F7575" s="1" t="s">
        <v>3981</v>
      </c>
      <c r="G7575" s="1" t="s">
        <v>3982</v>
      </c>
      <c r="H7575" s="1" t="s">
        <v>3989</v>
      </c>
      <c r="J7575" s="1" t="s">
        <v>921</v>
      </c>
      <c r="L7575" s="1" t="s">
        <v>1329</v>
      </c>
      <c r="M7575" s="1" t="s">
        <v>8185</v>
      </c>
      <c r="N7575" s="1" t="s">
        <v>1275</v>
      </c>
      <c r="P7575" s="1" t="s">
        <v>13293</v>
      </c>
      <c r="Q7575" s="30" t="s">
        <v>2566</v>
      </c>
      <c r="R7575" s="33" t="s">
        <v>3475</v>
      </c>
      <c r="S7575">
        <v>37</v>
      </c>
      <c r="T7575" s="1" t="s">
        <v>14020</v>
      </c>
      <c r="U7575" s="1" t="str">
        <f>HYPERLINK("http://ictvonline.org/taxonomy/p/taxonomy-history?taxnode_id=202101730","ICTVonline=202101730")</f>
        <v>ICTVonline=202101730</v>
      </c>
    </row>
    <row r="7576" spans="1:21" x14ac:dyDescent="0.2">
      <c r="A7576" s="3">
        <v>7575</v>
      </c>
      <c r="B7576" s="1" t="s">
        <v>4226</v>
      </c>
      <c r="D7576" s="1" t="s">
        <v>5412</v>
      </c>
      <c r="F7576" s="1" t="s">
        <v>3981</v>
      </c>
      <c r="G7576" s="1" t="s">
        <v>3982</v>
      </c>
      <c r="H7576" s="1" t="s">
        <v>3989</v>
      </c>
      <c r="J7576" s="1" t="s">
        <v>921</v>
      </c>
      <c r="L7576" s="1" t="s">
        <v>1329</v>
      </c>
      <c r="M7576" s="1" t="s">
        <v>8185</v>
      </c>
      <c r="N7576" s="1" t="s">
        <v>1275</v>
      </c>
      <c r="P7576" s="1" t="s">
        <v>13294</v>
      </c>
      <c r="Q7576" s="30" t="s">
        <v>2566</v>
      </c>
      <c r="R7576" s="33" t="s">
        <v>3475</v>
      </c>
      <c r="S7576">
        <v>37</v>
      </c>
      <c r="T7576" s="1" t="s">
        <v>14020</v>
      </c>
      <c r="U7576" s="1" t="str">
        <f>HYPERLINK("http://ictvonline.org/taxonomy/p/taxonomy-history?taxnode_id=202101731","ICTVonline=202101731")</f>
        <v>ICTVonline=202101731</v>
      </c>
    </row>
    <row r="7577" spans="1:21" x14ac:dyDescent="0.2">
      <c r="A7577" s="3">
        <v>7576</v>
      </c>
      <c r="B7577" s="1" t="s">
        <v>4226</v>
      </c>
      <c r="D7577" s="1" t="s">
        <v>5412</v>
      </c>
      <c r="F7577" s="1" t="s">
        <v>3981</v>
      </c>
      <c r="G7577" s="1" t="s">
        <v>3982</v>
      </c>
      <c r="H7577" s="1" t="s">
        <v>3989</v>
      </c>
      <c r="J7577" s="1" t="s">
        <v>921</v>
      </c>
      <c r="L7577" s="1" t="s">
        <v>1329</v>
      </c>
      <c r="M7577" s="1" t="s">
        <v>8185</v>
      </c>
      <c r="N7577" s="1" t="s">
        <v>1275</v>
      </c>
      <c r="P7577" s="1" t="s">
        <v>13295</v>
      </c>
      <c r="Q7577" s="30" t="s">
        <v>2566</v>
      </c>
      <c r="R7577" s="33" t="s">
        <v>3475</v>
      </c>
      <c r="S7577">
        <v>37</v>
      </c>
      <c r="T7577" s="1" t="s">
        <v>14020</v>
      </c>
      <c r="U7577" s="1" t="str">
        <f>HYPERLINK("http://ictvonline.org/taxonomy/p/taxonomy-history?taxnode_id=202105582","ICTVonline=202105582")</f>
        <v>ICTVonline=202105582</v>
      </c>
    </row>
    <row r="7578" spans="1:21" x14ac:dyDescent="0.2">
      <c r="A7578" s="3">
        <v>7577</v>
      </c>
      <c r="B7578" s="1" t="s">
        <v>4226</v>
      </c>
      <c r="D7578" s="1" t="s">
        <v>5412</v>
      </c>
      <c r="F7578" s="1" t="s">
        <v>3981</v>
      </c>
      <c r="G7578" s="1" t="s">
        <v>3982</v>
      </c>
      <c r="H7578" s="1" t="s">
        <v>3989</v>
      </c>
      <c r="J7578" s="1" t="s">
        <v>921</v>
      </c>
      <c r="L7578" s="1" t="s">
        <v>1329</v>
      </c>
      <c r="M7578" s="1" t="s">
        <v>8185</v>
      </c>
      <c r="N7578" s="1" t="s">
        <v>1275</v>
      </c>
      <c r="P7578" s="1" t="s">
        <v>13296</v>
      </c>
      <c r="Q7578" s="30" t="s">
        <v>2566</v>
      </c>
      <c r="R7578" s="33" t="s">
        <v>3475</v>
      </c>
      <c r="S7578">
        <v>37</v>
      </c>
      <c r="T7578" s="1" t="s">
        <v>14020</v>
      </c>
      <c r="U7578" s="1" t="str">
        <f>HYPERLINK("http://ictvonline.org/taxonomy/p/taxonomy-history?taxnode_id=202101732","ICTVonline=202101732")</f>
        <v>ICTVonline=202101732</v>
      </c>
    </row>
    <row r="7579" spans="1:21" x14ac:dyDescent="0.2">
      <c r="A7579" s="3">
        <v>7578</v>
      </c>
      <c r="B7579" s="1" t="s">
        <v>4226</v>
      </c>
      <c r="D7579" s="1" t="s">
        <v>5412</v>
      </c>
      <c r="F7579" s="1" t="s">
        <v>3981</v>
      </c>
      <c r="G7579" s="1" t="s">
        <v>3982</v>
      </c>
      <c r="H7579" s="1" t="s">
        <v>3989</v>
      </c>
      <c r="J7579" s="1" t="s">
        <v>921</v>
      </c>
      <c r="L7579" s="1" t="s">
        <v>1329</v>
      </c>
      <c r="M7579" s="1" t="s">
        <v>8185</v>
      </c>
      <c r="N7579" s="1" t="s">
        <v>1275</v>
      </c>
      <c r="P7579" s="1" t="s">
        <v>13297</v>
      </c>
      <c r="Q7579" s="30" t="s">
        <v>2566</v>
      </c>
      <c r="R7579" s="33" t="s">
        <v>3475</v>
      </c>
      <c r="S7579">
        <v>37</v>
      </c>
      <c r="T7579" s="1" t="s">
        <v>14020</v>
      </c>
      <c r="U7579" s="1" t="str">
        <f>HYPERLINK("http://ictvonline.org/taxonomy/p/taxonomy-history?taxnode_id=202101733","ICTVonline=202101733")</f>
        <v>ICTVonline=202101733</v>
      </c>
    </row>
    <row r="7580" spans="1:21" x14ac:dyDescent="0.2">
      <c r="A7580" s="3">
        <v>7579</v>
      </c>
      <c r="B7580" s="1" t="s">
        <v>4226</v>
      </c>
      <c r="D7580" s="1" t="s">
        <v>5412</v>
      </c>
      <c r="F7580" s="1" t="s">
        <v>3981</v>
      </c>
      <c r="G7580" s="1" t="s">
        <v>3982</v>
      </c>
      <c r="H7580" s="1" t="s">
        <v>3989</v>
      </c>
      <c r="J7580" s="1" t="s">
        <v>921</v>
      </c>
      <c r="L7580" s="1" t="s">
        <v>1329</v>
      </c>
      <c r="M7580" s="1" t="s">
        <v>8185</v>
      </c>
      <c r="N7580" s="1" t="s">
        <v>1275</v>
      </c>
      <c r="P7580" s="1" t="s">
        <v>13298</v>
      </c>
      <c r="Q7580" s="30" t="s">
        <v>2566</v>
      </c>
      <c r="R7580" s="33" t="s">
        <v>3475</v>
      </c>
      <c r="S7580">
        <v>37</v>
      </c>
      <c r="T7580" s="1" t="s">
        <v>14020</v>
      </c>
      <c r="U7580" s="1" t="str">
        <f>HYPERLINK("http://ictvonline.org/taxonomy/p/taxonomy-history?taxnode_id=202101734","ICTVonline=202101734")</f>
        <v>ICTVonline=202101734</v>
      </c>
    </row>
    <row r="7581" spans="1:21" x14ac:dyDescent="0.2">
      <c r="A7581" s="3">
        <v>7580</v>
      </c>
      <c r="B7581" s="1" t="s">
        <v>4226</v>
      </c>
      <c r="D7581" s="1" t="s">
        <v>5412</v>
      </c>
      <c r="F7581" s="1" t="s">
        <v>3981</v>
      </c>
      <c r="G7581" s="1" t="s">
        <v>3982</v>
      </c>
      <c r="H7581" s="1" t="s">
        <v>3989</v>
      </c>
      <c r="J7581" s="1" t="s">
        <v>921</v>
      </c>
      <c r="L7581" s="1" t="s">
        <v>1329</v>
      </c>
      <c r="M7581" s="1" t="s">
        <v>8185</v>
      </c>
      <c r="N7581" s="1" t="s">
        <v>8189</v>
      </c>
      <c r="P7581" s="1" t="s">
        <v>13299</v>
      </c>
      <c r="Q7581" s="30" t="s">
        <v>2566</v>
      </c>
      <c r="R7581" s="33" t="s">
        <v>3475</v>
      </c>
      <c r="S7581">
        <v>37</v>
      </c>
      <c r="T7581" s="1" t="s">
        <v>14020</v>
      </c>
      <c r="U7581" s="1" t="str">
        <f>HYPERLINK("http://ictvonline.org/taxonomy/p/taxonomy-history?taxnode_id=202108757","ICTVonline=202108757")</f>
        <v>ICTVonline=202108757</v>
      </c>
    </row>
    <row r="7582" spans="1:21" x14ac:dyDescent="0.2">
      <c r="A7582" s="3">
        <v>7581</v>
      </c>
      <c r="B7582" s="1" t="s">
        <v>4226</v>
      </c>
      <c r="D7582" s="1" t="s">
        <v>5412</v>
      </c>
      <c r="F7582" s="1" t="s">
        <v>3981</v>
      </c>
      <c r="G7582" s="1" t="s">
        <v>3982</v>
      </c>
      <c r="H7582" s="1" t="s">
        <v>3989</v>
      </c>
      <c r="J7582" s="1" t="s">
        <v>921</v>
      </c>
      <c r="L7582" s="1" t="s">
        <v>1329</v>
      </c>
      <c r="M7582" s="1" t="s">
        <v>8185</v>
      </c>
      <c r="N7582" s="1" t="s">
        <v>8189</v>
      </c>
      <c r="P7582" s="1" t="s">
        <v>13300</v>
      </c>
      <c r="Q7582" s="30" t="s">
        <v>2566</v>
      </c>
      <c r="R7582" s="33" t="s">
        <v>3475</v>
      </c>
      <c r="S7582">
        <v>37</v>
      </c>
      <c r="T7582" s="1" t="s">
        <v>14020</v>
      </c>
      <c r="U7582" s="1" t="str">
        <f>HYPERLINK("http://ictvonline.org/taxonomy/p/taxonomy-history?taxnode_id=202108758","ICTVonline=202108758")</f>
        <v>ICTVonline=202108758</v>
      </c>
    </row>
    <row r="7583" spans="1:21" x14ac:dyDescent="0.2">
      <c r="A7583" s="3">
        <v>7582</v>
      </c>
      <c r="B7583" s="1" t="s">
        <v>4226</v>
      </c>
      <c r="D7583" s="1" t="s">
        <v>5412</v>
      </c>
      <c r="F7583" s="1" t="s">
        <v>3981</v>
      </c>
      <c r="G7583" s="1" t="s">
        <v>3982</v>
      </c>
      <c r="H7583" s="1" t="s">
        <v>3989</v>
      </c>
      <c r="J7583" s="1" t="s">
        <v>921</v>
      </c>
      <c r="L7583" s="1" t="s">
        <v>1329</v>
      </c>
      <c r="M7583" s="1" t="s">
        <v>8185</v>
      </c>
      <c r="N7583" s="1" t="s">
        <v>5501</v>
      </c>
      <c r="P7583" s="1" t="s">
        <v>13301</v>
      </c>
      <c r="Q7583" s="30" t="s">
        <v>2566</v>
      </c>
      <c r="R7583" s="33" t="s">
        <v>3475</v>
      </c>
      <c r="S7583">
        <v>37</v>
      </c>
      <c r="T7583" s="1" t="s">
        <v>14020</v>
      </c>
      <c r="U7583" s="1" t="str">
        <f>HYPERLINK("http://ictvonline.org/taxonomy/p/taxonomy-history?taxnode_id=202101785","ICTVonline=202101785")</f>
        <v>ICTVonline=202101785</v>
      </c>
    </row>
    <row r="7584" spans="1:21" x14ac:dyDescent="0.2">
      <c r="A7584" s="3">
        <v>7583</v>
      </c>
      <c r="B7584" s="1" t="s">
        <v>4226</v>
      </c>
      <c r="D7584" s="1" t="s">
        <v>5412</v>
      </c>
      <c r="F7584" s="1" t="s">
        <v>3981</v>
      </c>
      <c r="G7584" s="1" t="s">
        <v>3982</v>
      </c>
      <c r="H7584" s="1" t="s">
        <v>3989</v>
      </c>
      <c r="J7584" s="1" t="s">
        <v>921</v>
      </c>
      <c r="L7584" s="1" t="s">
        <v>1329</v>
      </c>
      <c r="M7584" s="1" t="s">
        <v>8185</v>
      </c>
      <c r="N7584" s="1" t="s">
        <v>5502</v>
      </c>
      <c r="P7584" s="1" t="s">
        <v>13302</v>
      </c>
      <c r="Q7584" s="30" t="s">
        <v>2566</v>
      </c>
      <c r="R7584" s="33" t="s">
        <v>3475</v>
      </c>
      <c r="S7584">
        <v>37</v>
      </c>
      <c r="T7584" s="1" t="s">
        <v>14020</v>
      </c>
      <c r="U7584" s="1" t="str">
        <f>HYPERLINK("http://ictvonline.org/taxonomy/p/taxonomy-history?taxnode_id=202109154","ICTVonline=202109154")</f>
        <v>ICTVonline=202109154</v>
      </c>
    </row>
    <row r="7585" spans="1:21" x14ac:dyDescent="0.2">
      <c r="A7585" s="3">
        <v>7584</v>
      </c>
      <c r="B7585" s="1" t="s">
        <v>4226</v>
      </c>
      <c r="D7585" s="1" t="s">
        <v>5412</v>
      </c>
      <c r="F7585" s="1" t="s">
        <v>3981</v>
      </c>
      <c r="G7585" s="1" t="s">
        <v>3982</v>
      </c>
      <c r="H7585" s="1" t="s">
        <v>3989</v>
      </c>
      <c r="J7585" s="1" t="s">
        <v>921</v>
      </c>
      <c r="L7585" s="1" t="s">
        <v>1329</v>
      </c>
      <c r="M7585" s="1" t="s">
        <v>8185</v>
      </c>
      <c r="N7585" s="1" t="s">
        <v>5502</v>
      </c>
      <c r="P7585" s="1" t="s">
        <v>13303</v>
      </c>
      <c r="Q7585" s="30" t="s">
        <v>2566</v>
      </c>
      <c r="R7585" s="33" t="s">
        <v>3475</v>
      </c>
      <c r="S7585">
        <v>37</v>
      </c>
      <c r="T7585" s="1" t="s">
        <v>14020</v>
      </c>
      <c r="U7585" s="1" t="str">
        <f>HYPERLINK("http://ictvonline.org/taxonomy/p/taxonomy-history?taxnode_id=202107696","ICTVonline=202107696")</f>
        <v>ICTVonline=202107696</v>
      </c>
    </row>
    <row r="7586" spans="1:21" x14ac:dyDescent="0.2">
      <c r="A7586" s="3">
        <v>7585</v>
      </c>
      <c r="B7586" s="1" t="s">
        <v>4226</v>
      </c>
      <c r="D7586" s="1" t="s">
        <v>5412</v>
      </c>
      <c r="F7586" s="1" t="s">
        <v>3981</v>
      </c>
      <c r="G7586" s="1" t="s">
        <v>3982</v>
      </c>
      <c r="H7586" s="1" t="s">
        <v>3989</v>
      </c>
      <c r="J7586" s="1" t="s">
        <v>921</v>
      </c>
      <c r="L7586" s="1" t="s">
        <v>1329</v>
      </c>
      <c r="M7586" s="1" t="s">
        <v>8185</v>
      </c>
      <c r="N7586" s="1" t="s">
        <v>5502</v>
      </c>
      <c r="P7586" s="1" t="s">
        <v>13304</v>
      </c>
      <c r="Q7586" s="30" t="s">
        <v>2566</v>
      </c>
      <c r="R7586" s="33" t="s">
        <v>3475</v>
      </c>
      <c r="S7586">
        <v>37</v>
      </c>
      <c r="T7586" s="1" t="s">
        <v>14020</v>
      </c>
      <c r="U7586" s="1" t="str">
        <f>HYPERLINK("http://ictvonline.org/taxonomy/p/taxonomy-history?taxnode_id=202109155","ICTVonline=202109155")</f>
        <v>ICTVonline=202109155</v>
      </c>
    </row>
    <row r="7587" spans="1:21" x14ac:dyDescent="0.2">
      <c r="A7587" s="3">
        <v>7586</v>
      </c>
      <c r="B7587" s="1" t="s">
        <v>4226</v>
      </c>
      <c r="D7587" s="1" t="s">
        <v>5412</v>
      </c>
      <c r="F7587" s="1" t="s">
        <v>3981</v>
      </c>
      <c r="G7587" s="1" t="s">
        <v>3982</v>
      </c>
      <c r="H7587" s="1" t="s">
        <v>3989</v>
      </c>
      <c r="J7587" s="1" t="s">
        <v>921</v>
      </c>
      <c r="L7587" s="1" t="s">
        <v>1329</v>
      </c>
      <c r="M7587" s="1" t="s">
        <v>8185</v>
      </c>
      <c r="N7587" s="1" t="s">
        <v>5502</v>
      </c>
      <c r="P7587" s="1" t="s">
        <v>13305</v>
      </c>
      <c r="Q7587" s="30" t="s">
        <v>2566</v>
      </c>
      <c r="R7587" s="33" t="s">
        <v>3475</v>
      </c>
      <c r="S7587">
        <v>37</v>
      </c>
      <c r="T7587" s="1" t="s">
        <v>14020</v>
      </c>
      <c r="U7587" s="1" t="str">
        <f>HYPERLINK("http://ictvonline.org/taxonomy/p/taxonomy-history?taxnode_id=202107697","ICTVonline=202107697")</f>
        <v>ICTVonline=202107697</v>
      </c>
    </row>
    <row r="7588" spans="1:21" x14ac:dyDescent="0.2">
      <c r="A7588" s="3">
        <v>7587</v>
      </c>
      <c r="B7588" s="1" t="s">
        <v>4226</v>
      </c>
      <c r="D7588" s="1" t="s">
        <v>5412</v>
      </c>
      <c r="F7588" s="1" t="s">
        <v>3981</v>
      </c>
      <c r="G7588" s="1" t="s">
        <v>3982</v>
      </c>
      <c r="H7588" s="1" t="s">
        <v>3989</v>
      </c>
      <c r="J7588" s="1" t="s">
        <v>921</v>
      </c>
      <c r="L7588" s="1" t="s">
        <v>1329</v>
      </c>
      <c r="M7588" s="1" t="s">
        <v>8185</v>
      </c>
      <c r="N7588" s="1" t="s">
        <v>5502</v>
      </c>
      <c r="P7588" s="1" t="s">
        <v>13306</v>
      </c>
      <c r="Q7588" s="30" t="s">
        <v>2566</v>
      </c>
      <c r="R7588" s="33" t="s">
        <v>3475</v>
      </c>
      <c r="S7588">
        <v>37</v>
      </c>
      <c r="T7588" s="1" t="s">
        <v>14020</v>
      </c>
      <c r="U7588" s="1" t="str">
        <f>HYPERLINK("http://ictvonline.org/taxonomy/p/taxonomy-history?taxnode_id=202107693","ICTVonline=202107693")</f>
        <v>ICTVonline=202107693</v>
      </c>
    </row>
    <row r="7589" spans="1:21" x14ac:dyDescent="0.2">
      <c r="A7589" s="3">
        <v>7588</v>
      </c>
      <c r="B7589" s="1" t="s">
        <v>4226</v>
      </c>
      <c r="D7589" s="1" t="s">
        <v>5412</v>
      </c>
      <c r="F7589" s="1" t="s">
        <v>3981</v>
      </c>
      <c r="G7589" s="1" t="s">
        <v>3982</v>
      </c>
      <c r="H7589" s="1" t="s">
        <v>3989</v>
      </c>
      <c r="J7589" s="1" t="s">
        <v>921</v>
      </c>
      <c r="L7589" s="1" t="s">
        <v>1329</v>
      </c>
      <c r="M7589" s="1" t="s">
        <v>8185</v>
      </c>
      <c r="N7589" s="1" t="s">
        <v>5502</v>
      </c>
      <c r="P7589" s="1" t="s">
        <v>13307</v>
      </c>
      <c r="Q7589" s="30" t="s">
        <v>2566</v>
      </c>
      <c r="R7589" s="33" t="s">
        <v>3475</v>
      </c>
      <c r="S7589">
        <v>37</v>
      </c>
      <c r="T7589" s="1" t="s">
        <v>14020</v>
      </c>
      <c r="U7589" s="1" t="str">
        <f>HYPERLINK("http://ictvonline.org/taxonomy/p/taxonomy-history?taxnode_id=202109153","ICTVonline=202109153")</f>
        <v>ICTVonline=202109153</v>
      </c>
    </row>
    <row r="7590" spans="1:21" x14ac:dyDescent="0.2">
      <c r="A7590" s="3">
        <v>7589</v>
      </c>
      <c r="B7590" s="1" t="s">
        <v>4226</v>
      </c>
      <c r="D7590" s="1" t="s">
        <v>5412</v>
      </c>
      <c r="F7590" s="1" t="s">
        <v>3981</v>
      </c>
      <c r="G7590" s="1" t="s">
        <v>3982</v>
      </c>
      <c r="H7590" s="1" t="s">
        <v>3989</v>
      </c>
      <c r="J7590" s="1" t="s">
        <v>921</v>
      </c>
      <c r="L7590" s="1" t="s">
        <v>1329</v>
      </c>
      <c r="M7590" s="1" t="s">
        <v>8185</v>
      </c>
      <c r="N7590" s="1" t="s">
        <v>5502</v>
      </c>
      <c r="P7590" s="1" t="s">
        <v>13308</v>
      </c>
      <c r="Q7590" s="30" t="s">
        <v>2566</v>
      </c>
      <c r="R7590" s="33" t="s">
        <v>3475</v>
      </c>
      <c r="S7590">
        <v>37</v>
      </c>
      <c r="T7590" s="1" t="s">
        <v>14020</v>
      </c>
      <c r="U7590" s="1" t="str">
        <f>HYPERLINK("http://ictvonline.org/taxonomy/p/taxonomy-history?taxnode_id=202107695","ICTVonline=202107695")</f>
        <v>ICTVonline=202107695</v>
      </c>
    </row>
    <row r="7591" spans="1:21" x14ac:dyDescent="0.2">
      <c r="A7591" s="3">
        <v>7590</v>
      </c>
      <c r="B7591" s="1" t="s">
        <v>4226</v>
      </c>
      <c r="D7591" s="1" t="s">
        <v>5412</v>
      </c>
      <c r="F7591" s="1" t="s">
        <v>3981</v>
      </c>
      <c r="G7591" s="1" t="s">
        <v>3982</v>
      </c>
      <c r="H7591" s="1" t="s">
        <v>3989</v>
      </c>
      <c r="J7591" s="1" t="s">
        <v>921</v>
      </c>
      <c r="L7591" s="1" t="s">
        <v>1329</v>
      </c>
      <c r="M7591" s="1" t="s">
        <v>8185</v>
      </c>
      <c r="N7591" s="1" t="s">
        <v>5502</v>
      </c>
      <c r="P7591" s="1" t="s">
        <v>13309</v>
      </c>
      <c r="Q7591" s="30" t="s">
        <v>2566</v>
      </c>
      <c r="R7591" s="33" t="s">
        <v>3475</v>
      </c>
      <c r="S7591">
        <v>37</v>
      </c>
      <c r="T7591" s="1" t="s">
        <v>14020</v>
      </c>
      <c r="U7591" s="1" t="str">
        <f>HYPERLINK("http://ictvonline.org/taxonomy/p/taxonomy-history?taxnode_id=202107694","ICTVonline=202107694")</f>
        <v>ICTVonline=202107694</v>
      </c>
    </row>
    <row r="7592" spans="1:21" x14ac:dyDescent="0.2">
      <c r="A7592" s="3">
        <v>7591</v>
      </c>
      <c r="B7592" s="1" t="s">
        <v>4226</v>
      </c>
      <c r="D7592" s="1" t="s">
        <v>5412</v>
      </c>
      <c r="F7592" s="1" t="s">
        <v>3981</v>
      </c>
      <c r="G7592" s="1" t="s">
        <v>3982</v>
      </c>
      <c r="H7592" s="1" t="s">
        <v>3989</v>
      </c>
      <c r="J7592" s="1" t="s">
        <v>921</v>
      </c>
      <c r="L7592" s="1" t="s">
        <v>1329</v>
      </c>
      <c r="M7592" s="1" t="s">
        <v>8185</v>
      </c>
      <c r="N7592" s="1" t="s">
        <v>2019</v>
      </c>
      <c r="P7592" s="1" t="s">
        <v>13310</v>
      </c>
      <c r="Q7592" s="30" t="s">
        <v>2566</v>
      </c>
      <c r="R7592" s="33" t="s">
        <v>3475</v>
      </c>
      <c r="S7592">
        <v>37</v>
      </c>
      <c r="T7592" s="1" t="s">
        <v>14020</v>
      </c>
      <c r="U7592" s="1" t="str">
        <f>HYPERLINK("http://ictvonline.org/taxonomy/p/taxonomy-history?taxnode_id=202101753","ICTVonline=202101753")</f>
        <v>ICTVonline=202101753</v>
      </c>
    </row>
    <row r="7593" spans="1:21" x14ac:dyDescent="0.2">
      <c r="A7593" s="3">
        <v>7592</v>
      </c>
      <c r="B7593" s="1" t="s">
        <v>4226</v>
      </c>
      <c r="D7593" s="1" t="s">
        <v>5412</v>
      </c>
      <c r="F7593" s="1" t="s">
        <v>3981</v>
      </c>
      <c r="G7593" s="1" t="s">
        <v>3982</v>
      </c>
      <c r="H7593" s="1" t="s">
        <v>3989</v>
      </c>
      <c r="J7593" s="1" t="s">
        <v>921</v>
      </c>
      <c r="L7593" s="1" t="s">
        <v>1329</v>
      </c>
      <c r="M7593" s="1" t="s">
        <v>8185</v>
      </c>
      <c r="N7593" s="1" t="s">
        <v>2019</v>
      </c>
      <c r="P7593" s="1" t="s">
        <v>13311</v>
      </c>
      <c r="Q7593" s="30" t="s">
        <v>2566</v>
      </c>
      <c r="R7593" s="33" t="s">
        <v>3472</v>
      </c>
      <c r="S7593">
        <v>37</v>
      </c>
      <c r="T7593" s="1" t="s">
        <v>14024</v>
      </c>
      <c r="U7593" s="1" t="str">
        <f>HYPERLINK("http://ictvonline.org/taxonomy/p/taxonomy-history?taxnode_id=202113313","ICTVonline=202113313")</f>
        <v>ICTVonline=202113313</v>
      </c>
    </row>
    <row r="7594" spans="1:21" x14ac:dyDescent="0.2">
      <c r="A7594" s="3">
        <v>7593</v>
      </c>
      <c r="B7594" s="1" t="s">
        <v>4226</v>
      </c>
      <c r="D7594" s="1" t="s">
        <v>5412</v>
      </c>
      <c r="F7594" s="1" t="s">
        <v>3981</v>
      </c>
      <c r="G7594" s="1" t="s">
        <v>3982</v>
      </c>
      <c r="H7594" s="1" t="s">
        <v>3989</v>
      </c>
      <c r="J7594" s="1" t="s">
        <v>921</v>
      </c>
      <c r="L7594" s="1" t="s">
        <v>1329</v>
      </c>
      <c r="M7594" s="1" t="s">
        <v>8185</v>
      </c>
      <c r="N7594" s="1" t="s">
        <v>2019</v>
      </c>
      <c r="P7594" s="1" t="s">
        <v>13312</v>
      </c>
      <c r="Q7594" s="30" t="s">
        <v>2566</v>
      </c>
      <c r="R7594" s="33" t="s">
        <v>3475</v>
      </c>
      <c r="S7594">
        <v>37</v>
      </c>
      <c r="T7594" s="1" t="s">
        <v>14020</v>
      </c>
      <c r="U7594" s="1" t="str">
        <f>HYPERLINK("http://ictvonline.org/taxonomy/p/taxonomy-history?taxnode_id=202101754","ICTVonline=202101754")</f>
        <v>ICTVonline=202101754</v>
      </c>
    </row>
    <row r="7595" spans="1:21" x14ac:dyDescent="0.2">
      <c r="A7595" s="3">
        <v>7594</v>
      </c>
      <c r="B7595" s="1" t="s">
        <v>4226</v>
      </c>
      <c r="D7595" s="1" t="s">
        <v>5412</v>
      </c>
      <c r="F7595" s="1" t="s">
        <v>3981</v>
      </c>
      <c r="G7595" s="1" t="s">
        <v>3982</v>
      </c>
      <c r="H7595" s="1" t="s">
        <v>3989</v>
      </c>
      <c r="J7595" s="1" t="s">
        <v>921</v>
      </c>
      <c r="L7595" s="1" t="s">
        <v>1329</v>
      </c>
      <c r="M7595" s="1" t="s">
        <v>8185</v>
      </c>
      <c r="N7595" s="1" t="s">
        <v>2019</v>
      </c>
      <c r="P7595" s="1" t="s">
        <v>13313</v>
      </c>
      <c r="Q7595" s="30" t="s">
        <v>2566</v>
      </c>
      <c r="R7595" s="33" t="s">
        <v>3475</v>
      </c>
      <c r="S7595">
        <v>37</v>
      </c>
      <c r="T7595" s="1" t="s">
        <v>14020</v>
      </c>
      <c r="U7595" s="1" t="str">
        <f>HYPERLINK("http://ictvonline.org/taxonomy/p/taxonomy-history?taxnode_id=202101755","ICTVonline=202101755")</f>
        <v>ICTVonline=202101755</v>
      </c>
    </row>
    <row r="7596" spans="1:21" x14ac:dyDescent="0.2">
      <c r="A7596" s="3">
        <v>7595</v>
      </c>
      <c r="B7596" s="1" t="s">
        <v>4226</v>
      </c>
      <c r="D7596" s="1" t="s">
        <v>5412</v>
      </c>
      <c r="F7596" s="1" t="s">
        <v>3981</v>
      </c>
      <c r="G7596" s="1" t="s">
        <v>3982</v>
      </c>
      <c r="H7596" s="1" t="s">
        <v>3989</v>
      </c>
      <c r="J7596" s="1" t="s">
        <v>921</v>
      </c>
      <c r="L7596" s="1" t="s">
        <v>1329</v>
      </c>
      <c r="M7596" s="1" t="s">
        <v>8185</v>
      </c>
      <c r="N7596" s="1" t="s">
        <v>13314</v>
      </c>
      <c r="P7596" s="1" t="s">
        <v>13315</v>
      </c>
      <c r="Q7596" s="30" t="s">
        <v>2566</v>
      </c>
      <c r="R7596" s="33" t="s">
        <v>3472</v>
      </c>
      <c r="S7596">
        <v>37</v>
      </c>
      <c r="T7596" s="1" t="s">
        <v>14023</v>
      </c>
      <c r="U7596" s="1" t="str">
        <f>HYPERLINK("http://ictvonline.org/taxonomy/p/taxonomy-history?taxnode_id=202112251","ICTVonline=202112251")</f>
        <v>ICTVonline=202112251</v>
      </c>
    </row>
    <row r="7597" spans="1:21" x14ac:dyDescent="0.2">
      <c r="A7597" s="3">
        <v>7596</v>
      </c>
      <c r="B7597" s="1" t="s">
        <v>4226</v>
      </c>
      <c r="D7597" s="1" t="s">
        <v>5412</v>
      </c>
      <c r="F7597" s="1" t="s">
        <v>3981</v>
      </c>
      <c r="G7597" s="1" t="s">
        <v>3982</v>
      </c>
      <c r="H7597" s="1" t="s">
        <v>3989</v>
      </c>
      <c r="J7597" s="1" t="s">
        <v>921</v>
      </c>
      <c r="L7597" s="1" t="s">
        <v>1329</v>
      </c>
      <c r="M7597" s="1" t="s">
        <v>8185</v>
      </c>
      <c r="N7597" s="1" t="s">
        <v>5900</v>
      </c>
      <c r="P7597" s="1" t="s">
        <v>13316</v>
      </c>
      <c r="Q7597" s="30" t="s">
        <v>2566</v>
      </c>
      <c r="R7597" s="33" t="s">
        <v>3475</v>
      </c>
      <c r="S7597">
        <v>37</v>
      </c>
      <c r="T7597" s="1" t="s">
        <v>14020</v>
      </c>
      <c r="U7597" s="1" t="str">
        <f>HYPERLINK("http://ictvonline.org/taxonomy/p/taxonomy-history?taxnode_id=202107386","ICTVonline=202107386")</f>
        <v>ICTVonline=202107386</v>
      </c>
    </row>
    <row r="7598" spans="1:21" x14ac:dyDescent="0.2">
      <c r="A7598" s="3">
        <v>7597</v>
      </c>
      <c r="B7598" s="1" t="s">
        <v>4226</v>
      </c>
      <c r="D7598" s="1" t="s">
        <v>5412</v>
      </c>
      <c r="F7598" s="1" t="s">
        <v>3981</v>
      </c>
      <c r="G7598" s="1" t="s">
        <v>3982</v>
      </c>
      <c r="H7598" s="1" t="s">
        <v>3989</v>
      </c>
      <c r="J7598" s="1" t="s">
        <v>921</v>
      </c>
      <c r="L7598" s="1" t="s">
        <v>1329</v>
      </c>
      <c r="M7598" s="1" t="s">
        <v>8185</v>
      </c>
      <c r="N7598" s="1" t="s">
        <v>5900</v>
      </c>
      <c r="P7598" s="1" t="s">
        <v>13317</v>
      </c>
      <c r="Q7598" s="30" t="s">
        <v>2566</v>
      </c>
      <c r="R7598" s="33" t="s">
        <v>3475</v>
      </c>
      <c r="S7598">
        <v>37</v>
      </c>
      <c r="T7598" s="1" t="s">
        <v>14020</v>
      </c>
      <c r="U7598" s="1" t="str">
        <f>HYPERLINK("http://ictvonline.org/taxonomy/p/taxonomy-history?taxnode_id=202107387","ICTVonline=202107387")</f>
        <v>ICTVonline=202107387</v>
      </c>
    </row>
    <row r="7599" spans="1:21" x14ac:dyDescent="0.2">
      <c r="A7599" s="3">
        <v>7598</v>
      </c>
      <c r="B7599" s="1" t="s">
        <v>4226</v>
      </c>
      <c r="D7599" s="1" t="s">
        <v>5412</v>
      </c>
      <c r="F7599" s="1" t="s">
        <v>3981</v>
      </c>
      <c r="G7599" s="1" t="s">
        <v>3982</v>
      </c>
      <c r="H7599" s="1" t="s">
        <v>3989</v>
      </c>
      <c r="J7599" s="1" t="s">
        <v>921</v>
      </c>
      <c r="L7599" s="1" t="s">
        <v>1329</v>
      </c>
      <c r="M7599" s="1" t="s">
        <v>8185</v>
      </c>
      <c r="N7599" s="1" t="s">
        <v>5900</v>
      </c>
      <c r="P7599" s="1" t="s">
        <v>13318</v>
      </c>
      <c r="Q7599" s="30" t="s">
        <v>2566</v>
      </c>
      <c r="R7599" s="33" t="s">
        <v>3475</v>
      </c>
      <c r="S7599">
        <v>37</v>
      </c>
      <c r="T7599" s="1" t="s">
        <v>14020</v>
      </c>
      <c r="U7599" s="1" t="str">
        <f>HYPERLINK("http://ictvonline.org/taxonomy/p/taxonomy-history?taxnode_id=202107385","ICTVonline=202107385")</f>
        <v>ICTVonline=202107385</v>
      </c>
    </row>
    <row r="7600" spans="1:21" x14ac:dyDescent="0.2">
      <c r="A7600" s="3">
        <v>7599</v>
      </c>
      <c r="B7600" s="1" t="s">
        <v>4226</v>
      </c>
      <c r="D7600" s="1" t="s">
        <v>5412</v>
      </c>
      <c r="F7600" s="1" t="s">
        <v>3981</v>
      </c>
      <c r="G7600" s="1" t="s">
        <v>3982</v>
      </c>
      <c r="H7600" s="1" t="s">
        <v>3989</v>
      </c>
      <c r="J7600" s="1" t="s">
        <v>921</v>
      </c>
      <c r="L7600" s="1" t="s">
        <v>1329</v>
      </c>
      <c r="M7600" s="1" t="s">
        <v>8185</v>
      </c>
      <c r="N7600" s="1" t="s">
        <v>5900</v>
      </c>
      <c r="P7600" s="1" t="s">
        <v>13319</v>
      </c>
      <c r="Q7600" s="30" t="s">
        <v>2566</v>
      </c>
      <c r="R7600" s="33" t="s">
        <v>3475</v>
      </c>
      <c r="S7600">
        <v>37</v>
      </c>
      <c r="T7600" s="1" t="s">
        <v>14020</v>
      </c>
      <c r="U7600" s="1" t="str">
        <f>HYPERLINK("http://ictvonline.org/taxonomy/p/taxonomy-history?taxnode_id=202107384","ICTVonline=202107384")</f>
        <v>ICTVonline=202107384</v>
      </c>
    </row>
    <row r="7601" spans="1:21" x14ac:dyDescent="0.2">
      <c r="A7601" s="3">
        <v>7600</v>
      </c>
      <c r="B7601" s="1" t="s">
        <v>4226</v>
      </c>
      <c r="D7601" s="1" t="s">
        <v>5412</v>
      </c>
      <c r="F7601" s="1" t="s">
        <v>3981</v>
      </c>
      <c r="G7601" s="1" t="s">
        <v>3982</v>
      </c>
      <c r="H7601" s="1" t="s">
        <v>3989</v>
      </c>
      <c r="J7601" s="1" t="s">
        <v>921</v>
      </c>
      <c r="L7601" s="1" t="s">
        <v>1329</v>
      </c>
      <c r="M7601" s="1" t="s">
        <v>8185</v>
      </c>
      <c r="N7601" s="1" t="s">
        <v>13320</v>
      </c>
      <c r="P7601" s="1" t="s">
        <v>13321</v>
      </c>
      <c r="Q7601" s="30" t="s">
        <v>2566</v>
      </c>
      <c r="R7601" s="33" t="s">
        <v>3472</v>
      </c>
      <c r="S7601">
        <v>37</v>
      </c>
      <c r="T7601" s="1" t="s">
        <v>14024</v>
      </c>
      <c r="U7601" s="1" t="str">
        <f>HYPERLINK("http://ictvonline.org/taxonomy/p/taxonomy-history?taxnode_id=202113322","ICTVonline=202113322")</f>
        <v>ICTVonline=202113322</v>
      </c>
    </row>
    <row r="7602" spans="1:21" x14ac:dyDescent="0.2">
      <c r="A7602" s="3">
        <v>7601</v>
      </c>
      <c r="B7602" s="1" t="s">
        <v>4226</v>
      </c>
      <c r="D7602" s="1" t="s">
        <v>5412</v>
      </c>
      <c r="F7602" s="1" t="s">
        <v>3981</v>
      </c>
      <c r="G7602" s="1" t="s">
        <v>3982</v>
      </c>
      <c r="H7602" s="1" t="s">
        <v>3989</v>
      </c>
      <c r="J7602" s="1" t="s">
        <v>921</v>
      </c>
      <c r="L7602" s="1" t="s">
        <v>1329</v>
      </c>
      <c r="M7602" s="1" t="s">
        <v>8185</v>
      </c>
      <c r="N7602" s="1" t="s">
        <v>13320</v>
      </c>
      <c r="P7602" s="1" t="s">
        <v>13322</v>
      </c>
      <c r="Q7602" s="30" t="s">
        <v>2566</v>
      </c>
      <c r="R7602" s="33" t="s">
        <v>3472</v>
      </c>
      <c r="S7602">
        <v>37</v>
      </c>
      <c r="T7602" s="1" t="s">
        <v>14024</v>
      </c>
      <c r="U7602" s="1" t="str">
        <f>HYPERLINK("http://ictvonline.org/taxonomy/p/taxonomy-history?taxnode_id=202113321","ICTVonline=202113321")</f>
        <v>ICTVonline=202113321</v>
      </c>
    </row>
    <row r="7603" spans="1:21" x14ac:dyDescent="0.2">
      <c r="A7603" s="3">
        <v>7602</v>
      </c>
      <c r="B7603" s="1" t="s">
        <v>4226</v>
      </c>
      <c r="D7603" s="1" t="s">
        <v>5412</v>
      </c>
      <c r="F7603" s="1" t="s">
        <v>3981</v>
      </c>
      <c r="G7603" s="1" t="s">
        <v>3982</v>
      </c>
      <c r="H7603" s="1" t="s">
        <v>3989</v>
      </c>
      <c r="J7603" s="1" t="s">
        <v>921</v>
      </c>
      <c r="L7603" s="1" t="s">
        <v>1329</v>
      </c>
      <c r="M7603" s="1" t="s">
        <v>8185</v>
      </c>
      <c r="N7603" s="1" t="s">
        <v>2020</v>
      </c>
      <c r="P7603" s="1" t="s">
        <v>13323</v>
      </c>
      <c r="Q7603" s="30" t="s">
        <v>2566</v>
      </c>
      <c r="R7603" s="33" t="s">
        <v>3475</v>
      </c>
      <c r="S7603">
        <v>37</v>
      </c>
      <c r="T7603" s="1" t="s">
        <v>14020</v>
      </c>
      <c r="U7603" s="1" t="str">
        <f>HYPERLINK("http://ictvonline.org/taxonomy/p/taxonomy-history?taxnode_id=202101757","ICTVonline=202101757")</f>
        <v>ICTVonline=202101757</v>
      </c>
    </row>
    <row r="7604" spans="1:21" x14ac:dyDescent="0.2">
      <c r="A7604" s="3">
        <v>7603</v>
      </c>
      <c r="B7604" s="1" t="s">
        <v>4226</v>
      </c>
      <c r="D7604" s="1" t="s">
        <v>5412</v>
      </c>
      <c r="F7604" s="1" t="s">
        <v>3981</v>
      </c>
      <c r="G7604" s="1" t="s">
        <v>3982</v>
      </c>
      <c r="H7604" s="1" t="s">
        <v>3989</v>
      </c>
      <c r="J7604" s="1" t="s">
        <v>921</v>
      </c>
      <c r="L7604" s="1" t="s">
        <v>1329</v>
      </c>
      <c r="M7604" s="1" t="s">
        <v>8185</v>
      </c>
      <c r="N7604" s="1" t="s">
        <v>2020</v>
      </c>
      <c r="P7604" s="1" t="s">
        <v>13324</v>
      </c>
      <c r="Q7604" s="30" t="s">
        <v>2566</v>
      </c>
      <c r="R7604" s="33" t="s">
        <v>3475</v>
      </c>
      <c r="S7604">
        <v>37</v>
      </c>
      <c r="T7604" s="1" t="s">
        <v>14020</v>
      </c>
      <c r="U7604" s="1" t="str">
        <f>HYPERLINK("http://ictvonline.org/taxonomy/p/taxonomy-history?taxnode_id=202101758","ICTVonline=202101758")</f>
        <v>ICTVonline=202101758</v>
      </c>
    </row>
    <row r="7605" spans="1:21" x14ac:dyDescent="0.2">
      <c r="A7605" s="3">
        <v>7604</v>
      </c>
      <c r="B7605" s="1" t="s">
        <v>4226</v>
      </c>
      <c r="D7605" s="1" t="s">
        <v>5412</v>
      </c>
      <c r="F7605" s="1" t="s">
        <v>3981</v>
      </c>
      <c r="G7605" s="1" t="s">
        <v>3982</v>
      </c>
      <c r="H7605" s="1" t="s">
        <v>3989</v>
      </c>
      <c r="J7605" s="1" t="s">
        <v>921</v>
      </c>
      <c r="L7605" s="1" t="s">
        <v>1329</v>
      </c>
      <c r="M7605" s="1" t="s">
        <v>8185</v>
      </c>
      <c r="N7605" s="1" t="s">
        <v>2020</v>
      </c>
      <c r="P7605" s="1" t="s">
        <v>13325</v>
      </c>
      <c r="Q7605" s="30" t="s">
        <v>2566</v>
      </c>
      <c r="R7605" s="33" t="s">
        <v>3475</v>
      </c>
      <c r="S7605">
        <v>37</v>
      </c>
      <c r="T7605" s="1" t="s">
        <v>14020</v>
      </c>
      <c r="U7605" s="1" t="str">
        <f>HYPERLINK("http://ictvonline.org/taxonomy/p/taxonomy-history?taxnode_id=202108829","ICTVonline=202108829")</f>
        <v>ICTVonline=202108829</v>
      </c>
    </row>
    <row r="7606" spans="1:21" x14ac:dyDescent="0.2">
      <c r="A7606" s="3">
        <v>7605</v>
      </c>
      <c r="B7606" s="1" t="s">
        <v>4226</v>
      </c>
      <c r="D7606" s="1" t="s">
        <v>5412</v>
      </c>
      <c r="F7606" s="1" t="s">
        <v>3981</v>
      </c>
      <c r="G7606" s="1" t="s">
        <v>3982</v>
      </c>
      <c r="H7606" s="1" t="s">
        <v>3989</v>
      </c>
      <c r="J7606" s="1" t="s">
        <v>921</v>
      </c>
      <c r="L7606" s="1" t="s">
        <v>1329</v>
      </c>
      <c r="M7606" s="1" t="s">
        <v>8185</v>
      </c>
      <c r="N7606" s="1" t="s">
        <v>2020</v>
      </c>
      <c r="P7606" s="1" t="s">
        <v>13326</v>
      </c>
      <c r="Q7606" s="30" t="s">
        <v>2566</v>
      </c>
      <c r="R7606" s="33" t="s">
        <v>3475</v>
      </c>
      <c r="S7606">
        <v>37</v>
      </c>
      <c r="T7606" s="1" t="s">
        <v>14020</v>
      </c>
      <c r="U7606" s="1" t="str">
        <f>HYPERLINK("http://ictvonline.org/taxonomy/p/taxonomy-history?taxnode_id=202108833","ICTVonline=202108833")</f>
        <v>ICTVonline=202108833</v>
      </c>
    </row>
    <row r="7607" spans="1:21" x14ac:dyDescent="0.2">
      <c r="A7607" s="3">
        <v>7606</v>
      </c>
      <c r="B7607" s="1" t="s">
        <v>4226</v>
      </c>
      <c r="D7607" s="1" t="s">
        <v>5412</v>
      </c>
      <c r="F7607" s="1" t="s">
        <v>3981</v>
      </c>
      <c r="G7607" s="1" t="s">
        <v>3982</v>
      </c>
      <c r="H7607" s="1" t="s">
        <v>3989</v>
      </c>
      <c r="J7607" s="1" t="s">
        <v>921</v>
      </c>
      <c r="L7607" s="1" t="s">
        <v>1329</v>
      </c>
      <c r="M7607" s="1" t="s">
        <v>8185</v>
      </c>
      <c r="N7607" s="1" t="s">
        <v>2020</v>
      </c>
      <c r="P7607" s="1" t="s">
        <v>13327</v>
      </c>
      <c r="Q7607" s="30" t="s">
        <v>2566</v>
      </c>
      <c r="R7607" s="33" t="s">
        <v>3475</v>
      </c>
      <c r="S7607">
        <v>37</v>
      </c>
      <c r="T7607" s="1" t="s">
        <v>14020</v>
      </c>
      <c r="U7607" s="1" t="str">
        <f>HYPERLINK("http://ictvonline.org/taxonomy/p/taxonomy-history?taxnode_id=202108824","ICTVonline=202108824")</f>
        <v>ICTVonline=202108824</v>
      </c>
    </row>
    <row r="7608" spans="1:21" x14ac:dyDescent="0.2">
      <c r="A7608" s="3">
        <v>7607</v>
      </c>
      <c r="B7608" s="1" t="s">
        <v>4226</v>
      </c>
      <c r="D7608" s="1" t="s">
        <v>5412</v>
      </c>
      <c r="F7608" s="1" t="s">
        <v>3981</v>
      </c>
      <c r="G7608" s="1" t="s">
        <v>3982</v>
      </c>
      <c r="H7608" s="1" t="s">
        <v>3989</v>
      </c>
      <c r="J7608" s="1" t="s">
        <v>921</v>
      </c>
      <c r="L7608" s="1" t="s">
        <v>1329</v>
      </c>
      <c r="M7608" s="1" t="s">
        <v>8185</v>
      </c>
      <c r="N7608" s="1" t="s">
        <v>2020</v>
      </c>
      <c r="P7608" s="1" t="s">
        <v>13328</v>
      </c>
      <c r="Q7608" s="30" t="s">
        <v>2566</v>
      </c>
      <c r="R7608" s="33" t="s">
        <v>3475</v>
      </c>
      <c r="S7608">
        <v>37</v>
      </c>
      <c r="T7608" s="1" t="s">
        <v>14020</v>
      </c>
      <c r="U7608" s="1" t="str">
        <f>HYPERLINK("http://ictvonline.org/taxonomy/p/taxonomy-history?taxnode_id=202108827","ICTVonline=202108827")</f>
        <v>ICTVonline=202108827</v>
      </c>
    </row>
    <row r="7609" spans="1:21" x14ac:dyDescent="0.2">
      <c r="A7609" s="3">
        <v>7608</v>
      </c>
      <c r="B7609" s="1" t="s">
        <v>4226</v>
      </c>
      <c r="D7609" s="1" t="s">
        <v>5412</v>
      </c>
      <c r="F7609" s="1" t="s">
        <v>3981</v>
      </c>
      <c r="G7609" s="1" t="s">
        <v>3982</v>
      </c>
      <c r="H7609" s="1" t="s">
        <v>3989</v>
      </c>
      <c r="J7609" s="1" t="s">
        <v>921</v>
      </c>
      <c r="L7609" s="1" t="s">
        <v>1329</v>
      </c>
      <c r="M7609" s="1" t="s">
        <v>8185</v>
      </c>
      <c r="N7609" s="1" t="s">
        <v>2020</v>
      </c>
      <c r="P7609" s="1" t="s">
        <v>13329</v>
      </c>
      <c r="Q7609" s="30" t="s">
        <v>2566</v>
      </c>
      <c r="R7609" s="33" t="s">
        <v>3475</v>
      </c>
      <c r="S7609">
        <v>37</v>
      </c>
      <c r="T7609" s="1" t="s">
        <v>14020</v>
      </c>
      <c r="U7609" s="1" t="str">
        <f>HYPERLINK("http://ictvonline.org/taxonomy/p/taxonomy-history?taxnode_id=202101759","ICTVonline=202101759")</f>
        <v>ICTVonline=202101759</v>
      </c>
    </row>
    <row r="7610" spans="1:21" x14ac:dyDescent="0.2">
      <c r="A7610" s="3">
        <v>7609</v>
      </c>
      <c r="B7610" s="1" t="s">
        <v>4226</v>
      </c>
      <c r="D7610" s="1" t="s">
        <v>5412</v>
      </c>
      <c r="F7610" s="1" t="s">
        <v>3981</v>
      </c>
      <c r="G7610" s="1" t="s">
        <v>3982</v>
      </c>
      <c r="H7610" s="1" t="s">
        <v>3989</v>
      </c>
      <c r="J7610" s="1" t="s">
        <v>921</v>
      </c>
      <c r="L7610" s="1" t="s">
        <v>1329</v>
      </c>
      <c r="M7610" s="1" t="s">
        <v>8185</v>
      </c>
      <c r="N7610" s="1" t="s">
        <v>2020</v>
      </c>
      <c r="P7610" s="1" t="s">
        <v>13330</v>
      </c>
      <c r="Q7610" s="30" t="s">
        <v>2566</v>
      </c>
      <c r="R7610" s="33" t="s">
        <v>3475</v>
      </c>
      <c r="S7610">
        <v>37</v>
      </c>
      <c r="T7610" s="1" t="s">
        <v>14020</v>
      </c>
      <c r="U7610" s="1" t="str">
        <f>HYPERLINK("http://ictvonline.org/taxonomy/p/taxonomy-history?taxnode_id=202108825","ICTVonline=202108825")</f>
        <v>ICTVonline=202108825</v>
      </c>
    </row>
    <row r="7611" spans="1:21" x14ac:dyDescent="0.2">
      <c r="A7611" s="3">
        <v>7610</v>
      </c>
      <c r="B7611" s="1" t="s">
        <v>4226</v>
      </c>
      <c r="D7611" s="1" t="s">
        <v>5412</v>
      </c>
      <c r="F7611" s="1" t="s">
        <v>3981</v>
      </c>
      <c r="G7611" s="1" t="s">
        <v>3982</v>
      </c>
      <c r="H7611" s="1" t="s">
        <v>3989</v>
      </c>
      <c r="J7611" s="1" t="s">
        <v>921</v>
      </c>
      <c r="L7611" s="1" t="s">
        <v>1329</v>
      </c>
      <c r="M7611" s="1" t="s">
        <v>8185</v>
      </c>
      <c r="N7611" s="1" t="s">
        <v>2020</v>
      </c>
      <c r="P7611" s="1" t="s">
        <v>13331</v>
      </c>
      <c r="Q7611" s="30" t="s">
        <v>2566</v>
      </c>
      <c r="R7611" s="33" t="s">
        <v>3475</v>
      </c>
      <c r="S7611">
        <v>37</v>
      </c>
      <c r="T7611" s="1" t="s">
        <v>14020</v>
      </c>
      <c r="U7611" s="1" t="str">
        <f>HYPERLINK("http://ictvonline.org/taxonomy/p/taxonomy-history?taxnode_id=202101760","ICTVonline=202101760")</f>
        <v>ICTVonline=202101760</v>
      </c>
    </row>
    <row r="7612" spans="1:21" x14ac:dyDescent="0.2">
      <c r="A7612" s="3">
        <v>7611</v>
      </c>
      <c r="B7612" s="1" t="s">
        <v>4226</v>
      </c>
      <c r="D7612" s="1" t="s">
        <v>5412</v>
      </c>
      <c r="F7612" s="1" t="s">
        <v>3981</v>
      </c>
      <c r="G7612" s="1" t="s">
        <v>3982</v>
      </c>
      <c r="H7612" s="1" t="s">
        <v>3989</v>
      </c>
      <c r="J7612" s="1" t="s">
        <v>921</v>
      </c>
      <c r="L7612" s="1" t="s">
        <v>1329</v>
      </c>
      <c r="M7612" s="1" t="s">
        <v>8185</v>
      </c>
      <c r="N7612" s="1" t="s">
        <v>2020</v>
      </c>
      <c r="P7612" s="1" t="s">
        <v>13332</v>
      </c>
      <c r="Q7612" s="30" t="s">
        <v>2566</v>
      </c>
      <c r="R7612" s="33" t="s">
        <v>3475</v>
      </c>
      <c r="S7612">
        <v>37</v>
      </c>
      <c r="T7612" s="1" t="s">
        <v>14020</v>
      </c>
      <c r="U7612" s="1" t="str">
        <f>HYPERLINK("http://ictvonline.org/taxonomy/p/taxonomy-history?taxnode_id=202101763","ICTVonline=202101763")</f>
        <v>ICTVonline=202101763</v>
      </c>
    </row>
    <row r="7613" spans="1:21" x14ac:dyDescent="0.2">
      <c r="A7613" s="3">
        <v>7612</v>
      </c>
      <c r="B7613" s="1" t="s">
        <v>4226</v>
      </c>
      <c r="D7613" s="1" t="s">
        <v>5412</v>
      </c>
      <c r="F7613" s="1" t="s">
        <v>3981</v>
      </c>
      <c r="G7613" s="1" t="s">
        <v>3982</v>
      </c>
      <c r="H7613" s="1" t="s">
        <v>3989</v>
      </c>
      <c r="J7613" s="1" t="s">
        <v>921</v>
      </c>
      <c r="L7613" s="1" t="s">
        <v>1329</v>
      </c>
      <c r="M7613" s="1" t="s">
        <v>8185</v>
      </c>
      <c r="N7613" s="1" t="s">
        <v>2020</v>
      </c>
      <c r="P7613" s="1" t="s">
        <v>13333</v>
      </c>
      <c r="Q7613" s="30" t="s">
        <v>2566</v>
      </c>
      <c r="R7613" s="33" t="s">
        <v>3475</v>
      </c>
      <c r="S7613">
        <v>37</v>
      </c>
      <c r="T7613" s="1" t="s">
        <v>14020</v>
      </c>
      <c r="U7613" s="1" t="str">
        <f>HYPERLINK("http://ictvonline.org/taxonomy/p/taxonomy-history?taxnode_id=202108828","ICTVonline=202108828")</f>
        <v>ICTVonline=202108828</v>
      </c>
    </row>
    <row r="7614" spans="1:21" x14ac:dyDescent="0.2">
      <c r="A7614" s="3">
        <v>7613</v>
      </c>
      <c r="B7614" s="1" t="s">
        <v>4226</v>
      </c>
      <c r="D7614" s="1" t="s">
        <v>5412</v>
      </c>
      <c r="F7614" s="1" t="s">
        <v>3981</v>
      </c>
      <c r="G7614" s="1" t="s">
        <v>3982</v>
      </c>
      <c r="H7614" s="1" t="s">
        <v>3989</v>
      </c>
      <c r="J7614" s="1" t="s">
        <v>921</v>
      </c>
      <c r="L7614" s="1" t="s">
        <v>1329</v>
      </c>
      <c r="M7614" s="1" t="s">
        <v>8185</v>
      </c>
      <c r="N7614" s="1" t="s">
        <v>2020</v>
      </c>
      <c r="P7614" s="1" t="s">
        <v>13334</v>
      </c>
      <c r="Q7614" s="30" t="s">
        <v>2566</v>
      </c>
      <c r="R7614" s="33" t="s">
        <v>3475</v>
      </c>
      <c r="S7614">
        <v>37</v>
      </c>
      <c r="T7614" s="1" t="s">
        <v>14020</v>
      </c>
      <c r="U7614" s="1" t="str">
        <f>HYPERLINK("http://ictvonline.org/taxonomy/p/taxonomy-history?taxnode_id=202101761","ICTVonline=202101761")</f>
        <v>ICTVonline=202101761</v>
      </c>
    </row>
    <row r="7615" spans="1:21" x14ac:dyDescent="0.2">
      <c r="A7615" s="3">
        <v>7614</v>
      </c>
      <c r="B7615" s="1" t="s">
        <v>4226</v>
      </c>
      <c r="D7615" s="1" t="s">
        <v>5412</v>
      </c>
      <c r="F7615" s="1" t="s">
        <v>3981</v>
      </c>
      <c r="G7615" s="1" t="s">
        <v>3982</v>
      </c>
      <c r="H7615" s="1" t="s">
        <v>3989</v>
      </c>
      <c r="J7615" s="1" t="s">
        <v>921</v>
      </c>
      <c r="L7615" s="1" t="s">
        <v>1329</v>
      </c>
      <c r="M7615" s="1" t="s">
        <v>8185</v>
      </c>
      <c r="N7615" s="1" t="s">
        <v>2020</v>
      </c>
      <c r="P7615" s="1" t="s">
        <v>13335</v>
      </c>
      <c r="Q7615" s="30" t="s">
        <v>2566</v>
      </c>
      <c r="R7615" s="33" t="s">
        <v>3475</v>
      </c>
      <c r="S7615">
        <v>37</v>
      </c>
      <c r="T7615" s="1" t="s">
        <v>14020</v>
      </c>
      <c r="U7615" s="1" t="str">
        <f>HYPERLINK("http://ictvonline.org/taxonomy/p/taxonomy-history?taxnode_id=202108831","ICTVonline=202108831")</f>
        <v>ICTVonline=202108831</v>
      </c>
    </row>
    <row r="7616" spans="1:21" x14ac:dyDescent="0.2">
      <c r="A7616" s="3">
        <v>7615</v>
      </c>
      <c r="B7616" s="1" t="s">
        <v>4226</v>
      </c>
      <c r="D7616" s="1" t="s">
        <v>5412</v>
      </c>
      <c r="F7616" s="1" t="s">
        <v>3981</v>
      </c>
      <c r="G7616" s="1" t="s">
        <v>3982</v>
      </c>
      <c r="H7616" s="1" t="s">
        <v>3989</v>
      </c>
      <c r="J7616" s="1" t="s">
        <v>921</v>
      </c>
      <c r="L7616" s="1" t="s">
        <v>1329</v>
      </c>
      <c r="M7616" s="1" t="s">
        <v>8185</v>
      </c>
      <c r="N7616" s="1" t="s">
        <v>2020</v>
      </c>
      <c r="P7616" s="1" t="s">
        <v>13336</v>
      </c>
      <c r="Q7616" s="30" t="s">
        <v>2566</v>
      </c>
      <c r="R7616" s="33" t="s">
        <v>3475</v>
      </c>
      <c r="S7616">
        <v>37</v>
      </c>
      <c r="T7616" s="1" t="s">
        <v>14020</v>
      </c>
      <c r="U7616" s="1" t="str">
        <f>HYPERLINK("http://ictvonline.org/taxonomy/p/taxonomy-history?taxnode_id=202108830","ICTVonline=202108830")</f>
        <v>ICTVonline=202108830</v>
      </c>
    </row>
    <row r="7617" spans="1:21" x14ac:dyDescent="0.2">
      <c r="A7617" s="3">
        <v>7616</v>
      </c>
      <c r="B7617" s="1" t="s">
        <v>4226</v>
      </c>
      <c r="D7617" s="1" t="s">
        <v>5412</v>
      </c>
      <c r="F7617" s="1" t="s">
        <v>3981</v>
      </c>
      <c r="G7617" s="1" t="s">
        <v>3982</v>
      </c>
      <c r="H7617" s="1" t="s">
        <v>3989</v>
      </c>
      <c r="J7617" s="1" t="s">
        <v>921</v>
      </c>
      <c r="L7617" s="1" t="s">
        <v>1329</v>
      </c>
      <c r="M7617" s="1" t="s">
        <v>8185</v>
      </c>
      <c r="N7617" s="1" t="s">
        <v>2020</v>
      </c>
      <c r="P7617" s="1" t="s">
        <v>13337</v>
      </c>
      <c r="Q7617" s="30" t="s">
        <v>2566</v>
      </c>
      <c r="R7617" s="33" t="s">
        <v>3475</v>
      </c>
      <c r="S7617">
        <v>37</v>
      </c>
      <c r="T7617" s="1" t="s">
        <v>14020</v>
      </c>
      <c r="U7617" s="1" t="str">
        <f>HYPERLINK("http://ictvonline.org/taxonomy/p/taxonomy-history?taxnode_id=202101762","ICTVonline=202101762")</f>
        <v>ICTVonline=202101762</v>
      </c>
    </row>
    <row r="7618" spans="1:21" x14ac:dyDescent="0.2">
      <c r="A7618" s="3">
        <v>7617</v>
      </c>
      <c r="B7618" s="1" t="s">
        <v>4226</v>
      </c>
      <c r="D7618" s="1" t="s">
        <v>5412</v>
      </c>
      <c r="F7618" s="1" t="s">
        <v>3981</v>
      </c>
      <c r="G7618" s="1" t="s">
        <v>3982</v>
      </c>
      <c r="H7618" s="1" t="s">
        <v>3989</v>
      </c>
      <c r="J7618" s="1" t="s">
        <v>921</v>
      </c>
      <c r="L7618" s="1" t="s">
        <v>1329</v>
      </c>
      <c r="M7618" s="1" t="s">
        <v>8185</v>
      </c>
      <c r="N7618" s="1" t="s">
        <v>2020</v>
      </c>
      <c r="P7618" s="1" t="s">
        <v>13338</v>
      </c>
      <c r="Q7618" s="30" t="s">
        <v>2566</v>
      </c>
      <c r="R7618" s="33" t="s">
        <v>3475</v>
      </c>
      <c r="S7618">
        <v>37</v>
      </c>
      <c r="T7618" s="1" t="s">
        <v>14020</v>
      </c>
      <c r="U7618" s="1" t="str">
        <f>HYPERLINK("http://ictvonline.org/taxonomy/p/taxonomy-history?taxnode_id=202108832","ICTVonline=202108832")</f>
        <v>ICTVonline=202108832</v>
      </c>
    </row>
    <row r="7619" spans="1:21" x14ac:dyDescent="0.2">
      <c r="A7619" s="3">
        <v>7618</v>
      </c>
      <c r="B7619" s="1" t="s">
        <v>4226</v>
      </c>
      <c r="D7619" s="1" t="s">
        <v>5412</v>
      </c>
      <c r="F7619" s="1" t="s">
        <v>3981</v>
      </c>
      <c r="G7619" s="1" t="s">
        <v>3982</v>
      </c>
      <c r="H7619" s="1" t="s">
        <v>3989</v>
      </c>
      <c r="J7619" s="1" t="s">
        <v>921</v>
      </c>
      <c r="L7619" s="1" t="s">
        <v>1329</v>
      </c>
      <c r="M7619" s="1" t="s">
        <v>8185</v>
      </c>
      <c r="N7619" s="1" t="s">
        <v>2020</v>
      </c>
      <c r="P7619" s="1" t="s">
        <v>13339</v>
      </c>
      <c r="Q7619" s="30" t="s">
        <v>2566</v>
      </c>
      <c r="R7619" s="33" t="s">
        <v>3475</v>
      </c>
      <c r="S7619">
        <v>37</v>
      </c>
      <c r="T7619" s="1" t="s">
        <v>14020</v>
      </c>
      <c r="U7619" s="1" t="str">
        <f>HYPERLINK("http://ictvonline.org/taxonomy/p/taxonomy-history?taxnode_id=202108826","ICTVonline=202108826")</f>
        <v>ICTVonline=202108826</v>
      </c>
    </row>
    <row r="7620" spans="1:21" x14ac:dyDescent="0.2">
      <c r="A7620" s="3">
        <v>7619</v>
      </c>
      <c r="B7620" s="1" t="s">
        <v>4226</v>
      </c>
      <c r="D7620" s="1" t="s">
        <v>5412</v>
      </c>
      <c r="F7620" s="1" t="s">
        <v>3981</v>
      </c>
      <c r="G7620" s="1" t="s">
        <v>3982</v>
      </c>
      <c r="H7620" s="1" t="s">
        <v>3989</v>
      </c>
      <c r="J7620" s="1" t="s">
        <v>921</v>
      </c>
      <c r="L7620" s="1" t="s">
        <v>1329</v>
      </c>
      <c r="M7620" s="1" t="s">
        <v>8185</v>
      </c>
      <c r="N7620" s="1" t="s">
        <v>13340</v>
      </c>
      <c r="P7620" s="1" t="s">
        <v>13341</v>
      </c>
      <c r="Q7620" s="30" t="s">
        <v>2566</v>
      </c>
      <c r="R7620" s="33" t="s">
        <v>3472</v>
      </c>
      <c r="S7620">
        <v>37</v>
      </c>
      <c r="T7620" s="1" t="s">
        <v>14024</v>
      </c>
      <c r="U7620" s="1" t="str">
        <f>HYPERLINK("http://ictvonline.org/taxonomy/p/taxonomy-history?taxnode_id=202113319","ICTVonline=202113319")</f>
        <v>ICTVonline=202113319</v>
      </c>
    </row>
    <row r="7621" spans="1:21" x14ac:dyDescent="0.2">
      <c r="A7621" s="3">
        <v>7620</v>
      </c>
      <c r="B7621" s="1" t="s">
        <v>4226</v>
      </c>
      <c r="D7621" s="1" t="s">
        <v>5412</v>
      </c>
      <c r="F7621" s="1" t="s">
        <v>3981</v>
      </c>
      <c r="G7621" s="1" t="s">
        <v>3982</v>
      </c>
      <c r="H7621" s="1" t="s">
        <v>3989</v>
      </c>
      <c r="J7621" s="1" t="s">
        <v>921</v>
      </c>
      <c r="L7621" s="1" t="s">
        <v>1329</v>
      </c>
      <c r="M7621" s="1" t="s">
        <v>8185</v>
      </c>
      <c r="N7621" s="1" t="s">
        <v>13340</v>
      </c>
      <c r="P7621" s="1" t="s">
        <v>13342</v>
      </c>
      <c r="Q7621" s="30" t="s">
        <v>2566</v>
      </c>
      <c r="R7621" s="33" t="s">
        <v>3472</v>
      </c>
      <c r="S7621">
        <v>37</v>
      </c>
      <c r="T7621" s="1" t="s">
        <v>14024</v>
      </c>
      <c r="U7621" s="1" t="str">
        <f>HYPERLINK("http://ictvonline.org/taxonomy/p/taxonomy-history?taxnode_id=202113318","ICTVonline=202113318")</f>
        <v>ICTVonline=202113318</v>
      </c>
    </row>
    <row r="7622" spans="1:21" x14ac:dyDescent="0.2">
      <c r="A7622" s="3">
        <v>7621</v>
      </c>
      <c r="B7622" s="1" t="s">
        <v>4226</v>
      </c>
      <c r="D7622" s="1" t="s">
        <v>5412</v>
      </c>
      <c r="F7622" s="1" t="s">
        <v>3981</v>
      </c>
      <c r="G7622" s="1" t="s">
        <v>3982</v>
      </c>
      <c r="H7622" s="1" t="s">
        <v>3989</v>
      </c>
      <c r="J7622" s="1" t="s">
        <v>921</v>
      </c>
      <c r="L7622" s="1" t="s">
        <v>1329</v>
      </c>
      <c r="M7622" s="1" t="s">
        <v>8185</v>
      </c>
      <c r="N7622" s="1" t="s">
        <v>2144</v>
      </c>
      <c r="P7622" s="1" t="s">
        <v>14026</v>
      </c>
      <c r="Q7622" s="30" t="s">
        <v>2566</v>
      </c>
      <c r="R7622" s="33" t="s">
        <v>3475</v>
      </c>
      <c r="S7622">
        <v>37</v>
      </c>
      <c r="T7622" s="1" t="s">
        <v>14027</v>
      </c>
      <c r="U7622" s="1" t="str">
        <f>HYPERLINK("http://ictvonline.org/taxonomy/p/taxonomy-history?taxnode_id=202101765","ICTVonline=202101765")</f>
        <v>ICTVonline=202101765</v>
      </c>
    </row>
    <row r="7623" spans="1:21" x14ac:dyDescent="0.2">
      <c r="A7623" s="3">
        <v>7622</v>
      </c>
      <c r="B7623" s="1" t="s">
        <v>4226</v>
      </c>
      <c r="D7623" s="1" t="s">
        <v>5412</v>
      </c>
      <c r="F7623" s="1" t="s">
        <v>3981</v>
      </c>
      <c r="G7623" s="1" t="s">
        <v>3982</v>
      </c>
      <c r="H7623" s="1" t="s">
        <v>3989</v>
      </c>
      <c r="J7623" s="1" t="s">
        <v>921</v>
      </c>
      <c r="L7623" s="1" t="s">
        <v>1329</v>
      </c>
      <c r="M7623" s="1" t="s">
        <v>8185</v>
      </c>
      <c r="N7623" s="1" t="s">
        <v>2144</v>
      </c>
      <c r="P7623" s="1" t="s">
        <v>14028</v>
      </c>
      <c r="Q7623" s="30" t="s">
        <v>2566</v>
      </c>
      <c r="R7623" s="33" t="s">
        <v>3475</v>
      </c>
      <c r="S7623">
        <v>37</v>
      </c>
      <c r="T7623" s="1" t="s">
        <v>14027</v>
      </c>
      <c r="U7623" s="1" t="str">
        <f>HYPERLINK("http://ictvonline.org/taxonomy/p/taxonomy-history?taxnode_id=202101766","ICTVonline=202101766")</f>
        <v>ICTVonline=202101766</v>
      </c>
    </row>
    <row r="7624" spans="1:21" x14ac:dyDescent="0.2">
      <c r="A7624" s="3">
        <v>7623</v>
      </c>
      <c r="B7624" s="1" t="s">
        <v>4226</v>
      </c>
      <c r="D7624" s="1" t="s">
        <v>5412</v>
      </c>
      <c r="F7624" s="1" t="s">
        <v>3981</v>
      </c>
      <c r="G7624" s="1" t="s">
        <v>3982</v>
      </c>
      <c r="H7624" s="1" t="s">
        <v>3989</v>
      </c>
      <c r="J7624" s="1" t="s">
        <v>921</v>
      </c>
      <c r="L7624" s="1" t="s">
        <v>1329</v>
      </c>
      <c r="M7624" s="1" t="s">
        <v>8185</v>
      </c>
      <c r="N7624" s="1" t="s">
        <v>3228</v>
      </c>
      <c r="P7624" s="1" t="s">
        <v>13343</v>
      </c>
      <c r="Q7624" s="30" t="s">
        <v>2566</v>
      </c>
      <c r="R7624" s="33" t="s">
        <v>3475</v>
      </c>
      <c r="S7624">
        <v>37</v>
      </c>
      <c r="T7624" s="1" t="s">
        <v>14020</v>
      </c>
      <c r="U7624" s="1" t="str">
        <f>HYPERLINK("http://ictvonline.org/taxonomy/p/taxonomy-history?taxnode_id=202101768","ICTVonline=202101768")</f>
        <v>ICTVonline=202101768</v>
      </c>
    </row>
    <row r="7625" spans="1:21" x14ac:dyDescent="0.2">
      <c r="A7625" s="3">
        <v>7624</v>
      </c>
      <c r="B7625" s="1" t="s">
        <v>4226</v>
      </c>
      <c r="D7625" s="1" t="s">
        <v>5412</v>
      </c>
      <c r="F7625" s="1" t="s">
        <v>3981</v>
      </c>
      <c r="G7625" s="1" t="s">
        <v>3982</v>
      </c>
      <c r="H7625" s="1" t="s">
        <v>3989</v>
      </c>
      <c r="J7625" s="1" t="s">
        <v>921</v>
      </c>
      <c r="L7625" s="1" t="s">
        <v>1329</v>
      </c>
      <c r="M7625" s="1" t="s">
        <v>8185</v>
      </c>
      <c r="N7625" s="1" t="s">
        <v>3228</v>
      </c>
      <c r="P7625" s="1" t="s">
        <v>13344</v>
      </c>
      <c r="Q7625" s="30" t="s">
        <v>2566</v>
      </c>
      <c r="R7625" s="33" t="s">
        <v>3475</v>
      </c>
      <c r="S7625">
        <v>37</v>
      </c>
      <c r="T7625" s="1" t="s">
        <v>14020</v>
      </c>
      <c r="U7625" s="1" t="str">
        <f>HYPERLINK("http://ictvonline.org/taxonomy/p/taxonomy-history?taxnode_id=202101769","ICTVonline=202101769")</f>
        <v>ICTVonline=202101769</v>
      </c>
    </row>
    <row r="7626" spans="1:21" x14ac:dyDescent="0.2">
      <c r="A7626" s="3">
        <v>7625</v>
      </c>
      <c r="B7626" s="1" t="s">
        <v>4226</v>
      </c>
      <c r="D7626" s="1" t="s">
        <v>5412</v>
      </c>
      <c r="F7626" s="1" t="s">
        <v>3981</v>
      </c>
      <c r="G7626" s="1" t="s">
        <v>3982</v>
      </c>
      <c r="H7626" s="1" t="s">
        <v>3989</v>
      </c>
      <c r="J7626" s="1" t="s">
        <v>921</v>
      </c>
      <c r="L7626" s="1" t="s">
        <v>1329</v>
      </c>
      <c r="M7626" s="1" t="s">
        <v>8185</v>
      </c>
      <c r="N7626" s="1" t="s">
        <v>3228</v>
      </c>
      <c r="P7626" s="1" t="s">
        <v>13345</v>
      </c>
      <c r="Q7626" s="30" t="s">
        <v>2566</v>
      </c>
      <c r="R7626" s="33" t="s">
        <v>3475</v>
      </c>
      <c r="S7626">
        <v>37</v>
      </c>
      <c r="T7626" s="1" t="s">
        <v>14020</v>
      </c>
      <c r="U7626" s="1" t="str">
        <f>HYPERLINK("http://ictvonline.org/taxonomy/p/taxonomy-history?taxnode_id=202107405","ICTVonline=202107405")</f>
        <v>ICTVonline=202107405</v>
      </c>
    </row>
    <row r="7627" spans="1:21" x14ac:dyDescent="0.2">
      <c r="A7627" s="3">
        <v>7626</v>
      </c>
      <c r="B7627" s="1" t="s">
        <v>4226</v>
      </c>
      <c r="D7627" s="1" t="s">
        <v>5412</v>
      </c>
      <c r="F7627" s="1" t="s">
        <v>3981</v>
      </c>
      <c r="G7627" s="1" t="s">
        <v>3982</v>
      </c>
      <c r="H7627" s="1" t="s">
        <v>3989</v>
      </c>
      <c r="J7627" s="1" t="s">
        <v>921</v>
      </c>
      <c r="L7627" s="1" t="s">
        <v>1329</v>
      </c>
      <c r="M7627" s="1" t="s">
        <v>8185</v>
      </c>
      <c r="N7627" s="1" t="s">
        <v>3228</v>
      </c>
      <c r="P7627" s="1" t="s">
        <v>13346</v>
      </c>
      <c r="Q7627" s="30" t="s">
        <v>2566</v>
      </c>
      <c r="R7627" s="33" t="s">
        <v>3475</v>
      </c>
      <c r="S7627">
        <v>37</v>
      </c>
      <c r="T7627" s="1" t="s">
        <v>14020</v>
      </c>
      <c r="U7627" s="1" t="str">
        <f>HYPERLINK("http://ictvonline.org/taxonomy/p/taxonomy-history?taxnode_id=202107406","ICTVonline=202107406")</f>
        <v>ICTVonline=202107406</v>
      </c>
    </row>
    <row r="7628" spans="1:21" x14ac:dyDescent="0.2">
      <c r="A7628" s="3">
        <v>7627</v>
      </c>
      <c r="B7628" s="1" t="s">
        <v>4226</v>
      </c>
      <c r="D7628" s="1" t="s">
        <v>5412</v>
      </c>
      <c r="F7628" s="1" t="s">
        <v>3981</v>
      </c>
      <c r="G7628" s="1" t="s">
        <v>3982</v>
      </c>
      <c r="H7628" s="1" t="s">
        <v>3989</v>
      </c>
      <c r="J7628" s="1" t="s">
        <v>921</v>
      </c>
      <c r="L7628" s="1" t="s">
        <v>1329</v>
      </c>
      <c r="M7628" s="1" t="s">
        <v>8185</v>
      </c>
      <c r="N7628" s="1" t="s">
        <v>3228</v>
      </c>
      <c r="P7628" s="1" t="s">
        <v>13347</v>
      </c>
      <c r="Q7628" s="30" t="s">
        <v>2566</v>
      </c>
      <c r="R7628" s="33" t="s">
        <v>3475</v>
      </c>
      <c r="S7628">
        <v>37</v>
      </c>
      <c r="T7628" s="1" t="s">
        <v>14020</v>
      </c>
      <c r="U7628" s="1" t="str">
        <f>HYPERLINK("http://ictvonline.org/taxonomy/p/taxonomy-history?taxnode_id=202107407","ICTVonline=202107407")</f>
        <v>ICTVonline=202107407</v>
      </c>
    </row>
    <row r="7629" spans="1:21" x14ac:dyDescent="0.2">
      <c r="A7629" s="3">
        <v>7628</v>
      </c>
      <c r="B7629" s="1" t="s">
        <v>4226</v>
      </c>
      <c r="D7629" s="1" t="s">
        <v>5412</v>
      </c>
      <c r="F7629" s="1" t="s">
        <v>3981</v>
      </c>
      <c r="G7629" s="1" t="s">
        <v>3982</v>
      </c>
      <c r="H7629" s="1" t="s">
        <v>3989</v>
      </c>
      <c r="J7629" s="1" t="s">
        <v>921</v>
      </c>
      <c r="L7629" s="1" t="s">
        <v>1329</v>
      </c>
      <c r="M7629" s="1" t="s">
        <v>8185</v>
      </c>
      <c r="N7629" s="1" t="s">
        <v>3228</v>
      </c>
      <c r="P7629" s="1" t="s">
        <v>13348</v>
      </c>
      <c r="Q7629" s="30" t="s">
        <v>2566</v>
      </c>
      <c r="R7629" s="33" t="s">
        <v>3475</v>
      </c>
      <c r="S7629">
        <v>37</v>
      </c>
      <c r="T7629" s="1" t="s">
        <v>14020</v>
      </c>
      <c r="U7629" s="1" t="str">
        <f>HYPERLINK("http://ictvonline.org/taxonomy/p/taxonomy-history?taxnode_id=202101771","ICTVonline=202101771")</f>
        <v>ICTVonline=202101771</v>
      </c>
    </row>
    <row r="7630" spans="1:21" x14ac:dyDescent="0.2">
      <c r="A7630" s="3">
        <v>7629</v>
      </c>
      <c r="B7630" s="1" t="s">
        <v>4226</v>
      </c>
      <c r="D7630" s="1" t="s">
        <v>5412</v>
      </c>
      <c r="F7630" s="1" t="s">
        <v>3981</v>
      </c>
      <c r="G7630" s="1" t="s">
        <v>3982</v>
      </c>
      <c r="H7630" s="1" t="s">
        <v>3989</v>
      </c>
      <c r="J7630" s="1" t="s">
        <v>921</v>
      </c>
      <c r="L7630" s="1" t="s">
        <v>1329</v>
      </c>
      <c r="M7630" s="1" t="s">
        <v>8185</v>
      </c>
      <c r="N7630" s="1" t="s">
        <v>3228</v>
      </c>
      <c r="P7630" s="1" t="s">
        <v>13349</v>
      </c>
      <c r="Q7630" s="30" t="s">
        <v>2566</v>
      </c>
      <c r="R7630" s="33" t="s">
        <v>3475</v>
      </c>
      <c r="S7630">
        <v>37</v>
      </c>
      <c r="T7630" s="1" t="s">
        <v>14020</v>
      </c>
      <c r="U7630" s="1" t="str">
        <f>HYPERLINK("http://ictvonline.org/taxonomy/p/taxonomy-history?taxnode_id=202101770","ICTVonline=202101770")</f>
        <v>ICTVonline=202101770</v>
      </c>
    </row>
    <row r="7631" spans="1:21" x14ac:dyDescent="0.2">
      <c r="A7631" s="3">
        <v>7630</v>
      </c>
      <c r="B7631" s="1" t="s">
        <v>4226</v>
      </c>
      <c r="D7631" s="1" t="s">
        <v>5412</v>
      </c>
      <c r="F7631" s="1" t="s">
        <v>3981</v>
      </c>
      <c r="G7631" s="1" t="s">
        <v>3982</v>
      </c>
      <c r="H7631" s="1" t="s">
        <v>3989</v>
      </c>
      <c r="J7631" s="1" t="s">
        <v>921</v>
      </c>
      <c r="L7631" s="1" t="s">
        <v>1329</v>
      </c>
      <c r="M7631" s="1" t="s">
        <v>8185</v>
      </c>
      <c r="N7631" s="1" t="s">
        <v>3228</v>
      </c>
      <c r="P7631" s="1" t="s">
        <v>13350</v>
      </c>
      <c r="Q7631" s="30" t="s">
        <v>2566</v>
      </c>
      <c r="R7631" s="33" t="s">
        <v>3475</v>
      </c>
      <c r="S7631">
        <v>37</v>
      </c>
      <c r="T7631" s="1" t="s">
        <v>14020</v>
      </c>
      <c r="U7631" s="1" t="str">
        <f>HYPERLINK("http://ictvonline.org/taxonomy/p/taxonomy-history?taxnode_id=202101772","ICTVonline=202101772")</f>
        <v>ICTVonline=202101772</v>
      </c>
    </row>
    <row r="7632" spans="1:21" x14ac:dyDescent="0.2">
      <c r="A7632" s="3">
        <v>7631</v>
      </c>
      <c r="B7632" s="1" t="s">
        <v>4226</v>
      </c>
      <c r="D7632" s="1" t="s">
        <v>5412</v>
      </c>
      <c r="F7632" s="1" t="s">
        <v>3981</v>
      </c>
      <c r="G7632" s="1" t="s">
        <v>3982</v>
      </c>
      <c r="H7632" s="1" t="s">
        <v>3989</v>
      </c>
      <c r="J7632" s="1" t="s">
        <v>921</v>
      </c>
      <c r="L7632" s="1" t="s">
        <v>1329</v>
      </c>
      <c r="M7632" s="1" t="s">
        <v>8185</v>
      </c>
      <c r="N7632" s="1" t="s">
        <v>5503</v>
      </c>
      <c r="P7632" s="1" t="s">
        <v>13351</v>
      </c>
      <c r="Q7632" s="30" t="s">
        <v>2566</v>
      </c>
      <c r="R7632" s="33" t="s">
        <v>3472</v>
      </c>
      <c r="S7632">
        <v>37</v>
      </c>
      <c r="T7632" s="1" t="s">
        <v>14025</v>
      </c>
      <c r="U7632" s="1" t="str">
        <f>HYPERLINK("http://ictvonline.org/taxonomy/p/taxonomy-history?taxnode_id=202113332","ICTVonline=202113332")</f>
        <v>ICTVonline=202113332</v>
      </c>
    </row>
    <row r="7633" spans="1:21" x14ac:dyDescent="0.2">
      <c r="A7633" s="3">
        <v>7632</v>
      </c>
      <c r="B7633" s="1" t="s">
        <v>4226</v>
      </c>
      <c r="D7633" s="1" t="s">
        <v>5412</v>
      </c>
      <c r="F7633" s="1" t="s">
        <v>3981</v>
      </c>
      <c r="G7633" s="1" t="s">
        <v>3982</v>
      </c>
      <c r="H7633" s="1" t="s">
        <v>3989</v>
      </c>
      <c r="J7633" s="1" t="s">
        <v>921</v>
      </c>
      <c r="L7633" s="1" t="s">
        <v>1329</v>
      </c>
      <c r="M7633" s="1" t="s">
        <v>8185</v>
      </c>
      <c r="N7633" s="1" t="s">
        <v>5503</v>
      </c>
      <c r="P7633" s="1" t="s">
        <v>13352</v>
      </c>
      <c r="Q7633" s="30" t="s">
        <v>2566</v>
      </c>
      <c r="R7633" s="33" t="s">
        <v>3472</v>
      </c>
      <c r="S7633">
        <v>37</v>
      </c>
      <c r="T7633" s="1" t="s">
        <v>14025</v>
      </c>
      <c r="U7633" s="1" t="str">
        <f>HYPERLINK("http://ictvonline.org/taxonomy/p/taxonomy-history?taxnode_id=202113329","ICTVonline=202113329")</f>
        <v>ICTVonline=202113329</v>
      </c>
    </row>
    <row r="7634" spans="1:21" x14ac:dyDescent="0.2">
      <c r="A7634" s="3">
        <v>7633</v>
      </c>
      <c r="B7634" s="1" t="s">
        <v>4226</v>
      </c>
      <c r="D7634" s="1" t="s">
        <v>5412</v>
      </c>
      <c r="F7634" s="1" t="s">
        <v>3981</v>
      </c>
      <c r="G7634" s="1" t="s">
        <v>3982</v>
      </c>
      <c r="H7634" s="1" t="s">
        <v>3989</v>
      </c>
      <c r="J7634" s="1" t="s">
        <v>921</v>
      </c>
      <c r="L7634" s="1" t="s">
        <v>1329</v>
      </c>
      <c r="M7634" s="1" t="s">
        <v>8185</v>
      </c>
      <c r="N7634" s="1" t="s">
        <v>5503</v>
      </c>
      <c r="P7634" s="1" t="s">
        <v>13353</v>
      </c>
      <c r="Q7634" s="30" t="s">
        <v>2566</v>
      </c>
      <c r="R7634" s="33" t="s">
        <v>3472</v>
      </c>
      <c r="S7634">
        <v>37</v>
      </c>
      <c r="T7634" s="1" t="s">
        <v>14025</v>
      </c>
      <c r="U7634" s="1" t="str">
        <f>HYPERLINK("http://ictvonline.org/taxonomy/p/taxonomy-history?taxnode_id=202113328","ICTVonline=202113328")</f>
        <v>ICTVonline=202113328</v>
      </c>
    </row>
    <row r="7635" spans="1:21" x14ac:dyDescent="0.2">
      <c r="A7635" s="3">
        <v>7634</v>
      </c>
      <c r="B7635" s="1" t="s">
        <v>4226</v>
      </c>
      <c r="D7635" s="1" t="s">
        <v>5412</v>
      </c>
      <c r="F7635" s="1" t="s">
        <v>3981</v>
      </c>
      <c r="G7635" s="1" t="s">
        <v>3982</v>
      </c>
      <c r="H7635" s="1" t="s">
        <v>3989</v>
      </c>
      <c r="J7635" s="1" t="s">
        <v>921</v>
      </c>
      <c r="L7635" s="1" t="s">
        <v>1329</v>
      </c>
      <c r="M7635" s="1" t="s">
        <v>8185</v>
      </c>
      <c r="N7635" s="1" t="s">
        <v>5503</v>
      </c>
      <c r="P7635" s="1" t="s">
        <v>13354</v>
      </c>
      <c r="Q7635" s="30" t="s">
        <v>2566</v>
      </c>
      <c r="R7635" s="33" t="s">
        <v>3475</v>
      </c>
      <c r="S7635">
        <v>37</v>
      </c>
      <c r="T7635" s="1" t="s">
        <v>14020</v>
      </c>
      <c r="U7635" s="1" t="str">
        <f>HYPERLINK("http://ictvonline.org/taxonomy/p/taxonomy-history?taxnode_id=202109167","ICTVonline=202109167")</f>
        <v>ICTVonline=202109167</v>
      </c>
    </row>
    <row r="7636" spans="1:21" x14ac:dyDescent="0.2">
      <c r="A7636" s="3">
        <v>7635</v>
      </c>
      <c r="B7636" s="1" t="s">
        <v>4226</v>
      </c>
      <c r="D7636" s="1" t="s">
        <v>5412</v>
      </c>
      <c r="F7636" s="1" t="s">
        <v>3981</v>
      </c>
      <c r="G7636" s="1" t="s">
        <v>3982</v>
      </c>
      <c r="H7636" s="1" t="s">
        <v>3989</v>
      </c>
      <c r="J7636" s="1" t="s">
        <v>921</v>
      </c>
      <c r="L7636" s="1" t="s">
        <v>1329</v>
      </c>
      <c r="M7636" s="1" t="s">
        <v>8185</v>
      </c>
      <c r="N7636" s="1" t="s">
        <v>5503</v>
      </c>
      <c r="P7636" s="1" t="s">
        <v>13355</v>
      </c>
      <c r="Q7636" s="30" t="s">
        <v>2566</v>
      </c>
      <c r="R7636" s="33" t="s">
        <v>3475</v>
      </c>
      <c r="S7636">
        <v>37</v>
      </c>
      <c r="T7636" s="1" t="s">
        <v>14020</v>
      </c>
      <c r="U7636" s="1" t="str">
        <f>HYPERLINK("http://ictvonline.org/taxonomy/p/taxonomy-history?taxnode_id=202107125","ICTVonline=202107125")</f>
        <v>ICTVonline=202107125</v>
      </c>
    </row>
    <row r="7637" spans="1:21" x14ac:dyDescent="0.2">
      <c r="A7637" s="3">
        <v>7636</v>
      </c>
      <c r="B7637" s="1" t="s">
        <v>4226</v>
      </c>
      <c r="D7637" s="1" t="s">
        <v>5412</v>
      </c>
      <c r="F7637" s="1" t="s">
        <v>3981</v>
      </c>
      <c r="G7637" s="1" t="s">
        <v>3982</v>
      </c>
      <c r="H7637" s="1" t="s">
        <v>3989</v>
      </c>
      <c r="J7637" s="1" t="s">
        <v>921</v>
      </c>
      <c r="L7637" s="1" t="s">
        <v>1329</v>
      </c>
      <c r="M7637" s="1" t="s">
        <v>8185</v>
      </c>
      <c r="N7637" s="1" t="s">
        <v>5503</v>
      </c>
      <c r="P7637" s="1" t="s">
        <v>13356</v>
      </c>
      <c r="Q7637" s="30" t="s">
        <v>2566</v>
      </c>
      <c r="R7637" s="33" t="s">
        <v>3475</v>
      </c>
      <c r="S7637">
        <v>37</v>
      </c>
      <c r="T7637" s="1" t="s">
        <v>14020</v>
      </c>
      <c r="U7637" s="1" t="str">
        <f>HYPERLINK("http://ictvonline.org/taxonomy/p/taxonomy-history?taxnode_id=202107126","ICTVonline=202107126")</f>
        <v>ICTVonline=202107126</v>
      </c>
    </row>
    <row r="7638" spans="1:21" x14ac:dyDescent="0.2">
      <c r="A7638" s="3">
        <v>7637</v>
      </c>
      <c r="B7638" s="1" t="s">
        <v>4226</v>
      </c>
      <c r="D7638" s="1" t="s">
        <v>5412</v>
      </c>
      <c r="F7638" s="1" t="s">
        <v>3981</v>
      </c>
      <c r="G7638" s="1" t="s">
        <v>3982</v>
      </c>
      <c r="H7638" s="1" t="s">
        <v>3989</v>
      </c>
      <c r="J7638" s="1" t="s">
        <v>921</v>
      </c>
      <c r="L7638" s="1" t="s">
        <v>1329</v>
      </c>
      <c r="M7638" s="1" t="s">
        <v>8185</v>
      </c>
      <c r="N7638" s="1" t="s">
        <v>5503</v>
      </c>
      <c r="P7638" s="1" t="s">
        <v>13357</v>
      </c>
      <c r="Q7638" s="30" t="s">
        <v>2566</v>
      </c>
      <c r="R7638" s="33" t="s">
        <v>3472</v>
      </c>
      <c r="S7638">
        <v>37</v>
      </c>
      <c r="T7638" s="1" t="s">
        <v>14025</v>
      </c>
      <c r="U7638" s="1" t="str">
        <f>HYPERLINK("http://ictvonline.org/taxonomy/p/taxonomy-history?taxnode_id=202113330","ICTVonline=202113330")</f>
        <v>ICTVonline=202113330</v>
      </c>
    </row>
    <row r="7639" spans="1:21" x14ac:dyDescent="0.2">
      <c r="A7639" s="3">
        <v>7638</v>
      </c>
      <c r="B7639" s="1" t="s">
        <v>4226</v>
      </c>
      <c r="D7639" s="1" t="s">
        <v>5412</v>
      </c>
      <c r="F7639" s="1" t="s">
        <v>3981</v>
      </c>
      <c r="G7639" s="1" t="s">
        <v>3982</v>
      </c>
      <c r="H7639" s="1" t="s">
        <v>3989</v>
      </c>
      <c r="J7639" s="1" t="s">
        <v>921</v>
      </c>
      <c r="L7639" s="1" t="s">
        <v>1329</v>
      </c>
      <c r="M7639" s="1" t="s">
        <v>8185</v>
      </c>
      <c r="N7639" s="1" t="s">
        <v>5503</v>
      </c>
      <c r="P7639" s="1" t="s">
        <v>13358</v>
      </c>
      <c r="Q7639" s="30" t="s">
        <v>2566</v>
      </c>
      <c r="R7639" s="33" t="s">
        <v>3475</v>
      </c>
      <c r="S7639">
        <v>37</v>
      </c>
      <c r="T7639" s="1" t="s">
        <v>14020</v>
      </c>
      <c r="U7639" s="1" t="str">
        <f>HYPERLINK("http://ictvonline.org/taxonomy/p/taxonomy-history?taxnode_id=202107128","ICTVonline=202107128")</f>
        <v>ICTVonline=202107128</v>
      </c>
    </row>
    <row r="7640" spans="1:21" x14ac:dyDescent="0.2">
      <c r="A7640" s="3">
        <v>7639</v>
      </c>
      <c r="B7640" s="1" t="s">
        <v>4226</v>
      </c>
      <c r="D7640" s="1" t="s">
        <v>5412</v>
      </c>
      <c r="F7640" s="1" t="s">
        <v>3981</v>
      </c>
      <c r="G7640" s="1" t="s">
        <v>3982</v>
      </c>
      <c r="H7640" s="1" t="s">
        <v>3989</v>
      </c>
      <c r="J7640" s="1" t="s">
        <v>921</v>
      </c>
      <c r="L7640" s="1" t="s">
        <v>1329</v>
      </c>
      <c r="M7640" s="1" t="s">
        <v>8185</v>
      </c>
      <c r="N7640" s="1" t="s">
        <v>5503</v>
      </c>
      <c r="P7640" s="1" t="s">
        <v>13359</v>
      </c>
      <c r="Q7640" s="30" t="s">
        <v>2566</v>
      </c>
      <c r="R7640" s="33" t="s">
        <v>3472</v>
      </c>
      <c r="S7640">
        <v>37</v>
      </c>
      <c r="T7640" s="1" t="s">
        <v>14025</v>
      </c>
      <c r="U7640" s="1" t="str">
        <f>HYPERLINK("http://ictvonline.org/taxonomy/p/taxonomy-history?taxnode_id=202113333","ICTVonline=202113333")</f>
        <v>ICTVonline=202113333</v>
      </c>
    </row>
    <row r="7641" spans="1:21" x14ac:dyDescent="0.2">
      <c r="A7641" s="3">
        <v>7640</v>
      </c>
      <c r="B7641" s="1" t="s">
        <v>4226</v>
      </c>
      <c r="D7641" s="1" t="s">
        <v>5412</v>
      </c>
      <c r="F7641" s="1" t="s">
        <v>3981</v>
      </c>
      <c r="G7641" s="1" t="s">
        <v>3982</v>
      </c>
      <c r="H7641" s="1" t="s">
        <v>3989</v>
      </c>
      <c r="J7641" s="1" t="s">
        <v>921</v>
      </c>
      <c r="L7641" s="1" t="s">
        <v>1329</v>
      </c>
      <c r="M7641" s="1" t="s">
        <v>8185</v>
      </c>
      <c r="N7641" s="1" t="s">
        <v>5503</v>
      </c>
      <c r="P7641" s="1" t="s">
        <v>14029</v>
      </c>
      <c r="Q7641" s="30" t="s">
        <v>2566</v>
      </c>
      <c r="R7641" s="33" t="s">
        <v>3472</v>
      </c>
      <c r="S7641">
        <v>37</v>
      </c>
      <c r="T7641" s="1" t="s">
        <v>14030</v>
      </c>
      <c r="U7641" s="1" t="str">
        <f>HYPERLINK("http://ictvonline.org/taxonomy/p/taxonomy-history?taxnode_id=202113327","ICTVonline=202113327")</f>
        <v>ICTVonline=202113327</v>
      </c>
    </row>
    <row r="7642" spans="1:21" x14ac:dyDescent="0.2">
      <c r="A7642" s="3">
        <v>7641</v>
      </c>
      <c r="B7642" s="1" t="s">
        <v>4226</v>
      </c>
      <c r="D7642" s="1" t="s">
        <v>5412</v>
      </c>
      <c r="F7642" s="1" t="s">
        <v>3981</v>
      </c>
      <c r="G7642" s="1" t="s">
        <v>3982</v>
      </c>
      <c r="H7642" s="1" t="s">
        <v>3989</v>
      </c>
      <c r="J7642" s="1" t="s">
        <v>921</v>
      </c>
      <c r="L7642" s="1" t="s">
        <v>1329</v>
      </c>
      <c r="M7642" s="1" t="s">
        <v>8185</v>
      </c>
      <c r="N7642" s="1" t="s">
        <v>5503</v>
      </c>
      <c r="P7642" s="1" t="s">
        <v>13360</v>
      </c>
      <c r="Q7642" s="30" t="s">
        <v>2566</v>
      </c>
      <c r="R7642" s="33" t="s">
        <v>3475</v>
      </c>
      <c r="S7642">
        <v>37</v>
      </c>
      <c r="T7642" s="1" t="s">
        <v>14020</v>
      </c>
      <c r="U7642" s="1" t="str">
        <f>HYPERLINK("http://ictvonline.org/taxonomy/p/taxonomy-history?taxnode_id=202107129","ICTVonline=202107129")</f>
        <v>ICTVonline=202107129</v>
      </c>
    </row>
    <row r="7643" spans="1:21" x14ac:dyDescent="0.2">
      <c r="A7643" s="3">
        <v>7642</v>
      </c>
      <c r="B7643" s="1" t="s">
        <v>4226</v>
      </c>
      <c r="D7643" s="1" t="s">
        <v>5412</v>
      </c>
      <c r="F7643" s="1" t="s">
        <v>3981</v>
      </c>
      <c r="G7643" s="1" t="s">
        <v>3982</v>
      </c>
      <c r="H7643" s="1" t="s">
        <v>3989</v>
      </c>
      <c r="J7643" s="1" t="s">
        <v>921</v>
      </c>
      <c r="L7643" s="1" t="s">
        <v>1329</v>
      </c>
      <c r="M7643" s="1" t="s">
        <v>8185</v>
      </c>
      <c r="N7643" s="1" t="s">
        <v>5503</v>
      </c>
      <c r="P7643" s="1" t="s">
        <v>13361</v>
      </c>
      <c r="Q7643" s="30" t="s">
        <v>2566</v>
      </c>
      <c r="R7643" s="33" t="s">
        <v>3472</v>
      </c>
      <c r="S7643">
        <v>37</v>
      </c>
      <c r="T7643" s="1" t="s">
        <v>14025</v>
      </c>
      <c r="U7643" s="1" t="str">
        <f>HYPERLINK("http://ictvonline.org/taxonomy/p/taxonomy-history?taxnode_id=202113331","ICTVonline=202113331")</f>
        <v>ICTVonline=202113331</v>
      </c>
    </row>
    <row r="7644" spans="1:21" x14ac:dyDescent="0.2">
      <c r="A7644" s="3">
        <v>7643</v>
      </c>
      <c r="B7644" s="1" t="s">
        <v>4226</v>
      </c>
      <c r="D7644" s="1" t="s">
        <v>5412</v>
      </c>
      <c r="F7644" s="1" t="s">
        <v>3981</v>
      </c>
      <c r="G7644" s="1" t="s">
        <v>3982</v>
      </c>
      <c r="H7644" s="1" t="s">
        <v>3989</v>
      </c>
      <c r="J7644" s="1" t="s">
        <v>921</v>
      </c>
      <c r="L7644" s="1" t="s">
        <v>1329</v>
      </c>
      <c r="M7644" s="1" t="s">
        <v>8185</v>
      </c>
      <c r="N7644" s="1" t="s">
        <v>5503</v>
      </c>
      <c r="P7644" s="1" t="s">
        <v>13362</v>
      </c>
      <c r="Q7644" s="30" t="s">
        <v>2566</v>
      </c>
      <c r="R7644" s="33" t="s">
        <v>3472</v>
      </c>
      <c r="S7644">
        <v>37</v>
      </c>
      <c r="T7644" s="1" t="s">
        <v>14025</v>
      </c>
      <c r="U7644" s="1" t="str">
        <f>HYPERLINK("http://ictvonline.org/taxonomy/p/taxonomy-history?taxnode_id=202113326","ICTVonline=202113326")</f>
        <v>ICTVonline=202113326</v>
      </c>
    </row>
    <row r="7645" spans="1:21" x14ac:dyDescent="0.2">
      <c r="A7645" s="3">
        <v>7644</v>
      </c>
      <c r="B7645" s="1" t="s">
        <v>4226</v>
      </c>
      <c r="D7645" s="1" t="s">
        <v>5412</v>
      </c>
      <c r="F7645" s="1" t="s">
        <v>3981</v>
      </c>
      <c r="G7645" s="1" t="s">
        <v>3982</v>
      </c>
      <c r="H7645" s="1" t="s">
        <v>3989</v>
      </c>
      <c r="J7645" s="1" t="s">
        <v>921</v>
      </c>
      <c r="L7645" s="1" t="s">
        <v>1329</v>
      </c>
      <c r="M7645" s="1" t="s">
        <v>8185</v>
      </c>
      <c r="N7645" s="1" t="s">
        <v>5503</v>
      </c>
      <c r="P7645" s="1" t="s">
        <v>13363</v>
      </c>
      <c r="Q7645" s="30" t="s">
        <v>2566</v>
      </c>
      <c r="R7645" s="33" t="s">
        <v>3475</v>
      </c>
      <c r="S7645">
        <v>37</v>
      </c>
      <c r="T7645" s="1" t="s">
        <v>14020</v>
      </c>
      <c r="U7645" s="1" t="str">
        <f>HYPERLINK("http://ictvonline.org/taxonomy/p/taxonomy-history?taxnode_id=202107124","ICTVonline=202107124")</f>
        <v>ICTVonline=202107124</v>
      </c>
    </row>
    <row r="7646" spans="1:21" x14ac:dyDescent="0.2">
      <c r="A7646" s="3">
        <v>7645</v>
      </c>
      <c r="B7646" s="1" t="s">
        <v>4226</v>
      </c>
      <c r="D7646" s="1" t="s">
        <v>5412</v>
      </c>
      <c r="F7646" s="1" t="s">
        <v>3981</v>
      </c>
      <c r="G7646" s="1" t="s">
        <v>3982</v>
      </c>
      <c r="H7646" s="1" t="s">
        <v>3989</v>
      </c>
      <c r="J7646" s="1" t="s">
        <v>921</v>
      </c>
      <c r="L7646" s="1" t="s">
        <v>1329</v>
      </c>
      <c r="M7646" s="1" t="s">
        <v>8185</v>
      </c>
      <c r="N7646" s="1" t="s">
        <v>5503</v>
      </c>
      <c r="P7646" s="1" t="s">
        <v>13364</v>
      </c>
      <c r="Q7646" s="30" t="s">
        <v>2566</v>
      </c>
      <c r="R7646" s="33" t="s">
        <v>3475</v>
      </c>
      <c r="S7646">
        <v>37</v>
      </c>
      <c r="T7646" s="1" t="s">
        <v>14020</v>
      </c>
      <c r="U7646" s="1" t="str">
        <f>HYPERLINK("http://ictvonline.org/taxonomy/p/taxonomy-history?taxnode_id=202107127","ICTVonline=202107127")</f>
        <v>ICTVonline=202107127</v>
      </c>
    </row>
    <row r="7647" spans="1:21" x14ac:dyDescent="0.2">
      <c r="A7647" s="3">
        <v>7646</v>
      </c>
      <c r="B7647" s="1" t="s">
        <v>4226</v>
      </c>
      <c r="D7647" s="1" t="s">
        <v>5412</v>
      </c>
      <c r="F7647" s="1" t="s">
        <v>3981</v>
      </c>
      <c r="G7647" s="1" t="s">
        <v>3982</v>
      </c>
      <c r="H7647" s="1" t="s">
        <v>3989</v>
      </c>
      <c r="J7647" s="1" t="s">
        <v>921</v>
      </c>
      <c r="L7647" s="1" t="s">
        <v>1329</v>
      </c>
      <c r="M7647" s="1" t="s">
        <v>8185</v>
      </c>
      <c r="N7647" s="1" t="s">
        <v>2021</v>
      </c>
      <c r="P7647" s="1" t="s">
        <v>13365</v>
      </c>
      <c r="Q7647" s="30" t="s">
        <v>2566</v>
      </c>
      <c r="R7647" s="33" t="s">
        <v>3475</v>
      </c>
      <c r="S7647">
        <v>37</v>
      </c>
      <c r="T7647" s="1" t="s">
        <v>14020</v>
      </c>
      <c r="U7647" s="1" t="str">
        <f>HYPERLINK("http://ictvonline.org/taxonomy/p/taxonomy-history?taxnode_id=202101776","ICTVonline=202101776")</f>
        <v>ICTVonline=202101776</v>
      </c>
    </row>
    <row r="7648" spans="1:21" x14ac:dyDescent="0.2">
      <c r="A7648" s="3">
        <v>7647</v>
      </c>
      <c r="B7648" s="1" t="s">
        <v>4226</v>
      </c>
      <c r="D7648" s="1" t="s">
        <v>5412</v>
      </c>
      <c r="F7648" s="1" t="s">
        <v>3981</v>
      </c>
      <c r="G7648" s="1" t="s">
        <v>3982</v>
      </c>
      <c r="H7648" s="1" t="s">
        <v>3989</v>
      </c>
      <c r="J7648" s="1" t="s">
        <v>921</v>
      </c>
      <c r="L7648" s="1" t="s">
        <v>1329</v>
      </c>
      <c r="M7648" s="1" t="s">
        <v>8185</v>
      </c>
      <c r="N7648" s="1" t="s">
        <v>2021</v>
      </c>
      <c r="P7648" s="1" t="s">
        <v>13366</v>
      </c>
      <c r="Q7648" s="30" t="s">
        <v>2566</v>
      </c>
      <c r="R7648" s="33" t="s">
        <v>3475</v>
      </c>
      <c r="S7648">
        <v>37</v>
      </c>
      <c r="T7648" s="1" t="s">
        <v>14020</v>
      </c>
      <c r="U7648" s="1" t="str">
        <f>HYPERLINK("http://ictvonline.org/taxonomy/p/taxonomy-history?taxnode_id=202105583","ICTVonline=202105583")</f>
        <v>ICTVonline=202105583</v>
      </c>
    </row>
    <row r="7649" spans="1:21" x14ac:dyDescent="0.2">
      <c r="A7649" s="3">
        <v>7648</v>
      </c>
      <c r="B7649" s="1" t="s">
        <v>4226</v>
      </c>
      <c r="D7649" s="1" t="s">
        <v>5412</v>
      </c>
      <c r="F7649" s="1" t="s">
        <v>3981</v>
      </c>
      <c r="G7649" s="1" t="s">
        <v>3982</v>
      </c>
      <c r="H7649" s="1" t="s">
        <v>3989</v>
      </c>
      <c r="J7649" s="1" t="s">
        <v>921</v>
      </c>
      <c r="L7649" s="1" t="s">
        <v>1329</v>
      </c>
      <c r="M7649" s="1" t="s">
        <v>8185</v>
      </c>
      <c r="N7649" s="1" t="s">
        <v>2021</v>
      </c>
      <c r="P7649" s="1" t="s">
        <v>13367</v>
      </c>
      <c r="Q7649" s="30" t="s">
        <v>2566</v>
      </c>
      <c r="R7649" s="33" t="s">
        <v>3475</v>
      </c>
      <c r="S7649">
        <v>37</v>
      </c>
      <c r="T7649" s="1" t="s">
        <v>14020</v>
      </c>
      <c r="U7649" s="1" t="str">
        <f>HYPERLINK("http://ictvonline.org/taxonomy/p/taxonomy-history?taxnode_id=202101777","ICTVonline=202101777")</f>
        <v>ICTVonline=202101777</v>
      </c>
    </row>
    <row r="7650" spans="1:21" x14ac:dyDescent="0.2">
      <c r="A7650" s="3">
        <v>7649</v>
      </c>
      <c r="B7650" s="1" t="s">
        <v>4226</v>
      </c>
      <c r="D7650" s="1" t="s">
        <v>5412</v>
      </c>
      <c r="F7650" s="1" t="s">
        <v>3981</v>
      </c>
      <c r="G7650" s="1" t="s">
        <v>3982</v>
      </c>
      <c r="H7650" s="1" t="s">
        <v>3989</v>
      </c>
      <c r="J7650" s="1" t="s">
        <v>921</v>
      </c>
      <c r="L7650" s="1" t="s">
        <v>1329</v>
      </c>
      <c r="M7650" s="1" t="s">
        <v>8185</v>
      </c>
      <c r="N7650" s="1" t="s">
        <v>2021</v>
      </c>
      <c r="P7650" s="1" t="s">
        <v>13368</v>
      </c>
      <c r="Q7650" s="30" t="s">
        <v>2566</v>
      </c>
      <c r="R7650" s="33" t="s">
        <v>3475</v>
      </c>
      <c r="S7650">
        <v>37</v>
      </c>
      <c r="T7650" s="1" t="s">
        <v>14020</v>
      </c>
      <c r="U7650" s="1" t="str">
        <f>HYPERLINK("http://ictvonline.org/taxonomy/p/taxonomy-history?taxnode_id=202101775","ICTVonline=202101775")</f>
        <v>ICTVonline=202101775</v>
      </c>
    </row>
    <row r="7651" spans="1:21" x14ac:dyDescent="0.2">
      <c r="A7651" s="3">
        <v>7650</v>
      </c>
      <c r="B7651" s="1" t="s">
        <v>4226</v>
      </c>
      <c r="D7651" s="1" t="s">
        <v>5412</v>
      </c>
      <c r="F7651" s="1" t="s">
        <v>3981</v>
      </c>
      <c r="G7651" s="1" t="s">
        <v>3982</v>
      </c>
      <c r="H7651" s="1" t="s">
        <v>3989</v>
      </c>
      <c r="J7651" s="1" t="s">
        <v>921</v>
      </c>
      <c r="L7651" s="1" t="s">
        <v>1329</v>
      </c>
      <c r="M7651" s="1" t="s">
        <v>8185</v>
      </c>
      <c r="N7651" s="1" t="s">
        <v>2021</v>
      </c>
      <c r="P7651" s="1" t="s">
        <v>13369</v>
      </c>
      <c r="Q7651" s="30" t="s">
        <v>2566</v>
      </c>
      <c r="R7651" s="33" t="s">
        <v>3475</v>
      </c>
      <c r="S7651">
        <v>37</v>
      </c>
      <c r="T7651" s="1" t="s">
        <v>14020</v>
      </c>
      <c r="U7651" s="1" t="str">
        <f>HYPERLINK("http://ictvonline.org/taxonomy/p/taxonomy-history?taxnode_id=202101774","ICTVonline=202101774")</f>
        <v>ICTVonline=202101774</v>
      </c>
    </row>
    <row r="7652" spans="1:21" x14ac:dyDescent="0.2">
      <c r="A7652" s="3">
        <v>7651</v>
      </c>
      <c r="B7652" s="1" t="s">
        <v>4226</v>
      </c>
      <c r="D7652" s="1" t="s">
        <v>5412</v>
      </c>
      <c r="F7652" s="1" t="s">
        <v>3981</v>
      </c>
      <c r="G7652" s="1" t="s">
        <v>3982</v>
      </c>
      <c r="H7652" s="1" t="s">
        <v>3989</v>
      </c>
      <c r="J7652" s="1" t="s">
        <v>921</v>
      </c>
      <c r="L7652" s="1" t="s">
        <v>1329</v>
      </c>
      <c r="M7652" s="1" t="s">
        <v>8185</v>
      </c>
      <c r="N7652" s="1" t="s">
        <v>2021</v>
      </c>
      <c r="P7652" s="1" t="s">
        <v>13370</v>
      </c>
      <c r="Q7652" s="30" t="s">
        <v>2566</v>
      </c>
      <c r="R7652" s="33" t="s">
        <v>3475</v>
      </c>
      <c r="S7652">
        <v>37</v>
      </c>
      <c r="T7652" s="1" t="s">
        <v>14020</v>
      </c>
      <c r="U7652" s="1" t="str">
        <f>HYPERLINK("http://ictvonline.org/taxonomy/p/taxonomy-history?taxnode_id=202101778","ICTVonline=202101778")</f>
        <v>ICTVonline=202101778</v>
      </c>
    </row>
    <row r="7653" spans="1:21" x14ac:dyDescent="0.2">
      <c r="A7653" s="3">
        <v>7652</v>
      </c>
      <c r="B7653" s="1" t="s">
        <v>4226</v>
      </c>
      <c r="D7653" s="1" t="s">
        <v>5412</v>
      </c>
      <c r="F7653" s="1" t="s">
        <v>3981</v>
      </c>
      <c r="G7653" s="1" t="s">
        <v>3982</v>
      </c>
      <c r="H7653" s="1" t="s">
        <v>3989</v>
      </c>
      <c r="J7653" s="1" t="s">
        <v>921</v>
      </c>
      <c r="L7653" s="1" t="s">
        <v>1329</v>
      </c>
      <c r="M7653" s="1" t="s">
        <v>8185</v>
      </c>
      <c r="N7653" s="1" t="s">
        <v>2021</v>
      </c>
      <c r="P7653" s="1" t="s">
        <v>13371</v>
      </c>
      <c r="Q7653" s="30" t="s">
        <v>2566</v>
      </c>
      <c r="R7653" s="33" t="s">
        <v>3475</v>
      </c>
      <c r="S7653">
        <v>37</v>
      </c>
      <c r="T7653" s="1" t="s">
        <v>14020</v>
      </c>
      <c r="U7653" s="1" t="str">
        <f>HYPERLINK("http://ictvonline.org/taxonomy/p/taxonomy-history?taxnode_id=202101779","ICTVonline=202101779")</f>
        <v>ICTVonline=202101779</v>
      </c>
    </row>
    <row r="7654" spans="1:21" x14ac:dyDescent="0.2">
      <c r="A7654" s="3">
        <v>7653</v>
      </c>
      <c r="B7654" s="1" t="s">
        <v>4226</v>
      </c>
      <c r="D7654" s="1" t="s">
        <v>5412</v>
      </c>
      <c r="F7654" s="1" t="s">
        <v>3981</v>
      </c>
      <c r="G7654" s="1" t="s">
        <v>3982</v>
      </c>
      <c r="H7654" s="1" t="s">
        <v>3989</v>
      </c>
      <c r="J7654" s="1" t="s">
        <v>921</v>
      </c>
      <c r="L7654" s="1" t="s">
        <v>1329</v>
      </c>
      <c r="M7654" s="1" t="s">
        <v>8185</v>
      </c>
      <c r="N7654" s="1" t="s">
        <v>2145</v>
      </c>
      <c r="P7654" s="1" t="s">
        <v>13372</v>
      </c>
      <c r="Q7654" s="30" t="s">
        <v>2566</v>
      </c>
      <c r="R7654" s="33" t="s">
        <v>3475</v>
      </c>
      <c r="S7654">
        <v>37</v>
      </c>
      <c r="T7654" s="1" t="s">
        <v>14020</v>
      </c>
      <c r="U7654" s="1" t="str">
        <f>HYPERLINK("http://ictvonline.org/taxonomy/p/taxonomy-history?taxnode_id=202101781","ICTVonline=202101781")</f>
        <v>ICTVonline=202101781</v>
      </c>
    </row>
    <row r="7655" spans="1:21" x14ac:dyDescent="0.2">
      <c r="A7655" s="3">
        <v>7654</v>
      </c>
      <c r="B7655" s="1" t="s">
        <v>4226</v>
      </c>
      <c r="D7655" s="1" t="s">
        <v>5412</v>
      </c>
      <c r="F7655" s="1" t="s">
        <v>3981</v>
      </c>
      <c r="G7655" s="1" t="s">
        <v>3982</v>
      </c>
      <c r="H7655" s="1" t="s">
        <v>3989</v>
      </c>
      <c r="J7655" s="1" t="s">
        <v>921</v>
      </c>
      <c r="L7655" s="1" t="s">
        <v>1329</v>
      </c>
      <c r="M7655" s="1" t="s">
        <v>8185</v>
      </c>
      <c r="N7655" s="1" t="s">
        <v>2145</v>
      </c>
      <c r="P7655" s="1" t="s">
        <v>13373</v>
      </c>
      <c r="Q7655" s="30" t="s">
        <v>2566</v>
      </c>
      <c r="R7655" s="33" t="s">
        <v>3475</v>
      </c>
      <c r="S7655">
        <v>37</v>
      </c>
      <c r="T7655" s="1" t="s">
        <v>14020</v>
      </c>
      <c r="U7655" s="1" t="str">
        <f>HYPERLINK("http://ictvonline.org/taxonomy/p/taxonomy-history?taxnode_id=202101782","ICTVonline=202101782")</f>
        <v>ICTVonline=202101782</v>
      </c>
    </row>
    <row r="7656" spans="1:21" x14ac:dyDescent="0.2">
      <c r="A7656" s="3">
        <v>7655</v>
      </c>
      <c r="B7656" s="1" t="s">
        <v>4226</v>
      </c>
      <c r="D7656" s="1" t="s">
        <v>5412</v>
      </c>
      <c r="F7656" s="1" t="s">
        <v>3981</v>
      </c>
      <c r="G7656" s="1" t="s">
        <v>3982</v>
      </c>
      <c r="H7656" s="1" t="s">
        <v>3989</v>
      </c>
      <c r="J7656" s="1" t="s">
        <v>921</v>
      </c>
      <c r="L7656" s="1" t="s">
        <v>1329</v>
      </c>
      <c r="M7656" s="1" t="s">
        <v>8185</v>
      </c>
      <c r="N7656" s="1" t="s">
        <v>2145</v>
      </c>
      <c r="P7656" s="1" t="s">
        <v>13374</v>
      </c>
      <c r="Q7656" s="30" t="s">
        <v>2566</v>
      </c>
      <c r="R7656" s="33" t="s">
        <v>3475</v>
      </c>
      <c r="S7656">
        <v>37</v>
      </c>
      <c r="T7656" s="1" t="s">
        <v>14020</v>
      </c>
      <c r="U7656" s="1" t="str">
        <f>HYPERLINK("http://ictvonline.org/taxonomy/p/taxonomy-history?taxnode_id=202101783","ICTVonline=202101783")</f>
        <v>ICTVonline=202101783</v>
      </c>
    </row>
    <row r="7657" spans="1:21" x14ac:dyDescent="0.2">
      <c r="A7657" s="3">
        <v>7656</v>
      </c>
      <c r="B7657" s="1" t="s">
        <v>4226</v>
      </c>
      <c r="D7657" s="1" t="s">
        <v>5412</v>
      </c>
      <c r="F7657" s="1" t="s">
        <v>3981</v>
      </c>
      <c r="G7657" s="1" t="s">
        <v>3982</v>
      </c>
      <c r="H7657" s="1" t="s">
        <v>3989</v>
      </c>
      <c r="J7657" s="1" t="s">
        <v>921</v>
      </c>
      <c r="L7657" s="1" t="s">
        <v>1329</v>
      </c>
      <c r="M7657" s="1" t="s">
        <v>8185</v>
      </c>
      <c r="N7657" s="1" t="s">
        <v>1331</v>
      </c>
      <c r="P7657" s="1" t="s">
        <v>13375</v>
      </c>
      <c r="Q7657" s="30" t="s">
        <v>2566</v>
      </c>
      <c r="R7657" s="33" t="s">
        <v>3475</v>
      </c>
      <c r="S7657">
        <v>37</v>
      </c>
      <c r="T7657" s="1" t="s">
        <v>14020</v>
      </c>
      <c r="U7657" s="1" t="str">
        <f>HYPERLINK("http://ictvonline.org/taxonomy/p/taxonomy-history?taxnode_id=202101789","ICTVonline=202101789")</f>
        <v>ICTVonline=202101789</v>
      </c>
    </row>
    <row r="7658" spans="1:21" x14ac:dyDescent="0.2">
      <c r="A7658" s="3">
        <v>7657</v>
      </c>
      <c r="B7658" s="1" t="s">
        <v>4226</v>
      </c>
      <c r="D7658" s="1" t="s">
        <v>5412</v>
      </c>
      <c r="F7658" s="1" t="s">
        <v>3981</v>
      </c>
      <c r="G7658" s="1" t="s">
        <v>3982</v>
      </c>
      <c r="H7658" s="1" t="s">
        <v>3989</v>
      </c>
      <c r="J7658" s="1" t="s">
        <v>921</v>
      </c>
      <c r="L7658" s="1" t="s">
        <v>1329</v>
      </c>
      <c r="M7658" s="1" t="s">
        <v>8185</v>
      </c>
      <c r="N7658" s="1" t="s">
        <v>1331</v>
      </c>
      <c r="P7658" s="1" t="s">
        <v>13376</v>
      </c>
      <c r="Q7658" s="30" t="s">
        <v>2566</v>
      </c>
      <c r="R7658" s="33" t="s">
        <v>3475</v>
      </c>
      <c r="S7658">
        <v>37</v>
      </c>
      <c r="T7658" s="1" t="s">
        <v>14020</v>
      </c>
      <c r="U7658" s="1" t="str">
        <f>HYPERLINK("http://ictvonline.org/taxonomy/p/taxonomy-history?taxnode_id=202101804","ICTVonline=202101804")</f>
        <v>ICTVonline=202101804</v>
      </c>
    </row>
    <row r="7659" spans="1:21" x14ac:dyDescent="0.2">
      <c r="A7659" s="3">
        <v>7658</v>
      </c>
      <c r="B7659" s="1" t="s">
        <v>4226</v>
      </c>
      <c r="D7659" s="1" t="s">
        <v>5412</v>
      </c>
      <c r="F7659" s="1" t="s">
        <v>3981</v>
      </c>
      <c r="G7659" s="1" t="s">
        <v>3982</v>
      </c>
      <c r="H7659" s="1" t="s">
        <v>3989</v>
      </c>
      <c r="J7659" s="1" t="s">
        <v>921</v>
      </c>
      <c r="L7659" s="1" t="s">
        <v>1329</v>
      </c>
      <c r="M7659" s="1" t="s">
        <v>8185</v>
      </c>
      <c r="N7659" s="1" t="s">
        <v>1331</v>
      </c>
      <c r="P7659" s="1" t="s">
        <v>13377</v>
      </c>
      <c r="Q7659" s="30" t="s">
        <v>2566</v>
      </c>
      <c r="R7659" s="33" t="s">
        <v>3475</v>
      </c>
      <c r="S7659">
        <v>37</v>
      </c>
      <c r="T7659" s="1" t="s">
        <v>14020</v>
      </c>
      <c r="U7659" s="1" t="str">
        <f>HYPERLINK("http://ictvonline.org/taxonomy/p/taxonomy-history?taxnode_id=202101791","ICTVonline=202101791")</f>
        <v>ICTVonline=202101791</v>
      </c>
    </row>
    <row r="7660" spans="1:21" x14ac:dyDescent="0.2">
      <c r="A7660" s="3">
        <v>7659</v>
      </c>
      <c r="B7660" s="1" t="s">
        <v>4226</v>
      </c>
      <c r="D7660" s="1" t="s">
        <v>5412</v>
      </c>
      <c r="F7660" s="1" t="s">
        <v>3981</v>
      </c>
      <c r="G7660" s="1" t="s">
        <v>3982</v>
      </c>
      <c r="H7660" s="1" t="s">
        <v>3989</v>
      </c>
      <c r="J7660" s="1" t="s">
        <v>921</v>
      </c>
      <c r="L7660" s="1" t="s">
        <v>1329</v>
      </c>
      <c r="M7660" s="1" t="s">
        <v>8185</v>
      </c>
      <c r="N7660" s="1" t="s">
        <v>1331</v>
      </c>
      <c r="P7660" s="1" t="s">
        <v>13378</v>
      </c>
      <c r="Q7660" s="30" t="s">
        <v>2566</v>
      </c>
      <c r="R7660" s="33" t="s">
        <v>3475</v>
      </c>
      <c r="S7660">
        <v>37</v>
      </c>
      <c r="T7660" s="1" t="s">
        <v>14020</v>
      </c>
      <c r="U7660" s="1" t="str">
        <f>HYPERLINK("http://ictvonline.org/taxonomy/p/taxonomy-history?taxnode_id=202101792","ICTVonline=202101792")</f>
        <v>ICTVonline=202101792</v>
      </c>
    </row>
    <row r="7661" spans="1:21" x14ac:dyDescent="0.2">
      <c r="A7661" s="3">
        <v>7660</v>
      </c>
      <c r="B7661" s="1" t="s">
        <v>4226</v>
      </c>
      <c r="D7661" s="1" t="s">
        <v>5412</v>
      </c>
      <c r="F7661" s="1" t="s">
        <v>3981</v>
      </c>
      <c r="G7661" s="1" t="s">
        <v>3982</v>
      </c>
      <c r="H7661" s="1" t="s">
        <v>3989</v>
      </c>
      <c r="J7661" s="1" t="s">
        <v>921</v>
      </c>
      <c r="L7661" s="1" t="s">
        <v>1329</v>
      </c>
      <c r="M7661" s="1" t="s">
        <v>8185</v>
      </c>
      <c r="N7661" s="1" t="s">
        <v>1331</v>
      </c>
      <c r="P7661" s="1" t="s">
        <v>13379</v>
      </c>
      <c r="Q7661" s="30" t="s">
        <v>2566</v>
      </c>
      <c r="R7661" s="33" t="s">
        <v>3475</v>
      </c>
      <c r="S7661">
        <v>37</v>
      </c>
      <c r="T7661" s="1" t="s">
        <v>14020</v>
      </c>
      <c r="U7661" s="1" t="str">
        <f>HYPERLINK("http://ictvonline.org/taxonomy/p/taxonomy-history?taxnode_id=202101793","ICTVonline=202101793")</f>
        <v>ICTVonline=202101793</v>
      </c>
    </row>
    <row r="7662" spans="1:21" x14ac:dyDescent="0.2">
      <c r="A7662" s="3">
        <v>7661</v>
      </c>
      <c r="B7662" s="1" t="s">
        <v>4226</v>
      </c>
      <c r="D7662" s="1" t="s">
        <v>5412</v>
      </c>
      <c r="F7662" s="1" t="s">
        <v>3981</v>
      </c>
      <c r="G7662" s="1" t="s">
        <v>3982</v>
      </c>
      <c r="H7662" s="1" t="s">
        <v>3989</v>
      </c>
      <c r="J7662" s="1" t="s">
        <v>921</v>
      </c>
      <c r="L7662" s="1" t="s">
        <v>1329</v>
      </c>
      <c r="M7662" s="1" t="s">
        <v>8185</v>
      </c>
      <c r="N7662" s="1" t="s">
        <v>1331</v>
      </c>
      <c r="P7662" s="1" t="s">
        <v>13380</v>
      </c>
      <c r="Q7662" s="30" t="s">
        <v>2566</v>
      </c>
      <c r="R7662" s="33" t="s">
        <v>3475</v>
      </c>
      <c r="S7662">
        <v>37</v>
      </c>
      <c r="T7662" s="1" t="s">
        <v>14020</v>
      </c>
      <c r="U7662" s="1" t="str">
        <f>HYPERLINK("http://ictvonline.org/taxonomy/p/taxonomy-history?taxnode_id=202101790","ICTVonline=202101790")</f>
        <v>ICTVonline=202101790</v>
      </c>
    </row>
    <row r="7663" spans="1:21" x14ac:dyDescent="0.2">
      <c r="A7663" s="3">
        <v>7662</v>
      </c>
      <c r="B7663" s="1" t="s">
        <v>4226</v>
      </c>
      <c r="D7663" s="1" t="s">
        <v>5412</v>
      </c>
      <c r="F7663" s="1" t="s">
        <v>3981</v>
      </c>
      <c r="G7663" s="1" t="s">
        <v>3982</v>
      </c>
      <c r="H7663" s="1" t="s">
        <v>3989</v>
      </c>
      <c r="J7663" s="1" t="s">
        <v>921</v>
      </c>
      <c r="L7663" s="1" t="s">
        <v>1329</v>
      </c>
      <c r="M7663" s="1" t="s">
        <v>8185</v>
      </c>
      <c r="N7663" s="1" t="s">
        <v>1331</v>
      </c>
      <c r="P7663" s="1" t="s">
        <v>13381</v>
      </c>
      <c r="Q7663" s="30" t="s">
        <v>2566</v>
      </c>
      <c r="R7663" s="33" t="s">
        <v>3475</v>
      </c>
      <c r="S7663">
        <v>37</v>
      </c>
      <c r="T7663" s="1" t="s">
        <v>14020</v>
      </c>
      <c r="U7663" s="1" t="str">
        <f>HYPERLINK("http://ictvonline.org/taxonomy/p/taxonomy-history?taxnode_id=202101794","ICTVonline=202101794")</f>
        <v>ICTVonline=202101794</v>
      </c>
    </row>
    <row r="7664" spans="1:21" x14ac:dyDescent="0.2">
      <c r="A7664" s="3">
        <v>7663</v>
      </c>
      <c r="B7664" s="1" t="s">
        <v>4226</v>
      </c>
      <c r="D7664" s="1" t="s">
        <v>5412</v>
      </c>
      <c r="F7664" s="1" t="s">
        <v>3981</v>
      </c>
      <c r="G7664" s="1" t="s">
        <v>3982</v>
      </c>
      <c r="H7664" s="1" t="s">
        <v>3989</v>
      </c>
      <c r="J7664" s="1" t="s">
        <v>921</v>
      </c>
      <c r="L7664" s="1" t="s">
        <v>1329</v>
      </c>
      <c r="M7664" s="1" t="s">
        <v>8185</v>
      </c>
      <c r="N7664" s="1" t="s">
        <v>1331</v>
      </c>
      <c r="P7664" s="1" t="s">
        <v>13382</v>
      </c>
      <c r="Q7664" s="30" t="s">
        <v>2566</v>
      </c>
      <c r="R7664" s="33" t="s">
        <v>3475</v>
      </c>
      <c r="S7664">
        <v>37</v>
      </c>
      <c r="T7664" s="1" t="s">
        <v>14020</v>
      </c>
      <c r="U7664" s="1" t="str">
        <f>HYPERLINK("http://ictvonline.org/taxonomy/p/taxonomy-history?taxnode_id=202101795","ICTVonline=202101795")</f>
        <v>ICTVonline=202101795</v>
      </c>
    </row>
    <row r="7665" spans="1:21" x14ac:dyDescent="0.2">
      <c r="A7665" s="3">
        <v>7664</v>
      </c>
      <c r="B7665" s="1" t="s">
        <v>4226</v>
      </c>
      <c r="D7665" s="1" t="s">
        <v>5412</v>
      </c>
      <c r="F7665" s="1" t="s">
        <v>3981</v>
      </c>
      <c r="G7665" s="1" t="s">
        <v>3982</v>
      </c>
      <c r="H7665" s="1" t="s">
        <v>3989</v>
      </c>
      <c r="J7665" s="1" t="s">
        <v>921</v>
      </c>
      <c r="L7665" s="1" t="s">
        <v>1329</v>
      </c>
      <c r="M7665" s="1" t="s">
        <v>8185</v>
      </c>
      <c r="N7665" s="1" t="s">
        <v>1331</v>
      </c>
      <c r="P7665" s="1" t="s">
        <v>13383</v>
      </c>
      <c r="Q7665" s="30" t="s">
        <v>2566</v>
      </c>
      <c r="R7665" s="33" t="s">
        <v>3475</v>
      </c>
      <c r="S7665">
        <v>37</v>
      </c>
      <c r="T7665" s="1" t="s">
        <v>14020</v>
      </c>
      <c r="U7665" s="1" t="str">
        <f>HYPERLINK("http://ictvonline.org/taxonomy/p/taxonomy-history?taxnode_id=202101796","ICTVonline=202101796")</f>
        <v>ICTVonline=202101796</v>
      </c>
    </row>
    <row r="7666" spans="1:21" x14ac:dyDescent="0.2">
      <c r="A7666" s="3">
        <v>7665</v>
      </c>
      <c r="B7666" s="1" t="s">
        <v>4226</v>
      </c>
      <c r="D7666" s="1" t="s">
        <v>5412</v>
      </c>
      <c r="F7666" s="1" t="s">
        <v>3981</v>
      </c>
      <c r="G7666" s="1" t="s">
        <v>3982</v>
      </c>
      <c r="H7666" s="1" t="s">
        <v>3989</v>
      </c>
      <c r="J7666" s="1" t="s">
        <v>921</v>
      </c>
      <c r="L7666" s="1" t="s">
        <v>1329</v>
      </c>
      <c r="M7666" s="1" t="s">
        <v>8185</v>
      </c>
      <c r="N7666" s="1" t="s">
        <v>1331</v>
      </c>
      <c r="P7666" s="1" t="s">
        <v>13384</v>
      </c>
      <c r="Q7666" s="30" t="s">
        <v>2566</v>
      </c>
      <c r="R7666" s="33" t="s">
        <v>3475</v>
      </c>
      <c r="S7666">
        <v>37</v>
      </c>
      <c r="T7666" s="1" t="s">
        <v>14020</v>
      </c>
      <c r="U7666" s="1" t="str">
        <f>HYPERLINK("http://ictvonline.org/taxonomy/p/taxonomy-history?taxnode_id=202101797","ICTVonline=202101797")</f>
        <v>ICTVonline=202101797</v>
      </c>
    </row>
    <row r="7667" spans="1:21" x14ac:dyDescent="0.2">
      <c r="A7667" s="3">
        <v>7666</v>
      </c>
      <c r="B7667" s="1" t="s">
        <v>4226</v>
      </c>
      <c r="D7667" s="1" t="s">
        <v>5412</v>
      </c>
      <c r="F7667" s="1" t="s">
        <v>3981</v>
      </c>
      <c r="G7667" s="1" t="s">
        <v>3982</v>
      </c>
      <c r="H7667" s="1" t="s">
        <v>3989</v>
      </c>
      <c r="J7667" s="1" t="s">
        <v>921</v>
      </c>
      <c r="L7667" s="1" t="s">
        <v>1329</v>
      </c>
      <c r="M7667" s="1" t="s">
        <v>8185</v>
      </c>
      <c r="N7667" s="1" t="s">
        <v>1331</v>
      </c>
      <c r="P7667" s="1" t="s">
        <v>13385</v>
      </c>
      <c r="Q7667" s="30" t="s">
        <v>2566</v>
      </c>
      <c r="R7667" s="33" t="s">
        <v>3475</v>
      </c>
      <c r="S7667">
        <v>37</v>
      </c>
      <c r="T7667" s="1" t="s">
        <v>14020</v>
      </c>
      <c r="U7667" s="1" t="str">
        <f>HYPERLINK("http://ictvonline.org/taxonomy/p/taxonomy-history?taxnode_id=202101798","ICTVonline=202101798")</f>
        <v>ICTVonline=202101798</v>
      </c>
    </row>
    <row r="7668" spans="1:21" x14ac:dyDescent="0.2">
      <c r="A7668" s="3">
        <v>7667</v>
      </c>
      <c r="B7668" s="1" t="s">
        <v>4226</v>
      </c>
      <c r="D7668" s="1" t="s">
        <v>5412</v>
      </c>
      <c r="F7668" s="1" t="s">
        <v>3981</v>
      </c>
      <c r="G7668" s="1" t="s">
        <v>3982</v>
      </c>
      <c r="H7668" s="1" t="s">
        <v>3989</v>
      </c>
      <c r="J7668" s="1" t="s">
        <v>921</v>
      </c>
      <c r="L7668" s="1" t="s">
        <v>1329</v>
      </c>
      <c r="M7668" s="1" t="s">
        <v>8185</v>
      </c>
      <c r="N7668" s="1" t="s">
        <v>1331</v>
      </c>
      <c r="P7668" s="1" t="s">
        <v>13386</v>
      </c>
      <c r="Q7668" s="30" t="s">
        <v>2566</v>
      </c>
      <c r="R7668" s="33" t="s">
        <v>3472</v>
      </c>
      <c r="S7668">
        <v>37</v>
      </c>
      <c r="T7668" s="1" t="s">
        <v>14025</v>
      </c>
      <c r="U7668" s="1" t="str">
        <f>HYPERLINK("http://ictvonline.org/taxonomy/p/taxonomy-history?taxnode_id=202113323","ICTVonline=202113323")</f>
        <v>ICTVonline=202113323</v>
      </c>
    </row>
    <row r="7669" spans="1:21" x14ac:dyDescent="0.2">
      <c r="A7669" s="3">
        <v>7668</v>
      </c>
      <c r="B7669" s="1" t="s">
        <v>4226</v>
      </c>
      <c r="D7669" s="1" t="s">
        <v>5412</v>
      </c>
      <c r="F7669" s="1" t="s">
        <v>3981</v>
      </c>
      <c r="G7669" s="1" t="s">
        <v>3982</v>
      </c>
      <c r="H7669" s="1" t="s">
        <v>3989</v>
      </c>
      <c r="J7669" s="1" t="s">
        <v>921</v>
      </c>
      <c r="L7669" s="1" t="s">
        <v>1329</v>
      </c>
      <c r="M7669" s="1" t="s">
        <v>8185</v>
      </c>
      <c r="N7669" s="1" t="s">
        <v>1331</v>
      </c>
      <c r="P7669" s="1" t="s">
        <v>13387</v>
      </c>
      <c r="Q7669" s="30" t="s">
        <v>2566</v>
      </c>
      <c r="R7669" s="33" t="s">
        <v>3475</v>
      </c>
      <c r="S7669">
        <v>37</v>
      </c>
      <c r="T7669" s="1" t="s">
        <v>14020</v>
      </c>
      <c r="U7669" s="1" t="str">
        <f>HYPERLINK("http://ictvonline.org/taxonomy/p/taxonomy-history?taxnode_id=202101799","ICTVonline=202101799")</f>
        <v>ICTVonline=202101799</v>
      </c>
    </row>
    <row r="7670" spans="1:21" x14ac:dyDescent="0.2">
      <c r="A7670" s="3">
        <v>7669</v>
      </c>
      <c r="B7670" s="1" t="s">
        <v>4226</v>
      </c>
      <c r="D7670" s="1" t="s">
        <v>5412</v>
      </c>
      <c r="F7670" s="1" t="s">
        <v>3981</v>
      </c>
      <c r="G7670" s="1" t="s">
        <v>3982</v>
      </c>
      <c r="H7670" s="1" t="s">
        <v>3989</v>
      </c>
      <c r="J7670" s="1" t="s">
        <v>921</v>
      </c>
      <c r="L7670" s="1" t="s">
        <v>1329</v>
      </c>
      <c r="M7670" s="1" t="s">
        <v>8185</v>
      </c>
      <c r="N7670" s="1" t="s">
        <v>1331</v>
      </c>
      <c r="P7670" s="1" t="s">
        <v>13388</v>
      </c>
      <c r="Q7670" s="30" t="s">
        <v>2566</v>
      </c>
      <c r="R7670" s="33" t="s">
        <v>3475</v>
      </c>
      <c r="S7670">
        <v>37</v>
      </c>
      <c r="T7670" s="1" t="s">
        <v>14020</v>
      </c>
      <c r="U7670" s="1" t="str">
        <f>HYPERLINK("http://ictvonline.org/taxonomy/p/taxonomy-history?taxnode_id=202101800","ICTVonline=202101800")</f>
        <v>ICTVonline=202101800</v>
      </c>
    </row>
    <row r="7671" spans="1:21" x14ac:dyDescent="0.2">
      <c r="A7671" s="3">
        <v>7670</v>
      </c>
      <c r="B7671" s="1" t="s">
        <v>4226</v>
      </c>
      <c r="D7671" s="1" t="s">
        <v>5412</v>
      </c>
      <c r="F7671" s="1" t="s">
        <v>3981</v>
      </c>
      <c r="G7671" s="1" t="s">
        <v>3982</v>
      </c>
      <c r="H7671" s="1" t="s">
        <v>3989</v>
      </c>
      <c r="J7671" s="1" t="s">
        <v>921</v>
      </c>
      <c r="L7671" s="1" t="s">
        <v>1329</v>
      </c>
      <c r="M7671" s="1" t="s">
        <v>8185</v>
      </c>
      <c r="N7671" s="1" t="s">
        <v>1331</v>
      </c>
      <c r="P7671" s="1" t="s">
        <v>13389</v>
      </c>
      <c r="Q7671" s="30" t="s">
        <v>2566</v>
      </c>
      <c r="R7671" s="33" t="s">
        <v>3475</v>
      </c>
      <c r="S7671">
        <v>37</v>
      </c>
      <c r="T7671" s="1" t="s">
        <v>14020</v>
      </c>
      <c r="U7671" s="1" t="str">
        <f>HYPERLINK("http://ictvonline.org/taxonomy/p/taxonomy-history?taxnode_id=202101801","ICTVonline=202101801")</f>
        <v>ICTVonline=202101801</v>
      </c>
    </row>
    <row r="7672" spans="1:21" x14ac:dyDescent="0.2">
      <c r="A7672" s="3">
        <v>7671</v>
      </c>
      <c r="B7672" s="1" t="s">
        <v>4226</v>
      </c>
      <c r="D7672" s="1" t="s">
        <v>5412</v>
      </c>
      <c r="F7672" s="1" t="s">
        <v>3981</v>
      </c>
      <c r="G7672" s="1" t="s">
        <v>3982</v>
      </c>
      <c r="H7672" s="1" t="s">
        <v>3989</v>
      </c>
      <c r="J7672" s="1" t="s">
        <v>921</v>
      </c>
      <c r="L7672" s="1" t="s">
        <v>1329</v>
      </c>
      <c r="M7672" s="1" t="s">
        <v>8185</v>
      </c>
      <c r="N7672" s="1" t="s">
        <v>1331</v>
      </c>
      <c r="P7672" s="1" t="s">
        <v>13390</v>
      </c>
      <c r="Q7672" s="30" t="s">
        <v>2566</v>
      </c>
      <c r="R7672" s="33" t="s">
        <v>3475</v>
      </c>
      <c r="S7672">
        <v>37</v>
      </c>
      <c r="T7672" s="1" t="s">
        <v>14020</v>
      </c>
      <c r="U7672" s="1" t="str">
        <f>HYPERLINK("http://ictvonline.org/taxonomy/p/taxonomy-history?taxnode_id=202101802","ICTVonline=202101802")</f>
        <v>ICTVonline=202101802</v>
      </c>
    </row>
    <row r="7673" spans="1:21" x14ac:dyDescent="0.2">
      <c r="A7673" s="3">
        <v>7672</v>
      </c>
      <c r="B7673" s="1" t="s">
        <v>4226</v>
      </c>
      <c r="D7673" s="1" t="s">
        <v>5412</v>
      </c>
      <c r="F7673" s="1" t="s">
        <v>3981</v>
      </c>
      <c r="G7673" s="1" t="s">
        <v>3982</v>
      </c>
      <c r="H7673" s="1" t="s">
        <v>3989</v>
      </c>
      <c r="J7673" s="1" t="s">
        <v>921</v>
      </c>
      <c r="L7673" s="1" t="s">
        <v>1329</v>
      </c>
      <c r="M7673" s="1" t="s">
        <v>8185</v>
      </c>
      <c r="N7673" s="1" t="s">
        <v>1331</v>
      </c>
      <c r="P7673" s="1" t="s">
        <v>13391</v>
      </c>
      <c r="Q7673" s="30" t="s">
        <v>2566</v>
      </c>
      <c r="R7673" s="33" t="s">
        <v>3475</v>
      </c>
      <c r="S7673">
        <v>37</v>
      </c>
      <c r="T7673" s="1" t="s">
        <v>14020</v>
      </c>
      <c r="U7673" s="1" t="str">
        <f>HYPERLINK("http://ictvonline.org/taxonomy/p/taxonomy-history?taxnode_id=202101803","ICTVonline=202101803")</f>
        <v>ICTVonline=202101803</v>
      </c>
    </row>
    <row r="7674" spans="1:21" x14ac:dyDescent="0.2">
      <c r="A7674" s="3">
        <v>7673</v>
      </c>
      <c r="B7674" s="1" t="s">
        <v>4226</v>
      </c>
      <c r="D7674" s="1" t="s">
        <v>5412</v>
      </c>
      <c r="F7674" s="1" t="s">
        <v>3981</v>
      </c>
      <c r="G7674" s="1" t="s">
        <v>3982</v>
      </c>
      <c r="H7674" s="1" t="s">
        <v>3989</v>
      </c>
      <c r="J7674" s="1" t="s">
        <v>921</v>
      </c>
      <c r="L7674" s="1" t="s">
        <v>1329</v>
      </c>
      <c r="M7674" s="1" t="s">
        <v>8185</v>
      </c>
      <c r="N7674" s="1" t="s">
        <v>1331</v>
      </c>
      <c r="P7674" s="1" t="s">
        <v>13392</v>
      </c>
      <c r="Q7674" s="30" t="s">
        <v>2566</v>
      </c>
      <c r="R7674" s="33" t="s">
        <v>3475</v>
      </c>
      <c r="S7674">
        <v>37</v>
      </c>
      <c r="T7674" s="1" t="s">
        <v>14020</v>
      </c>
      <c r="U7674" s="1" t="str">
        <f>HYPERLINK("http://ictvonline.org/taxonomy/p/taxonomy-history?taxnode_id=202109186","ICTVonline=202109186")</f>
        <v>ICTVonline=202109186</v>
      </c>
    </row>
    <row r="7675" spans="1:21" x14ac:dyDescent="0.2">
      <c r="A7675" s="3">
        <v>7674</v>
      </c>
      <c r="B7675" s="1" t="s">
        <v>4226</v>
      </c>
      <c r="D7675" s="1" t="s">
        <v>5412</v>
      </c>
      <c r="F7675" s="1" t="s">
        <v>3981</v>
      </c>
      <c r="G7675" s="1" t="s">
        <v>3982</v>
      </c>
      <c r="H7675" s="1" t="s">
        <v>3989</v>
      </c>
      <c r="J7675" s="1" t="s">
        <v>921</v>
      </c>
      <c r="L7675" s="1" t="s">
        <v>1329</v>
      </c>
      <c r="M7675" s="1" t="s">
        <v>8185</v>
      </c>
      <c r="N7675" s="1" t="s">
        <v>1331</v>
      </c>
      <c r="P7675" s="1" t="s">
        <v>13393</v>
      </c>
      <c r="Q7675" s="30" t="s">
        <v>2566</v>
      </c>
      <c r="R7675" s="33" t="s">
        <v>3472</v>
      </c>
      <c r="S7675">
        <v>37</v>
      </c>
      <c r="T7675" s="1" t="s">
        <v>14025</v>
      </c>
      <c r="U7675" s="1" t="str">
        <f>HYPERLINK("http://ictvonline.org/taxonomy/p/taxonomy-history?taxnode_id=202113324","ICTVonline=202113324")</f>
        <v>ICTVonline=202113324</v>
      </c>
    </row>
    <row r="7676" spans="1:21" x14ac:dyDescent="0.2">
      <c r="A7676" s="3">
        <v>7675</v>
      </c>
      <c r="B7676" s="1" t="s">
        <v>4226</v>
      </c>
      <c r="D7676" s="1" t="s">
        <v>5412</v>
      </c>
      <c r="F7676" s="1" t="s">
        <v>3981</v>
      </c>
      <c r="G7676" s="1" t="s">
        <v>3982</v>
      </c>
      <c r="H7676" s="1" t="s">
        <v>3989</v>
      </c>
      <c r="J7676" s="1" t="s">
        <v>921</v>
      </c>
      <c r="L7676" s="1" t="s">
        <v>1329</v>
      </c>
      <c r="M7676" s="1" t="s">
        <v>8185</v>
      </c>
      <c r="N7676" s="1" t="s">
        <v>5901</v>
      </c>
      <c r="P7676" s="1" t="s">
        <v>13394</v>
      </c>
      <c r="Q7676" s="30" t="s">
        <v>2566</v>
      </c>
      <c r="R7676" s="33" t="s">
        <v>3475</v>
      </c>
      <c r="S7676">
        <v>37</v>
      </c>
      <c r="T7676" s="1" t="s">
        <v>14020</v>
      </c>
      <c r="U7676" s="1" t="str">
        <f>HYPERLINK("http://ictvonline.org/taxonomy/p/taxonomy-history?taxnode_id=202107389","ICTVonline=202107389")</f>
        <v>ICTVonline=202107389</v>
      </c>
    </row>
    <row r="7677" spans="1:21" x14ac:dyDescent="0.2">
      <c r="A7677" s="3">
        <v>7676</v>
      </c>
      <c r="B7677" s="1" t="s">
        <v>4226</v>
      </c>
      <c r="D7677" s="1" t="s">
        <v>5412</v>
      </c>
      <c r="F7677" s="1" t="s">
        <v>3981</v>
      </c>
      <c r="G7677" s="1" t="s">
        <v>3982</v>
      </c>
      <c r="H7677" s="1" t="s">
        <v>3989</v>
      </c>
      <c r="J7677" s="1" t="s">
        <v>921</v>
      </c>
      <c r="L7677" s="1" t="s">
        <v>1329</v>
      </c>
      <c r="M7677" s="1" t="s">
        <v>8190</v>
      </c>
      <c r="N7677" s="1" t="s">
        <v>5497</v>
      </c>
      <c r="P7677" s="1" t="s">
        <v>13395</v>
      </c>
      <c r="Q7677" s="30" t="s">
        <v>2566</v>
      </c>
      <c r="R7677" s="33" t="s">
        <v>3475</v>
      </c>
      <c r="S7677">
        <v>37</v>
      </c>
      <c r="T7677" s="1" t="s">
        <v>14020</v>
      </c>
      <c r="U7677" s="1" t="str">
        <f>HYPERLINK("http://ictvonline.org/taxonomy/p/taxonomy-history?taxnode_id=202101751","ICTVonline=202101751")</f>
        <v>ICTVonline=202101751</v>
      </c>
    </row>
    <row r="7678" spans="1:21" x14ac:dyDescent="0.2">
      <c r="A7678" s="3">
        <v>7677</v>
      </c>
      <c r="B7678" s="1" t="s">
        <v>4226</v>
      </c>
      <c r="D7678" s="1" t="s">
        <v>5412</v>
      </c>
      <c r="F7678" s="1" t="s">
        <v>3981</v>
      </c>
      <c r="G7678" s="1" t="s">
        <v>3982</v>
      </c>
      <c r="H7678" s="1" t="s">
        <v>3989</v>
      </c>
      <c r="J7678" s="1" t="s">
        <v>921</v>
      </c>
      <c r="L7678" s="1" t="s">
        <v>1329</v>
      </c>
      <c r="M7678" s="1" t="s">
        <v>8190</v>
      </c>
      <c r="N7678" s="1" t="s">
        <v>5497</v>
      </c>
      <c r="P7678" s="1" t="s">
        <v>13396</v>
      </c>
      <c r="Q7678" s="30" t="s">
        <v>2566</v>
      </c>
      <c r="R7678" s="33" t="s">
        <v>3475</v>
      </c>
      <c r="S7678">
        <v>37</v>
      </c>
      <c r="T7678" s="1" t="s">
        <v>14020</v>
      </c>
      <c r="U7678" s="1" t="str">
        <f>HYPERLINK("http://ictvonline.org/taxonomy/p/taxonomy-history?taxnode_id=202109365","ICTVonline=202109365")</f>
        <v>ICTVonline=202109365</v>
      </c>
    </row>
    <row r="7679" spans="1:21" x14ac:dyDescent="0.2">
      <c r="A7679" s="3">
        <v>7678</v>
      </c>
      <c r="B7679" s="1" t="s">
        <v>4226</v>
      </c>
      <c r="D7679" s="1" t="s">
        <v>5412</v>
      </c>
      <c r="F7679" s="1" t="s">
        <v>3981</v>
      </c>
      <c r="G7679" s="1" t="s">
        <v>3982</v>
      </c>
      <c r="H7679" s="1" t="s">
        <v>3989</v>
      </c>
      <c r="J7679" s="1" t="s">
        <v>921</v>
      </c>
      <c r="L7679" s="1" t="s">
        <v>1329</v>
      </c>
      <c r="M7679" s="1" t="s">
        <v>8190</v>
      </c>
      <c r="N7679" s="1" t="s">
        <v>5497</v>
      </c>
      <c r="P7679" s="1" t="s">
        <v>13397</v>
      </c>
      <c r="Q7679" s="30" t="s">
        <v>2566</v>
      </c>
      <c r="R7679" s="33" t="s">
        <v>3472</v>
      </c>
      <c r="S7679">
        <v>37</v>
      </c>
      <c r="T7679" s="1" t="s">
        <v>14031</v>
      </c>
      <c r="U7679" s="1" t="str">
        <f>HYPERLINK("http://ictvonline.org/taxonomy/p/taxonomy-history?taxnode_id=202113306","ICTVonline=202113306")</f>
        <v>ICTVonline=202113306</v>
      </c>
    </row>
    <row r="7680" spans="1:21" x14ac:dyDescent="0.2">
      <c r="A7680" s="3">
        <v>7679</v>
      </c>
      <c r="B7680" s="1" t="s">
        <v>4226</v>
      </c>
      <c r="D7680" s="1" t="s">
        <v>5412</v>
      </c>
      <c r="F7680" s="1" t="s">
        <v>3981</v>
      </c>
      <c r="G7680" s="1" t="s">
        <v>3982</v>
      </c>
      <c r="H7680" s="1" t="s">
        <v>3989</v>
      </c>
      <c r="J7680" s="1" t="s">
        <v>921</v>
      </c>
      <c r="L7680" s="1" t="s">
        <v>1329</v>
      </c>
      <c r="M7680" s="1" t="s">
        <v>8190</v>
      </c>
      <c r="N7680" s="1" t="s">
        <v>5497</v>
      </c>
      <c r="P7680" s="1" t="s">
        <v>13398</v>
      </c>
      <c r="Q7680" s="30" t="s">
        <v>2566</v>
      </c>
      <c r="R7680" s="33" t="s">
        <v>3475</v>
      </c>
      <c r="S7680">
        <v>37</v>
      </c>
      <c r="T7680" s="1" t="s">
        <v>14020</v>
      </c>
      <c r="U7680" s="1" t="str">
        <f>HYPERLINK("http://ictvonline.org/taxonomy/p/taxonomy-history?taxnode_id=202101746","ICTVonline=202101746")</f>
        <v>ICTVonline=202101746</v>
      </c>
    </row>
    <row r="7681" spans="1:21" x14ac:dyDescent="0.2">
      <c r="A7681" s="3">
        <v>7680</v>
      </c>
      <c r="B7681" s="1" t="s">
        <v>4226</v>
      </c>
      <c r="D7681" s="1" t="s">
        <v>5412</v>
      </c>
      <c r="F7681" s="1" t="s">
        <v>3981</v>
      </c>
      <c r="G7681" s="1" t="s">
        <v>3982</v>
      </c>
      <c r="H7681" s="1" t="s">
        <v>3989</v>
      </c>
      <c r="J7681" s="1" t="s">
        <v>921</v>
      </c>
      <c r="L7681" s="1" t="s">
        <v>1329</v>
      </c>
      <c r="M7681" s="1" t="s">
        <v>8190</v>
      </c>
      <c r="N7681" s="1" t="s">
        <v>5497</v>
      </c>
      <c r="P7681" s="1" t="s">
        <v>13399</v>
      </c>
      <c r="Q7681" s="30" t="s">
        <v>2566</v>
      </c>
      <c r="R7681" s="33" t="s">
        <v>3475</v>
      </c>
      <c r="S7681">
        <v>37</v>
      </c>
      <c r="T7681" s="1" t="s">
        <v>14020</v>
      </c>
      <c r="U7681" s="1" t="str">
        <f>HYPERLINK("http://ictvonline.org/taxonomy/p/taxonomy-history?taxnode_id=202101743","ICTVonline=202101743")</f>
        <v>ICTVonline=202101743</v>
      </c>
    </row>
    <row r="7682" spans="1:21" x14ac:dyDescent="0.2">
      <c r="A7682" s="3">
        <v>7681</v>
      </c>
      <c r="B7682" s="1" t="s">
        <v>4226</v>
      </c>
      <c r="D7682" s="1" t="s">
        <v>5412</v>
      </c>
      <c r="F7682" s="1" t="s">
        <v>3981</v>
      </c>
      <c r="G7682" s="1" t="s">
        <v>3982</v>
      </c>
      <c r="H7682" s="1" t="s">
        <v>3989</v>
      </c>
      <c r="J7682" s="1" t="s">
        <v>921</v>
      </c>
      <c r="L7682" s="1" t="s">
        <v>1329</v>
      </c>
      <c r="M7682" s="1" t="s">
        <v>8190</v>
      </c>
      <c r="N7682" s="1" t="s">
        <v>5497</v>
      </c>
      <c r="P7682" s="1" t="s">
        <v>13400</v>
      </c>
      <c r="Q7682" s="30" t="s">
        <v>2566</v>
      </c>
      <c r="R7682" s="33" t="s">
        <v>3475</v>
      </c>
      <c r="S7682">
        <v>37</v>
      </c>
      <c r="T7682" s="1" t="s">
        <v>14020</v>
      </c>
      <c r="U7682" s="1" t="str">
        <f>HYPERLINK("http://ictvonline.org/taxonomy/p/taxonomy-history?taxnode_id=202107683","ICTVonline=202107683")</f>
        <v>ICTVonline=202107683</v>
      </c>
    </row>
    <row r="7683" spans="1:21" x14ac:dyDescent="0.2">
      <c r="A7683" s="3">
        <v>7682</v>
      </c>
      <c r="B7683" s="1" t="s">
        <v>4226</v>
      </c>
      <c r="D7683" s="1" t="s">
        <v>5412</v>
      </c>
      <c r="F7683" s="1" t="s">
        <v>3981</v>
      </c>
      <c r="G7683" s="1" t="s">
        <v>3982</v>
      </c>
      <c r="H7683" s="1" t="s">
        <v>3989</v>
      </c>
      <c r="J7683" s="1" t="s">
        <v>921</v>
      </c>
      <c r="L7683" s="1" t="s">
        <v>1329</v>
      </c>
      <c r="M7683" s="1" t="s">
        <v>8190</v>
      </c>
      <c r="N7683" s="1" t="s">
        <v>5497</v>
      </c>
      <c r="P7683" s="1" t="s">
        <v>13401</v>
      </c>
      <c r="Q7683" s="30" t="s">
        <v>2566</v>
      </c>
      <c r="R7683" s="33" t="s">
        <v>3475</v>
      </c>
      <c r="S7683">
        <v>37</v>
      </c>
      <c r="T7683" s="1" t="s">
        <v>14020</v>
      </c>
      <c r="U7683" s="1" t="str">
        <f>HYPERLINK("http://ictvonline.org/taxonomy/p/taxonomy-history?taxnode_id=202101748","ICTVonline=202101748")</f>
        <v>ICTVonline=202101748</v>
      </c>
    </row>
    <row r="7684" spans="1:21" x14ac:dyDescent="0.2">
      <c r="A7684" s="3">
        <v>7683</v>
      </c>
      <c r="B7684" s="1" t="s">
        <v>4226</v>
      </c>
      <c r="D7684" s="1" t="s">
        <v>5412</v>
      </c>
      <c r="F7684" s="1" t="s">
        <v>3981</v>
      </c>
      <c r="G7684" s="1" t="s">
        <v>3982</v>
      </c>
      <c r="H7684" s="1" t="s">
        <v>3989</v>
      </c>
      <c r="J7684" s="1" t="s">
        <v>921</v>
      </c>
      <c r="L7684" s="1" t="s">
        <v>1329</v>
      </c>
      <c r="M7684" s="1" t="s">
        <v>8190</v>
      </c>
      <c r="N7684" s="1" t="s">
        <v>5497</v>
      </c>
      <c r="P7684" s="1" t="s">
        <v>13402</v>
      </c>
      <c r="Q7684" s="30" t="s">
        <v>2566</v>
      </c>
      <c r="R7684" s="33" t="s">
        <v>3475</v>
      </c>
      <c r="S7684">
        <v>37</v>
      </c>
      <c r="T7684" s="1" t="s">
        <v>14020</v>
      </c>
      <c r="U7684" s="1" t="str">
        <f>HYPERLINK("http://ictvonline.org/taxonomy/p/taxonomy-history?taxnode_id=202107684","ICTVonline=202107684")</f>
        <v>ICTVonline=202107684</v>
      </c>
    </row>
    <row r="7685" spans="1:21" x14ac:dyDescent="0.2">
      <c r="A7685" s="3">
        <v>7684</v>
      </c>
      <c r="B7685" s="1" t="s">
        <v>4226</v>
      </c>
      <c r="D7685" s="1" t="s">
        <v>5412</v>
      </c>
      <c r="F7685" s="1" t="s">
        <v>3981</v>
      </c>
      <c r="G7685" s="1" t="s">
        <v>3982</v>
      </c>
      <c r="H7685" s="1" t="s">
        <v>3989</v>
      </c>
      <c r="J7685" s="1" t="s">
        <v>921</v>
      </c>
      <c r="L7685" s="1" t="s">
        <v>1329</v>
      </c>
      <c r="M7685" s="1" t="s">
        <v>8190</v>
      </c>
      <c r="N7685" s="1" t="s">
        <v>5497</v>
      </c>
      <c r="P7685" s="1" t="s">
        <v>13403</v>
      </c>
      <c r="Q7685" s="30" t="s">
        <v>2566</v>
      </c>
      <c r="R7685" s="33" t="s">
        <v>3475</v>
      </c>
      <c r="S7685">
        <v>37</v>
      </c>
      <c r="T7685" s="1" t="s">
        <v>14020</v>
      </c>
      <c r="U7685" s="1" t="str">
        <f>HYPERLINK("http://ictvonline.org/taxonomy/p/taxonomy-history?taxnode_id=202109364","ICTVonline=202109364")</f>
        <v>ICTVonline=202109364</v>
      </c>
    </row>
    <row r="7686" spans="1:21" x14ac:dyDescent="0.2">
      <c r="A7686" s="3">
        <v>7685</v>
      </c>
      <c r="B7686" s="1" t="s">
        <v>4226</v>
      </c>
      <c r="D7686" s="1" t="s">
        <v>5412</v>
      </c>
      <c r="F7686" s="1" t="s">
        <v>3981</v>
      </c>
      <c r="G7686" s="1" t="s">
        <v>3982</v>
      </c>
      <c r="H7686" s="1" t="s">
        <v>3989</v>
      </c>
      <c r="J7686" s="1" t="s">
        <v>921</v>
      </c>
      <c r="L7686" s="1" t="s">
        <v>1329</v>
      </c>
      <c r="M7686" s="1" t="s">
        <v>8190</v>
      </c>
      <c r="N7686" s="1" t="s">
        <v>5497</v>
      </c>
      <c r="P7686" s="1" t="s">
        <v>13404</v>
      </c>
      <c r="Q7686" s="30" t="s">
        <v>2566</v>
      </c>
      <c r="R7686" s="33" t="s">
        <v>3475</v>
      </c>
      <c r="S7686">
        <v>37</v>
      </c>
      <c r="T7686" s="1" t="s">
        <v>14020</v>
      </c>
      <c r="U7686" s="1" t="str">
        <f>HYPERLINK("http://ictvonline.org/taxonomy/p/taxonomy-history?taxnode_id=202107682","ICTVonline=202107682")</f>
        <v>ICTVonline=202107682</v>
      </c>
    </row>
    <row r="7687" spans="1:21" x14ac:dyDescent="0.2">
      <c r="A7687" s="3">
        <v>7686</v>
      </c>
      <c r="B7687" s="1" t="s">
        <v>4226</v>
      </c>
      <c r="D7687" s="1" t="s">
        <v>5412</v>
      </c>
      <c r="F7687" s="1" t="s">
        <v>3981</v>
      </c>
      <c r="G7687" s="1" t="s">
        <v>3982</v>
      </c>
      <c r="H7687" s="1" t="s">
        <v>3989</v>
      </c>
      <c r="J7687" s="1" t="s">
        <v>921</v>
      </c>
      <c r="L7687" s="1" t="s">
        <v>1329</v>
      </c>
      <c r="M7687" s="1" t="s">
        <v>8190</v>
      </c>
      <c r="N7687" s="1" t="s">
        <v>5497</v>
      </c>
      <c r="P7687" s="1" t="s">
        <v>13405</v>
      </c>
      <c r="Q7687" s="30" t="s">
        <v>2566</v>
      </c>
      <c r="R7687" s="33" t="s">
        <v>3475</v>
      </c>
      <c r="S7687">
        <v>37</v>
      </c>
      <c r="T7687" s="1" t="s">
        <v>14020</v>
      </c>
      <c r="U7687" s="1" t="str">
        <f>HYPERLINK("http://ictvonline.org/taxonomy/p/taxonomy-history?taxnode_id=202101747","ICTVonline=202101747")</f>
        <v>ICTVonline=202101747</v>
      </c>
    </row>
    <row r="7688" spans="1:21" x14ac:dyDescent="0.2">
      <c r="A7688" s="3">
        <v>7687</v>
      </c>
      <c r="B7688" s="1" t="s">
        <v>4226</v>
      </c>
      <c r="D7688" s="1" t="s">
        <v>5412</v>
      </c>
      <c r="F7688" s="1" t="s">
        <v>3981</v>
      </c>
      <c r="G7688" s="1" t="s">
        <v>3982</v>
      </c>
      <c r="H7688" s="1" t="s">
        <v>3989</v>
      </c>
      <c r="J7688" s="1" t="s">
        <v>921</v>
      </c>
      <c r="L7688" s="1" t="s">
        <v>1329</v>
      </c>
      <c r="M7688" s="1" t="s">
        <v>8190</v>
      </c>
      <c r="N7688" s="1" t="s">
        <v>5497</v>
      </c>
      <c r="P7688" s="1" t="s">
        <v>13406</v>
      </c>
      <c r="Q7688" s="30" t="s">
        <v>2566</v>
      </c>
      <c r="R7688" s="33" t="s">
        <v>3475</v>
      </c>
      <c r="S7688">
        <v>37</v>
      </c>
      <c r="T7688" s="1" t="s">
        <v>14020</v>
      </c>
      <c r="U7688" s="1" t="str">
        <f>HYPERLINK("http://ictvonline.org/taxonomy/p/taxonomy-history?taxnode_id=202101745","ICTVonline=202101745")</f>
        <v>ICTVonline=202101745</v>
      </c>
    </row>
    <row r="7689" spans="1:21" x14ac:dyDescent="0.2">
      <c r="A7689" s="3">
        <v>7688</v>
      </c>
      <c r="B7689" s="1" t="s">
        <v>4226</v>
      </c>
      <c r="D7689" s="1" t="s">
        <v>5412</v>
      </c>
      <c r="F7689" s="1" t="s">
        <v>3981</v>
      </c>
      <c r="G7689" s="1" t="s">
        <v>3982</v>
      </c>
      <c r="H7689" s="1" t="s">
        <v>3989</v>
      </c>
      <c r="J7689" s="1" t="s">
        <v>921</v>
      </c>
      <c r="L7689" s="1" t="s">
        <v>1329</v>
      </c>
      <c r="M7689" s="1" t="s">
        <v>8190</v>
      </c>
      <c r="N7689" s="1" t="s">
        <v>5499</v>
      </c>
      <c r="P7689" s="1" t="s">
        <v>13407</v>
      </c>
      <c r="Q7689" s="30" t="s">
        <v>2566</v>
      </c>
      <c r="R7689" s="33" t="s">
        <v>3472</v>
      </c>
      <c r="S7689">
        <v>37</v>
      </c>
      <c r="T7689" s="1" t="s">
        <v>14031</v>
      </c>
      <c r="U7689" s="1" t="str">
        <f>HYPERLINK("http://ictvonline.org/taxonomy/p/taxonomy-history?taxnode_id=202113307","ICTVonline=202113307")</f>
        <v>ICTVonline=202113307</v>
      </c>
    </row>
    <row r="7690" spans="1:21" x14ac:dyDescent="0.2">
      <c r="A7690" s="3">
        <v>7689</v>
      </c>
      <c r="B7690" s="1" t="s">
        <v>4226</v>
      </c>
      <c r="D7690" s="1" t="s">
        <v>5412</v>
      </c>
      <c r="F7690" s="1" t="s">
        <v>3981</v>
      </c>
      <c r="G7690" s="1" t="s">
        <v>3982</v>
      </c>
      <c r="H7690" s="1" t="s">
        <v>3989</v>
      </c>
      <c r="J7690" s="1" t="s">
        <v>921</v>
      </c>
      <c r="L7690" s="1" t="s">
        <v>1329</v>
      </c>
      <c r="M7690" s="1" t="s">
        <v>8190</v>
      </c>
      <c r="N7690" s="1" t="s">
        <v>5499</v>
      </c>
      <c r="P7690" s="1" t="s">
        <v>13408</v>
      </c>
      <c r="Q7690" s="30" t="s">
        <v>2566</v>
      </c>
      <c r="R7690" s="33" t="s">
        <v>3475</v>
      </c>
      <c r="S7690">
        <v>37</v>
      </c>
      <c r="T7690" s="1" t="s">
        <v>14020</v>
      </c>
      <c r="U7690" s="1" t="str">
        <f>HYPERLINK("http://ictvonline.org/taxonomy/p/taxonomy-history?taxnode_id=202109366","ICTVonline=202109366")</f>
        <v>ICTVonline=202109366</v>
      </c>
    </row>
    <row r="7691" spans="1:21" x14ac:dyDescent="0.2">
      <c r="A7691" s="3">
        <v>7690</v>
      </c>
      <c r="B7691" s="1" t="s">
        <v>4226</v>
      </c>
      <c r="D7691" s="1" t="s">
        <v>5412</v>
      </c>
      <c r="F7691" s="1" t="s">
        <v>3981</v>
      </c>
      <c r="G7691" s="1" t="s">
        <v>3982</v>
      </c>
      <c r="H7691" s="1" t="s">
        <v>3989</v>
      </c>
      <c r="J7691" s="1" t="s">
        <v>921</v>
      </c>
      <c r="L7691" s="1" t="s">
        <v>1329</v>
      </c>
      <c r="M7691" s="1" t="s">
        <v>8190</v>
      </c>
      <c r="N7691" s="1" t="s">
        <v>5499</v>
      </c>
      <c r="P7691" s="1" t="s">
        <v>13409</v>
      </c>
      <c r="Q7691" s="30" t="s">
        <v>2566</v>
      </c>
      <c r="R7691" s="33" t="s">
        <v>3475</v>
      </c>
      <c r="S7691">
        <v>37</v>
      </c>
      <c r="T7691" s="1" t="s">
        <v>14020</v>
      </c>
      <c r="U7691" s="1" t="str">
        <f>HYPERLINK("http://ictvonline.org/taxonomy/p/taxonomy-history?taxnode_id=202101742","ICTVonline=202101742")</f>
        <v>ICTVonline=202101742</v>
      </c>
    </row>
    <row r="7692" spans="1:21" x14ac:dyDescent="0.2">
      <c r="A7692" s="3">
        <v>7691</v>
      </c>
      <c r="B7692" s="1" t="s">
        <v>4226</v>
      </c>
      <c r="D7692" s="1" t="s">
        <v>5412</v>
      </c>
      <c r="F7692" s="1" t="s">
        <v>3981</v>
      </c>
      <c r="G7692" s="1" t="s">
        <v>3982</v>
      </c>
      <c r="H7692" s="1" t="s">
        <v>3989</v>
      </c>
      <c r="J7692" s="1" t="s">
        <v>921</v>
      </c>
      <c r="L7692" s="1" t="s">
        <v>1329</v>
      </c>
      <c r="M7692" s="1" t="s">
        <v>8190</v>
      </c>
      <c r="N7692" s="1" t="s">
        <v>5499</v>
      </c>
      <c r="P7692" s="1" t="s">
        <v>13410</v>
      </c>
      <c r="Q7692" s="30" t="s">
        <v>2566</v>
      </c>
      <c r="R7692" s="33" t="s">
        <v>3475</v>
      </c>
      <c r="S7692">
        <v>37</v>
      </c>
      <c r="T7692" s="1" t="s">
        <v>14020</v>
      </c>
      <c r="U7692" s="1" t="str">
        <f>HYPERLINK("http://ictvonline.org/taxonomy/p/taxonomy-history?taxnode_id=202107687","ICTVonline=202107687")</f>
        <v>ICTVonline=202107687</v>
      </c>
    </row>
    <row r="7693" spans="1:21" x14ac:dyDescent="0.2">
      <c r="A7693" s="3">
        <v>7692</v>
      </c>
      <c r="B7693" s="1" t="s">
        <v>4226</v>
      </c>
      <c r="D7693" s="1" t="s">
        <v>5412</v>
      </c>
      <c r="F7693" s="1" t="s">
        <v>3981</v>
      </c>
      <c r="G7693" s="1" t="s">
        <v>3982</v>
      </c>
      <c r="H7693" s="1" t="s">
        <v>3989</v>
      </c>
      <c r="J7693" s="1" t="s">
        <v>921</v>
      </c>
      <c r="L7693" s="1" t="s">
        <v>1329</v>
      </c>
      <c r="M7693" s="1" t="s">
        <v>8190</v>
      </c>
      <c r="N7693" s="1" t="s">
        <v>5499</v>
      </c>
      <c r="P7693" s="1" t="s">
        <v>13411</v>
      </c>
      <c r="Q7693" s="30" t="s">
        <v>2566</v>
      </c>
      <c r="R7693" s="33" t="s">
        <v>3475</v>
      </c>
      <c r="S7693">
        <v>37</v>
      </c>
      <c r="T7693" s="1" t="s">
        <v>14020</v>
      </c>
      <c r="U7693" s="1" t="str">
        <f>HYPERLINK("http://ictvonline.org/taxonomy/p/taxonomy-history?taxnode_id=202109367","ICTVonline=202109367")</f>
        <v>ICTVonline=202109367</v>
      </c>
    </row>
    <row r="7694" spans="1:21" x14ac:dyDescent="0.2">
      <c r="A7694" s="3">
        <v>7693</v>
      </c>
      <c r="B7694" s="1" t="s">
        <v>4226</v>
      </c>
      <c r="D7694" s="1" t="s">
        <v>5412</v>
      </c>
      <c r="F7694" s="1" t="s">
        <v>3981</v>
      </c>
      <c r="G7694" s="1" t="s">
        <v>3982</v>
      </c>
      <c r="H7694" s="1" t="s">
        <v>3989</v>
      </c>
      <c r="J7694" s="1" t="s">
        <v>921</v>
      </c>
      <c r="L7694" s="1" t="s">
        <v>1329</v>
      </c>
      <c r="M7694" s="1" t="s">
        <v>8190</v>
      </c>
      <c r="N7694" s="1" t="s">
        <v>5499</v>
      </c>
      <c r="P7694" s="1" t="s">
        <v>13412</v>
      </c>
      <c r="Q7694" s="30" t="s">
        <v>2566</v>
      </c>
      <c r="R7694" s="33" t="s">
        <v>3475</v>
      </c>
      <c r="S7694">
        <v>37</v>
      </c>
      <c r="T7694" s="1" t="s">
        <v>14020</v>
      </c>
      <c r="U7694" s="1" t="str">
        <f>HYPERLINK("http://ictvonline.org/taxonomy/p/taxonomy-history?taxnode_id=202107688","ICTVonline=202107688")</f>
        <v>ICTVonline=202107688</v>
      </c>
    </row>
    <row r="7695" spans="1:21" x14ac:dyDescent="0.2">
      <c r="A7695" s="3">
        <v>7694</v>
      </c>
      <c r="B7695" s="1" t="s">
        <v>4226</v>
      </c>
      <c r="D7695" s="1" t="s">
        <v>5412</v>
      </c>
      <c r="F7695" s="1" t="s">
        <v>3981</v>
      </c>
      <c r="G7695" s="1" t="s">
        <v>3982</v>
      </c>
      <c r="H7695" s="1" t="s">
        <v>3989</v>
      </c>
      <c r="J7695" s="1" t="s">
        <v>921</v>
      </c>
      <c r="L7695" s="1" t="s">
        <v>1329</v>
      </c>
      <c r="M7695" s="1" t="s">
        <v>8190</v>
      </c>
      <c r="N7695" s="1" t="s">
        <v>5499</v>
      </c>
      <c r="P7695" s="1" t="s">
        <v>13413</v>
      </c>
      <c r="Q7695" s="30" t="s">
        <v>2566</v>
      </c>
      <c r="R7695" s="33" t="s">
        <v>3475</v>
      </c>
      <c r="S7695">
        <v>37</v>
      </c>
      <c r="T7695" s="1" t="s">
        <v>14020</v>
      </c>
      <c r="U7695" s="1" t="str">
        <f>HYPERLINK("http://ictvonline.org/taxonomy/p/taxonomy-history?taxnode_id=202101749","ICTVonline=202101749")</f>
        <v>ICTVonline=202101749</v>
      </c>
    </row>
    <row r="7696" spans="1:21" x14ac:dyDescent="0.2">
      <c r="A7696" s="3">
        <v>7695</v>
      </c>
      <c r="B7696" s="1" t="s">
        <v>4226</v>
      </c>
      <c r="D7696" s="1" t="s">
        <v>5412</v>
      </c>
      <c r="F7696" s="1" t="s">
        <v>3981</v>
      </c>
      <c r="G7696" s="1" t="s">
        <v>3982</v>
      </c>
      <c r="H7696" s="1" t="s">
        <v>3989</v>
      </c>
      <c r="J7696" s="1" t="s">
        <v>921</v>
      </c>
      <c r="L7696" s="1" t="s">
        <v>1329</v>
      </c>
      <c r="M7696" s="1" t="s">
        <v>8190</v>
      </c>
      <c r="N7696" s="1" t="s">
        <v>5499</v>
      </c>
      <c r="P7696" s="1" t="s">
        <v>13414</v>
      </c>
      <c r="Q7696" s="30" t="s">
        <v>2566</v>
      </c>
      <c r="R7696" s="33" t="s">
        <v>3475</v>
      </c>
      <c r="S7696">
        <v>37</v>
      </c>
      <c r="T7696" s="1" t="s">
        <v>14020</v>
      </c>
      <c r="U7696" s="1" t="str">
        <f>HYPERLINK("http://ictvonline.org/taxonomy/p/taxonomy-history?taxnode_id=202107686","ICTVonline=202107686")</f>
        <v>ICTVonline=202107686</v>
      </c>
    </row>
    <row r="7697" spans="1:21" x14ac:dyDescent="0.2">
      <c r="A7697" s="3">
        <v>7696</v>
      </c>
      <c r="B7697" s="1" t="s">
        <v>4226</v>
      </c>
      <c r="D7697" s="1" t="s">
        <v>5412</v>
      </c>
      <c r="F7697" s="1" t="s">
        <v>3981</v>
      </c>
      <c r="G7697" s="1" t="s">
        <v>3982</v>
      </c>
      <c r="H7697" s="1" t="s">
        <v>3989</v>
      </c>
      <c r="J7697" s="1" t="s">
        <v>921</v>
      </c>
      <c r="L7697" s="1" t="s">
        <v>1329</v>
      </c>
      <c r="M7697" s="1" t="s">
        <v>8190</v>
      </c>
      <c r="N7697" s="1" t="s">
        <v>5499</v>
      </c>
      <c r="P7697" s="1" t="s">
        <v>13415</v>
      </c>
      <c r="Q7697" s="30" t="s">
        <v>2566</v>
      </c>
      <c r="R7697" s="33" t="s">
        <v>3475</v>
      </c>
      <c r="S7697">
        <v>37</v>
      </c>
      <c r="T7697" s="1" t="s">
        <v>14020</v>
      </c>
      <c r="U7697" s="1" t="str">
        <f>HYPERLINK("http://ictvonline.org/taxonomy/p/taxonomy-history?taxnode_id=202101750","ICTVonline=202101750")</f>
        <v>ICTVonline=202101750</v>
      </c>
    </row>
    <row r="7698" spans="1:21" x14ac:dyDescent="0.2">
      <c r="A7698" s="3">
        <v>7697</v>
      </c>
      <c r="B7698" s="1" t="s">
        <v>4226</v>
      </c>
      <c r="D7698" s="1" t="s">
        <v>5412</v>
      </c>
      <c r="F7698" s="1" t="s">
        <v>3981</v>
      </c>
      <c r="G7698" s="1" t="s">
        <v>3982</v>
      </c>
      <c r="H7698" s="1" t="s">
        <v>3989</v>
      </c>
      <c r="J7698" s="1" t="s">
        <v>921</v>
      </c>
      <c r="L7698" s="1" t="s">
        <v>1329</v>
      </c>
      <c r="M7698" s="1" t="s">
        <v>8190</v>
      </c>
      <c r="N7698" s="1" t="s">
        <v>5499</v>
      </c>
      <c r="P7698" s="1" t="s">
        <v>13416</v>
      </c>
      <c r="Q7698" s="30" t="s">
        <v>2566</v>
      </c>
      <c r="R7698" s="33" t="s">
        <v>3475</v>
      </c>
      <c r="S7698">
        <v>37</v>
      </c>
      <c r="T7698" s="1" t="s">
        <v>14020</v>
      </c>
      <c r="U7698" s="1" t="str">
        <f>HYPERLINK("http://ictvonline.org/taxonomy/p/taxonomy-history?taxnode_id=202109368","ICTVonline=202109368")</f>
        <v>ICTVonline=202109368</v>
      </c>
    </row>
    <row r="7699" spans="1:21" x14ac:dyDescent="0.2">
      <c r="A7699" s="3">
        <v>7698</v>
      </c>
      <c r="B7699" s="1" t="s">
        <v>4226</v>
      </c>
      <c r="D7699" s="1" t="s">
        <v>5412</v>
      </c>
      <c r="F7699" s="1" t="s">
        <v>3981</v>
      </c>
      <c r="G7699" s="1" t="s">
        <v>3982</v>
      </c>
      <c r="H7699" s="1" t="s">
        <v>3989</v>
      </c>
      <c r="J7699" s="1" t="s">
        <v>921</v>
      </c>
      <c r="L7699" s="1" t="s">
        <v>1329</v>
      </c>
      <c r="M7699" s="1" t="s">
        <v>8190</v>
      </c>
      <c r="N7699" s="1" t="s">
        <v>1330</v>
      </c>
      <c r="P7699" s="1" t="s">
        <v>13417</v>
      </c>
      <c r="Q7699" s="30" t="s">
        <v>2566</v>
      </c>
      <c r="R7699" s="33" t="s">
        <v>3475</v>
      </c>
      <c r="S7699">
        <v>37</v>
      </c>
      <c r="T7699" s="1" t="s">
        <v>14020</v>
      </c>
      <c r="U7699" s="1" t="str">
        <f>HYPERLINK("http://ictvonline.org/taxonomy/p/taxonomy-history?taxnode_id=202108908","ICTVonline=202108908")</f>
        <v>ICTVonline=202108908</v>
      </c>
    </row>
    <row r="7700" spans="1:21" x14ac:dyDescent="0.2">
      <c r="A7700" s="3">
        <v>7699</v>
      </c>
      <c r="B7700" s="1" t="s">
        <v>4226</v>
      </c>
      <c r="D7700" s="1" t="s">
        <v>5412</v>
      </c>
      <c r="F7700" s="1" t="s">
        <v>3981</v>
      </c>
      <c r="G7700" s="1" t="s">
        <v>3982</v>
      </c>
      <c r="H7700" s="1" t="s">
        <v>3989</v>
      </c>
      <c r="J7700" s="1" t="s">
        <v>921</v>
      </c>
      <c r="L7700" s="1" t="s">
        <v>1329</v>
      </c>
      <c r="M7700" s="1" t="s">
        <v>8190</v>
      </c>
      <c r="N7700" s="1" t="s">
        <v>1330</v>
      </c>
      <c r="P7700" s="1" t="s">
        <v>13418</v>
      </c>
      <c r="Q7700" s="30" t="s">
        <v>2566</v>
      </c>
      <c r="R7700" s="33" t="s">
        <v>3475</v>
      </c>
      <c r="S7700">
        <v>37</v>
      </c>
      <c r="T7700" s="1" t="s">
        <v>14020</v>
      </c>
      <c r="U7700" s="1" t="str">
        <f>HYPERLINK("http://ictvonline.org/taxonomy/p/taxonomy-history?taxnode_id=202107675","ICTVonline=202107675")</f>
        <v>ICTVonline=202107675</v>
      </c>
    </row>
    <row r="7701" spans="1:21" x14ac:dyDescent="0.2">
      <c r="A7701" s="3">
        <v>7700</v>
      </c>
      <c r="B7701" s="1" t="s">
        <v>4226</v>
      </c>
      <c r="D7701" s="1" t="s">
        <v>5412</v>
      </c>
      <c r="F7701" s="1" t="s">
        <v>3981</v>
      </c>
      <c r="G7701" s="1" t="s">
        <v>3982</v>
      </c>
      <c r="H7701" s="1" t="s">
        <v>3989</v>
      </c>
      <c r="J7701" s="1" t="s">
        <v>921</v>
      </c>
      <c r="L7701" s="1" t="s">
        <v>1329</v>
      </c>
      <c r="M7701" s="1" t="s">
        <v>8190</v>
      </c>
      <c r="N7701" s="1" t="s">
        <v>1330</v>
      </c>
      <c r="P7701" s="1" t="s">
        <v>13419</v>
      </c>
      <c r="Q7701" s="30" t="s">
        <v>2566</v>
      </c>
      <c r="R7701" s="33" t="s">
        <v>3472</v>
      </c>
      <c r="S7701">
        <v>37</v>
      </c>
      <c r="T7701" s="1" t="s">
        <v>14031</v>
      </c>
      <c r="U7701" s="1" t="str">
        <f>HYPERLINK("http://ictvonline.org/taxonomy/p/taxonomy-history?taxnode_id=202113308","ICTVonline=202113308")</f>
        <v>ICTVonline=202113308</v>
      </c>
    </row>
    <row r="7702" spans="1:21" x14ac:dyDescent="0.2">
      <c r="A7702" s="3">
        <v>7701</v>
      </c>
      <c r="B7702" s="1" t="s">
        <v>4226</v>
      </c>
      <c r="D7702" s="1" t="s">
        <v>5412</v>
      </c>
      <c r="F7702" s="1" t="s">
        <v>3981</v>
      </c>
      <c r="G7702" s="1" t="s">
        <v>3982</v>
      </c>
      <c r="H7702" s="1" t="s">
        <v>3989</v>
      </c>
      <c r="J7702" s="1" t="s">
        <v>921</v>
      </c>
      <c r="L7702" s="1" t="s">
        <v>1329</v>
      </c>
      <c r="M7702" s="1" t="s">
        <v>8190</v>
      </c>
      <c r="N7702" s="1" t="s">
        <v>1330</v>
      </c>
      <c r="P7702" s="1" t="s">
        <v>13420</v>
      </c>
      <c r="Q7702" s="30" t="s">
        <v>2566</v>
      </c>
      <c r="R7702" s="33" t="s">
        <v>3475</v>
      </c>
      <c r="S7702">
        <v>37</v>
      </c>
      <c r="T7702" s="1" t="s">
        <v>14020</v>
      </c>
      <c r="U7702" s="1" t="str">
        <f>HYPERLINK("http://ictvonline.org/taxonomy/p/taxonomy-history?taxnode_id=202108909","ICTVonline=202108909")</f>
        <v>ICTVonline=202108909</v>
      </c>
    </row>
    <row r="7703" spans="1:21" x14ac:dyDescent="0.2">
      <c r="A7703" s="3">
        <v>7702</v>
      </c>
      <c r="B7703" s="1" t="s">
        <v>4226</v>
      </c>
      <c r="D7703" s="1" t="s">
        <v>5412</v>
      </c>
      <c r="F7703" s="1" t="s">
        <v>3981</v>
      </c>
      <c r="G7703" s="1" t="s">
        <v>3982</v>
      </c>
      <c r="H7703" s="1" t="s">
        <v>3989</v>
      </c>
      <c r="J7703" s="1" t="s">
        <v>921</v>
      </c>
      <c r="L7703" s="1" t="s">
        <v>1329</v>
      </c>
      <c r="M7703" s="1" t="s">
        <v>8190</v>
      </c>
      <c r="N7703" s="1" t="s">
        <v>1330</v>
      </c>
      <c r="P7703" s="1" t="s">
        <v>13421</v>
      </c>
      <c r="Q7703" s="30" t="s">
        <v>2566</v>
      </c>
      <c r="R7703" s="33" t="s">
        <v>3475</v>
      </c>
      <c r="S7703">
        <v>37</v>
      </c>
      <c r="T7703" s="1" t="s">
        <v>14020</v>
      </c>
      <c r="U7703" s="1" t="str">
        <f>HYPERLINK("http://ictvonline.org/taxonomy/p/taxonomy-history?taxnode_id=202107676","ICTVonline=202107676")</f>
        <v>ICTVonline=202107676</v>
      </c>
    </row>
    <row r="7704" spans="1:21" x14ac:dyDescent="0.2">
      <c r="A7704" s="3">
        <v>7703</v>
      </c>
      <c r="B7704" s="1" t="s">
        <v>4226</v>
      </c>
      <c r="D7704" s="1" t="s">
        <v>5412</v>
      </c>
      <c r="F7704" s="1" t="s">
        <v>3981</v>
      </c>
      <c r="G7704" s="1" t="s">
        <v>3982</v>
      </c>
      <c r="H7704" s="1" t="s">
        <v>3989</v>
      </c>
      <c r="J7704" s="1" t="s">
        <v>921</v>
      </c>
      <c r="L7704" s="1" t="s">
        <v>1329</v>
      </c>
      <c r="M7704" s="1" t="s">
        <v>8190</v>
      </c>
      <c r="N7704" s="1" t="s">
        <v>1330</v>
      </c>
      <c r="P7704" s="1" t="s">
        <v>13422</v>
      </c>
      <c r="Q7704" s="30" t="s">
        <v>2566</v>
      </c>
      <c r="R7704" s="33" t="s">
        <v>3475</v>
      </c>
      <c r="S7704">
        <v>37</v>
      </c>
      <c r="T7704" s="1" t="s">
        <v>14020</v>
      </c>
      <c r="U7704" s="1" t="str">
        <f>HYPERLINK("http://ictvonline.org/taxonomy/p/taxonomy-history?taxnode_id=202101669","ICTVonline=202101669")</f>
        <v>ICTVonline=202101669</v>
      </c>
    </row>
    <row r="7705" spans="1:21" x14ac:dyDescent="0.2">
      <c r="A7705" s="3">
        <v>7704</v>
      </c>
      <c r="B7705" s="1" t="s">
        <v>4226</v>
      </c>
      <c r="D7705" s="1" t="s">
        <v>5412</v>
      </c>
      <c r="F7705" s="1" t="s">
        <v>3981</v>
      </c>
      <c r="G7705" s="1" t="s">
        <v>3982</v>
      </c>
      <c r="H7705" s="1" t="s">
        <v>3989</v>
      </c>
      <c r="J7705" s="1" t="s">
        <v>921</v>
      </c>
      <c r="L7705" s="1" t="s">
        <v>1329</v>
      </c>
      <c r="M7705" s="1" t="s">
        <v>8190</v>
      </c>
      <c r="N7705" s="1" t="s">
        <v>1330</v>
      </c>
      <c r="P7705" s="1" t="s">
        <v>13423</v>
      </c>
      <c r="Q7705" s="30" t="s">
        <v>2566</v>
      </c>
      <c r="R7705" s="33" t="s">
        <v>3475</v>
      </c>
      <c r="S7705">
        <v>37</v>
      </c>
      <c r="T7705" s="1" t="s">
        <v>14020</v>
      </c>
      <c r="U7705" s="1" t="str">
        <f>HYPERLINK("http://ictvonline.org/taxonomy/p/taxonomy-history?taxnode_id=202107666","ICTVonline=202107666")</f>
        <v>ICTVonline=202107666</v>
      </c>
    </row>
    <row r="7706" spans="1:21" x14ac:dyDescent="0.2">
      <c r="A7706" s="3">
        <v>7705</v>
      </c>
      <c r="B7706" s="1" t="s">
        <v>4226</v>
      </c>
      <c r="D7706" s="1" t="s">
        <v>5412</v>
      </c>
      <c r="F7706" s="1" t="s">
        <v>3981</v>
      </c>
      <c r="G7706" s="1" t="s">
        <v>3982</v>
      </c>
      <c r="H7706" s="1" t="s">
        <v>3989</v>
      </c>
      <c r="J7706" s="1" t="s">
        <v>921</v>
      </c>
      <c r="L7706" s="1" t="s">
        <v>1329</v>
      </c>
      <c r="M7706" s="1" t="s">
        <v>8190</v>
      </c>
      <c r="N7706" s="1" t="s">
        <v>1330</v>
      </c>
      <c r="P7706" s="1" t="s">
        <v>13424</v>
      </c>
      <c r="Q7706" s="30" t="s">
        <v>2566</v>
      </c>
      <c r="R7706" s="33" t="s">
        <v>3472</v>
      </c>
      <c r="S7706">
        <v>37</v>
      </c>
      <c r="T7706" s="1" t="s">
        <v>14031</v>
      </c>
      <c r="U7706" s="1" t="str">
        <f>HYPERLINK("http://ictvonline.org/taxonomy/p/taxonomy-history?taxnode_id=202113311","ICTVonline=202113311")</f>
        <v>ICTVonline=202113311</v>
      </c>
    </row>
    <row r="7707" spans="1:21" x14ac:dyDescent="0.2">
      <c r="A7707" s="3">
        <v>7706</v>
      </c>
      <c r="B7707" s="1" t="s">
        <v>4226</v>
      </c>
      <c r="D7707" s="1" t="s">
        <v>5412</v>
      </c>
      <c r="F7707" s="1" t="s">
        <v>3981</v>
      </c>
      <c r="G7707" s="1" t="s">
        <v>3982</v>
      </c>
      <c r="H7707" s="1" t="s">
        <v>3989</v>
      </c>
      <c r="J7707" s="1" t="s">
        <v>921</v>
      </c>
      <c r="L7707" s="1" t="s">
        <v>1329</v>
      </c>
      <c r="M7707" s="1" t="s">
        <v>8190</v>
      </c>
      <c r="N7707" s="1" t="s">
        <v>1330</v>
      </c>
      <c r="P7707" s="1" t="s">
        <v>13425</v>
      </c>
      <c r="Q7707" s="30" t="s">
        <v>2566</v>
      </c>
      <c r="R7707" s="33" t="s">
        <v>3475</v>
      </c>
      <c r="S7707">
        <v>37</v>
      </c>
      <c r="T7707" s="1" t="s">
        <v>14020</v>
      </c>
      <c r="U7707" s="1" t="str">
        <f>HYPERLINK("http://ictvonline.org/taxonomy/p/taxonomy-history?taxnode_id=202107669","ICTVonline=202107669")</f>
        <v>ICTVonline=202107669</v>
      </c>
    </row>
    <row r="7708" spans="1:21" x14ac:dyDescent="0.2">
      <c r="A7708" s="3">
        <v>7707</v>
      </c>
      <c r="B7708" s="1" t="s">
        <v>4226</v>
      </c>
      <c r="D7708" s="1" t="s">
        <v>5412</v>
      </c>
      <c r="F7708" s="1" t="s">
        <v>3981</v>
      </c>
      <c r="G7708" s="1" t="s">
        <v>3982</v>
      </c>
      <c r="H7708" s="1" t="s">
        <v>3989</v>
      </c>
      <c r="J7708" s="1" t="s">
        <v>921</v>
      </c>
      <c r="L7708" s="1" t="s">
        <v>1329</v>
      </c>
      <c r="M7708" s="1" t="s">
        <v>8190</v>
      </c>
      <c r="N7708" s="1" t="s">
        <v>1330</v>
      </c>
      <c r="P7708" s="1" t="s">
        <v>13426</v>
      </c>
      <c r="Q7708" s="30" t="s">
        <v>2566</v>
      </c>
      <c r="R7708" s="33" t="s">
        <v>3472</v>
      </c>
      <c r="S7708">
        <v>37</v>
      </c>
      <c r="T7708" s="1" t="s">
        <v>14031</v>
      </c>
      <c r="U7708" s="1" t="str">
        <f>HYPERLINK("http://ictvonline.org/taxonomy/p/taxonomy-history?taxnode_id=202113309","ICTVonline=202113309")</f>
        <v>ICTVonline=202113309</v>
      </c>
    </row>
    <row r="7709" spans="1:21" x14ac:dyDescent="0.2">
      <c r="A7709" s="3">
        <v>7708</v>
      </c>
      <c r="B7709" s="1" t="s">
        <v>4226</v>
      </c>
      <c r="D7709" s="1" t="s">
        <v>5412</v>
      </c>
      <c r="F7709" s="1" t="s">
        <v>3981</v>
      </c>
      <c r="G7709" s="1" t="s">
        <v>3982</v>
      </c>
      <c r="H7709" s="1" t="s">
        <v>3989</v>
      </c>
      <c r="J7709" s="1" t="s">
        <v>921</v>
      </c>
      <c r="L7709" s="1" t="s">
        <v>1329</v>
      </c>
      <c r="M7709" s="1" t="s">
        <v>8190</v>
      </c>
      <c r="N7709" s="1" t="s">
        <v>1330</v>
      </c>
      <c r="P7709" s="1" t="s">
        <v>13427</v>
      </c>
      <c r="Q7709" s="30" t="s">
        <v>2566</v>
      </c>
      <c r="R7709" s="33" t="s">
        <v>3475</v>
      </c>
      <c r="S7709">
        <v>37</v>
      </c>
      <c r="T7709" s="1" t="s">
        <v>14020</v>
      </c>
      <c r="U7709" s="1" t="str">
        <f>HYPERLINK("http://ictvonline.org/taxonomy/p/taxonomy-history?taxnode_id=202101670","ICTVonline=202101670")</f>
        <v>ICTVonline=202101670</v>
      </c>
    </row>
    <row r="7710" spans="1:21" x14ac:dyDescent="0.2">
      <c r="A7710" s="3">
        <v>7709</v>
      </c>
      <c r="B7710" s="1" t="s">
        <v>4226</v>
      </c>
      <c r="D7710" s="1" t="s">
        <v>5412</v>
      </c>
      <c r="F7710" s="1" t="s">
        <v>3981</v>
      </c>
      <c r="G7710" s="1" t="s">
        <v>3982</v>
      </c>
      <c r="H7710" s="1" t="s">
        <v>3989</v>
      </c>
      <c r="J7710" s="1" t="s">
        <v>921</v>
      </c>
      <c r="L7710" s="1" t="s">
        <v>1329</v>
      </c>
      <c r="M7710" s="1" t="s">
        <v>8190</v>
      </c>
      <c r="N7710" s="1" t="s">
        <v>1330</v>
      </c>
      <c r="P7710" s="1" t="s">
        <v>13428</v>
      </c>
      <c r="Q7710" s="30" t="s">
        <v>2566</v>
      </c>
      <c r="R7710" s="33" t="s">
        <v>3472</v>
      </c>
      <c r="S7710">
        <v>37</v>
      </c>
      <c r="T7710" s="1" t="s">
        <v>14031</v>
      </c>
      <c r="U7710" s="1" t="str">
        <f>HYPERLINK("http://ictvonline.org/taxonomy/p/taxonomy-history?taxnode_id=202113310","ICTVonline=202113310")</f>
        <v>ICTVonline=202113310</v>
      </c>
    </row>
    <row r="7711" spans="1:21" x14ac:dyDescent="0.2">
      <c r="A7711" s="3">
        <v>7710</v>
      </c>
      <c r="B7711" s="1" t="s">
        <v>4226</v>
      </c>
      <c r="D7711" s="1" t="s">
        <v>5412</v>
      </c>
      <c r="F7711" s="1" t="s">
        <v>3981</v>
      </c>
      <c r="G7711" s="1" t="s">
        <v>3982</v>
      </c>
      <c r="H7711" s="1" t="s">
        <v>3989</v>
      </c>
      <c r="J7711" s="1" t="s">
        <v>921</v>
      </c>
      <c r="L7711" s="1" t="s">
        <v>1329</v>
      </c>
      <c r="M7711" s="1" t="s">
        <v>8190</v>
      </c>
      <c r="N7711" s="1" t="s">
        <v>1330</v>
      </c>
      <c r="P7711" s="1" t="s">
        <v>13429</v>
      </c>
      <c r="Q7711" s="30" t="s">
        <v>2566</v>
      </c>
      <c r="R7711" s="33" t="s">
        <v>3475</v>
      </c>
      <c r="S7711">
        <v>37</v>
      </c>
      <c r="T7711" s="1" t="s">
        <v>14020</v>
      </c>
      <c r="U7711" s="1" t="str">
        <f>HYPERLINK("http://ictvonline.org/taxonomy/p/taxonomy-history?taxnode_id=202101671","ICTVonline=202101671")</f>
        <v>ICTVonline=202101671</v>
      </c>
    </row>
    <row r="7712" spans="1:21" x14ac:dyDescent="0.2">
      <c r="A7712" s="3">
        <v>7711</v>
      </c>
      <c r="B7712" s="1" t="s">
        <v>4226</v>
      </c>
      <c r="D7712" s="1" t="s">
        <v>5412</v>
      </c>
      <c r="F7712" s="1" t="s">
        <v>3981</v>
      </c>
      <c r="G7712" s="1" t="s">
        <v>3982</v>
      </c>
      <c r="H7712" s="1" t="s">
        <v>3989</v>
      </c>
      <c r="J7712" s="1" t="s">
        <v>921</v>
      </c>
      <c r="L7712" s="1" t="s">
        <v>1329</v>
      </c>
      <c r="M7712" s="1" t="s">
        <v>8190</v>
      </c>
      <c r="N7712" s="1" t="s">
        <v>1330</v>
      </c>
      <c r="P7712" s="1" t="s">
        <v>13430</v>
      </c>
      <c r="Q7712" s="30" t="s">
        <v>2566</v>
      </c>
      <c r="R7712" s="33" t="s">
        <v>3475</v>
      </c>
      <c r="S7712">
        <v>37</v>
      </c>
      <c r="T7712" s="1" t="s">
        <v>14020</v>
      </c>
      <c r="U7712" s="1" t="str">
        <f>HYPERLINK("http://ictvonline.org/taxonomy/p/taxonomy-history?taxnode_id=202107674","ICTVonline=202107674")</f>
        <v>ICTVonline=202107674</v>
      </c>
    </row>
    <row r="7713" spans="1:21" x14ac:dyDescent="0.2">
      <c r="A7713" s="3">
        <v>7712</v>
      </c>
      <c r="B7713" s="1" t="s">
        <v>4226</v>
      </c>
      <c r="D7713" s="1" t="s">
        <v>5412</v>
      </c>
      <c r="F7713" s="1" t="s">
        <v>3981</v>
      </c>
      <c r="G7713" s="1" t="s">
        <v>3982</v>
      </c>
      <c r="H7713" s="1" t="s">
        <v>3989</v>
      </c>
      <c r="J7713" s="1" t="s">
        <v>921</v>
      </c>
      <c r="L7713" s="1" t="s">
        <v>1329</v>
      </c>
      <c r="M7713" s="1" t="s">
        <v>8190</v>
      </c>
      <c r="N7713" s="1" t="s">
        <v>1330</v>
      </c>
      <c r="P7713" s="1" t="s">
        <v>13431</v>
      </c>
      <c r="Q7713" s="30" t="s">
        <v>2566</v>
      </c>
      <c r="R7713" s="33" t="s">
        <v>3475</v>
      </c>
      <c r="S7713">
        <v>37</v>
      </c>
      <c r="T7713" s="1" t="s">
        <v>14020</v>
      </c>
      <c r="U7713" s="1" t="str">
        <f>HYPERLINK("http://ictvonline.org/taxonomy/p/taxonomy-history?taxnode_id=202108907","ICTVonline=202108907")</f>
        <v>ICTVonline=202108907</v>
      </c>
    </row>
    <row r="7714" spans="1:21" x14ac:dyDescent="0.2">
      <c r="A7714" s="3">
        <v>7713</v>
      </c>
      <c r="B7714" s="1" t="s">
        <v>4226</v>
      </c>
      <c r="D7714" s="1" t="s">
        <v>5412</v>
      </c>
      <c r="F7714" s="1" t="s">
        <v>3981</v>
      </c>
      <c r="G7714" s="1" t="s">
        <v>3982</v>
      </c>
      <c r="H7714" s="1" t="s">
        <v>3989</v>
      </c>
      <c r="J7714" s="1" t="s">
        <v>921</v>
      </c>
      <c r="L7714" s="1" t="s">
        <v>1329</v>
      </c>
      <c r="M7714" s="1" t="s">
        <v>8190</v>
      </c>
      <c r="N7714" s="1" t="s">
        <v>1330</v>
      </c>
      <c r="P7714" s="1" t="s">
        <v>13432</v>
      </c>
      <c r="Q7714" s="30" t="s">
        <v>2566</v>
      </c>
      <c r="R7714" s="33" t="s">
        <v>3475</v>
      </c>
      <c r="S7714">
        <v>37</v>
      </c>
      <c r="T7714" s="1" t="s">
        <v>14020</v>
      </c>
      <c r="U7714" s="1" t="str">
        <f>HYPERLINK("http://ictvonline.org/taxonomy/p/taxonomy-history?taxnode_id=202101676","ICTVonline=202101676")</f>
        <v>ICTVonline=202101676</v>
      </c>
    </row>
    <row r="7715" spans="1:21" x14ac:dyDescent="0.2">
      <c r="A7715" s="3">
        <v>7714</v>
      </c>
      <c r="B7715" s="1" t="s">
        <v>4226</v>
      </c>
      <c r="D7715" s="1" t="s">
        <v>5412</v>
      </c>
      <c r="F7715" s="1" t="s">
        <v>3981</v>
      </c>
      <c r="G7715" s="1" t="s">
        <v>3982</v>
      </c>
      <c r="H7715" s="1" t="s">
        <v>3989</v>
      </c>
      <c r="J7715" s="1" t="s">
        <v>921</v>
      </c>
      <c r="L7715" s="1" t="s">
        <v>1329</v>
      </c>
      <c r="M7715" s="1" t="s">
        <v>8190</v>
      </c>
      <c r="N7715" s="1" t="s">
        <v>1330</v>
      </c>
      <c r="P7715" s="1" t="s">
        <v>13433</v>
      </c>
      <c r="Q7715" s="30" t="s">
        <v>2566</v>
      </c>
      <c r="R7715" s="33" t="s">
        <v>3475</v>
      </c>
      <c r="S7715">
        <v>37</v>
      </c>
      <c r="T7715" s="1" t="s">
        <v>14020</v>
      </c>
      <c r="U7715" s="1" t="str">
        <f>HYPERLINK("http://ictvonline.org/taxonomy/p/taxonomy-history?taxnode_id=202107677","ICTVonline=202107677")</f>
        <v>ICTVonline=202107677</v>
      </c>
    </row>
    <row r="7716" spans="1:21" x14ac:dyDescent="0.2">
      <c r="A7716" s="3">
        <v>7715</v>
      </c>
      <c r="B7716" s="1" t="s">
        <v>4226</v>
      </c>
      <c r="D7716" s="1" t="s">
        <v>5412</v>
      </c>
      <c r="F7716" s="1" t="s">
        <v>3981</v>
      </c>
      <c r="G7716" s="1" t="s">
        <v>3982</v>
      </c>
      <c r="H7716" s="1" t="s">
        <v>3989</v>
      </c>
      <c r="J7716" s="1" t="s">
        <v>921</v>
      </c>
      <c r="L7716" s="1" t="s">
        <v>1329</v>
      </c>
      <c r="M7716" s="1" t="s">
        <v>8190</v>
      </c>
      <c r="N7716" s="1" t="s">
        <v>1330</v>
      </c>
      <c r="P7716" s="1" t="s">
        <v>13434</v>
      </c>
      <c r="Q7716" s="30" t="s">
        <v>2566</v>
      </c>
      <c r="R7716" s="33" t="s">
        <v>3475</v>
      </c>
      <c r="S7716">
        <v>37</v>
      </c>
      <c r="T7716" s="1" t="s">
        <v>14020</v>
      </c>
      <c r="U7716" s="1" t="str">
        <f>HYPERLINK("http://ictvonline.org/taxonomy/p/taxonomy-history?taxnode_id=202101674","ICTVonline=202101674")</f>
        <v>ICTVonline=202101674</v>
      </c>
    </row>
    <row r="7717" spans="1:21" x14ac:dyDescent="0.2">
      <c r="A7717" s="3">
        <v>7716</v>
      </c>
      <c r="B7717" s="1" t="s">
        <v>4226</v>
      </c>
      <c r="D7717" s="1" t="s">
        <v>5412</v>
      </c>
      <c r="F7717" s="1" t="s">
        <v>3981</v>
      </c>
      <c r="G7717" s="1" t="s">
        <v>3982</v>
      </c>
      <c r="H7717" s="1" t="s">
        <v>3989</v>
      </c>
      <c r="J7717" s="1" t="s">
        <v>921</v>
      </c>
      <c r="L7717" s="1" t="s">
        <v>1329</v>
      </c>
      <c r="M7717" s="1" t="s">
        <v>8190</v>
      </c>
      <c r="N7717" s="1" t="s">
        <v>1330</v>
      </c>
      <c r="P7717" s="1" t="s">
        <v>13435</v>
      </c>
      <c r="Q7717" s="30" t="s">
        <v>2566</v>
      </c>
      <c r="R7717" s="33" t="s">
        <v>3475</v>
      </c>
      <c r="S7717">
        <v>37</v>
      </c>
      <c r="T7717" s="1" t="s">
        <v>14020</v>
      </c>
      <c r="U7717" s="1" t="str">
        <f>HYPERLINK("http://ictvonline.org/taxonomy/p/taxonomy-history?taxnode_id=202101668","ICTVonline=202101668")</f>
        <v>ICTVonline=202101668</v>
      </c>
    </row>
    <row r="7718" spans="1:21" x14ac:dyDescent="0.2">
      <c r="A7718" s="3">
        <v>7717</v>
      </c>
      <c r="B7718" s="1" t="s">
        <v>4226</v>
      </c>
      <c r="D7718" s="1" t="s">
        <v>5412</v>
      </c>
      <c r="F7718" s="1" t="s">
        <v>3981</v>
      </c>
      <c r="G7718" s="1" t="s">
        <v>3982</v>
      </c>
      <c r="H7718" s="1" t="s">
        <v>3989</v>
      </c>
      <c r="J7718" s="1" t="s">
        <v>921</v>
      </c>
      <c r="L7718" s="1" t="s">
        <v>1329</v>
      </c>
      <c r="M7718" s="1" t="s">
        <v>8190</v>
      </c>
      <c r="N7718" s="1" t="s">
        <v>1330</v>
      </c>
      <c r="P7718" s="1" t="s">
        <v>13436</v>
      </c>
      <c r="Q7718" s="30" t="s">
        <v>2566</v>
      </c>
      <c r="R7718" s="33" t="s">
        <v>3475</v>
      </c>
      <c r="S7718">
        <v>37</v>
      </c>
      <c r="T7718" s="1" t="s">
        <v>14020</v>
      </c>
      <c r="U7718" s="1" t="str">
        <f>HYPERLINK("http://ictvonline.org/taxonomy/p/taxonomy-history?taxnode_id=202101673","ICTVonline=202101673")</f>
        <v>ICTVonline=202101673</v>
      </c>
    </row>
    <row r="7719" spans="1:21" x14ac:dyDescent="0.2">
      <c r="A7719" s="3">
        <v>7718</v>
      </c>
      <c r="B7719" s="1" t="s">
        <v>4226</v>
      </c>
      <c r="D7719" s="1" t="s">
        <v>5412</v>
      </c>
      <c r="F7719" s="1" t="s">
        <v>3981</v>
      </c>
      <c r="G7719" s="1" t="s">
        <v>3982</v>
      </c>
      <c r="H7719" s="1" t="s">
        <v>3989</v>
      </c>
      <c r="J7719" s="1" t="s">
        <v>921</v>
      </c>
      <c r="L7719" s="1" t="s">
        <v>1329</v>
      </c>
      <c r="M7719" s="1" t="s">
        <v>8190</v>
      </c>
      <c r="N7719" s="1" t="s">
        <v>1330</v>
      </c>
      <c r="P7719" s="1" t="s">
        <v>13437</v>
      </c>
      <c r="Q7719" s="30" t="s">
        <v>2566</v>
      </c>
      <c r="R7719" s="33" t="s">
        <v>3475</v>
      </c>
      <c r="S7719">
        <v>37</v>
      </c>
      <c r="T7719" s="1" t="s">
        <v>14020</v>
      </c>
      <c r="U7719" s="1" t="str">
        <f>HYPERLINK("http://ictvonline.org/taxonomy/p/taxonomy-history?taxnode_id=202101672","ICTVonline=202101672")</f>
        <v>ICTVonline=202101672</v>
      </c>
    </row>
    <row r="7720" spans="1:21" x14ac:dyDescent="0.2">
      <c r="A7720" s="3">
        <v>7719</v>
      </c>
      <c r="B7720" s="1" t="s">
        <v>4226</v>
      </c>
      <c r="D7720" s="1" t="s">
        <v>5412</v>
      </c>
      <c r="F7720" s="1" t="s">
        <v>3981</v>
      </c>
      <c r="G7720" s="1" t="s">
        <v>3982</v>
      </c>
      <c r="H7720" s="1" t="s">
        <v>3989</v>
      </c>
      <c r="J7720" s="1" t="s">
        <v>921</v>
      </c>
      <c r="L7720" s="1" t="s">
        <v>1329</v>
      </c>
      <c r="M7720" s="1" t="s">
        <v>8190</v>
      </c>
      <c r="N7720" s="1" t="s">
        <v>1330</v>
      </c>
      <c r="P7720" s="1" t="s">
        <v>13438</v>
      </c>
      <c r="Q7720" s="30" t="s">
        <v>2566</v>
      </c>
      <c r="R7720" s="33" t="s">
        <v>3475</v>
      </c>
      <c r="S7720">
        <v>37</v>
      </c>
      <c r="T7720" s="1" t="s">
        <v>14020</v>
      </c>
      <c r="U7720" s="1" t="str">
        <f>HYPERLINK("http://ictvonline.org/taxonomy/p/taxonomy-history?taxnode_id=202107673","ICTVonline=202107673")</f>
        <v>ICTVonline=202107673</v>
      </c>
    </row>
    <row r="7721" spans="1:21" x14ac:dyDescent="0.2">
      <c r="A7721" s="3">
        <v>7720</v>
      </c>
      <c r="B7721" s="1" t="s">
        <v>4226</v>
      </c>
      <c r="D7721" s="1" t="s">
        <v>5412</v>
      </c>
      <c r="F7721" s="1" t="s">
        <v>3981</v>
      </c>
      <c r="G7721" s="1" t="s">
        <v>3982</v>
      </c>
      <c r="H7721" s="1" t="s">
        <v>3989</v>
      </c>
      <c r="J7721" s="1" t="s">
        <v>921</v>
      </c>
      <c r="L7721" s="1" t="s">
        <v>1329</v>
      </c>
      <c r="M7721" s="1" t="s">
        <v>8190</v>
      </c>
      <c r="N7721" s="1" t="s">
        <v>1330</v>
      </c>
      <c r="P7721" s="1" t="s">
        <v>13439</v>
      </c>
      <c r="Q7721" s="30" t="s">
        <v>2566</v>
      </c>
      <c r="R7721" s="33" t="s">
        <v>3475</v>
      </c>
      <c r="S7721">
        <v>37</v>
      </c>
      <c r="T7721" s="1" t="s">
        <v>14020</v>
      </c>
      <c r="U7721" s="1" t="str">
        <f>HYPERLINK("http://ictvonline.org/taxonomy/p/taxonomy-history?taxnode_id=202107667","ICTVonline=202107667")</f>
        <v>ICTVonline=202107667</v>
      </c>
    </row>
    <row r="7722" spans="1:21" x14ac:dyDescent="0.2">
      <c r="A7722" s="3">
        <v>7721</v>
      </c>
      <c r="B7722" s="1" t="s">
        <v>4226</v>
      </c>
      <c r="D7722" s="1" t="s">
        <v>5412</v>
      </c>
      <c r="F7722" s="1" t="s">
        <v>3981</v>
      </c>
      <c r="G7722" s="1" t="s">
        <v>3982</v>
      </c>
      <c r="H7722" s="1" t="s">
        <v>3989</v>
      </c>
      <c r="J7722" s="1" t="s">
        <v>921</v>
      </c>
      <c r="L7722" s="1" t="s">
        <v>1329</v>
      </c>
      <c r="M7722" s="1" t="s">
        <v>8190</v>
      </c>
      <c r="N7722" s="1" t="s">
        <v>1330</v>
      </c>
      <c r="P7722" s="1" t="s">
        <v>13440</v>
      </c>
      <c r="Q7722" s="30" t="s">
        <v>2566</v>
      </c>
      <c r="R7722" s="33" t="s">
        <v>3475</v>
      </c>
      <c r="S7722">
        <v>37</v>
      </c>
      <c r="T7722" s="1" t="s">
        <v>14020</v>
      </c>
      <c r="U7722" s="1" t="str">
        <f>HYPERLINK("http://ictvonline.org/taxonomy/p/taxonomy-history?taxnode_id=202107668","ICTVonline=202107668")</f>
        <v>ICTVonline=202107668</v>
      </c>
    </row>
    <row r="7723" spans="1:21" x14ac:dyDescent="0.2">
      <c r="A7723" s="3">
        <v>7722</v>
      </c>
      <c r="B7723" s="1" t="s">
        <v>4226</v>
      </c>
      <c r="D7723" s="1" t="s">
        <v>5412</v>
      </c>
      <c r="F7723" s="1" t="s">
        <v>3981</v>
      </c>
      <c r="G7723" s="1" t="s">
        <v>3982</v>
      </c>
      <c r="H7723" s="1" t="s">
        <v>3989</v>
      </c>
      <c r="J7723" s="1" t="s">
        <v>921</v>
      </c>
      <c r="L7723" s="1" t="s">
        <v>1329</v>
      </c>
      <c r="M7723" s="1" t="s">
        <v>8190</v>
      </c>
      <c r="N7723" s="1" t="s">
        <v>1330</v>
      </c>
      <c r="P7723" s="1" t="s">
        <v>13441</v>
      </c>
      <c r="Q7723" s="30" t="s">
        <v>2566</v>
      </c>
      <c r="R7723" s="33" t="s">
        <v>3475</v>
      </c>
      <c r="S7723">
        <v>37</v>
      </c>
      <c r="T7723" s="1" t="s">
        <v>14020</v>
      </c>
      <c r="U7723" s="1" t="str">
        <f>HYPERLINK("http://ictvonline.org/taxonomy/p/taxonomy-history?taxnode_id=202101667","ICTVonline=202101667")</f>
        <v>ICTVonline=202101667</v>
      </c>
    </row>
    <row r="7724" spans="1:21" x14ac:dyDescent="0.2">
      <c r="A7724" s="3">
        <v>7723</v>
      </c>
      <c r="B7724" s="1" t="s">
        <v>4226</v>
      </c>
      <c r="D7724" s="1" t="s">
        <v>5412</v>
      </c>
      <c r="F7724" s="1" t="s">
        <v>3981</v>
      </c>
      <c r="G7724" s="1" t="s">
        <v>3982</v>
      </c>
      <c r="H7724" s="1" t="s">
        <v>3989</v>
      </c>
      <c r="J7724" s="1" t="s">
        <v>921</v>
      </c>
      <c r="L7724" s="1" t="s">
        <v>1329</v>
      </c>
      <c r="M7724" s="1" t="s">
        <v>8190</v>
      </c>
      <c r="N7724" s="1" t="s">
        <v>1330</v>
      </c>
      <c r="P7724" s="1" t="s">
        <v>13442</v>
      </c>
      <c r="Q7724" s="30" t="s">
        <v>2566</v>
      </c>
      <c r="R7724" s="33" t="s">
        <v>3475</v>
      </c>
      <c r="S7724">
        <v>37</v>
      </c>
      <c r="T7724" s="1" t="s">
        <v>14020</v>
      </c>
      <c r="U7724" s="1" t="str">
        <f>HYPERLINK("http://ictvonline.org/taxonomy/p/taxonomy-history?taxnode_id=202107672","ICTVonline=202107672")</f>
        <v>ICTVonline=202107672</v>
      </c>
    </row>
    <row r="7725" spans="1:21" x14ac:dyDescent="0.2">
      <c r="A7725" s="3">
        <v>7724</v>
      </c>
      <c r="B7725" s="1" t="s">
        <v>4226</v>
      </c>
      <c r="D7725" s="1" t="s">
        <v>5412</v>
      </c>
      <c r="F7725" s="1" t="s">
        <v>3981</v>
      </c>
      <c r="G7725" s="1" t="s">
        <v>3982</v>
      </c>
      <c r="H7725" s="1" t="s">
        <v>3989</v>
      </c>
      <c r="J7725" s="1" t="s">
        <v>921</v>
      </c>
      <c r="L7725" s="1" t="s">
        <v>1329</v>
      </c>
      <c r="M7725" s="1" t="s">
        <v>8190</v>
      </c>
      <c r="N7725" s="1" t="s">
        <v>1330</v>
      </c>
      <c r="P7725" s="1" t="s">
        <v>13443</v>
      </c>
      <c r="Q7725" s="30" t="s">
        <v>2566</v>
      </c>
      <c r="R7725" s="33" t="s">
        <v>3475</v>
      </c>
      <c r="S7725">
        <v>37</v>
      </c>
      <c r="T7725" s="1" t="s">
        <v>14020</v>
      </c>
      <c r="U7725" s="1" t="str">
        <f>HYPERLINK("http://ictvonline.org/taxonomy/p/taxonomy-history?taxnode_id=202107670","ICTVonline=202107670")</f>
        <v>ICTVonline=202107670</v>
      </c>
    </row>
    <row r="7726" spans="1:21" x14ac:dyDescent="0.2">
      <c r="A7726" s="3">
        <v>7725</v>
      </c>
      <c r="B7726" s="1" t="s">
        <v>4226</v>
      </c>
      <c r="D7726" s="1" t="s">
        <v>5412</v>
      </c>
      <c r="F7726" s="1" t="s">
        <v>3981</v>
      </c>
      <c r="G7726" s="1" t="s">
        <v>3982</v>
      </c>
      <c r="H7726" s="1" t="s">
        <v>3989</v>
      </c>
      <c r="J7726" s="1" t="s">
        <v>921</v>
      </c>
      <c r="L7726" s="1" t="s">
        <v>1329</v>
      </c>
      <c r="M7726" s="1" t="s">
        <v>8190</v>
      </c>
      <c r="N7726" s="1" t="s">
        <v>1330</v>
      </c>
      <c r="P7726" s="1" t="s">
        <v>13444</v>
      </c>
      <c r="Q7726" s="30" t="s">
        <v>2566</v>
      </c>
      <c r="R7726" s="33" t="s">
        <v>3472</v>
      </c>
      <c r="S7726">
        <v>37</v>
      </c>
      <c r="T7726" s="1" t="s">
        <v>14031</v>
      </c>
      <c r="U7726" s="1" t="str">
        <f>HYPERLINK("http://ictvonline.org/taxonomy/p/taxonomy-history?taxnode_id=202113312","ICTVonline=202113312")</f>
        <v>ICTVonline=202113312</v>
      </c>
    </row>
    <row r="7727" spans="1:21" x14ac:dyDescent="0.2">
      <c r="A7727" s="3">
        <v>7726</v>
      </c>
      <c r="B7727" s="1" t="s">
        <v>4226</v>
      </c>
      <c r="D7727" s="1" t="s">
        <v>5412</v>
      </c>
      <c r="F7727" s="1" t="s">
        <v>3981</v>
      </c>
      <c r="G7727" s="1" t="s">
        <v>3982</v>
      </c>
      <c r="H7727" s="1" t="s">
        <v>3989</v>
      </c>
      <c r="J7727" s="1" t="s">
        <v>921</v>
      </c>
      <c r="L7727" s="1" t="s">
        <v>1329</v>
      </c>
      <c r="M7727" s="1" t="s">
        <v>8190</v>
      </c>
      <c r="N7727" s="1" t="s">
        <v>1330</v>
      </c>
      <c r="P7727" s="1" t="s">
        <v>13445</v>
      </c>
      <c r="Q7727" s="30" t="s">
        <v>2566</v>
      </c>
      <c r="R7727" s="33" t="s">
        <v>3475</v>
      </c>
      <c r="S7727">
        <v>37</v>
      </c>
      <c r="T7727" s="1" t="s">
        <v>14020</v>
      </c>
      <c r="U7727" s="1" t="str">
        <f>HYPERLINK("http://ictvonline.org/taxonomy/p/taxonomy-history?taxnode_id=202107671","ICTVonline=202107671")</f>
        <v>ICTVonline=202107671</v>
      </c>
    </row>
    <row r="7728" spans="1:21" x14ac:dyDescent="0.2">
      <c r="A7728" s="3">
        <v>7727</v>
      </c>
      <c r="B7728" s="1" t="s">
        <v>4226</v>
      </c>
      <c r="D7728" s="1" t="s">
        <v>5412</v>
      </c>
      <c r="F7728" s="1" t="s">
        <v>3981</v>
      </c>
      <c r="G7728" s="1" t="s">
        <v>3982</v>
      </c>
      <c r="H7728" s="1" t="s">
        <v>3989</v>
      </c>
      <c r="J7728" s="1" t="s">
        <v>921</v>
      </c>
      <c r="L7728" s="1" t="s">
        <v>1329</v>
      </c>
      <c r="M7728" s="1" t="s">
        <v>8190</v>
      </c>
      <c r="N7728" s="1" t="s">
        <v>1330</v>
      </c>
      <c r="P7728" s="1" t="s">
        <v>13446</v>
      </c>
      <c r="Q7728" s="30" t="s">
        <v>2566</v>
      </c>
      <c r="R7728" s="33" t="s">
        <v>3475</v>
      </c>
      <c r="S7728">
        <v>37</v>
      </c>
      <c r="T7728" s="1" t="s">
        <v>14020</v>
      </c>
      <c r="U7728" s="1" t="str">
        <f>HYPERLINK("http://ictvonline.org/taxonomy/p/taxonomy-history?taxnode_id=202101675","ICTVonline=202101675")</f>
        <v>ICTVonline=202101675</v>
      </c>
    </row>
    <row r="7729" spans="1:21" x14ac:dyDescent="0.2">
      <c r="A7729" s="3">
        <v>7728</v>
      </c>
      <c r="B7729" s="1" t="s">
        <v>4226</v>
      </c>
      <c r="D7729" s="1" t="s">
        <v>5412</v>
      </c>
      <c r="F7729" s="1" t="s">
        <v>3981</v>
      </c>
      <c r="G7729" s="1" t="s">
        <v>3982</v>
      </c>
      <c r="H7729" s="1" t="s">
        <v>3989</v>
      </c>
      <c r="J7729" s="1" t="s">
        <v>921</v>
      </c>
      <c r="L7729" s="1" t="s">
        <v>1329</v>
      </c>
      <c r="M7729" s="1" t="s">
        <v>8190</v>
      </c>
      <c r="N7729" s="1" t="s">
        <v>1330</v>
      </c>
      <c r="P7729" s="1" t="s">
        <v>13447</v>
      </c>
      <c r="Q7729" s="30" t="s">
        <v>2566</v>
      </c>
      <c r="R7729" s="33" t="s">
        <v>3475</v>
      </c>
      <c r="S7729">
        <v>37</v>
      </c>
      <c r="T7729" s="1" t="s">
        <v>14020</v>
      </c>
      <c r="U7729" s="1" t="str">
        <f>HYPERLINK("http://ictvonline.org/taxonomy/p/taxonomy-history?taxnode_id=202109363","ICTVonline=202109363")</f>
        <v>ICTVonline=202109363</v>
      </c>
    </row>
    <row r="7730" spans="1:21" x14ac:dyDescent="0.2">
      <c r="A7730" s="3">
        <v>7729</v>
      </c>
      <c r="B7730" s="1" t="s">
        <v>4226</v>
      </c>
      <c r="D7730" s="1" t="s">
        <v>5412</v>
      </c>
      <c r="F7730" s="1" t="s">
        <v>3981</v>
      </c>
      <c r="G7730" s="1" t="s">
        <v>3982</v>
      </c>
      <c r="H7730" s="1" t="s">
        <v>3989</v>
      </c>
      <c r="J7730" s="1" t="s">
        <v>921</v>
      </c>
      <c r="L7730" s="1" t="s">
        <v>1329</v>
      </c>
      <c r="M7730" s="1" t="s">
        <v>8190</v>
      </c>
      <c r="N7730" s="1" t="s">
        <v>1330</v>
      </c>
      <c r="P7730" s="1" t="s">
        <v>13448</v>
      </c>
      <c r="Q7730" s="30" t="s">
        <v>2566</v>
      </c>
      <c r="R7730" s="33" t="s">
        <v>3475</v>
      </c>
      <c r="S7730">
        <v>37</v>
      </c>
      <c r="T7730" s="1" t="s">
        <v>14020</v>
      </c>
      <c r="U7730" s="1" t="str">
        <f>HYPERLINK("http://ictvonline.org/taxonomy/p/taxonomy-history?taxnode_id=202101677","ICTVonline=202101677")</f>
        <v>ICTVonline=202101677</v>
      </c>
    </row>
    <row r="7731" spans="1:21" x14ac:dyDescent="0.2">
      <c r="A7731" s="3">
        <v>7730</v>
      </c>
      <c r="B7731" s="1" t="s">
        <v>4226</v>
      </c>
      <c r="D7731" s="1" t="s">
        <v>5412</v>
      </c>
      <c r="F7731" s="1" t="s">
        <v>3981</v>
      </c>
      <c r="G7731" s="1" t="s">
        <v>3982</v>
      </c>
      <c r="H7731" s="1" t="s">
        <v>3989</v>
      </c>
      <c r="J7731" s="1" t="s">
        <v>921</v>
      </c>
      <c r="L7731" s="1" t="s">
        <v>1329</v>
      </c>
      <c r="M7731" s="1" t="s">
        <v>8190</v>
      </c>
      <c r="N7731" s="1" t="s">
        <v>1330</v>
      </c>
      <c r="P7731" s="1" t="s">
        <v>13449</v>
      </c>
      <c r="Q7731" s="30" t="s">
        <v>2566</v>
      </c>
      <c r="R7731" s="33" t="s">
        <v>3475</v>
      </c>
      <c r="S7731">
        <v>37</v>
      </c>
      <c r="T7731" s="1" t="s">
        <v>14020</v>
      </c>
      <c r="U7731" s="1" t="str">
        <f>HYPERLINK("http://ictvonline.org/taxonomy/p/taxonomy-history?taxnode_id=202109362","ICTVonline=202109362")</f>
        <v>ICTVonline=202109362</v>
      </c>
    </row>
    <row r="7732" spans="1:21" x14ac:dyDescent="0.2">
      <c r="A7732" s="3">
        <v>7731</v>
      </c>
      <c r="B7732" s="1" t="s">
        <v>4226</v>
      </c>
      <c r="D7732" s="1" t="s">
        <v>5412</v>
      </c>
      <c r="F7732" s="1" t="s">
        <v>3981</v>
      </c>
      <c r="G7732" s="1" t="s">
        <v>3982</v>
      </c>
      <c r="H7732" s="1" t="s">
        <v>3989</v>
      </c>
      <c r="J7732" s="1" t="s">
        <v>921</v>
      </c>
      <c r="L7732" s="1" t="s">
        <v>1329</v>
      </c>
      <c r="M7732" s="1" t="s">
        <v>8190</v>
      </c>
      <c r="N7732" s="1" t="s">
        <v>2756</v>
      </c>
      <c r="P7732" s="1" t="s">
        <v>13450</v>
      </c>
      <c r="Q7732" s="30" t="s">
        <v>2566</v>
      </c>
      <c r="R7732" s="33" t="s">
        <v>3475</v>
      </c>
      <c r="S7732">
        <v>37</v>
      </c>
      <c r="T7732" s="1" t="s">
        <v>14020</v>
      </c>
      <c r="U7732" s="1" t="str">
        <f>HYPERLINK("http://ictvonline.org/taxonomy/p/taxonomy-history?taxnode_id=202106289","ICTVonline=202106289")</f>
        <v>ICTVonline=202106289</v>
      </c>
    </row>
    <row r="7733" spans="1:21" x14ac:dyDescent="0.2">
      <c r="A7733" s="3">
        <v>7732</v>
      </c>
      <c r="B7733" s="1" t="s">
        <v>4226</v>
      </c>
      <c r="D7733" s="1" t="s">
        <v>5412</v>
      </c>
      <c r="F7733" s="1" t="s">
        <v>3981</v>
      </c>
      <c r="G7733" s="1" t="s">
        <v>3982</v>
      </c>
      <c r="H7733" s="1" t="s">
        <v>3989</v>
      </c>
      <c r="J7733" s="1" t="s">
        <v>921</v>
      </c>
      <c r="L7733" s="1" t="s">
        <v>1329</v>
      </c>
      <c r="M7733" s="1" t="s">
        <v>8190</v>
      </c>
      <c r="N7733" s="1" t="s">
        <v>2756</v>
      </c>
      <c r="P7733" s="1" t="s">
        <v>13451</v>
      </c>
      <c r="Q7733" s="30" t="s">
        <v>2566</v>
      </c>
      <c r="R7733" s="33" t="s">
        <v>3475</v>
      </c>
      <c r="S7733">
        <v>37</v>
      </c>
      <c r="T7733" s="1" t="s">
        <v>14020</v>
      </c>
      <c r="U7733" s="1" t="str">
        <f>HYPERLINK("http://ictvonline.org/taxonomy/p/taxonomy-history?taxnode_id=202106288","ICTVonline=202106288")</f>
        <v>ICTVonline=202106288</v>
      </c>
    </row>
    <row r="7734" spans="1:21" x14ac:dyDescent="0.2">
      <c r="A7734" s="3">
        <v>7733</v>
      </c>
      <c r="B7734" s="1" t="s">
        <v>4226</v>
      </c>
      <c r="D7734" s="1" t="s">
        <v>5412</v>
      </c>
      <c r="F7734" s="1" t="s">
        <v>3981</v>
      </c>
      <c r="G7734" s="1" t="s">
        <v>3982</v>
      </c>
      <c r="H7734" s="1" t="s">
        <v>3989</v>
      </c>
      <c r="J7734" s="1" t="s">
        <v>921</v>
      </c>
      <c r="L7734" s="1" t="s">
        <v>1329</v>
      </c>
      <c r="M7734" s="1" t="s">
        <v>8190</v>
      </c>
      <c r="N7734" s="1" t="s">
        <v>2756</v>
      </c>
      <c r="P7734" s="1" t="s">
        <v>13452</v>
      </c>
      <c r="Q7734" s="30" t="s">
        <v>2566</v>
      </c>
      <c r="R7734" s="33" t="s">
        <v>3475</v>
      </c>
      <c r="S7734">
        <v>37</v>
      </c>
      <c r="T7734" s="1" t="s">
        <v>14020</v>
      </c>
      <c r="U7734" s="1" t="str">
        <f>HYPERLINK("http://ictvonline.org/taxonomy/p/taxonomy-history?taxnode_id=202101679","ICTVonline=202101679")</f>
        <v>ICTVonline=202101679</v>
      </c>
    </row>
    <row r="7735" spans="1:21" x14ac:dyDescent="0.2">
      <c r="A7735" s="3">
        <v>7734</v>
      </c>
      <c r="B7735" s="1" t="s">
        <v>4226</v>
      </c>
      <c r="D7735" s="1" t="s">
        <v>5412</v>
      </c>
      <c r="F7735" s="1" t="s">
        <v>3981</v>
      </c>
      <c r="G7735" s="1" t="s">
        <v>3982</v>
      </c>
      <c r="H7735" s="1" t="s">
        <v>3989</v>
      </c>
      <c r="J7735" s="1" t="s">
        <v>921</v>
      </c>
      <c r="L7735" s="1" t="s">
        <v>1329</v>
      </c>
      <c r="M7735" s="1" t="s">
        <v>8190</v>
      </c>
      <c r="N7735" s="1" t="s">
        <v>2756</v>
      </c>
      <c r="P7735" s="1" t="s">
        <v>13453</v>
      </c>
      <c r="Q7735" s="30" t="s">
        <v>2566</v>
      </c>
      <c r="R7735" s="33" t="s">
        <v>3475</v>
      </c>
      <c r="S7735">
        <v>37</v>
      </c>
      <c r="T7735" s="1" t="s">
        <v>14020</v>
      </c>
      <c r="U7735" s="1" t="str">
        <f>HYPERLINK("http://ictvonline.org/taxonomy/p/taxonomy-history?taxnode_id=202106287","ICTVonline=202106287")</f>
        <v>ICTVonline=202106287</v>
      </c>
    </row>
    <row r="7736" spans="1:21" x14ac:dyDescent="0.2">
      <c r="A7736" s="3">
        <v>7735</v>
      </c>
      <c r="B7736" s="1" t="s">
        <v>4226</v>
      </c>
      <c r="D7736" s="1" t="s">
        <v>5412</v>
      </c>
      <c r="F7736" s="1" t="s">
        <v>3981</v>
      </c>
      <c r="G7736" s="1" t="s">
        <v>3982</v>
      </c>
      <c r="H7736" s="1" t="s">
        <v>3989</v>
      </c>
      <c r="J7736" s="1" t="s">
        <v>921</v>
      </c>
      <c r="L7736" s="1" t="s">
        <v>1329</v>
      </c>
      <c r="M7736" s="1" t="s">
        <v>8190</v>
      </c>
      <c r="N7736" s="1" t="s">
        <v>2756</v>
      </c>
      <c r="P7736" s="1" t="s">
        <v>13454</v>
      </c>
      <c r="Q7736" s="30" t="s">
        <v>2566</v>
      </c>
      <c r="R7736" s="33" t="s">
        <v>3475</v>
      </c>
      <c r="S7736">
        <v>37</v>
      </c>
      <c r="T7736" s="1" t="s">
        <v>14020</v>
      </c>
      <c r="U7736" s="1" t="str">
        <f>HYPERLINK("http://ictvonline.org/taxonomy/p/taxonomy-history?taxnode_id=202101680","ICTVonline=202101680")</f>
        <v>ICTVonline=202101680</v>
      </c>
    </row>
    <row r="7737" spans="1:21" x14ac:dyDescent="0.2">
      <c r="A7737" s="3">
        <v>7736</v>
      </c>
      <c r="B7737" s="1" t="s">
        <v>4226</v>
      </c>
      <c r="D7737" s="1" t="s">
        <v>5412</v>
      </c>
      <c r="F7737" s="1" t="s">
        <v>3981</v>
      </c>
      <c r="G7737" s="1" t="s">
        <v>3982</v>
      </c>
      <c r="H7737" s="1" t="s">
        <v>3989</v>
      </c>
      <c r="J7737" s="1" t="s">
        <v>921</v>
      </c>
      <c r="L7737" s="1" t="s">
        <v>1329</v>
      </c>
      <c r="M7737" s="1" t="s">
        <v>8190</v>
      </c>
      <c r="N7737" s="1" t="s">
        <v>5500</v>
      </c>
      <c r="P7737" s="1" t="s">
        <v>13455</v>
      </c>
      <c r="Q7737" s="30" t="s">
        <v>2566</v>
      </c>
      <c r="R7737" s="33" t="s">
        <v>3475</v>
      </c>
      <c r="S7737">
        <v>37</v>
      </c>
      <c r="T7737" s="1" t="s">
        <v>14020</v>
      </c>
      <c r="U7737" s="1" t="str">
        <f>HYPERLINK("http://ictvonline.org/taxonomy/p/taxonomy-history?taxnode_id=202101744","ICTVonline=202101744")</f>
        <v>ICTVonline=202101744</v>
      </c>
    </row>
    <row r="7738" spans="1:21" x14ac:dyDescent="0.2">
      <c r="A7738" s="3">
        <v>7737</v>
      </c>
      <c r="B7738" s="1" t="s">
        <v>4226</v>
      </c>
      <c r="D7738" s="1" t="s">
        <v>5412</v>
      </c>
      <c r="F7738" s="1" t="s">
        <v>3981</v>
      </c>
      <c r="G7738" s="1" t="s">
        <v>3982</v>
      </c>
      <c r="H7738" s="1" t="s">
        <v>3989</v>
      </c>
      <c r="J7738" s="1" t="s">
        <v>921</v>
      </c>
      <c r="L7738" s="1" t="s">
        <v>1329</v>
      </c>
      <c r="M7738" s="1" t="s">
        <v>8190</v>
      </c>
      <c r="N7738" s="1" t="s">
        <v>1408</v>
      </c>
      <c r="P7738" s="1" t="s">
        <v>13456</v>
      </c>
      <c r="Q7738" s="30" t="s">
        <v>2566</v>
      </c>
      <c r="R7738" s="33" t="s">
        <v>3475</v>
      </c>
      <c r="S7738">
        <v>37</v>
      </c>
      <c r="T7738" s="1" t="s">
        <v>14020</v>
      </c>
      <c r="U7738" s="1" t="str">
        <f>HYPERLINK("http://ictvonline.org/taxonomy/p/taxonomy-history?taxnode_id=202109370","ICTVonline=202109370")</f>
        <v>ICTVonline=202109370</v>
      </c>
    </row>
    <row r="7739" spans="1:21" x14ac:dyDescent="0.2">
      <c r="A7739" s="3">
        <v>7738</v>
      </c>
      <c r="B7739" s="1" t="s">
        <v>4226</v>
      </c>
      <c r="D7739" s="1" t="s">
        <v>5412</v>
      </c>
      <c r="F7739" s="1" t="s">
        <v>3981</v>
      </c>
      <c r="G7739" s="1" t="s">
        <v>3982</v>
      </c>
      <c r="H7739" s="1" t="s">
        <v>3989</v>
      </c>
      <c r="J7739" s="1" t="s">
        <v>921</v>
      </c>
      <c r="L7739" s="1" t="s">
        <v>1329</v>
      </c>
      <c r="M7739" s="1" t="s">
        <v>8190</v>
      </c>
      <c r="N7739" s="1" t="s">
        <v>1408</v>
      </c>
      <c r="P7739" s="1" t="s">
        <v>13457</v>
      </c>
      <c r="Q7739" s="30" t="s">
        <v>2566</v>
      </c>
      <c r="R7739" s="33" t="s">
        <v>3475</v>
      </c>
      <c r="S7739">
        <v>37</v>
      </c>
      <c r="T7739" s="1" t="s">
        <v>14020</v>
      </c>
      <c r="U7739" s="1" t="str">
        <f>HYPERLINK("http://ictvonline.org/taxonomy/p/taxonomy-history?taxnode_id=202101787","ICTVonline=202101787")</f>
        <v>ICTVonline=202101787</v>
      </c>
    </row>
    <row r="7740" spans="1:21" x14ac:dyDescent="0.2">
      <c r="A7740" s="3">
        <v>7739</v>
      </c>
      <c r="B7740" s="1" t="s">
        <v>4226</v>
      </c>
      <c r="D7740" s="1" t="s">
        <v>5412</v>
      </c>
      <c r="F7740" s="1" t="s">
        <v>3981</v>
      </c>
      <c r="G7740" s="1" t="s">
        <v>3982</v>
      </c>
      <c r="H7740" s="1" t="s">
        <v>3989</v>
      </c>
      <c r="J7740" s="1" t="s">
        <v>921</v>
      </c>
      <c r="L7740" s="1" t="s">
        <v>1329</v>
      </c>
      <c r="M7740" s="1" t="s">
        <v>8190</v>
      </c>
      <c r="N7740" s="1" t="s">
        <v>1408</v>
      </c>
      <c r="P7740" s="1" t="s">
        <v>13458</v>
      </c>
      <c r="Q7740" s="30" t="s">
        <v>2566</v>
      </c>
      <c r="R7740" s="33" t="s">
        <v>3475</v>
      </c>
      <c r="S7740">
        <v>37</v>
      </c>
      <c r="T7740" s="1" t="s">
        <v>14020</v>
      </c>
      <c r="U7740" s="1" t="str">
        <f>HYPERLINK("http://ictvonline.org/taxonomy/p/taxonomy-history?taxnode_id=202109369","ICTVonline=202109369")</f>
        <v>ICTVonline=202109369</v>
      </c>
    </row>
    <row r="7741" spans="1:21" x14ac:dyDescent="0.2">
      <c r="A7741" s="3">
        <v>7740</v>
      </c>
      <c r="B7741" s="1" t="s">
        <v>4226</v>
      </c>
      <c r="D7741" s="1" t="s">
        <v>5412</v>
      </c>
      <c r="F7741" s="1" t="s">
        <v>3981</v>
      </c>
      <c r="G7741" s="1" t="s">
        <v>3982</v>
      </c>
      <c r="H7741" s="1" t="s">
        <v>3989</v>
      </c>
      <c r="J7741" s="1" t="s">
        <v>921</v>
      </c>
      <c r="L7741" s="1" t="s">
        <v>1329</v>
      </c>
      <c r="M7741" s="1" t="s">
        <v>8191</v>
      </c>
      <c r="N7741" s="1" t="s">
        <v>1028</v>
      </c>
      <c r="P7741" s="1" t="s">
        <v>13459</v>
      </c>
      <c r="Q7741" s="30" t="s">
        <v>2566</v>
      </c>
      <c r="R7741" s="33" t="s">
        <v>3475</v>
      </c>
      <c r="S7741">
        <v>37</v>
      </c>
      <c r="T7741" s="1" t="s">
        <v>14020</v>
      </c>
      <c r="U7741" s="1" t="str">
        <f>HYPERLINK("http://ictvonline.org/taxonomy/p/taxonomy-history?taxnode_id=202101737","ICTVonline=202101737")</f>
        <v>ICTVonline=202101737</v>
      </c>
    </row>
    <row r="7742" spans="1:21" x14ac:dyDescent="0.2">
      <c r="A7742" s="3">
        <v>7741</v>
      </c>
      <c r="B7742" s="1" t="s">
        <v>4226</v>
      </c>
      <c r="D7742" s="1" t="s">
        <v>5412</v>
      </c>
      <c r="F7742" s="1" t="s">
        <v>3981</v>
      </c>
      <c r="G7742" s="1" t="s">
        <v>3982</v>
      </c>
      <c r="H7742" s="1" t="s">
        <v>3989</v>
      </c>
      <c r="J7742" s="1" t="s">
        <v>921</v>
      </c>
      <c r="L7742" s="1" t="s">
        <v>1329</v>
      </c>
      <c r="M7742" s="1" t="s">
        <v>8191</v>
      </c>
      <c r="N7742" s="1" t="s">
        <v>1028</v>
      </c>
      <c r="P7742" s="1" t="s">
        <v>13460</v>
      </c>
      <c r="Q7742" s="30" t="s">
        <v>2566</v>
      </c>
      <c r="R7742" s="33" t="s">
        <v>3475</v>
      </c>
      <c r="S7742">
        <v>37</v>
      </c>
      <c r="T7742" s="1" t="s">
        <v>14020</v>
      </c>
      <c r="U7742" s="1" t="str">
        <f>HYPERLINK("http://ictvonline.org/taxonomy/p/taxonomy-history?taxnode_id=202101738","ICTVonline=202101738")</f>
        <v>ICTVonline=202101738</v>
      </c>
    </row>
    <row r="7743" spans="1:21" x14ac:dyDescent="0.2">
      <c r="A7743" s="3">
        <v>7742</v>
      </c>
      <c r="B7743" s="1" t="s">
        <v>4226</v>
      </c>
      <c r="D7743" s="1" t="s">
        <v>5412</v>
      </c>
      <c r="F7743" s="1" t="s">
        <v>3981</v>
      </c>
      <c r="G7743" s="1" t="s">
        <v>3982</v>
      </c>
      <c r="H7743" s="1" t="s">
        <v>3989</v>
      </c>
      <c r="J7743" s="1" t="s">
        <v>921</v>
      </c>
      <c r="L7743" s="1" t="s">
        <v>1329</v>
      </c>
      <c r="M7743" s="1" t="s">
        <v>8191</v>
      </c>
      <c r="N7743" s="1" t="s">
        <v>1028</v>
      </c>
      <c r="P7743" s="1" t="s">
        <v>13461</v>
      </c>
      <c r="Q7743" s="30" t="s">
        <v>2566</v>
      </c>
      <c r="R7743" s="33" t="s">
        <v>3475</v>
      </c>
      <c r="S7743">
        <v>37</v>
      </c>
      <c r="T7743" s="1" t="s">
        <v>14020</v>
      </c>
      <c r="U7743" s="1" t="str">
        <f>HYPERLINK("http://ictvonline.org/taxonomy/p/taxonomy-history?taxnode_id=202101739","ICTVonline=202101739")</f>
        <v>ICTVonline=202101739</v>
      </c>
    </row>
    <row r="7744" spans="1:21" x14ac:dyDescent="0.2">
      <c r="A7744" s="3">
        <v>7743</v>
      </c>
      <c r="B7744" s="1" t="s">
        <v>4226</v>
      </c>
      <c r="D7744" s="1" t="s">
        <v>5412</v>
      </c>
      <c r="F7744" s="1" t="s">
        <v>3981</v>
      </c>
      <c r="G7744" s="1" t="s">
        <v>3982</v>
      </c>
      <c r="H7744" s="1" t="s">
        <v>3989</v>
      </c>
      <c r="J7744" s="1" t="s">
        <v>921</v>
      </c>
      <c r="L7744" s="1" t="s">
        <v>1329</v>
      </c>
      <c r="M7744" s="1" t="s">
        <v>8191</v>
      </c>
      <c r="N7744" s="1" t="s">
        <v>1028</v>
      </c>
      <c r="P7744" s="1" t="s">
        <v>13462</v>
      </c>
      <c r="Q7744" s="30" t="s">
        <v>2566</v>
      </c>
      <c r="R7744" s="33" t="s">
        <v>3475</v>
      </c>
      <c r="S7744">
        <v>37</v>
      </c>
      <c r="T7744" s="1" t="s">
        <v>14020</v>
      </c>
      <c r="U7744" s="1" t="str">
        <f>HYPERLINK("http://ictvonline.org/taxonomy/p/taxonomy-history?taxnode_id=202101740","ICTVonline=202101740")</f>
        <v>ICTVonline=202101740</v>
      </c>
    </row>
    <row r="7745" spans="1:21" x14ac:dyDescent="0.2">
      <c r="A7745" s="3">
        <v>7744</v>
      </c>
      <c r="B7745" s="1" t="s">
        <v>4226</v>
      </c>
      <c r="D7745" s="1" t="s">
        <v>5412</v>
      </c>
      <c r="F7745" s="1" t="s">
        <v>3981</v>
      </c>
      <c r="G7745" s="1" t="s">
        <v>3982</v>
      </c>
      <c r="H7745" s="1" t="s">
        <v>3989</v>
      </c>
      <c r="J7745" s="1" t="s">
        <v>921</v>
      </c>
      <c r="L7745" s="1" t="s">
        <v>1329</v>
      </c>
      <c r="N7745" s="1" t="s">
        <v>8192</v>
      </c>
      <c r="P7745" s="1" t="s">
        <v>13463</v>
      </c>
      <c r="Q7745" s="30" t="s">
        <v>2566</v>
      </c>
      <c r="R7745" s="33" t="s">
        <v>3475</v>
      </c>
      <c r="S7745">
        <v>37</v>
      </c>
      <c r="T7745" s="1" t="s">
        <v>14020</v>
      </c>
      <c r="U7745" s="1" t="str">
        <f>HYPERLINK("http://ictvonline.org/taxonomy/p/taxonomy-history?taxnode_id=202109636","ICTVonline=202109636")</f>
        <v>ICTVonline=202109636</v>
      </c>
    </row>
    <row r="7746" spans="1:21" x14ac:dyDescent="0.2">
      <c r="A7746" s="3">
        <v>7745</v>
      </c>
      <c r="B7746" s="1" t="s">
        <v>4226</v>
      </c>
      <c r="D7746" s="1" t="s">
        <v>5412</v>
      </c>
      <c r="F7746" s="1" t="s">
        <v>3981</v>
      </c>
      <c r="G7746" s="1" t="s">
        <v>3982</v>
      </c>
      <c r="H7746" s="1" t="s">
        <v>3989</v>
      </c>
      <c r="J7746" s="1" t="s">
        <v>921</v>
      </c>
      <c r="L7746" s="1" t="s">
        <v>1329</v>
      </c>
      <c r="N7746" s="1" t="s">
        <v>8192</v>
      </c>
      <c r="P7746" s="1" t="s">
        <v>13464</v>
      </c>
      <c r="Q7746" s="30" t="s">
        <v>2566</v>
      </c>
      <c r="R7746" s="33" t="s">
        <v>3475</v>
      </c>
      <c r="S7746">
        <v>37</v>
      </c>
      <c r="T7746" s="1" t="s">
        <v>14020</v>
      </c>
      <c r="U7746" s="1" t="str">
        <f>HYPERLINK("http://ictvonline.org/taxonomy/p/taxonomy-history?taxnode_id=202109637","ICTVonline=202109637")</f>
        <v>ICTVonline=202109637</v>
      </c>
    </row>
    <row r="7747" spans="1:21" x14ac:dyDescent="0.2">
      <c r="A7747" s="3">
        <v>7746</v>
      </c>
      <c r="B7747" s="1" t="s">
        <v>4226</v>
      </c>
      <c r="D7747" s="1" t="s">
        <v>5412</v>
      </c>
      <c r="F7747" s="1" t="s">
        <v>3981</v>
      </c>
      <c r="G7747" s="1" t="s">
        <v>3982</v>
      </c>
      <c r="H7747" s="1" t="s">
        <v>3989</v>
      </c>
      <c r="J7747" s="1" t="s">
        <v>921</v>
      </c>
      <c r="L7747" s="1" t="s">
        <v>1329</v>
      </c>
      <c r="N7747" s="1" t="s">
        <v>8193</v>
      </c>
      <c r="P7747" s="1" t="s">
        <v>13465</v>
      </c>
      <c r="Q7747" s="30" t="s">
        <v>2566</v>
      </c>
      <c r="R7747" s="33" t="s">
        <v>3475</v>
      </c>
      <c r="S7747">
        <v>37</v>
      </c>
      <c r="T7747" s="1" t="s">
        <v>14020</v>
      </c>
      <c r="U7747" s="1" t="str">
        <f>HYPERLINK("http://ictvonline.org/taxonomy/p/taxonomy-history?taxnode_id=202109640","ICTVonline=202109640")</f>
        <v>ICTVonline=202109640</v>
      </c>
    </row>
    <row r="7748" spans="1:21" x14ac:dyDescent="0.2">
      <c r="A7748" s="3">
        <v>7747</v>
      </c>
      <c r="B7748" s="1" t="s">
        <v>4226</v>
      </c>
      <c r="D7748" s="1" t="s">
        <v>5412</v>
      </c>
      <c r="F7748" s="1" t="s">
        <v>3981</v>
      </c>
      <c r="G7748" s="1" t="s">
        <v>3982</v>
      </c>
      <c r="H7748" s="1" t="s">
        <v>3989</v>
      </c>
      <c r="J7748" s="1" t="s">
        <v>921</v>
      </c>
      <c r="L7748" s="1" t="s">
        <v>1329</v>
      </c>
      <c r="N7748" s="1" t="s">
        <v>8193</v>
      </c>
      <c r="P7748" s="1" t="s">
        <v>13466</v>
      </c>
      <c r="Q7748" s="30" t="s">
        <v>2566</v>
      </c>
      <c r="R7748" s="33" t="s">
        <v>3475</v>
      </c>
      <c r="S7748">
        <v>37</v>
      </c>
      <c r="T7748" s="1" t="s">
        <v>14020</v>
      </c>
      <c r="U7748" s="1" t="str">
        <f>HYPERLINK("http://ictvonline.org/taxonomy/p/taxonomy-history?taxnode_id=202109639","ICTVonline=202109639")</f>
        <v>ICTVonline=202109639</v>
      </c>
    </row>
    <row r="7749" spans="1:21" x14ac:dyDescent="0.2">
      <c r="A7749" s="3">
        <v>7748</v>
      </c>
      <c r="B7749" s="1" t="s">
        <v>4226</v>
      </c>
      <c r="D7749" s="1" t="s">
        <v>5412</v>
      </c>
      <c r="F7749" s="1" t="s">
        <v>3981</v>
      </c>
      <c r="G7749" s="1" t="s">
        <v>3982</v>
      </c>
      <c r="H7749" s="1" t="s">
        <v>3989</v>
      </c>
      <c r="J7749" s="1" t="s">
        <v>921</v>
      </c>
      <c r="L7749" s="1" t="s">
        <v>1329</v>
      </c>
      <c r="N7749" s="1" t="s">
        <v>8194</v>
      </c>
      <c r="P7749" s="1" t="s">
        <v>13467</v>
      </c>
      <c r="Q7749" s="30" t="s">
        <v>2566</v>
      </c>
      <c r="R7749" s="33" t="s">
        <v>3475</v>
      </c>
      <c r="S7749">
        <v>37</v>
      </c>
      <c r="T7749" s="1" t="s">
        <v>14020</v>
      </c>
      <c r="U7749" s="1" t="str">
        <f>HYPERLINK("http://ictvonline.org/taxonomy/p/taxonomy-history?taxnode_id=202109643","ICTVonline=202109643")</f>
        <v>ICTVonline=202109643</v>
      </c>
    </row>
    <row r="7750" spans="1:21" x14ac:dyDescent="0.2">
      <c r="A7750" s="3">
        <v>7749</v>
      </c>
      <c r="B7750" s="1" t="s">
        <v>4226</v>
      </c>
      <c r="D7750" s="1" t="s">
        <v>5412</v>
      </c>
      <c r="F7750" s="1" t="s">
        <v>3981</v>
      </c>
      <c r="G7750" s="1" t="s">
        <v>3982</v>
      </c>
      <c r="H7750" s="1" t="s">
        <v>3989</v>
      </c>
      <c r="J7750" s="1" t="s">
        <v>921</v>
      </c>
      <c r="L7750" s="1" t="s">
        <v>1329</v>
      </c>
      <c r="N7750" s="1" t="s">
        <v>8194</v>
      </c>
      <c r="P7750" s="1" t="s">
        <v>13468</v>
      </c>
      <c r="Q7750" s="30" t="s">
        <v>2566</v>
      </c>
      <c r="R7750" s="33" t="s">
        <v>3475</v>
      </c>
      <c r="S7750">
        <v>37</v>
      </c>
      <c r="T7750" s="1" t="s">
        <v>14020</v>
      </c>
      <c r="U7750" s="1" t="str">
        <f>HYPERLINK("http://ictvonline.org/taxonomy/p/taxonomy-history?taxnode_id=202109645","ICTVonline=202109645")</f>
        <v>ICTVonline=202109645</v>
      </c>
    </row>
    <row r="7751" spans="1:21" x14ac:dyDescent="0.2">
      <c r="A7751" s="3">
        <v>7750</v>
      </c>
      <c r="B7751" s="1" t="s">
        <v>4226</v>
      </c>
      <c r="D7751" s="1" t="s">
        <v>5412</v>
      </c>
      <c r="F7751" s="1" t="s">
        <v>3981</v>
      </c>
      <c r="G7751" s="1" t="s">
        <v>3982</v>
      </c>
      <c r="H7751" s="1" t="s">
        <v>3989</v>
      </c>
      <c r="J7751" s="1" t="s">
        <v>921</v>
      </c>
      <c r="L7751" s="1" t="s">
        <v>1329</v>
      </c>
      <c r="N7751" s="1" t="s">
        <v>8194</v>
      </c>
      <c r="P7751" s="1" t="s">
        <v>13469</v>
      </c>
      <c r="Q7751" s="30" t="s">
        <v>2566</v>
      </c>
      <c r="R7751" s="33" t="s">
        <v>3475</v>
      </c>
      <c r="S7751">
        <v>37</v>
      </c>
      <c r="T7751" s="1" t="s">
        <v>14020</v>
      </c>
      <c r="U7751" s="1" t="str">
        <f>HYPERLINK("http://ictvonline.org/taxonomy/p/taxonomy-history?taxnode_id=202109642","ICTVonline=202109642")</f>
        <v>ICTVonline=202109642</v>
      </c>
    </row>
    <row r="7752" spans="1:21" x14ac:dyDescent="0.2">
      <c r="A7752" s="3">
        <v>7751</v>
      </c>
      <c r="B7752" s="1" t="s">
        <v>4226</v>
      </c>
      <c r="D7752" s="1" t="s">
        <v>5412</v>
      </c>
      <c r="F7752" s="1" t="s">
        <v>3981</v>
      </c>
      <c r="G7752" s="1" t="s">
        <v>3982</v>
      </c>
      <c r="H7752" s="1" t="s">
        <v>3989</v>
      </c>
      <c r="J7752" s="1" t="s">
        <v>921</v>
      </c>
      <c r="L7752" s="1" t="s">
        <v>1329</v>
      </c>
      <c r="N7752" s="1" t="s">
        <v>8194</v>
      </c>
      <c r="P7752" s="1" t="s">
        <v>13470</v>
      </c>
      <c r="Q7752" s="30" t="s">
        <v>2566</v>
      </c>
      <c r="R7752" s="33" t="s">
        <v>3475</v>
      </c>
      <c r="S7752">
        <v>37</v>
      </c>
      <c r="T7752" s="1" t="s">
        <v>14020</v>
      </c>
      <c r="U7752" s="1" t="str">
        <f>HYPERLINK("http://ictvonline.org/taxonomy/p/taxonomy-history?taxnode_id=202109644","ICTVonline=202109644")</f>
        <v>ICTVonline=202109644</v>
      </c>
    </row>
    <row r="7753" spans="1:21" x14ac:dyDescent="0.2">
      <c r="A7753" s="3">
        <v>7752</v>
      </c>
      <c r="B7753" s="1" t="s">
        <v>4226</v>
      </c>
      <c r="D7753" s="1" t="s">
        <v>5412</v>
      </c>
      <c r="F7753" s="1" t="s">
        <v>3981</v>
      </c>
      <c r="G7753" s="1" t="s">
        <v>3982</v>
      </c>
      <c r="H7753" s="1" t="s">
        <v>3989</v>
      </c>
      <c r="J7753" s="1" t="s">
        <v>921</v>
      </c>
      <c r="L7753" s="1" t="s">
        <v>1329</v>
      </c>
      <c r="N7753" s="1" t="s">
        <v>8195</v>
      </c>
      <c r="P7753" s="1" t="s">
        <v>13471</v>
      </c>
      <c r="Q7753" s="30" t="s">
        <v>2566</v>
      </c>
      <c r="R7753" s="33" t="s">
        <v>3475</v>
      </c>
      <c r="S7753">
        <v>37</v>
      </c>
      <c r="T7753" s="1" t="s">
        <v>14020</v>
      </c>
      <c r="U7753" s="1" t="str">
        <f>HYPERLINK("http://ictvonline.org/taxonomy/p/taxonomy-history?taxnode_id=202109647","ICTVonline=202109647")</f>
        <v>ICTVonline=202109647</v>
      </c>
    </row>
    <row r="7754" spans="1:21" x14ac:dyDescent="0.2">
      <c r="A7754" s="3">
        <v>7753</v>
      </c>
      <c r="B7754" s="1" t="s">
        <v>4226</v>
      </c>
      <c r="D7754" s="1" t="s">
        <v>5412</v>
      </c>
      <c r="F7754" s="1" t="s">
        <v>3981</v>
      </c>
      <c r="G7754" s="1" t="s">
        <v>3982</v>
      </c>
      <c r="H7754" s="1" t="s">
        <v>3989</v>
      </c>
      <c r="J7754" s="1" t="s">
        <v>921</v>
      </c>
      <c r="L7754" s="1" t="s">
        <v>1329</v>
      </c>
      <c r="N7754" s="1" t="s">
        <v>8195</v>
      </c>
      <c r="P7754" s="1" t="s">
        <v>13472</v>
      </c>
      <c r="Q7754" s="30" t="s">
        <v>2566</v>
      </c>
      <c r="R7754" s="33" t="s">
        <v>3475</v>
      </c>
      <c r="S7754">
        <v>37</v>
      </c>
      <c r="T7754" s="1" t="s">
        <v>14020</v>
      </c>
      <c r="U7754" s="1" t="str">
        <f>HYPERLINK("http://ictvonline.org/taxonomy/p/taxonomy-history?taxnode_id=202109648","ICTVonline=202109648")</f>
        <v>ICTVonline=202109648</v>
      </c>
    </row>
    <row r="7755" spans="1:21" x14ac:dyDescent="0.2">
      <c r="A7755" s="3">
        <v>7754</v>
      </c>
      <c r="B7755" s="1" t="s">
        <v>4226</v>
      </c>
      <c r="D7755" s="1" t="s">
        <v>5412</v>
      </c>
      <c r="F7755" s="1" t="s">
        <v>3981</v>
      </c>
      <c r="G7755" s="1" t="s">
        <v>3982</v>
      </c>
      <c r="H7755" s="1" t="s">
        <v>3989</v>
      </c>
      <c r="J7755" s="1" t="s">
        <v>921</v>
      </c>
      <c r="L7755" s="1" t="s">
        <v>1329</v>
      </c>
      <c r="N7755" s="1" t="s">
        <v>8196</v>
      </c>
      <c r="P7755" s="1" t="s">
        <v>13473</v>
      </c>
      <c r="Q7755" s="30" t="s">
        <v>2566</v>
      </c>
      <c r="R7755" s="33" t="s">
        <v>3475</v>
      </c>
      <c r="S7755">
        <v>37</v>
      </c>
      <c r="T7755" s="1" t="s">
        <v>14020</v>
      </c>
      <c r="U7755" s="1" t="str">
        <f>HYPERLINK("http://ictvonline.org/taxonomy/p/taxonomy-history?taxnode_id=202109651","ICTVonline=202109651")</f>
        <v>ICTVonline=202109651</v>
      </c>
    </row>
    <row r="7756" spans="1:21" x14ac:dyDescent="0.2">
      <c r="A7756" s="3">
        <v>7755</v>
      </c>
      <c r="B7756" s="1" t="s">
        <v>4226</v>
      </c>
      <c r="D7756" s="1" t="s">
        <v>5412</v>
      </c>
      <c r="F7756" s="1" t="s">
        <v>3981</v>
      </c>
      <c r="G7756" s="1" t="s">
        <v>3982</v>
      </c>
      <c r="H7756" s="1" t="s">
        <v>3989</v>
      </c>
      <c r="J7756" s="1" t="s">
        <v>921</v>
      </c>
      <c r="L7756" s="1" t="s">
        <v>1329</v>
      </c>
      <c r="N7756" s="1" t="s">
        <v>8196</v>
      </c>
      <c r="P7756" s="1" t="s">
        <v>13474</v>
      </c>
      <c r="Q7756" s="30" t="s">
        <v>2566</v>
      </c>
      <c r="R7756" s="33" t="s">
        <v>3475</v>
      </c>
      <c r="S7756">
        <v>37</v>
      </c>
      <c r="T7756" s="1" t="s">
        <v>14020</v>
      </c>
      <c r="U7756" s="1" t="str">
        <f>HYPERLINK("http://ictvonline.org/taxonomy/p/taxonomy-history?taxnode_id=202109650","ICTVonline=202109650")</f>
        <v>ICTVonline=202109650</v>
      </c>
    </row>
    <row r="7757" spans="1:21" x14ac:dyDescent="0.2">
      <c r="A7757" s="3">
        <v>7756</v>
      </c>
      <c r="B7757" s="1" t="s">
        <v>4226</v>
      </c>
      <c r="D7757" s="1" t="s">
        <v>5412</v>
      </c>
      <c r="F7757" s="1" t="s">
        <v>3981</v>
      </c>
      <c r="G7757" s="1" t="s">
        <v>3982</v>
      </c>
      <c r="H7757" s="1" t="s">
        <v>3989</v>
      </c>
      <c r="J7757" s="1" t="s">
        <v>921</v>
      </c>
      <c r="L7757" s="1" t="s">
        <v>1329</v>
      </c>
      <c r="N7757" s="1" t="s">
        <v>8197</v>
      </c>
      <c r="P7757" s="1" t="s">
        <v>13475</v>
      </c>
      <c r="Q7757" s="30" t="s">
        <v>2566</v>
      </c>
      <c r="R7757" s="33" t="s">
        <v>3475</v>
      </c>
      <c r="S7757">
        <v>37</v>
      </c>
      <c r="T7757" s="1" t="s">
        <v>14020</v>
      </c>
      <c r="U7757" s="1" t="str">
        <f>HYPERLINK("http://ictvonline.org/taxonomy/p/taxonomy-history?taxnode_id=202109653","ICTVonline=202109653")</f>
        <v>ICTVonline=202109653</v>
      </c>
    </row>
    <row r="7758" spans="1:21" x14ac:dyDescent="0.2">
      <c r="A7758" s="3">
        <v>7757</v>
      </c>
      <c r="B7758" s="1" t="s">
        <v>4226</v>
      </c>
      <c r="D7758" s="1" t="s">
        <v>5412</v>
      </c>
      <c r="F7758" s="1" t="s">
        <v>3981</v>
      </c>
      <c r="G7758" s="1" t="s">
        <v>3982</v>
      </c>
      <c r="H7758" s="1" t="s">
        <v>3989</v>
      </c>
      <c r="J7758" s="1" t="s">
        <v>921</v>
      </c>
      <c r="L7758" s="1" t="s">
        <v>1329</v>
      </c>
      <c r="N7758" s="1" t="s">
        <v>8197</v>
      </c>
      <c r="P7758" s="1" t="s">
        <v>13476</v>
      </c>
      <c r="Q7758" s="30" t="s">
        <v>2566</v>
      </c>
      <c r="R7758" s="33" t="s">
        <v>3475</v>
      </c>
      <c r="S7758">
        <v>37</v>
      </c>
      <c r="T7758" s="1" t="s">
        <v>14020</v>
      </c>
      <c r="U7758" s="1" t="str">
        <f>HYPERLINK("http://ictvonline.org/taxonomy/p/taxonomy-history?taxnode_id=202109654","ICTVonline=202109654")</f>
        <v>ICTVonline=202109654</v>
      </c>
    </row>
    <row r="7759" spans="1:21" x14ac:dyDescent="0.2">
      <c r="A7759" s="3">
        <v>7758</v>
      </c>
      <c r="B7759" s="1" t="s">
        <v>4226</v>
      </c>
      <c r="D7759" s="1" t="s">
        <v>5412</v>
      </c>
      <c r="F7759" s="1" t="s">
        <v>3981</v>
      </c>
      <c r="G7759" s="1" t="s">
        <v>3982</v>
      </c>
      <c r="H7759" s="1" t="s">
        <v>3989</v>
      </c>
      <c r="J7759" s="1" t="s">
        <v>921</v>
      </c>
      <c r="L7759" s="1" t="s">
        <v>1329</v>
      </c>
      <c r="N7759" s="1" t="s">
        <v>8198</v>
      </c>
      <c r="P7759" s="1" t="s">
        <v>13477</v>
      </c>
      <c r="Q7759" s="30" t="s">
        <v>2566</v>
      </c>
      <c r="R7759" s="33" t="s">
        <v>3475</v>
      </c>
      <c r="S7759">
        <v>37</v>
      </c>
      <c r="T7759" s="1" t="s">
        <v>14020</v>
      </c>
      <c r="U7759" s="1" t="str">
        <f>HYPERLINK("http://ictvonline.org/taxonomy/p/taxonomy-history?taxnode_id=202109656","ICTVonline=202109656")</f>
        <v>ICTVonline=202109656</v>
      </c>
    </row>
    <row r="7760" spans="1:21" x14ac:dyDescent="0.2">
      <c r="A7760" s="3">
        <v>7759</v>
      </c>
      <c r="B7760" s="1" t="s">
        <v>4226</v>
      </c>
      <c r="D7760" s="1" t="s">
        <v>5412</v>
      </c>
      <c r="F7760" s="1" t="s">
        <v>3981</v>
      </c>
      <c r="G7760" s="1" t="s">
        <v>3982</v>
      </c>
      <c r="H7760" s="1" t="s">
        <v>3989</v>
      </c>
      <c r="J7760" s="1" t="s">
        <v>921</v>
      </c>
      <c r="L7760" s="1" t="s">
        <v>1329</v>
      </c>
      <c r="N7760" s="1" t="s">
        <v>8198</v>
      </c>
      <c r="P7760" s="1" t="s">
        <v>13478</v>
      </c>
      <c r="Q7760" s="30" t="s">
        <v>2566</v>
      </c>
      <c r="R7760" s="33" t="s">
        <v>3475</v>
      </c>
      <c r="S7760">
        <v>37</v>
      </c>
      <c r="T7760" s="1" t="s">
        <v>14020</v>
      </c>
      <c r="U7760" s="1" t="str">
        <f>HYPERLINK("http://ictvonline.org/taxonomy/p/taxonomy-history?taxnode_id=202109657","ICTVonline=202109657")</f>
        <v>ICTVonline=202109657</v>
      </c>
    </row>
    <row r="7761" spans="1:21" x14ac:dyDescent="0.2">
      <c r="A7761" s="3">
        <v>7760</v>
      </c>
      <c r="B7761" s="1" t="s">
        <v>4226</v>
      </c>
      <c r="D7761" s="1" t="s">
        <v>5412</v>
      </c>
      <c r="F7761" s="1" t="s">
        <v>3981</v>
      </c>
      <c r="G7761" s="1" t="s">
        <v>3982</v>
      </c>
      <c r="H7761" s="1" t="s">
        <v>3989</v>
      </c>
      <c r="J7761" s="1" t="s">
        <v>921</v>
      </c>
      <c r="L7761" s="1" t="s">
        <v>2757</v>
      </c>
      <c r="N7761" s="1" t="s">
        <v>2758</v>
      </c>
      <c r="P7761" s="1" t="s">
        <v>13479</v>
      </c>
      <c r="Q7761" s="30" t="s">
        <v>2566</v>
      </c>
      <c r="R7761" s="33" t="s">
        <v>3475</v>
      </c>
      <c r="S7761">
        <v>37</v>
      </c>
      <c r="T7761" s="1" t="s">
        <v>14032</v>
      </c>
      <c r="U7761" s="1" t="str">
        <f>HYPERLINK("http://ictvonline.org/taxonomy/p/taxonomy-history?taxnode_id=202101808","ICTVonline=202101808")</f>
        <v>ICTVonline=202101808</v>
      </c>
    </row>
    <row r="7762" spans="1:21" x14ac:dyDescent="0.2">
      <c r="A7762" s="3">
        <v>7761</v>
      </c>
      <c r="B7762" s="1" t="s">
        <v>4226</v>
      </c>
      <c r="D7762" s="1" t="s">
        <v>5412</v>
      </c>
      <c r="F7762" s="1" t="s">
        <v>3981</v>
      </c>
      <c r="G7762" s="1" t="s">
        <v>3982</v>
      </c>
      <c r="H7762" s="1" t="s">
        <v>3989</v>
      </c>
      <c r="J7762" s="1" t="s">
        <v>921</v>
      </c>
      <c r="L7762" s="1" t="s">
        <v>3998</v>
      </c>
      <c r="N7762" s="1" t="s">
        <v>13480</v>
      </c>
      <c r="P7762" s="1" t="s">
        <v>13481</v>
      </c>
      <c r="Q7762" s="30" t="s">
        <v>2566</v>
      </c>
      <c r="R7762" s="33" t="s">
        <v>3473</v>
      </c>
      <c r="S7762">
        <v>37</v>
      </c>
      <c r="T7762" s="1" t="s">
        <v>14033</v>
      </c>
      <c r="U7762" s="1" t="str">
        <f>HYPERLINK("http://ictvonline.org/taxonomy/p/taxonomy-history?taxnode_id=202106265","ICTVonline=202106265")</f>
        <v>ICTVonline=202106265</v>
      </c>
    </row>
    <row r="7763" spans="1:21" x14ac:dyDescent="0.2">
      <c r="A7763" s="3">
        <v>7762</v>
      </c>
      <c r="B7763" s="1" t="s">
        <v>4226</v>
      </c>
      <c r="D7763" s="1" t="s">
        <v>5412</v>
      </c>
      <c r="F7763" s="1" t="s">
        <v>3981</v>
      </c>
      <c r="G7763" s="1" t="s">
        <v>3982</v>
      </c>
      <c r="H7763" s="1" t="s">
        <v>3989</v>
      </c>
      <c r="J7763" s="1" t="s">
        <v>921</v>
      </c>
      <c r="L7763" s="1" t="s">
        <v>3998</v>
      </c>
      <c r="N7763" s="1" t="s">
        <v>2759</v>
      </c>
      <c r="P7763" s="1" t="s">
        <v>13482</v>
      </c>
      <c r="Q7763" s="30" t="s">
        <v>2566</v>
      </c>
      <c r="R7763" s="33" t="s">
        <v>3475</v>
      </c>
      <c r="S7763">
        <v>37</v>
      </c>
      <c r="T7763" s="1" t="s">
        <v>14033</v>
      </c>
      <c r="U7763" s="1" t="str">
        <f>HYPERLINK("http://ictvonline.org/taxonomy/p/taxonomy-history?taxnode_id=202101812","ICTVonline=202101812")</f>
        <v>ICTVonline=202101812</v>
      </c>
    </row>
    <row r="7764" spans="1:21" x14ac:dyDescent="0.2">
      <c r="A7764" s="3">
        <v>7763</v>
      </c>
      <c r="B7764" s="1" t="s">
        <v>4226</v>
      </c>
      <c r="D7764" s="1" t="s">
        <v>5412</v>
      </c>
      <c r="F7764" s="1" t="s">
        <v>3981</v>
      </c>
      <c r="G7764" s="1" t="s">
        <v>3982</v>
      </c>
      <c r="H7764" s="1" t="s">
        <v>3989</v>
      </c>
      <c r="J7764" s="1" t="s">
        <v>921</v>
      </c>
      <c r="L7764" s="1" t="s">
        <v>3998</v>
      </c>
      <c r="N7764" s="1" t="s">
        <v>13483</v>
      </c>
      <c r="P7764" s="1" t="s">
        <v>13484</v>
      </c>
      <c r="Q7764" s="30" t="s">
        <v>2566</v>
      </c>
      <c r="R7764" s="33" t="s">
        <v>3472</v>
      </c>
      <c r="S7764">
        <v>37</v>
      </c>
      <c r="T7764" s="1" t="s">
        <v>14033</v>
      </c>
      <c r="U7764" s="1" t="str">
        <f>HYPERLINK("http://ictvonline.org/taxonomy/p/taxonomy-history?taxnode_id=202112935","ICTVonline=202112935")</f>
        <v>ICTVonline=202112935</v>
      </c>
    </row>
    <row r="7765" spans="1:21" x14ac:dyDescent="0.2">
      <c r="A7765" s="3">
        <v>7764</v>
      </c>
      <c r="B7765" s="1" t="s">
        <v>4226</v>
      </c>
      <c r="D7765" s="1" t="s">
        <v>5412</v>
      </c>
      <c r="F7765" s="1" t="s">
        <v>3981</v>
      </c>
      <c r="G7765" s="1" t="s">
        <v>3982</v>
      </c>
      <c r="H7765" s="1" t="s">
        <v>3989</v>
      </c>
      <c r="J7765" s="1" t="s">
        <v>921</v>
      </c>
      <c r="L7765" s="1" t="s">
        <v>3998</v>
      </c>
      <c r="N7765" s="1" t="s">
        <v>13485</v>
      </c>
      <c r="P7765" s="1" t="s">
        <v>13486</v>
      </c>
      <c r="Q7765" s="30" t="s">
        <v>2566</v>
      </c>
      <c r="R7765" s="33" t="s">
        <v>3473</v>
      </c>
      <c r="S7765">
        <v>37</v>
      </c>
      <c r="T7765" s="1" t="s">
        <v>14033</v>
      </c>
      <c r="U7765" s="1" t="str">
        <f>HYPERLINK("http://ictvonline.org/taxonomy/p/taxonomy-history?taxnode_id=202106261","ICTVonline=202106261")</f>
        <v>ICTVonline=202106261</v>
      </c>
    </row>
    <row r="7766" spans="1:21" x14ac:dyDescent="0.2">
      <c r="A7766" s="3">
        <v>7765</v>
      </c>
      <c r="B7766" s="1" t="s">
        <v>4226</v>
      </c>
      <c r="D7766" s="1" t="s">
        <v>5412</v>
      </c>
      <c r="F7766" s="1" t="s">
        <v>3981</v>
      </c>
      <c r="G7766" s="1" t="s">
        <v>3982</v>
      </c>
      <c r="H7766" s="1" t="s">
        <v>3989</v>
      </c>
      <c r="J7766" s="1" t="s">
        <v>921</v>
      </c>
      <c r="L7766" s="1" t="s">
        <v>3998</v>
      </c>
      <c r="N7766" s="1" t="s">
        <v>13487</v>
      </c>
      <c r="P7766" s="1" t="s">
        <v>13488</v>
      </c>
      <c r="Q7766" s="30" t="s">
        <v>2566</v>
      </c>
      <c r="R7766" s="33" t="s">
        <v>3473</v>
      </c>
      <c r="S7766">
        <v>37</v>
      </c>
      <c r="T7766" s="1" t="s">
        <v>14033</v>
      </c>
      <c r="U7766" s="1" t="str">
        <f>HYPERLINK("http://ictvonline.org/taxonomy/p/taxonomy-history?taxnode_id=202106263","ICTVonline=202106263")</f>
        <v>ICTVonline=202106263</v>
      </c>
    </row>
    <row r="7767" spans="1:21" x14ac:dyDescent="0.2">
      <c r="A7767" s="3">
        <v>7766</v>
      </c>
      <c r="B7767" s="1" t="s">
        <v>4226</v>
      </c>
      <c r="D7767" s="1" t="s">
        <v>5412</v>
      </c>
      <c r="F7767" s="1" t="s">
        <v>3981</v>
      </c>
      <c r="G7767" s="1" t="s">
        <v>3982</v>
      </c>
      <c r="H7767" s="1" t="s">
        <v>3989</v>
      </c>
      <c r="J7767" s="1" t="s">
        <v>921</v>
      </c>
      <c r="L7767" s="1" t="s">
        <v>3998</v>
      </c>
      <c r="N7767" s="1" t="s">
        <v>13489</v>
      </c>
      <c r="P7767" s="1" t="s">
        <v>13490</v>
      </c>
      <c r="Q7767" s="30" t="s">
        <v>2566</v>
      </c>
      <c r="R7767" s="33" t="s">
        <v>3473</v>
      </c>
      <c r="S7767">
        <v>37</v>
      </c>
      <c r="T7767" s="1" t="s">
        <v>14033</v>
      </c>
      <c r="U7767" s="1" t="str">
        <f>HYPERLINK("http://ictvonline.org/taxonomy/p/taxonomy-history?taxnode_id=202106262","ICTVonline=202106262")</f>
        <v>ICTVonline=202106262</v>
      </c>
    </row>
    <row r="7768" spans="1:21" x14ac:dyDescent="0.2">
      <c r="A7768" s="3">
        <v>7767</v>
      </c>
      <c r="B7768" s="1" t="s">
        <v>4226</v>
      </c>
      <c r="D7768" s="1" t="s">
        <v>5412</v>
      </c>
      <c r="F7768" s="1" t="s">
        <v>3981</v>
      </c>
      <c r="G7768" s="1" t="s">
        <v>3982</v>
      </c>
      <c r="H7768" s="1" t="s">
        <v>3989</v>
      </c>
      <c r="J7768" s="1" t="s">
        <v>921</v>
      </c>
      <c r="L7768" s="1" t="s">
        <v>3998</v>
      </c>
      <c r="N7768" s="1" t="s">
        <v>13489</v>
      </c>
      <c r="P7768" s="1" t="s">
        <v>13491</v>
      </c>
      <c r="Q7768" s="30" t="s">
        <v>2566</v>
      </c>
      <c r="R7768" s="33" t="s">
        <v>3472</v>
      </c>
      <c r="S7768">
        <v>37</v>
      </c>
      <c r="T7768" s="1" t="s">
        <v>14033</v>
      </c>
      <c r="U7768" s="1" t="str">
        <f>HYPERLINK("http://ictvonline.org/taxonomy/p/taxonomy-history?taxnode_id=202112939","ICTVonline=202112939")</f>
        <v>ICTVonline=202112939</v>
      </c>
    </row>
    <row r="7769" spans="1:21" x14ac:dyDescent="0.2">
      <c r="A7769" s="3">
        <v>7768</v>
      </c>
      <c r="B7769" s="1" t="s">
        <v>4226</v>
      </c>
      <c r="D7769" s="1" t="s">
        <v>5412</v>
      </c>
      <c r="F7769" s="1" t="s">
        <v>3981</v>
      </c>
      <c r="G7769" s="1" t="s">
        <v>3982</v>
      </c>
      <c r="H7769" s="1" t="s">
        <v>3989</v>
      </c>
      <c r="J7769" s="1" t="s">
        <v>921</v>
      </c>
      <c r="L7769" s="1" t="s">
        <v>3998</v>
      </c>
      <c r="N7769" s="1" t="s">
        <v>13492</v>
      </c>
      <c r="P7769" s="1" t="s">
        <v>13493</v>
      </c>
      <c r="Q7769" s="30" t="s">
        <v>2566</v>
      </c>
      <c r="R7769" s="33" t="s">
        <v>3472</v>
      </c>
      <c r="S7769">
        <v>37</v>
      </c>
      <c r="T7769" s="1" t="s">
        <v>14033</v>
      </c>
      <c r="U7769" s="1" t="str">
        <f>HYPERLINK("http://ictvonline.org/taxonomy/p/taxonomy-history?taxnode_id=202112941","ICTVonline=202112941")</f>
        <v>ICTVonline=202112941</v>
      </c>
    </row>
    <row r="7770" spans="1:21" x14ac:dyDescent="0.2">
      <c r="A7770" s="3">
        <v>7769</v>
      </c>
      <c r="B7770" s="1" t="s">
        <v>4226</v>
      </c>
      <c r="D7770" s="1" t="s">
        <v>5412</v>
      </c>
      <c r="F7770" s="1" t="s">
        <v>3981</v>
      </c>
      <c r="G7770" s="1" t="s">
        <v>3982</v>
      </c>
      <c r="H7770" s="1" t="s">
        <v>3989</v>
      </c>
      <c r="J7770" s="1" t="s">
        <v>921</v>
      </c>
      <c r="L7770" s="1" t="s">
        <v>3998</v>
      </c>
      <c r="N7770" s="1" t="s">
        <v>13494</v>
      </c>
      <c r="P7770" s="1" t="s">
        <v>13495</v>
      </c>
      <c r="Q7770" s="30" t="s">
        <v>2566</v>
      </c>
      <c r="R7770" s="33" t="s">
        <v>3473</v>
      </c>
      <c r="S7770">
        <v>37</v>
      </c>
      <c r="T7770" s="1" t="s">
        <v>14033</v>
      </c>
      <c r="U7770" s="1" t="str">
        <f>HYPERLINK("http://ictvonline.org/taxonomy/p/taxonomy-history?taxnode_id=202106260","ICTVonline=202106260")</f>
        <v>ICTVonline=202106260</v>
      </c>
    </row>
    <row r="7771" spans="1:21" x14ac:dyDescent="0.2">
      <c r="A7771" s="3">
        <v>7770</v>
      </c>
      <c r="B7771" s="1" t="s">
        <v>4226</v>
      </c>
      <c r="D7771" s="1" t="s">
        <v>5412</v>
      </c>
      <c r="F7771" s="1" t="s">
        <v>3981</v>
      </c>
      <c r="G7771" s="1" t="s">
        <v>3982</v>
      </c>
      <c r="H7771" s="1" t="s">
        <v>3989</v>
      </c>
      <c r="J7771" s="1" t="s">
        <v>921</v>
      </c>
      <c r="L7771" s="1" t="s">
        <v>3998</v>
      </c>
      <c r="N7771" s="1" t="s">
        <v>13496</v>
      </c>
      <c r="P7771" s="1" t="s">
        <v>13497</v>
      </c>
      <c r="Q7771" s="30" t="s">
        <v>2566</v>
      </c>
      <c r="R7771" s="33" t="s">
        <v>3472</v>
      </c>
      <c r="S7771">
        <v>37</v>
      </c>
      <c r="T7771" s="1" t="s">
        <v>14033</v>
      </c>
      <c r="U7771" s="1" t="str">
        <f>HYPERLINK("http://ictvonline.org/taxonomy/p/taxonomy-history?taxnode_id=202112944","ICTVonline=202112944")</f>
        <v>ICTVonline=202112944</v>
      </c>
    </row>
    <row r="7772" spans="1:21" x14ac:dyDescent="0.2">
      <c r="A7772" s="3">
        <v>7771</v>
      </c>
      <c r="B7772" s="1" t="s">
        <v>4226</v>
      </c>
      <c r="D7772" s="1" t="s">
        <v>5412</v>
      </c>
      <c r="F7772" s="1" t="s">
        <v>3981</v>
      </c>
      <c r="G7772" s="1" t="s">
        <v>3982</v>
      </c>
      <c r="H7772" s="1" t="s">
        <v>3989</v>
      </c>
      <c r="J7772" s="1" t="s">
        <v>921</v>
      </c>
      <c r="L7772" s="1" t="s">
        <v>3998</v>
      </c>
      <c r="N7772" s="1" t="s">
        <v>13496</v>
      </c>
      <c r="P7772" s="1" t="s">
        <v>13498</v>
      </c>
      <c r="Q7772" s="30" t="s">
        <v>2566</v>
      </c>
      <c r="R7772" s="33" t="s">
        <v>3472</v>
      </c>
      <c r="S7772">
        <v>37</v>
      </c>
      <c r="T7772" s="1" t="s">
        <v>14033</v>
      </c>
      <c r="U7772" s="1" t="str">
        <f>HYPERLINK("http://ictvonline.org/taxonomy/p/taxonomy-history?taxnode_id=202112945","ICTVonline=202112945")</f>
        <v>ICTVonline=202112945</v>
      </c>
    </row>
    <row r="7773" spans="1:21" x14ac:dyDescent="0.2">
      <c r="A7773" s="3">
        <v>7772</v>
      </c>
      <c r="B7773" s="1" t="s">
        <v>4226</v>
      </c>
      <c r="D7773" s="1" t="s">
        <v>5412</v>
      </c>
      <c r="F7773" s="1" t="s">
        <v>3981</v>
      </c>
      <c r="G7773" s="1" t="s">
        <v>3982</v>
      </c>
      <c r="H7773" s="1" t="s">
        <v>3989</v>
      </c>
      <c r="J7773" s="1" t="s">
        <v>921</v>
      </c>
      <c r="L7773" s="1" t="s">
        <v>3998</v>
      </c>
      <c r="N7773" s="1" t="s">
        <v>13499</v>
      </c>
      <c r="P7773" s="1" t="s">
        <v>13500</v>
      </c>
      <c r="Q7773" s="30" t="s">
        <v>2566</v>
      </c>
      <c r="R7773" s="33" t="s">
        <v>3472</v>
      </c>
      <c r="S7773">
        <v>37</v>
      </c>
      <c r="T7773" s="1" t="s">
        <v>14033</v>
      </c>
      <c r="U7773" s="1" t="str">
        <f>HYPERLINK("http://ictvonline.org/taxonomy/p/taxonomy-history?taxnode_id=202112947","ICTVonline=202112947")</f>
        <v>ICTVonline=202112947</v>
      </c>
    </row>
    <row r="7774" spans="1:21" x14ac:dyDescent="0.2">
      <c r="A7774" s="3">
        <v>7773</v>
      </c>
      <c r="B7774" s="1" t="s">
        <v>4226</v>
      </c>
      <c r="D7774" s="1" t="s">
        <v>5412</v>
      </c>
      <c r="F7774" s="1" t="s">
        <v>3981</v>
      </c>
      <c r="G7774" s="1" t="s">
        <v>3982</v>
      </c>
      <c r="H7774" s="1" t="s">
        <v>3989</v>
      </c>
      <c r="J7774" s="1" t="s">
        <v>921</v>
      </c>
      <c r="L7774" s="1" t="s">
        <v>3998</v>
      </c>
      <c r="N7774" s="1" t="s">
        <v>13501</v>
      </c>
      <c r="P7774" s="1" t="s">
        <v>13502</v>
      </c>
      <c r="Q7774" s="30" t="s">
        <v>2566</v>
      </c>
      <c r="R7774" s="33" t="s">
        <v>3472</v>
      </c>
      <c r="S7774">
        <v>37</v>
      </c>
      <c r="T7774" s="1" t="s">
        <v>14033</v>
      </c>
      <c r="U7774" s="1" t="str">
        <f>HYPERLINK("http://ictvonline.org/taxonomy/p/taxonomy-history?taxnode_id=202112949","ICTVonline=202112949")</f>
        <v>ICTVonline=202112949</v>
      </c>
    </row>
    <row r="7775" spans="1:21" x14ac:dyDescent="0.2">
      <c r="A7775" s="3">
        <v>7774</v>
      </c>
      <c r="B7775" s="1" t="s">
        <v>4226</v>
      </c>
      <c r="D7775" s="1" t="s">
        <v>5412</v>
      </c>
      <c r="F7775" s="1" t="s">
        <v>3981</v>
      </c>
      <c r="G7775" s="1" t="s">
        <v>3982</v>
      </c>
      <c r="H7775" s="1" t="s">
        <v>3989</v>
      </c>
      <c r="J7775" s="1" t="s">
        <v>921</v>
      </c>
      <c r="L7775" s="1" t="s">
        <v>3998</v>
      </c>
      <c r="N7775" s="1" t="s">
        <v>13503</v>
      </c>
      <c r="P7775" s="1" t="s">
        <v>13504</v>
      </c>
      <c r="Q7775" s="30" t="s">
        <v>2566</v>
      </c>
      <c r="R7775" s="33" t="s">
        <v>3472</v>
      </c>
      <c r="S7775">
        <v>37</v>
      </c>
      <c r="T7775" s="1" t="s">
        <v>14033</v>
      </c>
      <c r="U7775" s="1" t="str">
        <f>HYPERLINK("http://ictvonline.org/taxonomy/p/taxonomy-history?taxnode_id=202112951","ICTVonline=202112951")</f>
        <v>ICTVonline=202112951</v>
      </c>
    </row>
    <row r="7776" spans="1:21" x14ac:dyDescent="0.2">
      <c r="A7776" s="3">
        <v>7775</v>
      </c>
      <c r="B7776" s="1" t="s">
        <v>4226</v>
      </c>
      <c r="D7776" s="1" t="s">
        <v>5412</v>
      </c>
      <c r="F7776" s="1" t="s">
        <v>3981</v>
      </c>
      <c r="G7776" s="1" t="s">
        <v>3982</v>
      </c>
      <c r="H7776" s="1" t="s">
        <v>3999</v>
      </c>
      <c r="J7776" s="1" t="s">
        <v>4000</v>
      </c>
      <c r="L7776" s="1" t="s">
        <v>4001</v>
      </c>
      <c r="N7776" s="1" t="s">
        <v>4002</v>
      </c>
      <c r="P7776" s="1" t="s">
        <v>13505</v>
      </c>
      <c r="Q7776" s="30" t="s">
        <v>2566</v>
      </c>
      <c r="R7776" s="33" t="s">
        <v>3475</v>
      </c>
      <c r="S7776">
        <v>37</v>
      </c>
      <c r="T7776" s="1" t="s">
        <v>14005</v>
      </c>
      <c r="U7776" s="1" t="str">
        <f>HYPERLINK("http://ictvonline.org/taxonomy/p/taxonomy-history?taxnode_id=202106075","ICTVonline=202106075")</f>
        <v>ICTVonline=202106075</v>
      </c>
    </row>
    <row r="7777" spans="1:21" x14ac:dyDescent="0.2">
      <c r="A7777" s="3">
        <v>7776</v>
      </c>
      <c r="B7777" s="1" t="s">
        <v>4226</v>
      </c>
      <c r="D7777" s="1" t="s">
        <v>5412</v>
      </c>
      <c r="F7777" s="1" t="s">
        <v>3981</v>
      </c>
      <c r="G7777" s="1" t="s">
        <v>3982</v>
      </c>
      <c r="H7777" s="1" t="s">
        <v>3999</v>
      </c>
      <c r="J7777" s="1" t="s">
        <v>4000</v>
      </c>
      <c r="L7777" s="1" t="s">
        <v>4001</v>
      </c>
      <c r="N7777" s="1" t="s">
        <v>4002</v>
      </c>
      <c r="P7777" s="1" t="s">
        <v>13506</v>
      </c>
      <c r="Q7777" s="30" t="s">
        <v>2566</v>
      </c>
      <c r="R7777" s="33" t="s">
        <v>3475</v>
      </c>
      <c r="S7777">
        <v>37</v>
      </c>
      <c r="T7777" s="1" t="s">
        <v>14005</v>
      </c>
      <c r="U7777" s="1" t="str">
        <f>HYPERLINK("http://ictvonline.org/taxonomy/p/taxonomy-history?taxnode_id=202106076","ICTVonline=202106076")</f>
        <v>ICTVonline=202106076</v>
      </c>
    </row>
    <row r="7778" spans="1:21" x14ac:dyDescent="0.2">
      <c r="A7778" s="3">
        <v>7777</v>
      </c>
      <c r="B7778" s="1" t="s">
        <v>4226</v>
      </c>
      <c r="D7778" s="1" t="s">
        <v>5412</v>
      </c>
      <c r="F7778" s="1" t="s">
        <v>3981</v>
      </c>
      <c r="G7778" s="1" t="s">
        <v>4003</v>
      </c>
      <c r="H7778" s="1" t="s">
        <v>4004</v>
      </c>
      <c r="J7778" s="1" t="s">
        <v>3109</v>
      </c>
      <c r="L7778" s="1" t="s">
        <v>973</v>
      </c>
      <c r="N7778" s="1" t="s">
        <v>4296</v>
      </c>
      <c r="P7778" s="1" t="s">
        <v>4297</v>
      </c>
      <c r="Q7778" s="30" t="s">
        <v>2821</v>
      </c>
      <c r="R7778" s="33" t="s">
        <v>3474</v>
      </c>
      <c r="S7778">
        <v>35</v>
      </c>
      <c r="T7778" s="1" t="s">
        <v>5416</v>
      </c>
      <c r="U7778" s="1" t="str">
        <f>HYPERLINK("http://ictvonline.org/taxonomy/p/taxonomy-history?taxnode_id=202106321","ICTVonline=202106321")</f>
        <v>ICTVonline=202106321</v>
      </c>
    </row>
    <row r="7779" spans="1:21" x14ac:dyDescent="0.2">
      <c r="A7779" s="3">
        <v>7778</v>
      </c>
      <c r="B7779" s="1" t="s">
        <v>4226</v>
      </c>
      <c r="D7779" s="1" t="s">
        <v>5412</v>
      </c>
      <c r="F7779" s="1" t="s">
        <v>3981</v>
      </c>
      <c r="G7779" s="1" t="s">
        <v>4003</v>
      </c>
      <c r="H7779" s="1" t="s">
        <v>4004</v>
      </c>
      <c r="J7779" s="1" t="s">
        <v>3109</v>
      </c>
      <c r="L7779" s="1" t="s">
        <v>973</v>
      </c>
      <c r="N7779" s="1" t="s">
        <v>4296</v>
      </c>
      <c r="P7779" s="1" t="s">
        <v>8199</v>
      </c>
      <c r="Q7779" s="30" t="s">
        <v>2566</v>
      </c>
      <c r="R7779" s="33" t="s">
        <v>3472</v>
      </c>
      <c r="S7779">
        <v>36</v>
      </c>
      <c r="T7779" s="1" t="s">
        <v>8200</v>
      </c>
      <c r="U7779" s="1" t="str">
        <f>HYPERLINK("http://ictvonline.org/taxonomy/p/taxonomy-history?taxnode_id=202109577","ICTVonline=202109577")</f>
        <v>ICTVonline=202109577</v>
      </c>
    </row>
    <row r="7780" spans="1:21" x14ac:dyDescent="0.2">
      <c r="A7780" s="3">
        <v>7779</v>
      </c>
      <c r="B7780" s="1" t="s">
        <v>4226</v>
      </c>
      <c r="D7780" s="1" t="s">
        <v>5412</v>
      </c>
      <c r="F7780" s="1" t="s">
        <v>3981</v>
      </c>
      <c r="G7780" s="1" t="s">
        <v>4003</v>
      </c>
      <c r="H7780" s="1" t="s">
        <v>4004</v>
      </c>
      <c r="J7780" s="1" t="s">
        <v>3109</v>
      </c>
      <c r="L7780" s="1" t="s">
        <v>973</v>
      </c>
      <c r="N7780" s="1" t="s">
        <v>4296</v>
      </c>
      <c r="P7780" s="1" t="s">
        <v>4298</v>
      </c>
      <c r="Q7780" s="30" t="s">
        <v>2821</v>
      </c>
      <c r="R7780" s="33" t="s">
        <v>8665</v>
      </c>
      <c r="S7780">
        <v>36</v>
      </c>
      <c r="T7780" s="1" t="s">
        <v>8661</v>
      </c>
      <c r="U7780" s="1" t="str">
        <f>HYPERLINK("http://ictvonline.org/taxonomy/p/taxonomy-history?taxnode_id=202106320","ICTVonline=202106320")</f>
        <v>ICTVonline=202106320</v>
      </c>
    </row>
    <row r="7781" spans="1:21" x14ac:dyDescent="0.2">
      <c r="A7781" s="3">
        <v>7780</v>
      </c>
      <c r="B7781" s="1" t="s">
        <v>4226</v>
      </c>
      <c r="D7781" s="1" t="s">
        <v>5412</v>
      </c>
      <c r="F7781" s="1" t="s">
        <v>3981</v>
      </c>
      <c r="G7781" s="1" t="s">
        <v>4003</v>
      </c>
      <c r="H7781" s="1" t="s">
        <v>4004</v>
      </c>
      <c r="J7781" s="1" t="s">
        <v>3109</v>
      </c>
      <c r="L7781" s="1" t="s">
        <v>973</v>
      </c>
      <c r="N7781" s="1" t="s">
        <v>3748</v>
      </c>
      <c r="P7781" s="1" t="s">
        <v>3749</v>
      </c>
      <c r="Q7781" s="30" t="s">
        <v>2821</v>
      </c>
      <c r="R7781" s="33" t="s">
        <v>8665</v>
      </c>
      <c r="S7781">
        <v>36</v>
      </c>
      <c r="T7781" s="1" t="s">
        <v>8661</v>
      </c>
      <c r="U7781" s="1" t="str">
        <f>HYPERLINK("http://ictvonline.org/taxonomy/p/taxonomy-history?taxnode_id=202105740","ICTVonline=202105740")</f>
        <v>ICTVonline=202105740</v>
      </c>
    </row>
    <row r="7782" spans="1:21" x14ac:dyDescent="0.2">
      <c r="A7782" s="3">
        <v>7781</v>
      </c>
      <c r="B7782" s="1" t="s">
        <v>4226</v>
      </c>
      <c r="D7782" s="1" t="s">
        <v>5412</v>
      </c>
      <c r="F7782" s="1" t="s">
        <v>3981</v>
      </c>
      <c r="G7782" s="1" t="s">
        <v>4003</v>
      </c>
      <c r="H7782" s="1" t="s">
        <v>4004</v>
      </c>
      <c r="J7782" s="1" t="s">
        <v>3109</v>
      </c>
      <c r="L7782" s="1" t="s">
        <v>973</v>
      </c>
      <c r="N7782" s="1" t="s">
        <v>3748</v>
      </c>
      <c r="P7782" s="1" t="s">
        <v>8201</v>
      </c>
      <c r="Q7782" s="30" t="s">
        <v>2566</v>
      </c>
      <c r="R7782" s="33" t="s">
        <v>3472</v>
      </c>
      <c r="S7782">
        <v>36</v>
      </c>
      <c r="T7782" s="1" t="s">
        <v>8202</v>
      </c>
      <c r="U7782" s="1" t="str">
        <f>HYPERLINK("http://ictvonline.org/taxonomy/p/taxonomy-history?taxnode_id=202109600","ICTVonline=202109600")</f>
        <v>ICTVonline=202109600</v>
      </c>
    </row>
    <row r="7783" spans="1:21" x14ac:dyDescent="0.2">
      <c r="A7783" s="3">
        <v>7782</v>
      </c>
      <c r="B7783" s="1" t="s">
        <v>4226</v>
      </c>
      <c r="D7783" s="1" t="s">
        <v>5412</v>
      </c>
      <c r="F7783" s="1" t="s">
        <v>3981</v>
      </c>
      <c r="G7783" s="1" t="s">
        <v>4003</v>
      </c>
      <c r="H7783" s="1" t="s">
        <v>4004</v>
      </c>
      <c r="J7783" s="1" t="s">
        <v>3109</v>
      </c>
      <c r="L7783" s="1" t="s">
        <v>973</v>
      </c>
      <c r="N7783" s="1" t="s">
        <v>3748</v>
      </c>
      <c r="P7783" s="1" t="s">
        <v>5504</v>
      </c>
      <c r="Q7783" s="30" t="s">
        <v>2821</v>
      </c>
      <c r="R7783" s="33" t="s">
        <v>3472</v>
      </c>
      <c r="S7783">
        <v>35</v>
      </c>
      <c r="T7783" s="1" t="s">
        <v>5505</v>
      </c>
      <c r="U7783" s="1" t="str">
        <f>HYPERLINK("http://ictvonline.org/taxonomy/p/taxonomy-history?taxnode_id=202107277","ICTVonline=202107277")</f>
        <v>ICTVonline=202107277</v>
      </c>
    </row>
    <row r="7784" spans="1:21" x14ac:dyDescent="0.2">
      <c r="A7784" s="3">
        <v>7783</v>
      </c>
      <c r="B7784" s="1" t="s">
        <v>4226</v>
      </c>
      <c r="D7784" s="1" t="s">
        <v>5412</v>
      </c>
      <c r="F7784" s="1" t="s">
        <v>3981</v>
      </c>
      <c r="G7784" s="1" t="s">
        <v>4003</v>
      </c>
      <c r="H7784" s="1" t="s">
        <v>4004</v>
      </c>
      <c r="J7784" s="1" t="s">
        <v>3109</v>
      </c>
      <c r="L7784" s="1" t="s">
        <v>973</v>
      </c>
      <c r="N7784" s="1" t="s">
        <v>3748</v>
      </c>
      <c r="P7784" s="1" t="s">
        <v>5506</v>
      </c>
      <c r="Q7784" s="30" t="s">
        <v>2821</v>
      </c>
      <c r="R7784" s="33" t="s">
        <v>3472</v>
      </c>
      <c r="S7784">
        <v>35</v>
      </c>
      <c r="T7784" s="1" t="s">
        <v>5505</v>
      </c>
      <c r="U7784" s="1" t="str">
        <f>HYPERLINK("http://ictvonline.org/taxonomy/p/taxonomy-history?taxnode_id=202107278","ICTVonline=202107278")</f>
        <v>ICTVonline=202107278</v>
      </c>
    </row>
    <row r="7785" spans="1:21" x14ac:dyDescent="0.2">
      <c r="A7785" s="3">
        <v>7784</v>
      </c>
      <c r="B7785" s="1" t="s">
        <v>4226</v>
      </c>
      <c r="D7785" s="1" t="s">
        <v>5412</v>
      </c>
      <c r="F7785" s="1" t="s">
        <v>3981</v>
      </c>
      <c r="G7785" s="1" t="s">
        <v>4003</v>
      </c>
      <c r="H7785" s="1" t="s">
        <v>4004</v>
      </c>
      <c r="J7785" s="1" t="s">
        <v>3109</v>
      </c>
      <c r="L7785" s="1" t="s">
        <v>973</v>
      </c>
      <c r="N7785" s="1" t="s">
        <v>3748</v>
      </c>
      <c r="P7785" s="1" t="s">
        <v>8203</v>
      </c>
      <c r="Q7785" s="30" t="s">
        <v>2566</v>
      </c>
      <c r="R7785" s="33" t="s">
        <v>3472</v>
      </c>
      <c r="S7785">
        <v>36</v>
      </c>
      <c r="T7785" s="1" t="s">
        <v>8202</v>
      </c>
      <c r="U7785" s="1" t="str">
        <f>HYPERLINK("http://ictvonline.org/taxonomy/p/taxonomy-history?taxnode_id=202109599","ICTVonline=202109599")</f>
        <v>ICTVonline=202109599</v>
      </c>
    </row>
    <row r="7786" spans="1:21" x14ac:dyDescent="0.2">
      <c r="A7786" s="3">
        <v>7785</v>
      </c>
      <c r="B7786" s="1" t="s">
        <v>4226</v>
      </c>
      <c r="D7786" s="1" t="s">
        <v>5412</v>
      </c>
      <c r="F7786" s="1" t="s">
        <v>3981</v>
      </c>
      <c r="G7786" s="1" t="s">
        <v>4003</v>
      </c>
      <c r="H7786" s="1" t="s">
        <v>4004</v>
      </c>
      <c r="J7786" s="1" t="s">
        <v>3109</v>
      </c>
      <c r="L7786" s="1" t="s">
        <v>973</v>
      </c>
      <c r="N7786" s="1" t="s">
        <v>3748</v>
      </c>
      <c r="P7786" s="1" t="s">
        <v>5507</v>
      </c>
      <c r="Q7786" s="30" t="s">
        <v>2821</v>
      </c>
      <c r="R7786" s="33" t="s">
        <v>3472</v>
      </c>
      <c r="S7786">
        <v>35</v>
      </c>
      <c r="T7786" s="1" t="s">
        <v>5505</v>
      </c>
      <c r="U7786" s="1" t="str">
        <f>HYPERLINK("http://ictvonline.org/taxonomy/p/taxonomy-history?taxnode_id=202107279","ICTVonline=202107279")</f>
        <v>ICTVonline=202107279</v>
      </c>
    </row>
    <row r="7787" spans="1:21" x14ac:dyDescent="0.2">
      <c r="A7787" s="3">
        <v>7786</v>
      </c>
      <c r="B7787" s="1" t="s">
        <v>4226</v>
      </c>
      <c r="D7787" s="1" t="s">
        <v>5412</v>
      </c>
      <c r="F7787" s="1" t="s">
        <v>3981</v>
      </c>
      <c r="G7787" s="1" t="s">
        <v>4003</v>
      </c>
      <c r="H7787" s="1" t="s">
        <v>4004</v>
      </c>
      <c r="J7787" s="1" t="s">
        <v>3109</v>
      </c>
      <c r="L7787" s="1" t="s">
        <v>973</v>
      </c>
      <c r="N7787" s="1" t="s">
        <v>2479</v>
      </c>
      <c r="P7787" s="1" t="s">
        <v>2480</v>
      </c>
      <c r="Q7787" s="30" t="s">
        <v>2821</v>
      </c>
      <c r="R7787" s="33" t="s">
        <v>3474</v>
      </c>
      <c r="S7787">
        <v>35</v>
      </c>
      <c r="T7787" s="1" t="s">
        <v>5416</v>
      </c>
      <c r="U7787" s="1" t="str">
        <f>HYPERLINK("http://ictvonline.org/taxonomy/p/taxonomy-history?taxnode_id=202102570","ICTVonline=202102570")</f>
        <v>ICTVonline=202102570</v>
      </c>
    </row>
    <row r="7788" spans="1:21" x14ac:dyDescent="0.2">
      <c r="A7788" s="3">
        <v>7787</v>
      </c>
      <c r="B7788" s="1" t="s">
        <v>4226</v>
      </c>
      <c r="D7788" s="1" t="s">
        <v>5412</v>
      </c>
      <c r="F7788" s="1" t="s">
        <v>3981</v>
      </c>
      <c r="G7788" s="1" t="s">
        <v>4003</v>
      </c>
      <c r="H7788" s="1" t="s">
        <v>4004</v>
      </c>
      <c r="J7788" s="1" t="s">
        <v>3109</v>
      </c>
      <c r="L7788" s="1" t="s">
        <v>973</v>
      </c>
      <c r="N7788" s="1" t="s">
        <v>2479</v>
      </c>
      <c r="P7788" s="1" t="s">
        <v>5508</v>
      </c>
      <c r="Q7788" s="30" t="s">
        <v>2821</v>
      </c>
      <c r="R7788" s="33" t="s">
        <v>3472</v>
      </c>
      <c r="S7788">
        <v>35</v>
      </c>
      <c r="T7788" s="1" t="s">
        <v>5509</v>
      </c>
      <c r="U7788" s="1" t="str">
        <f>HYPERLINK("http://ictvonline.org/taxonomy/p/taxonomy-history?taxnode_id=202107461","ICTVonline=202107461")</f>
        <v>ICTVonline=202107461</v>
      </c>
    </row>
    <row r="7789" spans="1:21" x14ac:dyDescent="0.2">
      <c r="A7789" s="3">
        <v>7788</v>
      </c>
      <c r="B7789" s="1" t="s">
        <v>4226</v>
      </c>
      <c r="D7789" s="1" t="s">
        <v>5412</v>
      </c>
      <c r="F7789" s="1" t="s">
        <v>3981</v>
      </c>
      <c r="G7789" s="1" t="s">
        <v>4003</v>
      </c>
      <c r="H7789" s="1" t="s">
        <v>4004</v>
      </c>
      <c r="J7789" s="1" t="s">
        <v>3109</v>
      </c>
      <c r="L7789" s="1" t="s">
        <v>973</v>
      </c>
      <c r="N7789" s="1" t="s">
        <v>2479</v>
      </c>
      <c r="P7789" s="1" t="s">
        <v>3750</v>
      </c>
      <c r="Q7789" s="30" t="s">
        <v>2821</v>
      </c>
      <c r="R7789" s="33" t="s">
        <v>3474</v>
      </c>
      <c r="S7789">
        <v>35</v>
      </c>
      <c r="T7789" s="1" t="s">
        <v>5416</v>
      </c>
      <c r="U7789" s="1" t="str">
        <f>HYPERLINK("http://ictvonline.org/taxonomy/p/taxonomy-history?taxnode_id=202102579","ICTVonline=202102579")</f>
        <v>ICTVonline=202102579</v>
      </c>
    </row>
    <row r="7790" spans="1:21" x14ac:dyDescent="0.2">
      <c r="A7790" s="3">
        <v>7789</v>
      </c>
      <c r="B7790" s="1" t="s">
        <v>4226</v>
      </c>
      <c r="D7790" s="1" t="s">
        <v>5412</v>
      </c>
      <c r="F7790" s="1" t="s">
        <v>3981</v>
      </c>
      <c r="G7790" s="1" t="s">
        <v>4003</v>
      </c>
      <c r="H7790" s="1" t="s">
        <v>4004</v>
      </c>
      <c r="J7790" s="1" t="s">
        <v>3109</v>
      </c>
      <c r="L7790" s="1" t="s">
        <v>973</v>
      </c>
      <c r="N7790" s="1" t="s">
        <v>2479</v>
      </c>
      <c r="P7790" s="1" t="s">
        <v>2481</v>
      </c>
      <c r="Q7790" s="30" t="s">
        <v>2821</v>
      </c>
      <c r="R7790" s="33" t="s">
        <v>3474</v>
      </c>
      <c r="S7790">
        <v>35</v>
      </c>
      <c r="T7790" s="1" t="s">
        <v>5416</v>
      </c>
      <c r="U7790" s="1" t="str">
        <f>HYPERLINK("http://ictvonline.org/taxonomy/p/taxonomy-history?taxnode_id=202102572","ICTVonline=202102572")</f>
        <v>ICTVonline=202102572</v>
      </c>
    </row>
    <row r="7791" spans="1:21" x14ac:dyDescent="0.2">
      <c r="A7791" s="3">
        <v>7790</v>
      </c>
      <c r="B7791" s="1" t="s">
        <v>4226</v>
      </c>
      <c r="D7791" s="1" t="s">
        <v>5412</v>
      </c>
      <c r="F7791" s="1" t="s">
        <v>3981</v>
      </c>
      <c r="G7791" s="1" t="s">
        <v>4003</v>
      </c>
      <c r="H7791" s="1" t="s">
        <v>4004</v>
      </c>
      <c r="J7791" s="1" t="s">
        <v>3109</v>
      </c>
      <c r="L7791" s="1" t="s">
        <v>973</v>
      </c>
      <c r="N7791" s="1" t="s">
        <v>2479</v>
      </c>
      <c r="P7791" s="1" t="s">
        <v>3751</v>
      </c>
      <c r="Q7791" s="30" t="s">
        <v>2821</v>
      </c>
      <c r="R7791" s="33" t="s">
        <v>3474</v>
      </c>
      <c r="S7791">
        <v>35</v>
      </c>
      <c r="T7791" s="1" t="s">
        <v>5416</v>
      </c>
      <c r="U7791" s="1" t="str">
        <f>HYPERLINK("http://ictvonline.org/taxonomy/p/taxonomy-history?taxnode_id=202102597","ICTVonline=202102597")</f>
        <v>ICTVonline=202102597</v>
      </c>
    </row>
    <row r="7792" spans="1:21" x14ac:dyDescent="0.2">
      <c r="A7792" s="3">
        <v>7791</v>
      </c>
      <c r="B7792" s="1" t="s">
        <v>4226</v>
      </c>
      <c r="D7792" s="1" t="s">
        <v>5412</v>
      </c>
      <c r="F7792" s="1" t="s">
        <v>3981</v>
      </c>
      <c r="G7792" s="1" t="s">
        <v>4003</v>
      </c>
      <c r="H7792" s="1" t="s">
        <v>4004</v>
      </c>
      <c r="J7792" s="1" t="s">
        <v>3109</v>
      </c>
      <c r="L7792" s="1" t="s">
        <v>973</v>
      </c>
      <c r="N7792" s="1" t="s">
        <v>2479</v>
      </c>
      <c r="P7792" s="1" t="s">
        <v>3752</v>
      </c>
      <c r="Q7792" s="30" t="s">
        <v>2821</v>
      </c>
      <c r="R7792" s="33" t="s">
        <v>3474</v>
      </c>
      <c r="S7792">
        <v>35</v>
      </c>
      <c r="T7792" s="1" t="s">
        <v>5416</v>
      </c>
      <c r="U7792" s="1" t="str">
        <f>HYPERLINK("http://ictvonline.org/taxonomy/p/taxonomy-history?taxnode_id=202102595","ICTVonline=202102595")</f>
        <v>ICTVonline=202102595</v>
      </c>
    </row>
    <row r="7793" spans="1:21" x14ac:dyDescent="0.2">
      <c r="A7793" s="3">
        <v>7792</v>
      </c>
      <c r="B7793" s="1" t="s">
        <v>4226</v>
      </c>
      <c r="D7793" s="1" t="s">
        <v>5412</v>
      </c>
      <c r="F7793" s="1" t="s">
        <v>3981</v>
      </c>
      <c r="G7793" s="1" t="s">
        <v>4003</v>
      </c>
      <c r="H7793" s="1" t="s">
        <v>4004</v>
      </c>
      <c r="J7793" s="1" t="s">
        <v>3109</v>
      </c>
      <c r="L7793" s="1" t="s">
        <v>973</v>
      </c>
      <c r="N7793" s="1" t="s">
        <v>2479</v>
      </c>
      <c r="P7793" s="1" t="s">
        <v>2482</v>
      </c>
      <c r="Q7793" s="30" t="s">
        <v>2821</v>
      </c>
      <c r="R7793" s="33" t="s">
        <v>3474</v>
      </c>
      <c r="S7793">
        <v>35</v>
      </c>
      <c r="T7793" s="1" t="s">
        <v>5416</v>
      </c>
      <c r="U7793" s="1" t="str">
        <f>HYPERLINK("http://ictvonline.org/taxonomy/p/taxonomy-history?taxnode_id=202102573","ICTVonline=202102573")</f>
        <v>ICTVonline=202102573</v>
      </c>
    </row>
    <row r="7794" spans="1:21" x14ac:dyDescent="0.2">
      <c r="A7794" s="3">
        <v>7793</v>
      </c>
      <c r="B7794" s="1" t="s">
        <v>4226</v>
      </c>
      <c r="D7794" s="1" t="s">
        <v>5412</v>
      </c>
      <c r="F7794" s="1" t="s">
        <v>3981</v>
      </c>
      <c r="G7794" s="1" t="s">
        <v>4003</v>
      </c>
      <c r="H7794" s="1" t="s">
        <v>4004</v>
      </c>
      <c r="J7794" s="1" t="s">
        <v>3109</v>
      </c>
      <c r="L7794" s="1" t="s">
        <v>973</v>
      </c>
      <c r="N7794" s="1" t="s">
        <v>2479</v>
      </c>
      <c r="P7794" s="1" t="s">
        <v>5510</v>
      </c>
      <c r="Q7794" s="30" t="s">
        <v>2821</v>
      </c>
      <c r="R7794" s="33" t="s">
        <v>3472</v>
      </c>
      <c r="S7794">
        <v>35</v>
      </c>
      <c r="T7794" s="1" t="s">
        <v>5511</v>
      </c>
      <c r="U7794" s="1" t="str">
        <f>HYPERLINK("http://ictvonline.org/taxonomy/p/taxonomy-history?taxnode_id=202107288","ICTVonline=202107288")</f>
        <v>ICTVonline=202107288</v>
      </c>
    </row>
    <row r="7795" spans="1:21" x14ac:dyDescent="0.2">
      <c r="A7795" s="3">
        <v>7794</v>
      </c>
      <c r="B7795" s="1" t="s">
        <v>4226</v>
      </c>
      <c r="D7795" s="1" t="s">
        <v>5412</v>
      </c>
      <c r="F7795" s="1" t="s">
        <v>3981</v>
      </c>
      <c r="G7795" s="1" t="s">
        <v>4003</v>
      </c>
      <c r="H7795" s="1" t="s">
        <v>4004</v>
      </c>
      <c r="J7795" s="1" t="s">
        <v>3109</v>
      </c>
      <c r="L7795" s="1" t="s">
        <v>973</v>
      </c>
      <c r="N7795" s="1" t="s">
        <v>2479</v>
      </c>
      <c r="P7795" s="1" t="s">
        <v>2483</v>
      </c>
      <c r="Q7795" s="30" t="s">
        <v>2821</v>
      </c>
      <c r="R7795" s="33" t="s">
        <v>3474</v>
      </c>
      <c r="S7795">
        <v>35</v>
      </c>
      <c r="T7795" s="1" t="s">
        <v>5416</v>
      </c>
      <c r="U7795" s="1" t="str">
        <f>HYPERLINK("http://ictvonline.org/taxonomy/p/taxonomy-history?taxnode_id=202102574","ICTVonline=202102574")</f>
        <v>ICTVonline=202102574</v>
      </c>
    </row>
    <row r="7796" spans="1:21" x14ac:dyDescent="0.2">
      <c r="A7796" s="3">
        <v>7795</v>
      </c>
      <c r="B7796" s="1" t="s">
        <v>4226</v>
      </c>
      <c r="D7796" s="1" t="s">
        <v>5412</v>
      </c>
      <c r="F7796" s="1" t="s">
        <v>3981</v>
      </c>
      <c r="G7796" s="1" t="s">
        <v>4003</v>
      </c>
      <c r="H7796" s="1" t="s">
        <v>4004</v>
      </c>
      <c r="J7796" s="1" t="s">
        <v>3109</v>
      </c>
      <c r="L7796" s="1" t="s">
        <v>973</v>
      </c>
      <c r="N7796" s="1" t="s">
        <v>2479</v>
      </c>
      <c r="P7796" s="1" t="s">
        <v>2484</v>
      </c>
      <c r="Q7796" s="30" t="s">
        <v>2821</v>
      </c>
      <c r="R7796" s="33" t="s">
        <v>3474</v>
      </c>
      <c r="S7796">
        <v>35</v>
      </c>
      <c r="T7796" s="1" t="s">
        <v>5416</v>
      </c>
      <c r="U7796" s="1" t="str">
        <f>HYPERLINK("http://ictvonline.org/taxonomy/p/taxonomy-history?taxnode_id=202102575","ICTVonline=202102575")</f>
        <v>ICTVonline=202102575</v>
      </c>
    </row>
    <row r="7797" spans="1:21" x14ac:dyDescent="0.2">
      <c r="A7797" s="3">
        <v>7796</v>
      </c>
      <c r="B7797" s="1" t="s">
        <v>4226</v>
      </c>
      <c r="D7797" s="1" t="s">
        <v>5412</v>
      </c>
      <c r="F7797" s="1" t="s">
        <v>3981</v>
      </c>
      <c r="G7797" s="1" t="s">
        <v>4003</v>
      </c>
      <c r="H7797" s="1" t="s">
        <v>4004</v>
      </c>
      <c r="J7797" s="1" t="s">
        <v>3109</v>
      </c>
      <c r="L7797" s="1" t="s">
        <v>973</v>
      </c>
      <c r="N7797" s="1" t="s">
        <v>2479</v>
      </c>
      <c r="P7797" s="1" t="s">
        <v>2822</v>
      </c>
      <c r="Q7797" s="30" t="s">
        <v>2821</v>
      </c>
      <c r="R7797" s="33" t="s">
        <v>3474</v>
      </c>
      <c r="S7797">
        <v>35</v>
      </c>
      <c r="T7797" s="1" t="s">
        <v>5416</v>
      </c>
      <c r="U7797" s="1" t="str">
        <f>HYPERLINK("http://ictvonline.org/taxonomy/p/taxonomy-history?taxnode_id=202102576","ICTVonline=202102576")</f>
        <v>ICTVonline=202102576</v>
      </c>
    </row>
    <row r="7798" spans="1:21" x14ac:dyDescent="0.2">
      <c r="A7798" s="3">
        <v>7797</v>
      </c>
      <c r="B7798" s="1" t="s">
        <v>4226</v>
      </c>
      <c r="D7798" s="1" t="s">
        <v>5412</v>
      </c>
      <c r="F7798" s="1" t="s">
        <v>3981</v>
      </c>
      <c r="G7798" s="1" t="s">
        <v>4003</v>
      </c>
      <c r="H7798" s="1" t="s">
        <v>4004</v>
      </c>
      <c r="J7798" s="1" t="s">
        <v>3109</v>
      </c>
      <c r="L7798" s="1" t="s">
        <v>973</v>
      </c>
      <c r="N7798" s="1" t="s">
        <v>2479</v>
      </c>
      <c r="P7798" s="1" t="s">
        <v>2485</v>
      </c>
      <c r="Q7798" s="30" t="s">
        <v>2821</v>
      </c>
      <c r="R7798" s="33" t="s">
        <v>3474</v>
      </c>
      <c r="S7798">
        <v>35</v>
      </c>
      <c r="T7798" s="1" t="s">
        <v>5416</v>
      </c>
      <c r="U7798" s="1" t="str">
        <f>HYPERLINK("http://ictvonline.org/taxonomy/p/taxonomy-history?taxnode_id=202102577","ICTVonline=202102577")</f>
        <v>ICTVonline=202102577</v>
      </c>
    </row>
    <row r="7799" spans="1:21" x14ac:dyDescent="0.2">
      <c r="A7799" s="3">
        <v>7798</v>
      </c>
      <c r="B7799" s="1" t="s">
        <v>4226</v>
      </c>
      <c r="D7799" s="1" t="s">
        <v>5412</v>
      </c>
      <c r="F7799" s="1" t="s">
        <v>3981</v>
      </c>
      <c r="G7799" s="1" t="s">
        <v>4003</v>
      </c>
      <c r="H7799" s="1" t="s">
        <v>4004</v>
      </c>
      <c r="J7799" s="1" t="s">
        <v>3109</v>
      </c>
      <c r="L7799" s="1" t="s">
        <v>973</v>
      </c>
      <c r="N7799" s="1" t="s">
        <v>2479</v>
      </c>
      <c r="P7799" s="1" t="s">
        <v>2486</v>
      </c>
      <c r="Q7799" s="30" t="s">
        <v>2821</v>
      </c>
      <c r="R7799" s="33" t="s">
        <v>3474</v>
      </c>
      <c r="S7799">
        <v>35</v>
      </c>
      <c r="T7799" s="1" t="s">
        <v>5416</v>
      </c>
      <c r="U7799" s="1" t="str">
        <f>HYPERLINK("http://ictvonline.org/taxonomy/p/taxonomy-history?taxnode_id=202102578","ICTVonline=202102578")</f>
        <v>ICTVonline=202102578</v>
      </c>
    </row>
    <row r="7800" spans="1:21" x14ac:dyDescent="0.2">
      <c r="A7800" s="3">
        <v>7799</v>
      </c>
      <c r="B7800" s="1" t="s">
        <v>4226</v>
      </c>
      <c r="D7800" s="1" t="s">
        <v>5412</v>
      </c>
      <c r="F7800" s="1" t="s">
        <v>3981</v>
      </c>
      <c r="G7800" s="1" t="s">
        <v>4003</v>
      </c>
      <c r="H7800" s="1" t="s">
        <v>4004</v>
      </c>
      <c r="J7800" s="1" t="s">
        <v>3109</v>
      </c>
      <c r="L7800" s="1" t="s">
        <v>973</v>
      </c>
      <c r="N7800" s="1" t="s">
        <v>2479</v>
      </c>
      <c r="P7800" s="1" t="s">
        <v>8204</v>
      </c>
      <c r="Q7800" s="30" t="s">
        <v>2566</v>
      </c>
      <c r="R7800" s="33" t="s">
        <v>3472</v>
      </c>
      <c r="S7800">
        <v>36</v>
      </c>
      <c r="T7800" s="1" t="s">
        <v>8205</v>
      </c>
      <c r="U7800" s="1" t="str">
        <f>HYPERLINK("http://ictvonline.org/taxonomy/p/taxonomy-history?taxnode_id=202109550","ICTVonline=202109550")</f>
        <v>ICTVonline=202109550</v>
      </c>
    </row>
    <row r="7801" spans="1:21" x14ac:dyDescent="0.2">
      <c r="A7801" s="3">
        <v>7800</v>
      </c>
      <c r="B7801" s="1" t="s">
        <v>4226</v>
      </c>
      <c r="D7801" s="1" t="s">
        <v>5412</v>
      </c>
      <c r="F7801" s="1" t="s">
        <v>3981</v>
      </c>
      <c r="G7801" s="1" t="s">
        <v>4003</v>
      </c>
      <c r="H7801" s="1" t="s">
        <v>4004</v>
      </c>
      <c r="J7801" s="1" t="s">
        <v>3109</v>
      </c>
      <c r="L7801" s="1" t="s">
        <v>973</v>
      </c>
      <c r="N7801" s="1" t="s">
        <v>2479</v>
      </c>
      <c r="P7801" s="1" t="s">
        <v>2487</v>
      </c>
      <c r="Q7801" s="30" t="s">
        <v>2821</v>
      </c>
      <c r="R7801" s="33" t="s">
        <v>3474</v>
      </c>
      <c r="S7801">
        <v>35</v>
      </c>
      <c r="T7801" s="1" t="s">
        <v>5416</v>
      </c>
      <c r="U7801" s="1" t="str">
        <f>HYPERLINK("http://ictvonline.org/taxonomy/p/taxonomy-history?taxnode_id=202102580","ICTVonline=202102580")</f>
        <v>ICTVonline=202102580</v>
      </c>
    </row>
    <row r="7802" spans="1:21" x14ac:dyDescent="0.2">
      <c r="A7802" s="3">
        <v>7801</v>
      </c>
      <c r="B7802" s="1" t="s">
        <v>4226</v>
      </c>
      <c r="D7802" s="1" t="s">
        <v>5412</v>
      </c>
      <c r="F7802" s="1" t="s">
        <v>3981</v>
      </c>
      <c r="G7802" s="1" t="s">
        <v>4003</v>
      </c>
      <c r="H7802" s="1" t="s">
        <v>4004</v>
      </c>
      <c r="J7802" s="1" t="s">
        <v>3109</v>
      </c>
      <c r="L7802" s="1" t="s">
        <v>973</v>
      </c>
      <c r="N7802" s="1" t="s">
        <v>2479</v>
      </c>
      <c r="P7802" s="1" t="s">
        <v>2488</v>
      </c>
      <c r="Q7802" s="30" t="s">
        <v>2821</v>
      </c>
      <c r="R7802" s="33" t="s">
        <v>3474</v>
      </c>
      <c r="S7802">
        <v>35</v>
      </c>
      <c r="T7802" s="1" t="s">
        <v>5416</v>
      </c>
      <c r="U7802" s="1" t="str">
        <f>HYPERLINK("http://ictvonline.org/taxonomy/p/taxonomy-history?taxnode_id=202102581","ICTVonline=202102581")</f>
        <v>ICTVonline=202102581</v>
      </c>
    </row>
    <row r="7803" spans="1:21" x14ac:dyDescent="0.2">
      <c r="A7803" s="3">
        <v>7802</v>
      </c>
      <c r="B7803" s="1" t="s">
        <v>4226</v>
      </c>
      <c r="D7803" s="1" t="s">
        <v>5412</v>
      </c>
      <c r="F7803" s="1" t="s">
        <v>3981</v>
      </c>
      <c r="G7803" s="1" t="s">
        <v>4003</v>
      </c>
      <c r="H7803" s="1" t="s">
        <v>4004</v>
      </c>
      <c r="J7803" s="1" t="s">
        <v>3109</v>
      </c>
      <c r="L7803" s="1" t="s">
        <v>973</v>
      </c>
      <c r="N7803" s="1" t="s">
        <v>2479</v>
      </c>
      <c r="P7803" s="1" t="s">
        <v>3280</v>
      </c>
      <c r="Q7803" s="30" t="s">
        <v>2821</v>
      </c>
      <c r="R7803" s="33" t="s">
        <v>3474</v>
      </c>
      <c r="S7803">
        <v>35</v>
      </c>
      <c r="T7803" s="1" t="s">
        <v>5416</v>
      </c>
      <c r="U7803" s="1" t="str">
        <f>HYPERLINK("http://ictvonline.org/taxonomy/p/taxonomy-history?taxnode_id=202102582","ICTVonline=202102582")</f>
        <v>ICTVonline=202102582</v>
      </c>
    </row>
    <row r="7804" spans="1:21" x14ac:dyDescent="0.2">
      <c r="A7804" s="3">
        <v>7803</v>
      </c>
      <c r="B7804" s="1" t="s">
        <v>4226</v>
      </c>
      <c r="D7804" s="1" t="s">
        <v>5412</v>
      </c>
      <c r="F7804" s="1" t="s">
        <v>3981</v>
      </c>
      <c r="G7804" s="1" t="s">
        <v>4003</v>
      </c>
      <c r="H7804" s="1" t="s">
        <v>4004</v>
      </c>
      <c r="J7804" s="1" t="s">
        <v>3109</v>
      </c>
      <c r="L7804" s="1" t="s">
        <v>973</v>
      </c>
      <c r="N7804" s="1" t="s">
        <v>2479</v>
      </c>
      <c r="P7804" s="1" t="s">
        <v>2489</v>
      </c>
      <c r="Q7804" s="30" t="s">
        <v>2821</v>
      </c>
      <c r="R7804" s="33" t="s">
        <v>3474</v>
      </c>
      <c r="S7804">
        <v>35</v>
      </c>
      <c r="T7804" s="1" t="s">
        <v>5416</v>
      </c>
      <c r="U7804" s="1" t="str">
        <f>HYPERLINK("http://ictvonline.org/taxonomy/p/taxonomy-history?taxnode_id=202102583","ICTVonline=202102583")</f>
        <v>ICTVonline=202102583</v>
      </c>
    </row>
    <row r="7805" spans="1:21" x14ac:dyDescent="0.2">
      <c r="A7805" s="3">
        <v>7804</v>
      </c>
      <c r="B7805" s="1" t="s">
        <v>4226</v>
      </c>
      <c r="D7805" s="1" t="s">
        <v>5412</v>
      </c>
      <c r="F7805" s="1" t="s">
        <v>3981</v>
      </c>
      <c r="G7805" s="1" t="s">
        <v>4003</v>
      </c>
      <c r="H7805" s="1" t="s">
        <v>4004</v>
      </c>
      <c r="J7805" s="1" t="s">
        <v>3109</v>
      </c>
      <c r="L7805" s="1" t="s">
        <v>973</v>
      </c>
      <c r="N7805" s="1" t="s">
        <v>2479</v>
      </c>
      <c r="P7805" s="1" t="s">
        <v>2490</v>
      </c>
      <c r="Q7805" s="30" t="s">
        <v>2821</v>
      </c>
      <c r="R7805" s="33" t="s">
        <v>3474</v>
      </c>
      <c r="S7805">
        <v>35</v>
      </c>
      <c r="T7805" s="1" t="s">
        <v>5416</v>
      </c>
      <c r="U7805" s="1" t="str">
        <f>HYPERLINK("http://ictvonline.org/taxonomy/p/taxonomy-history?taxnode_id=202102584","ICTVonline=202102584")</f>
        <v>ICTVonline=202102584</v>
      </c>
    </row>
    <row r="7806" spans="1:21" x14ac:dyDescent="0.2">
      <c r="A7806" s="3">
        <v>7805</v>
      </c>
      <c r="B7806" s="1" t="s">
        <v>4226</v>
      </c>
      <c r="D7806" s="1" t="s">
        <v>5412</v>
      </c>
      <c r="F7806" s="1" t="s">
        <v>3981</v>
      </c>
      <c r="G7806" s="1" t="s">
        <v>4003</v>
      </c>
      <c r="H7806" s="1" t="s">
        <v>4004</v>
      </c>
      <c r="J7806" s="1" t="s">
        <v>3109</v>
      </c>
      <c r="L7806" s="1" t="s">
        <v>973</v>
      </c>
      <c r="N7806" s="1" t="s">
        <v>2479</v>
      </c>
      <c r="P7806" s="1" t="s">
        <v>2491</v>
      </c>
      <c r="Q7806" s="30" t="s">
        <v>2821</v>
      </c>
      <c r="R7806" s="33" t="s">
        <v>3474</v>
      </c>
      <c r="S7806">
        <v>35</v>
      </c>
      <c r="T7806" s="1" t="s">
        <v>5416</v>
      </c>
      <c r="U7806" s="1" t="str">
        <f>HYPERLINK("http://ictvonline.org/taxonomy/p/taxonomy-history?taxnode_id=202102585","ICTVonline=202102585")</f>
        <v>ICTVonline=202102585</v>
      </c>
    </row>
    <row r="7807" spans="1:21" x14ac:dyDescent="0.2">
      <c r="A7807" s="3">
        <v>7806</v>
      </c>
      <c r="B7807" s="1" t="s">
        <v>4226</v>
      </c>
      <c r="D7807" s="1" t="s">
        <v>5412</v>
      </c>
      <c r="F7807" s="1" t="s">
        <v>3981</v>
      </c>
      <c r="G7807" s="1" t="s">
        <v>4003</v>
      </c>
      <c r="H7807" s="1" t="s">
        <v>4004</v>
      </c>
      <c r="J7807" s="1" t="s">
        <v>3109</v>
      </c>
      <c r="L7807" s="1" t="s">
        <v>973</v>
      </c>
      <c r="N7807" s="1" t="s">
        <v>2479</v>
      </c>
      <c r="P7807" s="1" t="s">
        <v>2492</v>
      </c>
      <c r="Q7807" s="30" t="s">
        <v>2821</v>
      </c>
      <c r="R7807" s="33" t="s">
        <v>8665</v>
      </c>
      <c r="S7807">
        <v>36</v>
      </c>
      <c r="T7807" s="1" t="s">
        <v>8661</v>
      </c>
      <c r="U7807" s="1" t="str">
        <f>HYPERLINK("http://ictvonline.org/taxonomy/p/taxonomy-history?taxnode_id=202102586","ICTVonline=202102586")</f>
        <v>ICTVonline=202102586</v>
      </c>
    </row>
    <row r="7808" spans="1:21" x14ac:dyDescent="0.2">
      <c r="A7808" s="3">
        <v>7807</v>
      </c>
      <c r="B7808" s="1" t="s">
        <v>4226</v>
      </c>
      <c r="D7808" s="1" t="s">
        <v>5412</v>
      </c>
      <c r="F7808" s="1" t="s">
        <v>3981</v>
      </c>
      <c r="G7808" s="1" t="s">
        <v>4003</v>
      </c>
      <c r="H7808" s="1" t="s">
        <v>4004</v>
      </c>
      <c r="J7808" s="1" t="s">
        <v>3109</v>
      </c>
      <c r="L7808" s="1" t="s">
        <v>973</v>
      </c>
      <c r="N7808" s="1" t="s">
        <v>2479</v>
      </c>
      <c r="P7808" s="1" t="s">
        <v>2493</v>
      </c>
      <c r="Q7808" s="30" t="s">
        <v>2821</v>
      </c>
      <c r="R7808" s="33" t="s">
        <v>3474</v>
      </c>
      <c r="S7808">
        <v>35</v>
      </c>
      <c r="T7808" s="1" t="s">
        <v>5416</v>
      </c>
      <c r="U7808" s="1" t="str">
        <f>HYPERLINK("http://ictvonline.org/taxonomy/p/taxonomy-history?taxnode_id=202102587","ICTVonline=202102587")</f>
        <v>ICTVonline=202102587</v>
      </c>
    </row>
    <row r="7809" spans="1:21" x14ac:dyDescent="0.2">
      <c r="A7809" s="3">
        <v>7808</v>
      </c>
      <c r="B7809" s="1" t="s">
        <v>4226</v>
      </c>
      <c r="D7809" s="1" t="s">
        <v>5412</v>
      </c>
      <c r="F7809" s="1" t="s">
        <v>3981</v>
      </c>
      <c r="G7809" s="1" t="s">
        <v>4003</v>
      </c>
      <c r="H7809" s="1" t="s">
        <v>4004</v>
      </c>
      <c r="J7809" s="1" t="s">
        <v>3109</v>
      </c>
      <c r="L7809" s="1" t="s">
        <v>973</v>
      </c>
      <c r="N7809" s="1" t="s">
        <v>2479</v>
      </c>
      <c r="P7809" s="1" t="s">
        <v>13507</v>
      </c>
      <c r="Q7809" s="30" t="s">
        <v>2821</v>
      </c>
      <c r="R7809" s="33" t="s">
        <v>3472</v>
      </c>
      <c r="S7809">
        <v>37</v>
      </c>
      <c r="T7809" s="1" t="s">
        <v>14034</v>
      </c>
      <c r="U7809" s="1" t="str">
        <f>HYPERLINK("http://ictvonline.org/taxonomy/p/taxonomy-history?taxnode_id=202113338","ICTVonline=202113338")</f>
        <v>ICTVonline=202113338</v>
      </c>
    </row>
    <row r="7810" spans="1:21" x14ac:dyDescent="0.2">
      <c r="A7810" s="3">
        <v>7809</v>
      </c>
      <c r="B7810" s="1" t="s">
        <v>4226</v>
      </c>
      <c r="D7810" s="1" t="s">
        <v>5412</v>
      </c>
      <c r="F7810" s="1" t="s">
        <v>3981</v>
      </c>
      <c r="G7810" s="1" t="s">
        <v>4003</v>
      </c>
      <c r="H7810" s="1" t="s">
        <v>4004</v>
      </c>
      <c r="J7810" s="1" t="s">
        <v>3109</v>
      </c>
      <c r="L7810" s="1" t="s">
        <v>973</v>
      </c>
      <c r="N7810" s="1" t="s">
        <v>2479</v>
      </c>
      <c r="P7810" s="1" t="s">
        <v>13508</v>
      </c>
      <c r="Q7810" s="30" t="s">
        <v>2821</v>
      </c>
      <c r="R7810" s="33" t="s">
        <v>3472</v>
      </c>
      <c r="S7810">
        <v>37</v>
      </c>
      <c r="T7810" s="1" t="s">
        <v>14035</v>
      </c>
      <c r="U7810" s="1" t="str">
        <f>HYPERLINK("http://ictvonline.org/taxonomy/p/taxonomy-history?taxnode_id=202113339","ICTVonline=202113339")</f>
        <v>ICTVonline=202113339</v>
      </c>
    </row>
    <row r="7811" spans="1:21" x14ac:dyDescent="0.2">
      <c r="A7811" s="3">
        <v>7810</v>
      </c>
      <c r="B7811" s="1" t="s">
        <v>4226</v>
      </c>
      <c r="D7811" s="1" t="s">
        <v>5412</v>
      </c>
      <c r="F7811" s="1" t="s">
        <v>3981</v>
      </c>
      <c r="G7811" s="1" t="s">
        <v>4003</v>
      </c>
      <c r="H7811" s="1" t="s">
        <v>4004</v>
      </c>
      <c r="J7811" s="1" t="s">
        <v>3109</v>
      </c>
      <c r="L7811" s="1" t="s">
        <v>973</v>
      </c>
      <c r="N7811" s="1" t="s">
        <v>2479</v>
      </c>
      <c r="P7811" s="1" t="s">
        <v>2823</v>
      </c>
      <c r="Q7811" s="30" t="s">
        <v>2821</v>
      </c>
      <c r="R7811" s="33" t="s">
        <v>3474</v>
      </c>
      <c r="S7811">
        <v>35</v>
      </c>
      <c r="T7811" s="1" t="s">
        <v>5416</v>
      </c>
      <c r="U7811" s="1" t="str">
        <f>HYPERLINK("http://ictvonline.org/taxonomy/p/taxonomy-history?taxnode_id=202102588","ICTVonline=202102588")</f>
        <v>ICTVonline=202102588</v>
      </c>
    </row>
    <row r="7812" spans="1:21" x14ac:dyDescent="0.2">
      <c r="A7812" s="3">
        <v>7811</v>
      </c>
      <c r="B7812" s="1" t="s">
        <v>4226</v>
      </c>
      <c r="D7812" s="1" t="s">
        <v>5412</v>
      </c>
      <c r="F7812" s="1" t="s">
        <v>3981</v>
      </c>
      <c r="G7812" s="1" t="s">
        <v>4003</v>
      </c>
      <c r="H7812" s="1" t="s">
        <v>4004</v>
      </c>
      <c r="J7812" s="1" t="s">
        <v>3109</v>
      </c>
      <c r="L7812" s="1" t="s">
        <v>973</v>
      </c>
      <c r="N7812" s="1" t="s">
        <v>2479</v>
      </c>
      <c r="P7812" s="1" t="s">
        <v>2494</v>
      </c>
      <c r="Q7812" s="30" t="s">
        <v>2821</v>
      </c>
      <c r="R7812" s="33" t="s">
        <v>3474</v>
      </c>
      <c r="S7812">
        <v>35</v>
      </c>
      <c r="T7812" s="1" t="s">
        <v>5416</v>
      </c>
      <c r="U7812" s="1" t="str">
        <f>HYPERLINK("http://ictvonline.org/taxonomy/p/taxonomy-history?taxnode_id=202102589","ICTVonline=202102589")</f>
        <v>ICTVonline=202102589</v>
      </c>
    </row>
    <row r="7813" spans="1:21" x14ac:dyDescent="0.2">
      <c r="A7813" s="3">
        <v>7812</v>
      </c>
      <c r="B7813" s="1" t="s">
        <v>4226</v>
      </c>
      <c r="D7813" s="1" t="s">
        <v>5412</v>
      </c>
      <c r="F7813" s="1" t="s">
        <v>3981</v>
      </c>
      <c r="G7813" s="1" t="s">
        <v>4003</v>
      </c>
      <c r="H7813" s="1" t="s">
        <v>4004</v>
      </c>
      <c r="J7813" s="1" t="s">
        <v>3109</v>
      </c>
      <c r="L7813" s="1" t="s">
        <v>973</v>
      </c>
      <c r="N7813" s="1" t="s">
        <v>2479</v>
      </c>
      <c r="P7813" s="1" t="s">
        <v>2495</v>
      </c>
      <c r="Q7813" s="30" t="s">
        <v>2821</v>
      </c>
      <c r="R7813" s="33" t="s">
        <v>3474</v>
      </c>
      <c r="S7813">
        <v>35</v>
      </c>
      <c r="T7813" s="1" t="s">
        <v>5416</v>
      </c>
      <c r="U7813" s="1" t="str">
        <f>HYPERLINK("http://ictvonline.org/taxonomy/p/taxonomy-history?taxnode_id=202102590","ICTVonline=202102590")</f>
        <v>ICTVonline=202102590</v>
      </c>
    </row>
    <row r="7814" spans="1:21" x14ac:dyDescent="0.2">
      <c r="A7814" s="3">
        <v>7813</v>
      </c>
      <c r="B7814" s="1" t="s">
        <v>4226</v>
      </c>
      <c r="D7814" s="1" t="s">
        <v>5412</v>
      </c>
      <c r="F7814" s="1" t="s">
        <v>3981</v>
      </c>
      <c r="G7814" s="1" t="s">
        <v>4003</v>
      </c>
      <c r="H7814" s="1" t="s">
        <v>4004</v>
      </c>
      <c r="J7814" s="1" t="s">
        <v>3109</v>
      </c>
      <c r="L7814" s="1" t="s">
        <v>973</v>
      </c>
      <c r="N7814" s="1" t="s">
        <v>2479</v>
      </c>
      <c r="P7814" s="1" t="s">
        <v>2496</v>
      </c>
      <c r="Q7814" s="30" t="s">
        <v>2821</v>
      </c>
      <c r="R7814" s="33" t="s">
        <v>3474</v>
      </c>
      <c r="S7814">
        <v>35</v>
      </c>
      <c r="T7814" s="1" t="s">
        <v>5416</v>
      </c>
      <c r="U7814" s="1" t="str">
        <f>HYPERLINK("http://ictvonline.org/taxonomy/p/taxonomy-history?taxnode_id=202102591","ICTVonline=202102591")</f>
        <v>ICTVonline=202102591</v>
      </c>
    </row>
    <row r="7815" spans="1:21" x14ac:dyDescent="0.2">
      <c r="A7815" s="3">
        <v>7814</v>
      </c>
      <c r="B7815" s="1" t="s">
        <v>4226</v>
      </c>
      <c r="D7815" s="1" t="s">
        <v>5412</v>
      </c>
      <c r="F7815" s="1" t="s">
        <v>3981</v>
      </c>
      <c r="G7815" s="1" t="s">
        <v>4003</v>
      </c>
      <c r="H7815" s="1" t="s">
        <v>4004</v>
      </c>
      <c r="J7815" s="1" t="s">
        <v>3109</v>
      </c>
      <c r="L7815" s="1" t="s">
        <v>973</v>
      </c>
      <c r="N7815" s="1" t="s">
        <v>2479</v>
      </c>
      <c r="P7815" s="1" t="s">
        <v>2824</v>
      </c>
      <c r="Q7815" s="30" t="s">
        <v>2821</v>
      </c>
      <c r="R7815" s="33" t="s">
        <v>3474</v>
      </c>
      <c r="S7815">
        <v>35</v>
      </c>
      <c r="T7815" s="1" t="s">
        <v>5416</v>
      </c>
      <c r="U7815" s="1" t="str">
        <f>HYPERLINK("http://ictvonline.org/taxonomy/p/taxonomy-history?taxnode_id=202102592","ICTVonline=202102592")</f>
        <v>ICTVonline=202102592</v>
      </c>
    </row>
    <row r="7816" spans="1:21" x14ac:dyDescent="0.2">
      <c r="A7816" s="3">
        <v>7815</v>
      </c>
      <c r="B7816" s="1" t="s">
        <v>4226</v>
      </c>
      <c r="D7816" s="1" t="s">
        <v>5412</v>
      </c>
      <c r="F7816" s="1" t="s">
        <v>3981</v>
      </c>
      <c r="G7816" s="1" t="s">
        <v>4003</v>
      </c>
      <c r="H7816" s="1" t="s">
        <v>4004</v>
      </c>
      <c r="J7816" s="1" t="s">
        <v>3109</v>
      </c>
      <c r="L7816" s="1" t="s">
        <v>973</v>
      </c>
      <c r="N7816" s="1" t="s">
        <v>2479</v>
      </c>
      <c r="P7816" s="1" t="s">
        <v>2497</v>
      </c>
      <c r="Q7816" s="30" t="s">
        <v>2821</v>
      </c>
      <c r="R7816" s="33" t="s">
        <v>3474</v>
      </c>
      <c r="S7816">
        <v>35</v>
      </c>
      <c r="T7816" s="1" t="s">
        <v>5416</v>
      </c>
      <c r="U7816" s="1" t="str">
        <f>HYPERLINK("http://ictvonline.org/taxonomy/p/taxonomy-history?taxnode_id=202102593","ICTVonline=202102593")</f>
        <v>ICTVonline=202102593</v>
      </c>
    </row>
    <row r="7817" spans="1:21" x14ac:dyDescent="0.2">
      <c r="A7817" s="3">
        <v>7816</v>
      </c>
      <c r="B7817" s="1" t="s">
        <v>4226</v>
      </c>
      <c r="D7817" s="1" t="s">
        <v>5412</v>
      </c>
      <c r="F7817" s="1" t="s">
        <v>3981</v>
      </c>
      <c r="G7817" s="1" t="s">
        <v>4003</v>
      </c>
      <c r="H7817" s="1" t="s">
        <v>4004</v>
      </c>
      <c r="J7817" s="1" t="s">
        <v>3109</v>
      </c>
      <c r="L7817" s="1" t="s">
        <v>973</v>
      </c>
      <c r="N7817" s="1" t="s">
        <v>2479</v>
      </c>
      <c r="P7817" s="1" t="s">
        <v>3753</v>
      </c>
      <c r="Q7817" s="30" t="s">
        <v>2821</v>
      </c>
      <c r="R7817" s="33" t="s">
        <v>3474</v>
      </c>
      <c r="S7817">
        <v>35</v>
      </c>
      <c r="T7817" s="1" t="s">
        <v>5416</v>
      </c>
      <c r="U7817" s="1" t="str">
        <f>HYPERLINK("http://ictvonline.org/taxonomy/p/taxonomy-history?taxnode_id=202102594","ICTVonline=202102594")</f>
        <v>ICTVonline=202102594</v>
      </c>
    </row>
    <row r="7818" spans="1:21" x14ac:dyDescent="0.2">
      <c r="A7818" s="3">
        <v>7817</v>
      </c>
      <c r="B7818" s="1" t="s">
        <v>4226</v>
      </c>
      <c r="D7818" s="1" t="s">
        <v>5412</v>
      </c>
      <c r="F7818" s="1" t="s">
        <v>3981</v>
      </c>
      <c r="G7818" s="1" t="s">
        <v>4003</v>
      </c>
      <c r="H7818" s="1" t="s">
        <v>4004</v>
      </c>
      <c r="J7818" s="1" t="s">
        <v>3109</v>
      </c>
      <c r="L7818" s="1" t="s">
        <v>973</v>
      </c>
      <c r="N7818" s="1" t="s">
        <v>2479</v>
      </c>
      <c r="P7818" s="1" t="s">
        <v>2498</v>
      </c>
      <c r="Q7818" s="30" t="s">
        <v>2821</v>
      </c>
      <c r="R7818" s="33" t="s">
        <v>3474</v>
      </c>
      <c r="S7818">
        <v>35</v>
      </c>
      <c r="T7818" s="1" t="s">
        <v>5416</v>
      </c>
      <c r="U7818" s="1" t="str">
        <f>HYPERLINK("http://ictvonline.org/taxonomy/p/taxonomy-history?taxnode_id=202102596","ICTVonline=202102596")</f>
        <v>ICTVonline=202102596</v>
      </c>
    </row>
    <row r="7819" spans="1:21" x14ac:dyDescent="0.2">
      <c r="A7819" s="3">
        <v>7818</v>
      </c>
      <c r="B7819" s="1" t="s">
        <v>4226</v>
      </c>
      <c r="D7819" s="1" t="s">
        <v>5412</v>
      </c>
      <c r="F7819" s="1" t="s">
        <v>3981</v>
      </c>
      <c r="G7819" s="1" t="s">
        <v>4003</v>
      </c>
      <c r="H7819" s="1" t="s">
        <v>4004</v>
      </c>
      <c r="J7819" s="1" t="s">
        <v>3109</v>
      </c>
      <c r="L7819" s="1" t="s">
        <v>973</v>
      </c>
      <c r="N7819" s="1" t="s">
        <v>2479</v>
      </c>
      <c r="P7819" s="1" t="s">
        <v>5512</v>
      </c>
      <c r="Q7819" s="30" t="s">
        <v>2821</v>
      </c>
      <c r="R7819" s="33" t="s">
        <v>3472</v>
      </c>
      <c r="S7819">
        <v>35</v>
      </c>
      <c r="T7819" s="1" t="s">
        <v>5513</v>
      </c>
      <c r="U7819" s="1" t="str">
        <f>HYPERLINK("http://ictvonline.org/taxonomy/p/taxonomy-history?taxnode_id=202107356","ICTVonline=202107356")</f>
        <v>ICTVonline=202107356</v>
      </c>
    </row>
    <row r="7820" spans="1:21" x14ac:dyDescent="0.2">
      <c r="A7820" s="3">
        <v>7819</v>
      </c>
      <c r="B7820" s="1" t="s">
        <v>4226</v>
      </c>
      <c r="D7820" s="1" t="s">
        <v>5412</v>
      </c>
      <c r="F7820" s="1" t="s">
        <v>3981</v>
      </c>
      <c r="G7820" s="1" t="s">
        <v>4003</v>
      </c>
      <c r="H7820" s="1" t="s">
        <v>4004</v>
      </c>
      <c r="J7820" s="1" t="s">
        <v>3109</v>
      </c>
      <c r="L7820" s="1" t="s">
        <v>973</v>
      </c>
      <c r="N7820" s="1" t="s">
        <v>2479</v>
      </c>
      <c r="P7820" s="1" t="s">
        <v>3754</v>
      </c>
      <c r="Q7820" s="30" t="s">
        <v>2821</v>
      </c>
      <c r="R7820" s="33" t="s">
        <v>3474</v>
      </c>
      <c r="S7820">
        <v>35</v>
      </c>
      <c r="T7820" s="1" t="s">
        <v>5416</v>
      </c>
      <c r="U7820" s="1" t="str">
        <f>HYPERLINK("http://ictvonline.org/taxonomy/p/taxonomy-history?taxnode_id=202105742","ICTVonline=202105742")</f>
        <v>ICTVonline=202105742</v>
      </c>
    </row>
    <row r="7821" spans="1:21" x14ac:dyDescent="0.2">
      <c r="A7821" s="3">
        <v>7820</v>
      </c>
      <c r="B7821" s="1" t="s">
        <v>4226</v>
      </c>
      <c r="D7821" s="1" t="s">
        <v>5412</v>
      </c>
      <c r="F7821" s="1" t="s">
        <v>3981</v>
      </c>
      <c r="G7821" s="1" t="s">
        <v>4003</v>
      </c>
      <c r="H7821" s="1" t="s">
        <v>4004</v>
      </c>
      <c r="J7821" s="1" t="s">
        <v>3109</v>
      </c>
      <c r="L7821" s="1" t="s">
        <v>973</v>
      </c>
      <c r="N7821" s="1" t="s">
        <v>2479</v>
      </c>
      <c r="P7821" s="1" t="s">
        <v>13509</v>
      </c>
      <c r="Q7821" s="30" t="s">
        <v>2821</v>
      </c>
      <c r="R7821" s="33" t="s">
        <v>3474</v>
      </c>
      <c r="S7821">
        <v>35</v>
      </c>
      <c r="T7821" s="1" t="s">
        <v>5416</v>
      </c>
      <c r="U7821" s="1" t="str">
        <f>HYPERLINK("http://ictvonline.org/taxonomy/p/taxonomy-history?taxnode_id=202102571","ICTVonline=202102571")</f>
        <v>ICTVonline=202102571</v>
      </c>
    </row>
    <row r="7822" spans="1:21" x14ac:dyDescent="0.2">
      <c r="A7822" s="3">
        <v>7821</v>
      </c>
      <c r="B7822" s="1" t="s">
        <v>4226</v>
      </c>
      <c r="D7822" s="1" t="s">
        <v>5412</v>
      </c>
      <c r="F7822" s="1" t="s">
        <v>3981</v>
      </c>
      <c r="G7822" s="1" t="s">
        <v>4003</v>
      </c>
      <c r="H7822" s="1" t="s">
        <v>4004</v>
      </c>
      <c r="J7822" s="1" t="s">
        <v>3109</v>
      </c>
      <c r="L7822" s="1" t="s">
        <v>973</v>
      </c>
      <c r="N7822" s="1" t="s">
        <v>2479</v>
      </c>
      <c r="P7822" s="1" t="s">
        <v>3281</v>
      </c>
      <c r="Q7822" s="30" t="s">
        <v>2821</v>
      </c>
      <c r="R7822" s="33" t="s">
        <v>3474</v>
      </c>
      <c r="S7822">
        <v>35</v>
      </c>
      <c r="T7822" s="1" t="s">
        <v>5416</v>
      </c>
      <c r="U7822" s="1" t="str">
        <f>HYPERLINK("http://ictvonline.org/taxonomy/p/taxonomy-history?taxnode_id=202102598","ICTVonline=202102598")</f>
        <v>ICTVonline=202102598</v>
      </c>
    </row>
    <row r="7823" spans="1:21" x14ac:dyDescent="0.2">
      <c r="A7823" s="3">
        <v>7822</v>
      </c>
      <c r="B7823" s="1" t="s">
        <v>4226</v>
      </c>
      <c r="D7823" s="1" t="s">
        <v>5412</v>
      </c>
      <c r="F7823" s="1" t="s">
        <v>3981</v>
      </c>
      <c r="G7823" s="1" t="s">
        <v>4003</v>
      </c>
      <c r="H7823" s="1" t="s">
        <v>4004</v>
      </c>
      <c r="J7823" s="1" t="s">
        <v>3109</v>
      </c>
      <c r="L7823" s="1" t="s">
        <v>973</v>
      </c>
      <c r="N7823" s="1" t="s">
        <v>2479</v>
      </c>
      <c r="P7823" s="1" t="s">
        <v>3755</v>
      </c>
      <c r="Q7823" s="30" t="s">
        <v>2821</v>
      </c>
      <c r="R7823" s="33" t="s">
        <v>3474</v>
      </c>
      <c r="S7823">
        <v>35</v>
      </c>
      <c r="T7823" s="1" t="s">
        <v>5416</v>
      </c>
      <c r="U7823" s="1" t="str">
        <f>HYPERLINK("http://ictvonline.org/taxonomy/p/taxonomy-history?taxnode_id=202105743","ICTVonline=202105743")</f>
        <v>ICTVonline=202105743</v>
      </c>
    </row>
    <row r="7824" spans="1:21" x14ac:dyDescent="0.2">
      <c r="A7824" s="3">
        <v>7823</v>
      </c>
      <c r="B7824" s="1" t="s">
        <v>4226</v>
      </c>
      <c r="D7824" s="1" t="s">
        <v>5412</v>
      </c>
      <c r="F7824" s="1" t="s">
        <v>3981</v>
      </c>
      <c r="G7824" s="1" t="s">
        <v>4003</v>
      </c>
      <c r="H7824" s="1" t="s">
        <v>4004</v>
      </c>
      <c r="J7824" s="1" t="s">
        <v>3109</v>
      </c>
      <c r="L7824" s="1" t="s">
        <v>973</v>
      </c>
      <c r="N7824" s="1" t="s">
        <v>2479</v>
      </c>
      <c r="P7824" s="1" t="s">
        <v>2499</v>
      </c>
      <c r="Q7824" s="30" t="s">
        <v>2821</v>
      </c>
      <c r="R7824" s="33" t="s">
        <v>3474</v>
      </c>
      <c r="S7824">
        <v>35</v>
      </c>
      <c r="T7824" s="1" t="s">
        <v>5416</v>
      </c>
      <c r="U7824" s="1" t="str">
        <f>HYPERLINK("http://ictvonline.org/taxonomy/p/taxonomy-history?taxnode_id=202102599","ICTVonline=202102599")</f>
        <v>ICTVonline=202102599</v>
      </c>
    </row>
    <row r="7825" spans="1:21" x14ac:dyDescent="0.2">
      <c r="A7825" s="3">
        <v>7824</v>
      </c>
      <c r="B7825" s="1" t="s">
        <v>4226</v>
      </c>
      <c r="D7825" s="1" t="s">
        <v>5412</v>
      </c>
      <c r="F7825" s="1" t="s">
        <v>3981</v>
      </c>
      <c r="G7825" s="1" t="s">
        <v>4003</v>
      </c>
      <c r="H7825" s="1" t="s">
        <v>4004</v>
      </c>
      <c r="J7825" s="1" t="s">
        <v>3109</v>
      </c>
      <c r="L7825" s="1" t="s">
        <v>973</v>
      </c>
      <c r="N7825" s="1" t="s">
        <v>2479</v>
      </c>
      <c r="P7825" s="1" t="s">
        <v>2500</v>
      </c>
      <c r="Q7825" s="30" t="s">
        <v>2821</v>
      </c>
      <c r="R7825" s="33" t="s">
        <v>3474</v>
      </c>
      <c r="S7825">
        <v>35</v>
      </c>
      <c r="T7825" s="1" t="s">
        <v>5416</v>
      </c>
      <c r="U7825" s="1" t="str">
        <f>HYPERLINK("http://ictvonline.org/taxonomy/p/taxonomy-history?taxnode_id=202102600","ICTVonline=202102600")</f>
        <v>ICTVonline=202102600</v>
      </c>
    </row>
    <row r="7826" spans="1:21" x14ac:dyDescent="0.2">
      <c r="A7826" s="3">
        <v>7825</v>
      </c>
      <c r="B7826" s="1" t="s">
        <v>4226</v>
      </c>
      <c r="D7826" s="1" t="s">
        <v>5412</v>
      </c>
      <c r="F7826" s="1" t="s">
        <v>3981</v>
      </c>
      <c r="G7826" s="1" t="s">
        <v>4003</v>
      </c>
      <c r="H7826" s="1" t="s">
        <v>4004</v>
      </c>
      <c r="J7826" s="1" t="s">
        <v>3109</v>
      </c>
      <c r="L7826" s="1" t="s">
        <v>973</v>
      </c>
      <c r="N7826" s="1" t="s">
        <v>2479</v>
      </c>
      <c r="P7826" s="1" t="s">
        <v>2825</v>
      </c>
      <c r="Q7826" s="30" t="s">
        <v>2821</v>
      </c>
      <c r="R7826" s="33" t="s">
        <v>3474</v>
      </c>
      <c r="S7826">
        <v>35</v>
      </c>
      <c r="T7826" s="1" t="s">
        <v>5416</v>
      </c>
      <c r="U7826" s="1" t="str">
        <f>HYPERLINK("http://ictvonline.org/taxonomy/p/taxonomy-history?taxnode_id=202102601","ICTVonline=202102601")</f>
        <v>ICTVonline=202102601</v>
      </c>
    </row>
    <row r="7827" spans="1:21" x14ac:dyDescent="0.2">
      <c r="A7827" s="3">
        <v>7826</v>
      </c>
      <c r="B7827" s="1" t="s">
        <v>4226</v>
      </c>
      <c r="D7827" s="1" t="s">
        <v>5412</v>
      </c>
      <c r="F7827" s="1" t="s">
        <v>3981</v>
      </c>
      <c r="G7827" s="1" t="s">
        <v>4003</v>
      </c>
      <c r="H7827" s="1" t="s">
        <v>4004</v>
      </c>
      <c r="J7827" s="1" t="s">
        <v>3109</v>
      </c>
      <c r="L7827" s="1" t="s">
        <v>973</v>
      </c>
      <c r="N7827" s="1" t="s">
        <v>2479</v>
      </c>
      <c r="P7827" s="1" t="s">
        <v>2501</v>
      </c>
      <c r="Q7827" s="30" t="s">
        <v>2821</v>
      </c>
      <c r="R7827" s="33" t="s">
        <v>3474</v>
      </c>
      <c r="S7827">
        <v>35</v>
      </c>
      <c r="T7827" s="1" t="s">
        <v>5416</v>
      </c>
      <c r="U7827" s="1" t="str">
        <f>HYPERLINK("http://ictvonline.org/taxonomy/p/taxonomy-history?taxnode_id=202102602","ICTVonline=202102602")</f>
        <v>ICTVonline=202102602</v>
      </c>
    </row>
    <row r="7828" spans="1:21" x14ac:dyDescent="0.2">
      <c r="A7828" s="3">
        <v>7827</v>
      </c>
      <c r="B7828" s="1" t="s">
        <v>4226</v>
      </c>
      <c r="D7828" s="1" t="s">
        <v>5412</v>
      </c>
      <c r="F7828" s="1" t="s">
        <v>3981</v>
      </c>
      <c r="G7828" s="1" t="s">
        <v>4003</v>
      </c>
      <c r="H7828" s="1" t="s">
        <v>4004</v>
      </c>
      <c r="J7828" s="1" t="s">
        <v>3109</v>
      </c>
      <c r="L7828" s="1" t="s">
        <v>973</v>
      </c>
      <c r="N7828" s="1" t="s">
        <v>2479</v>
      </c>
      <c r="P7828" s="1" t="s">
        <v>5514</v>
      </c>
      <c r="Q7828" s="30" t="s">
        <v>2821</v>
      </c>
      <c r="R7828" s="33" t="s">
        <v>3472</v>
      </c>
      <c r="S7828">
        <v>35</v>
      </c>
      <c r="T7828" s="1" t="s">
        <v>5515</v>
      </c>
      <c r="U7828" s="1" t="str">
        <f>HYPERLINK("http://ictvonline.org/taxonomy/p/taxonomy-history?taxnode_id=202107185","ICTVonline=202107185")</f>
        <v>ICTVonline=202107185</v>
      </c>
    </row>
    <row r="7829" spans="1:21" x14ac:dyDescent="0.2">
      <c r="A7829" s="3">
        <v>7828</v>
      </c>
      <c r="B7829" s="1" t="s">
        <v>4226</v>
      </c>
      <c r="D7829" s="1" t="s">
        <v>5412</v>
      </c>
      <c r="F7829" s="1" t="s">
        <v>3981</v>
      </c>
      <c r="G7829" s="1" t="s">
        <v>4003</v>
      </c>
      <c r="H7829" s="1" t="s">
        <v>4004</v>
      </c>
      <c r="J7829" s="1" t="s">
        <v>3109</v>
      </c>
      <c r="L7829" s="1" t="s">
        <v>973</v>
      </c>
      <c r="N7829" s="1" t="s">
        <v>2502</v>
      </c>
      <c r="P7829" s="1" t="s">
        <v>3756</v>
      </c>
      <c r="Q7829" s="30" t="s">
        <v>2821</v>
      </c>
      <c r="R7829" s="33" t="s">
        <v>3474</v>
      </c>
      <c r="S7829">
        <v>35</v>
      </c>
      <c r="T7829" s="1" t="s">
        <v>5416</v>
      </c>
      <c r="U7829" s="1" t="str">
        <f>HYPERLINK("http://ictvonline.org/taxonomy/p/taxonomy-history?taxnode_id=202102605","ICTVonline=202102605")</f>
        <v>ICTVonline=202102605</v>
      </c>
    </row>
    <row r="7830" spans="1:21" x14ac:dyDescent="0.2">
      <c r="A7830" s="3">
        <v>7829</v>
      </c>
      <c r="B7830" s="1" t="s">
        <v>4226</v>
      </c>
      <c r="D7830" s="1" t="s">
        <v>5412</v>
      </c>
      <c r="F7830" s="1" t="s">
        <v>3981</v>
      </c>
      <c r="G7830" s="1" t="s">
        <v>4003</v>
      </c>
      <c r="H7830" s="1" t="s">
        <v>4004</v>
      </c>
      <c r="J7830" s="1" t="s">
        <v>3109</v>
      </c>
      <c r="L7830" s="1" t="s">
        <v>973</v>
      </c>
      <c r="N7830" s="1" t="s">
        <v>2502</v>
      </c>
      <c r="P7830" s="1" t="s">
        <v>3757</v>
      </c>
      <c r="Q7830" s="30" t="s">
        <v>2821</v>
      </c>
      <c r="R7830" s="33" t="s">
        <v>3474</v>
      </c>
      <c r="S7830">
        <v>35</v>
      </c>
      <c r="T7830" s="1" t="s">
        <v>5416</v>
      </c>
      <c r="U7830" s="1" t="str">
        <f>HYPERLINK("http://ictvonline.org/taxonomy/p/taxonomy-history?taxnode_id=202105744","ICTVonline=202105744")</f>
        <v>ICTVonline=202105744</v>
      </c>
    </row>
    <row r="7831" spans="1:21" x14ac:dyDescent="0.2">
      <c r="A7831" s="3">
        <v>7830</v>
      </c>
      <c r="B7831" s="1" t="s">
        <v>4226</v>
      </c>
      <c r="D7831" s="1" t="s">
        <v>5412</v>
      </c>
      <c r="F7831" s="1" t="s">
        <v>3981</v>
      </c>
      <c r="G7831" s="1" t="s">
        <v>4003</v>
      </c>
      <c r="H7831" s="1" t="s">
        <v>4004</v>
      </c>
      <c r="J7831" s="1" t="s">
        <v>3109</v>
      </c>
      <c r="L7831" s="1" t="s">
        <v>973</v>
      </c>
      <c r="N7831" s="1" t="s">
        <v>2502</v>
      </c>
      <c r="P7831" s="1" t="s">
        <v>3758</v>
      </c>
      <c r="Q7831" s="30" t="s">
        <v>2821</v>
      </c>
      <c r="R7831" s="33" t="s">
        <v>8665</v>
      </c>
      <c r="S7831">
        <v>36</v>
      </c>
      <c r="T7831" s="1" t="s">
        <v>8661</v>
      </c>
      <c r="U7831" s="1" t="str">
        <f>HYPERLINK("http://ictvonline.org/taxonomy/p/taxonomy-history?taxnode_id=202102604","ICTVonline=202102604")</f>
        <v>ICTVonline=202102604</v>
      </c>
    </row>
    <row r="7832" spans="1:21" x14ac:dyDescent="0.2">
      <c r="A7832" s="3">
        <v>7831</v>
      </c>
      <c r="B7832" s="1" t="s">
        <v>4226</v>
      </c>
      <c r="D7832" s="1" t="s">
        <v>5412</v>
      </c>
      <c r="F7832" s="1" t="s">
        <v>3981</v>
      </c>
      <c r="G7832" s="1" t="s">
        <v>4003</v>
      </c>
      <c r="H7832" s="1" t="s">
        <v>4004</v>
      </c>
      <c r="J7832" s="1" t="s">
        <v>3109</v>
      </c>
      <c r="L7832" s="1" t="s">
        <v>973</v>
      </c>
      <c r="N7832" s="1" t="s">
        <v>2502</v>
      </c>
      <c r="P7832" s="1" t="s">
        <v>3759</v>
      </c>
      <c r="Q7832" s="30" t="s">
        <v>2821</v>
      </c>
      <c r="R7832" s="33" t="s">
        <v>3474</v>
      </c>
      <c r="S7832">
        <v>35</v>
      </c>
      <c r="T7832" s="1" t="s">
        <v>5416</v>
      </c>
      <c r="U7832" s="1" t="str">
        <f>HYPERLINK("http://ictvonline.org/taxonomy/p/taxonomy-history?taxnode_id=202105745","ICTVonline=202105745")</f>
        <v>ICTVonline=202105745</v>
      </c>
    </row>
    <row r="7833" spans="1:21" x14ac:dyDescent="0.2">
      <c r="A7833" s="3">
        <v>7832</v>
      </c>
      <c r="B7833" s="1" t="s">
        <v>4226</v>
      </c>
      <c r="D7833" s="1" t="s">
        <v>5412</v>
      </c>
      <c r="F7833" s="1" t="s">
        <v>3981</v>
      </c>
      <c r="G7833" s="1" t="s">
        <v>4003</v>
      </c>
      <c r="H7833" s="1" t="s">
        <v>4004</v>
      </c>
      <c r="J7833" s="1" t="s">
        <v>3109</v>
      </c>
      <c r="L7833" s="1" t="s">
        <v>973</v>
      </c>
      <c r="N7833" s="1" t="s">
        <v>2502</v>
      </c>
      <c r="P7833" s="1" t="s">
        <v>3760</v>
      </c>
      <c r="Q7833" s="30" t="s">
        <v>2821</v>
      </c>
      <c r="R7833" s="33" t="s">
        <v>3474</v>
      </c>
      <c r="S7833">
        <v>35</v>
      </c>
      <c r="T7833" s="1" t="s">
        <v>5416</v>
      </c>
      <c r="U7833" s="1" t="str">
        <f>HYPERLINK("http://ictvonline.org/taxonomy/p/taxonomy-history?taxnode_id=202102606","ICTVonline=202102606")</f>
        <v>ICTVonline=202102606</v>
      </c>
    </row>
    <row r="7834" spans="1:21" x14ac:dyDescent="0.2">
      <c r="A7834" s="3">
        <v>7833</v>
      </c>
      <c r="B7834" s="1" t="s">
        <v>4226</v>
      </c>
      <c r="D7834" s="1" t="s">
        <v>5412</v>
      </c>
      <c r="F7834" s="1" t="s">
        <v>3981</v>
      </c>
      <c r="G7834" s="1" t="s">
        <v>4003</v>
      </c>
      <c r="H7834" s="1" t="s">
        <v>4004</v>
      </c>
      <c r="J7834" s="1" t="s">
        <v>3109</v>
      </c>
      <c r="L7834" s="1" t="s">
        <v>4005</v>
      </c>
      <c r="N7834" s="1" t="s">
        <v>4006</v>
      </c>
      <c r="P7834" s="1" t="s">
        <v>8206</v>
      </c>
      <c r="Q7834" s="30" t="s">
        <v>2566</v>
      </c>
      <c r="R7834" s="33" t="s">
        <v>3472</v>
      </c>
      <c r="S7834">
        <v>36</v>
      </c>
      <c r="T7834" s="1" t="s">
        <v>8207</v>
      </c>
      <c r="U7834" s="1" t="str">
        <f>HYPERLINK("http://ictvonline.org/taxonomy/p/taxonomy-history?taxnode_id=202108791","ICTVonline=202108791")</f>
        <v>ICTVonline=202108791</v>
      </c>
    </row>
    <row r="7835" spans="1:21" x14ac:dyDescent="0.2">
      <c r="A7835" s="3">
        <v>7834</v>
      </c>
      <c r="B7835" s="1" t="s">
        <v>4226</v>
      </c>
      <c r="D7835" s="1" t="s">
        <v>5412</v>
      </c>
      <c r="F7835" s="1" t="s">
        <v>3981</v>
      </c>
      <c r="G7835" s="1" t="s">
        <v>4003</v>
      </c>
      <c r="H7835" s="1" t="s">
        <v>4004</v>
      </c>
      <c r="J7835" s="1" t="s">
        <v>3109</v>
      </c>
      <c r="L7835" s="1" t="s">
        <v>4005</v>
      </c>
      <c r="N7835" s="1" t="s">
        <v>4006</v>
      </c>
      <c r="P7835" s="1" t="s">
        <v>8208</v>
      </c>
      <c r="Q7835" s="30" t="s">
        <v>2566</v>
      </c>
      <c r="R7835" s="33" t="s">
        <v>3472</v>
      </c>
      <c r="S7835">
        <v>36</v>
      </c>
      <c r="T7835" s="1" t="s">
        <v>8207</v>
      </c>
      <c r="U7835" s="1" t="str">
        <f>HYPERLINK("http://ictvonline.org/taxonomy/p/taxonomy-history?taxnode_id=202108792","ICTVonline=202108792")</f>
        <v>ICTVonline=202108792</v>
      </c>
    </row>
    <row r="7836" spans="1:21" x14ac:dyDescent="0.2">
      <c r="A7836" s="3">
        <v>7835</v>
      </c>
      <c r="B7836" s="1" t="s">
        <v>4226</v>
      </c>
      <c r="D7836" s="1" t="s">
        <v>5412</v>
      </c>
      <c r="F7836" s="1" t="s">
        <v>3981</v>
      </c>
      <c r="G7836" s="1" t="s">
        <v>4003</v>
      </c>
      <c r="H7836" s="1" t="s">
        <v>4004</v>
      </c>
      <c r="J7836" s="1" t="s">
        <v>3109</v>
      </c>
      <c r="L7836" s="1" t="s">
        <v>4005</v>
      </c>
      <c r="N7836" s="1" t="s">
        <v>4006</v>
      </c>
      <c r="P7836" s="1" t="s">
        <v>8209</v>
      </c>
      <c r="Q7836" s="30" t="s">
        <v>2566</v>
      </c>
      <c r="R7836" s="33" t="s">
        <v>8666</v>
      </c>
      <c r="S7836">
        <v>36</v>
      </c>
      <c r="T7836" s="1" t="s">
        <v>8674</v>
      </c>
      <c r="U7836" s="1" t="str">
        <f>HYPERLINK("http://ictvonline.org/taxonomy/p/taxonomy-history?taxnode_id=202106209","ICTVonline=202106209")</f>
        <v>ICTVonline=202106209</v>
      </c>
    </row>
    <row r="7837" spans="1:21" x14ac:dyDescent="0.2">
      <c r="A7837" s="3">
        <v>7836</v>
      </c>
      <c r="B7837" s="1" t="s">
        <v>4226</v>
      </c>
      <c r="D7837" s="1" t="s">
        <v>5412</v>
      </c>
      <c r="F7837" s="1" t="s">
        <v>3981</v>
      </c>
      <c r="G7837" s="1" t="s">
        <v>4003</v>
      </c>
      <c r="H7837" s="1" t="s">
        <v>4004</v>
      </c>
      <c r="J7837" s="1" t="s">
        <v>3109</v>
      </c>
      <c r="L7837" s="1" t="s">
        <v>13510</v>
      </c>
      <c r="N7837" s="1" t="s">
        <v>13511</v>
      </c>
      <c r="P7837" s="1" t="s">
        <v>13512</v>
      </c>
      <c r="Q7837" s="30" t="s">
        <v>2566</v>
      </c>
      <c r="R7837" s="33" t="s">
        <v>3472</v>
      </c>
      <c r="S7837">
        <v>37</v>
      </c>
      <c r="T7837" s="1" t="s">
        <v>14036</v>
      </c>
      <c r="U7837" s="1" t="str">
        <f>HYPERLINK("http://ictvonline.org/taxonomy/p/taxonomy-history?taxnode_id=202112956","ICTVonline=202112956")</f>
        <v>ICTVonline=202112956</v>
      </c>
    </row>
    <row r="7838" spans="1:21" x14ac:dyDescent="0.2">
      <c r="A7838" s="3">
        <v>7837</v>
      </c>
      <c r="B7838" s="1" t="s">
        <v>4226</v>
      </c>
      <c r="D7838" s="1" t="s">
        <v>5412</v>
      </c>
      <c r="F7838" s="1" t="s">
        <v>3981</v>
      </c>
      <c r="G7838" s="1" t="s">
        <v>4003</v>
      </c>
      <c r="H7838" s="1" t="s">
        <v>4004</v>
      </c>
      <c r="J7838" s="1" t="s">
        <v>3109</v>
      </c>
      <c r="L7838" s="1" t="s">
        <v>13510</v>
      </c>
      <c r="N7838" s="1" t="s">
        <v>13511</v>
      </c>
      <c r="P7838" s="1" t="s">
        <v>13513</v>
      </c>
      <c r="Q7838" s="30" t="s">
        <v>2566</v>
      </c>
      <c r="R7838" s="33" t="s">
        <v>3472</v>
      </c>
      <c r="S7838">
        <v>37</v>
      </c>
      <c r="T7838" s="1" t="s">
        <v>14036</v>
      </c>
      <c r="U7838" s="1" t="str">
        <f>HYPERLINK("http://ictvonline.org/taxonomy/p/taxonomy-history?taxnode_id=202112957","ICTVonline=202112957")</f>
        <v>ICTVonline=202112957</v>
      </c>
    </row>
    <row r="7839" spans="1:21" x14ac:dyDescent="0.2">
      <c r="A7839" s="3">
        <v>7838</v>
      </c>
      <c r="B7839" s="1" t="s">
        <v>4226</v>
      </c>
      <c r="D7839" s="1" t="s">
        <v>5412</v>
      </c>
      <c r="F7839" s="1" t="s">
        <v>3981</v>
      </c>
      <c r="G7839" s="1" t="s">
        <v>4003</v>
      </c>
      <c r="H7839" s="1" t="s">
        <v>4004</v>
      </c>
      <c r="J7839" s="1" t="s">
        <v>3109</v>
      </c>
      <c r="L7839" s="1" t="s">
        <v>13510</v>
      </c>
      <c r="N7839" s="1" t="s">
        <v>13511</v>
      </c>
      <c r="P7839" s="1" t="s">
        <v>13514</v>
      </c>
      <c r="Q7839" s="30" t="s">
        <v>2566</v>
      </c>
      <c r="R7839" s="33" t="s">
        <v>3472</v>
      </c>
      <c r="S7839">
        <v>37</v>
      </c>
      <c r="T7839" s="1" t="s">
        <v>14036</v>
      </c>
      <c r="U7839" s="1" t="str">
        <f>HYPERLINK("http://ictvonline.org/taxonomy/p/taxonomy-history?taxnode_id=202112958","ICTVonline=202112958")</f>
        <v>ICTVonline=202112958</v>
      </c>
    </row>
    <row r="7840" spans="1:21" x14ac:dyDescent="0.2">
      <c r="A7840" s="3">
        <v>7839</v>
      </c>
      <c r="B7840" s="1" t="s">
        <v>4226</v>
      </c>
      <c r="D7840" s="1" t="s">
        <v>5412</v>
      </c>
      <c r="F7840" s="1" t="s">
        <v>3981</v>
      </c>
      <c r="G7840" s="1" t="s">
        <v>4003</v>
      </c>
      <c r="H7840" s="1" t="s">
        <v>4004</v>
      </c>
      <c r="J7840" s="1" t="s">
        <v>3109</v>
      </c>
      <c r="L7840" s="1" t="s">
        <v>13510</v>
      </c>
      <c r="N7840" s="1" t="s">
        <v>13511</v>
      </c>
      <c r="P7840" s="1" t="s">
        <v>13515</v>
      </c>
      <c r="Q7840" s="30" t="s">
        <v>2566</v>
      </c>
      <c r="R7840" s="33" t="s">
        <v>3472</v>
      </c>
      <c r="S7840">
        <v>37</v>
      </c>
      <c r="T7840" s="1" t="s">
        <v>14036</v>
      </c>
      <c r="U7840" s="1" t="str">
        <f>HYPERLINK("http://ictvonline.org/taxonomy/p/taxonomy-history?taxnode_id=202112955","ICTVonline=202112955")</f>
        <v>ICTVonline=202112955</v>
      </c>
    </row>
    <row r="7841" spans="1:21" x14ac:dyDescent="0.2">
      <c r="A7841" s="3">
        <v>7840</v>
      </c>
      <c r="B7841" s="1" t="s">
        <v>4226</v>
      </c>
      <c r="D7841" s="1" t="s">
        <v>5412</v>
      </c>
      <c r="F7841" s="1" t="s">
        <v>3981</v>
      </c>
      <c r="G7841" s="1" t="s">
        <v>4003</v>
      </c>
      <c r="H7841" s="1" t="s">
        <v>4004</v>
      </c>
      <c r="J7841" s="1" t="s">
        <v>3109</v>
      </c>
      <c r="L7841" s="1" t="s">
        <v>13510</v>
      </c>
      <c r="N7841" s="1" t="s">
        <v>13511</v>
      </c>
      <c r="P7841" s="1" t="s">
        <v>13516</v>
      </c>
      <c r="Q7841" s="30" t="s">
        <v>2566</v>
      </c>
      <c r="R7841" s="33" t="s">
        <v>3472</v>
      </c>
      <c r="S7841">
        <v>37</v>
      </c>
      <c r="T7841" s="1" t="s">
        <v>14036</v>
      </c>
      <c r="U7841" s="1" t="str">
        <f>HYPERLINK("http://ictvonline.org/taxonomy/p/taxonomy-history?taxnode_id=202112954","ICTVonline=202112954")</f>
        <v>ICTVonline=202112954</v>
      </c>
    </row>
    <row r="7842" spans="1:21" x14ac:dyDescent="0.2">
      <c r="A7842" s="3">
        <v>7841</v>
      </c>
      <c r="B7842" s="1" t="s">
        <v>4226</v>
      </c>
      <c r="D7842" s="1" t="s">
        <v>5412</v>
      </c>
      <c r="F7842" s="1" t="s">
        <v>3981</v>
      </c>
      <c r="G7842" s="1" t="s">
        <v>4003</v>
      </c>
      <c r="H7842" s="1" t="s">
        <v>4004</v>
      </c>
      <c r="J7842" s="1" t="s">
        <v>3109</v>
      </c>
      <c r="L7842" s="1" t="s">
        <v>3110</v>
      </c>
      <c r="N7842" s="1" t="s">
        <v>529</v>
      </c>
      <c r="P7842" s="1" t="s">
        <v>13517</v>
      </c>
      <c r="Q7842" s="30" t="s">
        <v>2566</v>
      </c>
      <c r="R7842" s="33" t="s">
        <v>3472</v>
      </c>
      <c r="S7842">
        <v>37</v>
      </c>
      <c r="T7842" s="1" t="s">
        <v>14037</v>
      </c>
      <c r="U7842" s="1" t="str">
        <f>HYPERLINK("http://ictvonline.org/taxonomy/p/taxonomy-history?taxnode_id=202113864","ICTVonline=202113864")</f>
        <v>ICTVonline=202113864</v>
      </c>
    </row>
    <row r="7843" spans="1:21" x14ac:dyDescent="0.2">
      <c r="A7843" s="3">
        <v>7842</v>
      </c>
      <c r="B7843" s="1" t="s">
        <v>4226</v>
      </c>
      <c r="D7843" s="1" t="s">
        <v>5412</v>
      </c>
      <c r="F7843" s="1" t="s">
        <v>3981</v>
      </c>
      <c r="G7843" s="1" t="s">
        <v>4003</v>
      </c>
      <c r="H7843" s="1" t="s">
        <v>4004</v>
      </c>
      <c r="J7843" s="1" t="s">
        <v>3109</v>
      </c>
      <c r="L7843" s="1" t="s">
        <v>3110</v>
      </c>
      <c r="N7843" s="1" t="s">
        <v>529</v>
      </c>
      <c r="P7843" s="1" t="s">
        <v>13518</v>
      </c>
      <c r="Q7843" s="30" t="s">
        <v>2566</v>
      </c>
      <c r="R7843" s="33" t="s">
        <v>3475</v>
      </c>
      <c r="S7843">
        <v>37</v>
      </c>
      <c r="T7843" s="1" t="s">
        <v>14038</v>
      </c>
      <c r="U7843" s="1" t="str">
        <f>HYPERLINK("http://ictvonline.org/taxonomy/p/taxonomy-history?taxnode_id=202100009","ICTVonline=202100009")</f>
        <v>ICTVonline=202100009</v>
      </c>
    </row>
    <row r="7844" spans="1:21" x14ac:dyDescent="0.2">
      <c r="A7844" s="3">
        <v>7843</v>
      </c>
      <c r="B7844" s="1" t="s">
        <v>4226</v>
      </c>
      <c r="D7844" s="1" t="s">
        <v>5412</v>
      </c>
      <c r="F7844" s="1" t="s">
        <v>3981</v>
      </c>
      <c r="G7844" s="1" t="s">
        <v>4003</v>
      </c>
      <c r="H7844" s="1" t="s">
        <v>4004</v>
      </c>
      <c r="J7844" s="1" t="s">
        <v>3109</v>
      </c>
      <c r="L7844" s="1" t="s">
        <v>3110</v>
      </c>
      <c r="N7844" s="1" t="s">
        <v>529</v>
      </c>
      <c r="P7844" s="1" t="s">
        <v>13519</v>
      </c>
      <c r="Q7844" s="30" t="s">
        <v>2566</v>
      </c>
      <c r="R7844" s="33" t="s">
        <v>3475</v>
      </c>
      <c r="S7844">
        <v>37</v>
      </c>
      <c r="T7844" s="1" t="s">
        <v>14038</v>
      </c>
      <c r="U7844" s="1" t="str">
        <f>HYPERLINK("http://ictvonline.org/taxonomy/p/taxonomy-history?taxnode_id=202100013","ICTVonline=202100013")</f>
        <v>ICTVonline=202100013</v>
      </c>
    </row>
    <row r="7845" spans="1:21" x14ac:dyDescent="0.2">
      <c r="A7845" s="3">
        <v>7844</v>
      </c>
      <c r="B7845" s="1" t="s">
        <v>4226</v>
      </c>
      <c r="D7845" s="1" t="s">
        <v>5412</v>
      </c>
      <c r="F7845" s="1" t="s">
        <v>3981</v>
      </c>
      <c r="G7845" s="1" t="s">
        <v>4003</v>
      </c>
      <c r="H7845" s="1" t="s">
        <v>4004</v>
      </c>
      <c r="J7845" s="1" t="s">
        <v>3109</v>
      </c>
      <c r="L7845" s="1" t="s">
        <v>3110</v>
      </c>
      <c r="N7845" s="1" t="s">
        <v>529</v>
      </c>
      <c r="P7845" s="1" t="s">
        <v>13520</v>
      </c>
      <c r="Q7845" s="30" t="s">
        <v>2566</v>
      </c>
      <c r="R7845" s="33" t="s">
        <v>3475</v>
      </c>
      <c r="S7845">
        <v>37</v>
      </c>
      <c r="T7845" s="1" t="s">
        <v>14038</v>
      </c>
      <c r="U7845" s="1" t="str">
        <f>HYPERLINK("http://ictvonline.org/taxonomy/p/taxonomy-history?taxnode_id=202109578","ICTVonline=202109578")</f>
        <v>ICTVonline=202109578</v>
      </c>
    </row>
    <row r="7846" spans="1:21" x14ac:dyDescent="0.2">
      <c r="A7846" s="3">
        <v>7845</v>
      </c>
      <c r="B7846" s="1" t="s">
        <v>4226</v>
      </c>
      <c r="D7846" s="1" t="s">
        <v>5412</v>
      </c>
      <c r="F7846" s="1" t="s">
        <v>3981</v>
      </c>
      <c r="G7846" s="1" t="s">
        <v>4003</v>
      </c>
      <c r="H7846" s="1" t="s">
        <v>4004</v>
      </c>
      <c r="J7846" s="1" t="s">
        <v>3109</v>
      </c>
      <c r="L7846" s="1" t="s">
        <v>3110</v>
      </c>
      <c r="N7846" s="1" t="s">
        <v>529</v>
      </c>
      <c r="P7846" s="1" t="s">
        <v>13521</v>
      </c>
      <c r="Q7846" s="30" t="s">
        <v>2566</v>
      </c>
      <c r="R7846" s="33" t="s">
        <v>3475</v>
      </c>
      <c r="S7846">
        <v>37</v>
      </c>
      <c r="T7846" s="1" t="s">
        <v>14038</v>
      </c>
      <c r="U7846" s="1" t="str">
        <f>HYPERLINK("http://ictvonline.org/taxonomy/p/taxonomy-history?taxnode_id=202100016","ICTVonline=202100016")</f>
        <v>ICTVonline=202100016</v>
      </c>
    </row>
    <row r="7847" spans="1:21" x14ac:dyDescent="0.2">
      <c r="A7847" s="3">
        <v>7846</v>
      </c>
      <c r="B7847" s="1" t="s">
        <v>4226</v>
      </c>
      <c r="D7847" s="1" t="s">
        <v>5412</v>
      </c>
      <c r="F7847" s="1" t="s">
        <v>3981</v>
      </c>
      <c r="G7847" s="1" t="s">
        <v>4003</v>
      </c>
      <c r="H7847" s="1" t="s">
        <v>4004</v>
      </c>
      <c r="J7847" s="1" t="s">
        <v>3109</v>
      </c>
      <c r="L7847" s="1" t="s">
        <v>3110</v>
      </c>
      <c r="N7847" s="1" t="s">
        <v>529</v>
      </c>
      <c r="P7847" s="1" t="s">
        <v>14039</v>
      </c>
      <c r="Q7847" s="30" t="s">
        <v>2566</v>
      </c>
      <c r="R7847" s="33" t="s">
        <v>3472</v>
      </c>
      <c r="S7847">
        <v>37</v>
      </c>
      <c r="T7847" s="1" t="s">
        <v>14040</v>
      </c>
      <c r="U7847" s="1" t="str">
        <f>HYPERLINK("http://ictvonline.org/taxonomy/p/taxonomy-history?taxnode_id=202113865","ICTVonline=202113865")</f>
        <v>ICTVonline=202113865</v>
      </c>
    </row>
    <row r="7848" spans="1:21" x14ac:dyDescent="0.2">
      <c r="A7848" s="3">
        <v>7847</v>
      </c>
      <c r="B7848" s="1" t="s">
        <v>4226</v>
      </c>
      <c r="D7848" s="1" t="s">
        <v>5412</v>
      </c>
      <c r="F7848" s="1" t="s">
        <v>3981</v>
      </c>
      <c r="G7848" s="1" t="s">
        <v>4003</v>
      </c>
      <c r="H7848" s="1" t="s">
        <v>4004</v>
      </c>
      <c r="J7848" s="1" t="s">
        <v>3109</v>
      </c>
      <c r="L7848" s="1" t="s">
        <v>3110</v>
      </c>
      <c r="N7848" s="1" t="s">
        <v>529</v>
      </c>
      <c r="P7848" s="1" t="s">
        <v>13522</v>
      </c>
      <c r="Q7848" s="30" t="s">
        <v>2566</v>
      </c>
      <c r="R7848" s="33" t="s">
        <v>3475</v>
      </c>
      <c r="S7848">
        <v>37</v>
      </c>
      <c r="T7848" s="1" t="s">
        <v>14038</v>
      </c>
      <c r="U7848" s="1" t="str">
        <f>HYPERLINK("http://ictvonline.org/taxonomy/p/taxonomy-history?taxnode_id=202109551","ICTVonline=202109551")</f>
        <v>ICTVonline=202109551</v>
      </c>
    </row>
    <row r="7849" spans="1:21" x14ac:dyDescent="0.2">
      <c r="A7849" s="3">
        <v>7848</v>
      </c>
      <c r="B7849" s="1" t="s">
        <v>4226</v>
      </c>
      <c r="D7849" s="1" t="s">
        <v>5412</v>
      </c>
      <c r="F7849" s="1" t="s">
        <v>3981</v>
      </c>
      <c r="G7849" s="1" t="s">
        <v>4003</v>
      </c>
      <c r="H7849" s="1" t="s">
        <v>4004</v>
      </c>
      <c r="J7849" s="1" t="s">
        <v>3109</v>
      </c>
      <c r="L7849" s="1" t="s">
        <v>3110</v>
      </c>
      <c r="N7849" s="1" t="s">
        <v>529</v>
      </c>
      <c r="P7849" s="1" t="s">
        <v>13523</v>
      </c>
      <c r="Q7849" s="30" t="s">
        <v>2566</v>
      </c>
      <c r="R7849" s="33" t="s">
        <v>3475</v>
      </c>
      <c r="S7849">
        <v>37</v>
      </c>
      <c r="T7849" s="1" t="s">
        <v>14038</v>
      </c>
      <c r="U7849" s="1" t="str">
        <f>HYPERLINK("http://ictvonline.org/taxonomy/p/taxonomy-history?taxnode_id=202100011","ICTVonline=202100011")</f>
        <v>ICTVonline=202100011</v>
      </c>
    </row>
    <row r="7850" spans="1:21" x14ac:dyDescent="0.2">
      <c r="A7850" s="3">
        <v>7849</v>
      </c>
      <c r="B7850" s="1" t="s">
        <v>4226</v>
      </c>
      <c r="D7850" s="1" t="s">
        <v>5412</v>
      </c>
      <c r="F7850" s="1" t="s">
        <v>3981</v>
      </c>
      <c r="G7850" s="1" t="s">
        <v>4003</v>
      </c>
      <c r="H7850" s="1" t="s">
        <v>4004</v>
      </c>
      <c r="J7850" s="1" t="s">
        <v>3109</v>
      </c>
      <c r="L7850" s="1" t="s">
        <v>3110</v>
      </c>
      <c r="N7850" s="1" t="s">
        <v>529</v>
      </c>
      <c r="P7850" s="1" t="s">
        <v>13524</v>
      </c>
      <c r="Q7850" s="30" t="s">
        <v>2566</v>
      </c>
      <c r="R7850" s="33" t="s">
        <v>3475</v>
      </c>
      <c r="S7850">
        <v>37</v>
      </c>
      <c r="T7850" s="1" t="s">
        <v>14038</v>
      </c>
      <c r="U7850" s="1" t="str">
        <f>HYPERLINK("http://ictvonline.org/taxonomy/p/taxonomy-history?taxnode_id=202100015","ICTVonline=202100015")</f>
        <v>ICTVonline=202100015</v>
      </c>
    </row>
    <row r="7851" spans="1:21" x14ac:dyDescent="0.2">
      <c r="A7851" s="3">
        <v>7850</v>
      </c>
      <c r="B7851" s="1" t="s">
        <v>4226</v>
      </c>
      <c r="D7851" s="1" t="s">
        <v>5412</v>
      </c>
      <c r="F7851" s="1" t="s">
        <v>3981</v>
      </c>
      <c r="G7851" s="1" t="s">
        <v>4003</v>
      </c>
      <c r="H7851" s="1" t="s">
        <v>4004</v>
      </c>
      <c r="J7851" s="1" t="s">
        <v>3109</v>
      </c>
      <c r="L7851" s="1" t="s">
        <v>3110</v>
      </c>
      <c r="N7851" s="1" t="s">
        <v>529</v>
      </c>
      <c r="P7851" s="1" t="s">
        <v>13525</v>
      </c>
      <c r="Q7851" s="30" t="s">
        <v>2566</v>
      </c>
      <c r="R7851" s="33" t="s">
        <v>3475</v>
      </c>
      <c r="S7851">
        <v>37</v>
      </c>
      <c r="T7851" s="1" t="s">
        <v>14038</v>
      </c>
      <c r="U7851" s="1" t="str">
        <f>HYPERLINK("http://ictvonline.org/taxonomy/p/taxonomy-history?taxnode_id=202109331","ICTVonline=202109331")</f>
        <v>ICTVonline=202109331</v>
      </c>
    </row>
    <row r="7852" spans="1:21" x14ac:dyDescent="0.2">
      <c r="A7852" s="3">
        <v>7851</v>
      </c>
      <c r="B7852" s="1" t="s">
        <v>4226</v>
      </c>
      <c r="D7852" s="1" t="s">
        <v>5412</v>
      </c>
      <c r="F7852" s="1" t="s">
        <v>3981</v>
      </c>
      <c r="G7852" s="1" t="s">
        <v>4003</v>
      </c>
      <c r="H7852" s="1" t="s">
        <v>4004</v>
      </c>
      <c r="J7852" s="1" t="s">
        <v>3109</v>
      </c>
      <c r="L7852" s="1" t="s">
        <v>3110</v>
      </c>
      <c r="N7852" s="1" t="s">
        <v>529</v>
      </c>
      <c r="P7852" s="1" t="s">
        <v>13526</v>
      </c>
      <c r="Q7852" s="30" t="s">
        <v>2566</v>
      </c>
      <c r="R7852" s="33" t="s">
        <v>3475</v>
      </c>
      <c r="S7852">
        <v>37</v>
      </c>
      <c r="T7852" s="1" t="s">
        <v>14038</v>
      </c>
      <c r="U7852" s="1" t="str">
        <f>HYPERLINK("http://ictvonline.org/taxonomy/p/taxonomy-history?taxnode_id=202109489","ICTVonline=202109489")</f>
        <v>ICTVonline=202109489</v>
      </c>
    </row>
    <row r="7853" spans="1:21" x14ac:dyDescent="0.2">
      <c r="A7853" s="3">
        <v>7852</v>
      </c>
      <c r="B7853" s="1" t="s">
        <v>4226</v>
      </c>
      <c r="D7853" s="1" t="s">
        <v>5412</v>
      </c>
      <c r="F7853" s="1" t="s">
        <v>3981</v>
      </c>
      <c r="G7853" s="1" t="s">
        <v>4003</v>
      </c>
      <c r="H7853" s="1" t="s">
        <v>4004</v>
      </c>
      <c r="J7853" s="1" t="s">
        <v>3109</v>
      </c>
      <c r="L7853" s="1" t="s">
        <v>3110</v>
      </c>
      <c r="N7853" s="1" t="s">
        <v>529</v>
      </c>
      <c r="P7853" s="1" t="s">
        <v>13527</v>
      </c>
      <c r="Q7853" s="30" t="s">
        <v>2566</v>
      </c>
      <c r="R7853" s="33" t="s">
        <v>3475</v>
      </c>
      <c r="S7853">
        <v>37</v>
      </c>
      <c r="T7853" s="1" t="s">
        <v>14038</v>
      </c>
      <c r="U7853" s="1" t="str">
        <f>HYPERLINK("http://ictvonline.org/taxonomy/p/taxonomy-history?taxnode_id=202109618","ICTVonline=202109618")</f>
        <v>ICTVonline=202109618</v>
      </c>
    </row>
    <row r="7854" spans="1:21" x14ac:dyDescent="0.2">
      <c r="A7854" s="3">
        <v>7853</v>
      </c>
      <c r="B7854" s="1" t="s">
        <v>4226</v>
      </c>
      <c r="D7854" s="1" t="s">
        <v>5412</v>
      </c>
      <c r="F7854" s="1" t="s">
        <v>3981</v>
      </c>
      <c r="G7854" s="1" t="s">
        <v>4003</v>
      </c>
      <c r="H7854" s="1" t="s">
        <v>4004</v>
      </c>
      <c r="J7854" s="1" t="s">
        <v>3109</v>
      </c>
      <c r="L7854" s="1" t="s">
        <v>3110</v>
      </c>
      <c r="N7854" s="1" t="s">
        <v>529</v>
      </c>
      <c r="P7854" s="1" t="s">
        <v>13528</v>
      </c>
      <c r="Q7854" s="30" t="s">
        <v>2566</v>
      </c>
      <c r="R7854" s="33" t="s">
        <v>3475</v>
      </c>
      <c r="S7854">
        <v>37</v>
      </c>
      <c r="T7854" s="1" t="s">
        <v>14038</v>
      </c>
      <c r="U7854" s="1" t="str">
        <f>HYPERLINK("http://ictvonline.org/taxonomy/p/taxonomy-history?taxnode_id=202107368","ICTVonline=202107368")</f>
        <v>ICTVonline=202107368</v>
      </c>
    </row>
    <row r="7855" spans="1:21" x14ac:dyDescent="0.2">
      <c r="A7855" s="3">
        <v>7854</v>
      </c>
      <c r="B7855" s="1" t="s">
        <v>4226</v>
      </c>
      <c r="D7855" s="1" t="s">
        <v>5412</v>
      </c>
      <c r="F7855" s="1" t="s">
        <v>3981</v>
      </c>
      <c r="G7855" s="1" t="s">
        <v>4003</v>
      </c>
      <c r="H7855" s="1" t="s">
        <v>4004</v>
      </c>
      <c r="J7855" s="1" t="s">
        <v>3109</v>
      </c>
      <c r="L7855" s="1" t="s">
        <v>3110</v>
      </c>
      <c r="N7855" s="1" t="s">
        <v>529</v>
      </c>
      <c r="P7855" s="1" t="s">
        <v>13529</v>
      </c>
      <c r="Q7855" s="30" t="s">
        <v>2566</v>
      </c>
      <c r="R7855" s="33" t="s">
        <v>3475</v>
      </c>
      <c r="S7855">
        <v>37</v>
      </c>
      <c r="T7855" s="1" t="s">
        <v>14038</v>
      </c>
      <c r="U7855" s="1" t="str">
        <f>HYPERLINK("http://ictvonline.org/taxonomy/p/taxonomy-history?taxnode_id=202109371","ICTVonline=202109371")</f>
        <v>ICTVonline=202109371</v>
      </c>
    </row>
    <row r="7856" spans="1:21" x14ac:dyDescent="0.2">
      <c r="A7856" s="3">
        <v>7855</v>
      </c>
      <c r="B7856" s="1" t="s">
        <v>4226</v>
      </c>
      <c r="D7856" s="1" t="s">
        <v>5412</v>
      </c>
      <c r="F7856" s="1" t="s">
        <v>3981</v>
      </c>
      <c r="G7856" s="1" t="s">
        <v>4003</v>
      </c>
      <c r="H7856" s="1" t="s">
        <v>4004</v>
      </c>
      <c r="J7856" s="1" t="s">
        <v>3109</v>
      </c>
      <c r="L7856" s="1" t="s">
        <v>3110</v>
      </c>
      <c r="N7856" s="1" t="s">
        <v>529</v>
      </c>
      <c r="P7856" s="1" t="s">
        <v>13530</v>
      </c>
      <c r="Q7856" s="30" t="s">
        <v>2566</v>
      </c>
      <c r="R7856" s="33" t="s">
        <v>3475</v>
      </c>
      <c r="S7856">
        <v>37</v>
      </c>
      <c r="T7856" s="1" t="s">
        <v>14038</v>
      </c>
      <c r="U7856" s="1" t="str">
        <f>HYPERLINK("http://ictvonline.org/taxonomy/p/taxonomy-history?taxnode_id=202109546","ICTVonline=202109546")</f>
        <v>ICTVonline=202109546</v>
      </c>
    </row>
    <row r="7857" spans="1:21" x14ac:dyDescent="0.2">
      <c r="A7857" s="3">
        <v>7856</v>
      </c>
      <c r="B7857" s="1" t="s">
        <v>4226</v>
      </c>
      <c r="D7857" s="1" t="s">
        <v>5412</v>
      </c>
      <c r="F7857" s="1" t="s">
        <v>3981</v>
      </c>
      <c r="G7857" s="1" t="s">
        <v>4003</v>
      </c>
      <c r="H7857" s="1" t="s">
        <v>4004</v>
      </c>
      <c r="J7857" s="1" t="s">
        <v>3109</v>
      </c>
      <c r="L7857" s="1" t="s">
        <v>3110</v>
      </c>
      <c r="N7857" s="1" t="s">
        <v>529</v>
      </c>
      <c r="P7857" s="1" t="s">
        <v>13531</v>
      </c>
      <c r="Q7857" s="30" t="s">
        <v>2566</v>
      </c>
      <c r="R7857" s="33" t="s">
        <v>3472</v>
      </c>
      <c r="S7857">
        <v>37</v>
      </c>
      <c r="T7857" s="1" t="s">
        <v>14041</v>
      </c>
      <c r="U7857" s="1" t="str">
        <f>HYPERLINK("http://ictvonline.org/taxonomy/p/taxonomy-history?taxnode_id=202113866","ICTVonline=202113866")</f>
        <v>ICTVonline=202113866</v>
      </c>
    </row>
    <row r="7858" spans="1:21" x14ac:dyDescent="0.2">
      <c r="A7858" s="3">
        <v>7857</v>
      </c>
      <c r="B7858" s="1" t="s">
        <v>4226</v>
      </c>
      <c r="D7858" s="1" t="s">
        <v>5412</v>
      </c>
      <c r="F7858" s="1" t="s">
        <v>3981</v>
      </c>
      <c r="G7858" s="1" t="s">
        <v>4003</v>
      </c>
      <c r="H7858" s="1" t="s">
        <v>4004</v>
      </c>
      <c r="J7858" s="1" t="s">
        <v>3109</v>
      </c>
      <c r="L7858" s="1" t="s">
        <v>3110</v>
      </c>
      <c r="N7858" s="1" t="s">
        <v>529</v>
      </c>
      <c r="P7858" s="1" t="s">
        <v>13532</v>
      </c>
      <c r="Q7858" s="30" t="s">
        <v>2566</v>
      </c>
      <c r="R7858" s="33" t="s">
        <v>3475</v>
      </c>
      <c r="S7858">
        <v>37</v>
      </c>
      <c r="T7858" s="1" t="s">
        <v>14038</v>
      </c>
      <c r="U7858" s="1" t="str">
        <f>HYPERLINK("http://ictvonline.org/taxonomy/p/taxonomy-history?taxnode_id=202100017","ICTVonline=202100017")</f>
        <v>ICTVonline=202100017</v>
      </c>
    </row>
    <row r="7859" spans="1:21" x14ac:dyDescent="0.2">
      <c r="A7859" s="3">
        <v>7858</v>
      </c>
      <c r="B7859" s="1" t="s">
        <v>4226</v>
      </c>
      <c r="D7859" s="1" t="s">
        <v>5412</v>
      </c>
      <c r="F7859" s="1" t="s">
        <v>3981</v>
      </c>
      <c r="G7859" s="1" t="s">
        <v>4003</v>
      </c>
      <c r="H7859" s="1" t="s">
        <v>4004</v>
      </c>
      <c r="J7859" s="1" t="s">
        <v>3109</v>
      </c>
      <c r="L7859" s="1" t="s">
        <v>3110</v>
      </c>
      <c r="N7859" s="1" t="s">
        <v>529</v>
      </c>
      <c r="P7859" s="1" t="s">
        <v>13533</v>
      </c>
      <c r="Q7859" s="30" t="s">
        <v>2566</v>
      </c>
      <c r="R7859" s="33" t="s">
        <v>3475</v>
      </c>
      <c r="S7859">
        <v>37</v>
      </c>
      <c r="T7859" s="1" t="s">
        <v>14038</v>
      </c>
      <c r="U7859" s="1" t="str">
        <f>HYPERLINK("http://ictvonline.org/taxonomy/p/taxonomy-history?taxnode_id=202107357","ICTVonline=202107357")</f>
        <v>ICTVonline=202107357</v>
      </c>
    </row>
    <row r="7860" spans="1:21" x14ac:dyDescent="0.2">
      <c r="A7860" s="3">
        <v>7859</v>
      </c>
      <c r="B7860" s="1" t="s">
        <v>4226</v>
      </c>
      <c r="D7860" s="1" t="s">
        <v>5412</v>
      </c>
      <c r="F7860" s="1" t="s">
        <v>3981</v>
      </c>
      <c r="G7860" s="1" t="s">
        <v>4003</v>
      </c>
      <c r="H7860" s="1" t="s">
        <v>4004</v>
      </c>
      <c r="J7860" s="1" t="s">
        <v>3109</v>
      </c>
      <c r="L7860" s="1" t="s">
        <v>3110</v>
      </c>
      <c r="N7860" s="1" t="s">
        <v>529</v>
      </c>
      <c r="P7860" s="1" t="s">
        <v>13534</v>
      </c>
      <c r="Q7860" s="30" t="s">
        <v>2566</v>
      </c>
      <c r="R7860" s="33" t="s">
        <v>3475</v>
      </c>
      <c r="S7860">
        <v>37</v>
      </c>
      <c r="T7860" s="1" t="s">
        <v>14038</v>
      </c>
      <c r="U7860" s="1" t="str">
        <f>HYPERLINK("http://ictvonline.org/taxonomy/p/taxonomy-history?taxnode_id=202100010","ICTVonline=202100010")</f>
        <v>ICTVonline=202100010</v>
      </c>
    </row>
    <row r="7861" spans="1:21" x14ac:dyDescent="0.2">
      <c r="A7861" s="3">
        <v>7860</v>
      </c>
      <c r="B7861" s="1" t="s">
        <v>4226</v>
      </c>
      <c r="D7861" s="1" t="s">
        <v>5412</v>
      </c>
      <c r="F7861" s="1" t="s">
        <v>3981</v>
      </c>
      <c r="G7861" s="1" t="s">
        <v>4003</v>
      </c>
      <c r="H7861" s="1" t="s">
        <v>4004</v>
      </c>
      <c r="J7861" s="1" t="s">
        <v>3109</v>
      </c>
      <c r="L7861" s="1" t="s">
        <v>3110</v>
      </c>
      <c r="N7861" s="1" t="s">
        <v>529</v>
      </c>
      <c r="P7861" s="1" t="s">
        <v>13535</v>
      </c>
      <c r="Q7861" s="30" t="s">
        <v>2566</v>
      </c>
      <c r="R7861" s="33" t="s">
        <v>3475</v>
      </c>
      <c r="S7861">
        <v>37</v>
      </c>
      <c r="T7861" s="1" t="s">
        <v>14038</v>
      </c>
      <c r="U7861" s="1" t="str">
        <f>HYPERLINK("http://ictvonline.org/taxonomy/p/taxonomy-history?taxnode_id=202109383","ICTVonline=202109383")</f>
        <v>ICTVonline=202109383</v>
      </c>
    </row>
    <row r="7862" spans="1:21" x14ac:dyDescent="0.2">
      <c r="A7862" s="3">
        <v>7861</v>
      </c>
      <c r="B7862" s="1" t="s">
        <v>4226</v>
      </c>
      <c r="D7862" s="1" t="s">
        <v>5412</v>
      </c>
      <c r="F7862" s="1" t="s">
        <v>3981</v>
      </c>
      <c r="G7862" s="1" t="s">
        <v>4003</v>
      </c>
      <c r="H7862" s="1" t="s">
        <v>4004</v>
      </c>
      <c r="J7862" s="1" t="s">
        <v>3109</v>
      </c>
      <c r="L7862" s="1" t="s">
        <v>3110</v>
      </c>
      <c r="N7862" s="1" t="s">
        <v>529</v>
      </c>
      <c r="P7862" s="1" t="s">
        <v>13536</v>
      </c>
      <c r="Q7862" s="30" t="s">
        <v>2566</v>
      </c>
      <c r="R7862" s="33" t="s">
        <v>3475</v>
      </c>
      <c r="S7862">
        <v>37</v>
      </c>
      <c r="T7862" s="1" t="s">
        <v>14038</v>
      </c>
      <c r="U7862" s="1" t="str">
        <f>HYPERLINK("http://ictvonline.org/taxonomy/p/taxonomy-history?taxnode_id=202100014","ICTVonline=202100014")</f>
        <v>ICTVonline=202100014</v>
      </c>
    </row>
    <row r="7863" spans="1:21" x14ac:dyDescent="0.2">
      <c r="A7863" s="3">
        <v>7862</v>
      </c>
      <c r="B7863" s="1" t="s">
        <v>4226</v>
      </c>
      <c r="D7863" s="1" t="s">
        <v>5412</v>
      </c>
      <c r="F7863" s="1" t="s">
        <v>3981</v>
      </c>
      <c r="G7863" s="1" t="s">
        <v>4003</v>
      </c>
      <c r="H7863" s="1" t="s">
        <v>4004</v>
      </c>
      <c r="J7863" s="1" t="s">
        <v>3109</v>
      </c>
      <c r="L7863" s="1" t="s">
        <v>3110</v>
      </c>
      <c r="N7863" s="1" t="s">
        <v>529</v>
      </c>
      <c r="P7863" s="1" t="s">
        <v>13537</v>
      </c>
      <c r="Q7863" s="30" t="s">
        <v>2566</v>
      </c>
      <c r="R7863" s="33" t="s">
        <v>3475</v>
      </c>
      <c r="S7863">
        <v>37</v>
      </c>
      <c r="T7863" s="1" t="s">
        <v>14038</v>
      </c>
      <c r="U7863" s="1" t="str">
        <f>HYPERLINK("http://ictvonline.org/taxonomy/p/taxonomy-history?taxnode_id=202100012","ICTVonline=202100012")</f>
        <v>ICTVonline=202100012</v>
      </c>
    </row>
    <row r="7864" spans="1:21" x14ac:dyDescent="0.2">
      <c r="A7864" s="3">
        <v>7863</v>
      </c>
      <c r="B7864" s="1" t="s">
        <v>4226</v>
      </c>
      <c r="D7864" s="1" t="s">
        <v>5412</v>
      </c>
      <c r="F7864" s="1" t="s">
        <v>3981</v>
      </c>
      <c r="G7864" s="1" t="s">
        <v>4003</v>
      </c>
      <c r="H7864" s="1" t="s">
        <v>4004</v>
      </c>
      <c r="J7864" s="1" t="s">
        <v>3109</v>
      </c>
      <c r="L7864" s="1" t="s">
        <v>3110</v>
      </c>
      <c r="N7864" s="1" t="s">
        <v>529</v>
      </c>
      <c r="P7864" s="1" t="s">
        <v>13538</v>
      </c>
      <c r="Q7864" s="30" t="s">
        <v>2566</v>
      </c>
      <c r="R7864" s="33" t="s">
        <v>3475</v>
      </c>
      <c r="S7864">
        <v>37</v>
      </c>
      <c r="T7864" s="1" t="s">
        <v>14038</v>
      </c>
      <c r="U7864" s="1" t="str">
        <f>HYPERLINK("http://ictvonline.org/taxonomy/p/taxonomy-history?taxnode_id=202109601","ICTVonline=202109601")</f>
        <v>ICTVonline=202109601</v>
      </c>
    </row>
    <row r="7865" spans="1:21" x14ac:dyDescent="0.2">
      <c r="A7865" s="3">
        <v>7864</v>
      </c>
      <c r="B7865" s="1" t="s">
        <v>4226</v>
      </c>
      <c r="D7865" s="1" t="s">
        <v>5412</v>
      </c>
      <c r="F7865" s="1" t="s">
        <v>3981</v>
      </c>
      <c r="G7865" s="1" t="s">
        <v>4003</v>
      </c>
      <c r="H7865" s="1" t="s">
        <v>4004</v>
      </c>
      <c r="J7865" s="1" t="s">
        <v>3109</v>
      </c>
      <c r="L7865" s="1" t="s">
        <v>3110</v>
      </c>
      <c r="N7865" s="1" t="s">
        <v>529</v>
      </c>
      <c r="P7865" s="1" t="s">
        <v>13539</v>
      </c>
      <c r="Q7865" s="30" t="s">
        <v>2566</v>
      </c>
      <c r="R7865" s="33" t="s">
        <v>3475</v>
      </c>
      <c r="S7865">
        <v>37</v>
      </c>
      <c r="T7865" s="1" t="s">
        <v>14038</v>
      </c>
      <c r="U7865" s="1" t="str">
        <f>HYPERLINK("http://ictvonline.org/taxonomy/p/taxonomy-history?taxnode_id=202109614","ICTVonline=202109614")</f>
        <v>ICTVonline=202109614</v>
      </c>
    </row>
    <row r="7866" spans="1:21" x14ac:dyDescent="0.2">
      <c r="A7866" s="3">
        <v>7865</v>
      </c>
      <c r="B7866" s="1" t="s">
        <v>4226</v>
      </c>
      <c r="D7866" s="1" t="s">
        <v>5412</v>
      </c>
      <c r="F7866" s="1" t="s">
        <v>3981</v>
      </c>
      <c r="G7866" s="1" t="s">
        <v>4003</v>
      </c>
      <c r="H7866" s="1" t="s">
        <v>4004</v>
      </c>
      <c r="J7866" s="1" t="s">
        <v>3109</v>
      </c>
      <c r="L7866" s="1" t="s">
        <v>3111</v>
      </c>
      <c r="M7866" s="1" t="s">
        <v>4299</v>
      </c>
      <c r="N7866" s="1" t="s">
        <v>4300</v>
      </c>
      <c r="P7866" s="1" t="s">
        <v>4301</v>
      </c>
      <c r="Q7866" s="30" t="s">
        <v>2566</v>
      </c>
      <c r="R7866" s="33" t="s">
        <v>8665</v>
      </c>
      <c r="S7866">
        <v>36</v>
      </c>
      <c r="T7866" s="1" t="s">
        <v>8661</v>
      </c>
      <c r="U7866" s="1" t="str">
        <f>HYPERLINK("http://ictvonline.org/taxonomy/p/taxonomy-history?taxnode_id=202106428","ICTVonline=202106428")</f>
        <v>ICTVonline=202106428</v>
      </c>
    </row>
    <row r="7867" spans="1:21" x14ac:dyDescent="0.2">
      <c r="A7867" s="3">
        <v>7866</v>
      </c>
      <c r="B7867" s="1" t="s">
        <v>4226</v>
      </c>
      <c r="D7867" s="1" t="s">
        <v>5412</v>
      </c>
      <c r="F7867" s="1" t="s">
        <v>3981</v>
      </c>
      <c r="G7867" s="1" t="s">
        <v>4003</v>
      </c>
      <c r="H7867" s="1" t="s">
        <v>4004</v>
      </c>
      <c r="J7867" s="1" t="s">
        <v>3109</v>
      </c>
      <c r="L7867" s="1" t="s">
        <v>3111</v>
      </c>
      <c r="M7867" s="1" t="s">
        <v>4299</v>
      </c>
      <c r="N7867" s="1" t="s">
        <v>4300</v>
      </c>
      <c r="P7867" s="1" t="s">
        <v>4302</v>
      </c>
      <c r="Q7867" s="30" t="s">
        <v>2566</v>
      </c>
      <c r="R7867" s="33" t="s">
        <v>3474</v>
      </c>
      <c r="S7867">
        <v>35</v>
      </c>
      <c r="T7867" s="1" t="s">
        <v>5416</v>
      </c>
      <c r="U7867" s="1" t="str">
        <f>HYPERLINK("http://ictvonline.org/taxonomy/p/taxonomy-history?taxnode_id=202106430","ICTVonline=202106430")</f>
        <v>ICTVonline=202106430</v>
      </c>
    </row>
    <row r="7868" spans="1:21" x14ac:dyDescent="0.2">
      <c r="A7868" s="3">
        <v>7867</v>
      </c>
      <c r="B7868" s="1" t="s">
        <v>4226</v>
      </c>
      <c r="D7868" s="1" t="s">
        <v>5412</v>
      </c>
      <c r="F7868" s="1" t="s">
        <v>3981</v>
      </c>
      <c r="G7868" s="1" t="s">
        <v>4003</v>
      </c>
      <c r="H7868" s="1" t="s">
        <v>4004</v>
      </c>
      <c r="J7868" s="1" t="s">
        <v>3109</v>
      </c>
      <c r="L7868" s="1" t="s">
        <v>3111</v>
      </c>
      <c r="M7868" s="1" t="s">
        <v>4299</v>
      </c>
      <c r="N7868" s="1" t="s">
        <v>4300</v>
      </c>
      <c r="P7868" s="1" t="s">
        <v>8210</v>
      </c>
      <c r="Q7868" s="30" t="s">
        <v>2566</v>
      </c>
      <c r="R7868" s="33" t="s">
        <v>3472</v>
      </c>
      <c r="S7868">
        <v>36</v>
      </c>
      <c r="T7868" s="1" t="s">
        <v>8211</v>
      </c>
      <c r="U7868" s="1" t="str">
        <f>HYPERLINK("http://ictvonline.org/taxonomy/p/taxonomy-history?taxnode_id=202109699","ICTVonline=202109699")</f>
        <v>ICTVonline=202109699</v>
      </c>
    </row>
    <row r="7869" spans="1:21" x14ac:dyDescent="0.2">
      <c r="A7869" s="3">
        <v>7868</v>
      </c>
      <c r="B7869" s="1" t="s">
        <v>4226</v>
      </c>
      <c r="D7869" s="1" t="s">
        <v>5412</v>
      </c>
      <c r="F7869" s="1" t="s">
        <v>3981</v>
      </c>
      <c r="G7869" s="1" t="s">
        <v>4003</v>
      </c>
      <c r="H7869" s="1" t="s">
        <v>4004</v>
      </c>
      <c r="J7869" s="1" t="s">
        <v>3109</v>
      </c>
      <c r="L7869" s="1" t="s">
        <v>3111</v>
      </c>
      <c r="M7869" s="1" t="s">
        <v>4299</v>
      </c>
      <c r="N7869" s="1" t="s">
        <v>4300</v>
      </c>
      <c r="P7869" s="1" t="s">
        <v>4303</v>
      </c>
      <c r="Q7869" s="30" t="s">
        <v>2566</v>
      </c>
      <c r="R7869" s="33" t="s">
        <v>3474</v>
      </c>
      <c r="S7869">
        <v>35</v>
      </c>
      <c r="T7869" s="1" t="s">
        <v>5416</v>
      </c>
      <c r="U7869" s="1" t="str">
        <f>HYPERLINK("http://ictvonline.org/taxonomy/p/taxonomy-history?taxnode_id=202106429","ICTVonline=202106429")</f>
        <v>ICTVonline=202106429</v>
      </c>
    </row>
    <row r="7870" spans="1:21" x14ac:dyDescent="0.2">
      <c r="A7870" s="3">
        <v>7869</v>
      </c>
      <c r="B7870" s="1" t="s">
        <v>4226</v>
      </c>
      <c r="D7870" s="1" t="s">
        <v>5412</v>
      </c>
      <c r="F7870" s="1" t="s">
        <v>3981</v>
      </c>
      <c r="G7870" s="1" t="s">
        <v>4003</v>
      </c>
      <c r="H7870" s="1" t="s">
        <v>4004</v>
      </c>
      <c r="J7870" s="1" t="s">
        <v>3109</v>
      </c>
      <c r="L7870" s="1" t="s">
        <v>3111</v>
      </c>
      <c r="M7870" s="1" t="s">
        <v>4304</v>
      </c>
      <c r="N7870" s="1" t="s">
        <v>4305</v>
      </c>
      <c r="P7870" s="1" t="s">
        <v>4306</v>
      </c>
      <c r="Q7870" s="30" t="s">
        <v>2566</v>
      </c>
      <c r="R7870" s="33" t="s">
        <v>8665</v>
      </c>
      <c r="S7870">
        <v>36</v>
      </c>
      <c r="T7870" s="1" t="s">
        <v>8661</v>
      </c>
      <c r="U7870" s="1" t="str">
        <f>HYPERLINK("http://ictvonline.org/taxonomy/p/taxonomy-history?taxnode_id=202106433","ICTVonline=202106433")</f>
        <v>ICTVonline=202106433</v>
      </c>
    </row>
    <row r="7871" spans="1:21" x14ac:dyDescent="0.2">
      <c r="A7871" s="3">
        <v>7870</v>
      </c>
      <c r="B7871" s="1" t="s">
        <v>4226</v>
      </c>
      <c r="D7871" s="1" t="s">
        <v>5412</v>
      </c>
      <c r="F7871" s="1" t="s">
        <v>3981</v>
      </c>
      <c r="G7871" s="1" t="s">
        <v>4003</v>
      </c>
      <c r="H7871" s="1" t="s">
        <v>4004</v>
      </c>
      <c r="J7871" s="1" t="s">
        <v>3109</v>
      </c>
      <c r="L7871" s="1" t="s">
        <v>3111</v>
      </c>
      <c r="M7871" s="1" t="s">
        <v>4307</v>
      </c>
      <c r="N7871" s="1" t="s">
        <v>4007</v>
      </c>
      <c r="P7871" s="1" t="s">
        <v>5516</v>
      </c>
      <c r="Q7871" s="30" t="s">
        <v>2566</v>
      </c>
      <c r="R7871" s="33" t="s">
        <v>3472</v>
      </c>
      <c r="S7871">
        <v>35</v>
      </c>
      <c r="T7871" s="1" t="s">
        <v>5517</v>
      </c>
      <c r="U7871" s="1" t="str">
        <f>HYPERLINK("http://ictvonline.org/taxonomy/p/taxonomy-history?taxnode_id=202107442","ICTVonline=202107442")</f>
        <v>ICTVonline=202107442</v>
      </c>
    </row>
    <row r="7872" spans="1:21" x14ac:dyDescent="0.2">
      <c r="A7872" s="3">
        <v>7871</v>
      </c>
      <c r="B7872" s="1" t="s">
        <v>4226</v>
      </c>
      <c r="D7872" s="1" t="s">
        <v>5412</v>
      </c>
      <c r="F7872" s="1" t="s">
        <v>3981</v>
      </c>
      <c r="G7872" s="1" t="s">
        <v>4003</v>
      </c>
      <c r="H7872" s="1" t="s">
        <v>4004</v>
      </c>
      <c r="J7872" s="1" t="s">
        <v>3109</v>
      </c>
      <c r="L7872" s="1" t="s">
        <v>3111</v>
      </c>
      <c r="M7872" s="1" t="s">
        <v>4307</v>
      </c>
      <c r="N7872" s="1" t="s">
        <v>4007</v>
      </c>
      <c r="P7872" s="1" t="s">
        <v>4008</v>
      </c>
      <c r="Q7872" s="30" t="s">
        <v>2566</v>
      </c>
      <c r="R7872" s="33" t="s">
        <v>8665</v>
      </c>
      <c r="S7872">
        <v>36</v>
      </c>
      <c r="T7872" s="1" t="s">
        <v>8661</v>
      </c>
      <c r="U7872" s="1" t="str">
        <f>HYPERLINK("http://ictvonline.org/taxonomy/p/taxonomy-history?taxnode_id=202100044","ICTVonline=202100044")</f>
        <v>ICTVonline=202100044</v>
      </c>
    </row>
    <row r="7873" spans="1:21" x14ac:dyDescent="0.2">
      <c r="A7873" s="3">
        <v>7872</v>
      </c>
      <c r="B7873" s="1" t="s">
        <v>4226</v>
      </c>
      <c r="D7873" s="1" t="s">
        <v>5412</v>
      </c>
      <c r="F7873" s="1" t="s">
        <v>3981</v>
      </c>
      <c r="G7873" s="1" t="s">
        <v>4003</v>
      </c>
      <c r="H7873" s="1" t="s">
        <v>4004</v>
      </c>
      <c r="J7873" s="1" t="s">
        <v>3109</v>
      </c>
      <c r="L7873" s="1" t="s">
        <v>3111</v>
      </c>
      <c r="M7873" s="1" t="s">
        <v>4307</v>
      </c>
      <c r="N7873" s="1" t="s">
        <v>4009</v>
      </c>
      <c r="P7873" s="1" t="s">
        <v>4010</v>
      </c>
      <c r="Q7873" s="30" t="s">
        <v>2566</v>
      </c>
      <c r="R7873" s="33" t="s">
        <v>3474</v>
      </c>
      <c r="S7873">
        <v>35</v>
      </c>
      <c r="T7873" s="1" t="s">
        <v>5416</v>
      </c>
      <c r="U7873" s="1" t="str">
        <f>HYPERLINK("http://ictvonline.org/taxonomy/p/taxonomy-history?taxnode_id=202100043","ICTVonline=202100043")</f>
        <v>ICTVonline=202100043</v>
      </c>
    </row>
    <row r="7874" spans="1:21" x14ac:dyDescent="0.2">
      <c r="A7874" s="3">
        <v>7873</v>
      </c>
      <c r="B7874" s="1" t="s">
        <v>4226</v>
      </c>
      <c r="D7874" s="1" t="s">
        <v>5412</v>
      </c>
      <c r="F7874" s="1" t="s">
        <v>3981</v>
      </c>
      <c r="G7874" s="1" t="s">
        <v>4003</v>
      </c>
      <c r="H7874" s="1" t="s">
        <v>4004</v>
      </c>
      <c r="J7874" s="1" t="s">
        <v>3109</v>
      </c>
      <c r="L7874" s="1" t="s">
        <v>3111</v>
      </c>
      <c r="M7874" s="1" t="s">
        <v>4307</v>
      </c>
      <c r="N7874" s="1" t="s">
        <v>4009</v>
      </c>
      <c r="P7874" s="1" t="s">
        <v>8212</v>
      </c>
      <c r="Q7874" s="30" t="s">
        <v>2566</v>
      </c>
      <c r="R7874" s="33" t="s">
        <v>3472</v>
      </c>
      <c r="S7874">
        <v>36</v>
      </c>
      <c r="T7874" s="1" t="s">
        <v>8211</v>
      </c>
      <c r="U7874" s="1" t="str">
        <f>HYPERLINK("http://ictvonline.org/taxonomy/p/taxonomy-history?taxnode_id=202109700","ICTVonline=202109700")</f>
        <v>ICTVonline=202109700</v>
      </c>
    </row>
    <row r="7875" spans="1:21" x14ac:dyDescent="0.2">
      <c r="A7875" s="3">
        <v>7874</v>
      </c>
      <c r="B7875" s="1" t="s">
        <v>4226</v>
      </c>
      <c r="D7875" s="1" t="s">
        <v>5412</v>
      </c>
      <c r="F7875" s="1" t="s">
        <v>3981</v>
      </c>
      <c r="G7875" s="1" t="s">
        <v>4003</v>
      </c>
      <c r="H7875" s="1" t="s">
        <v>4004</v>
      </c>
      <c r="J7875" s="1" t="s">
        <v>3109</v>
      </c>
      <c r="L7875" s="1" t="s">
        <v>3111</v>
      </c>
      <c r="M7875" s="1" t="s">
        <v>4307</v>
      </c>
      <c r="N7875" s="1" t="s">
        <v>4009</v>
      </c>
      <c r="P7875" s="1" t="s">
        <v>4011</v>
      </c>
      <c r="Q7875" s="30" t="s">
        <v>2566</v>
      </c>
      <c r="R7875" s="33" t="s">
        <v>8665</v>
      </c>
      <c r="S7875">
        <v>36</v>
      </c>
      <c r="T7875" s="1" t="s">
        <v>8661</v>
      </c>
      <c r="U7875" s="1" t="str">
        <f>HYPERLINK("http://ictvonline.org/taxonomy/p/taxonomy-history?taxnode_id=202100049","ICTVonline=202100049")</f>
        <v>ICTVonline=202100049</v>
      </c>
    </row>
    <row r="7876" spans="1:21" x14ac:dyDescent="0.2">
      <c r="A7876" s="3">
        <v>7875</v>
      </c>
      <c r="B7876" s="1" t="s">
        <v>4226</v>
      </c>
      <c r="D7876" s="1" t="s">
        <v>5412</v>
      </c>
      <c r="F7876" s="1" t="s">
        <v>3981</v>
      </c>
      <c r="G7876" s="1" t="s">
        <v>4003</v>
      </c>
      <c r="H7876" s="1" t="s">
        <v>4004</v>
      </c>
      <c r="J7876" s="1" t="s">
        <v>3109</v>
      </c>
      <c r="L7876" s="1" t="s">
        <v>3111</v>
      </c>
      <c r="M7876" s="1" t="s">
        <v>4307</v>
      </c>
      <c r="N7876" s="1" t="s">
        <v>4009</v>
      </c>
      <c r="P7876" s="1" t="s">
        <v>4012</v>
      </c>
      <c r="Q7876" s="30" t="s">
        <v>2566</v>
      </c>
      <c r="R7876" s="33" t="s">
        <v>3474</v>
      </c>
      <c r="S7876">
        <v>35</v>
      </c>
      <c r="T7876" s="1" t="s">
        <v>5416</v>
      </c>
      <c r="U7876" s="1" t="str">
        <f>HYPERLINK("http://ictvonline.org/taxonomy/p/taxonomy-history?taxnode_id=202100053","ICTVonline=202100053")</f>
        <v>ICTVonline=202100053</v>
      </c>
    </row>
    <row r="7877" spans="1:21" x14ac:dyDescent="0.2">
      <c r="A7877" s="3">
        <v>7876</v>
      </c>
      <c r="B7877" s="1" t="s">
        <v>4226</v>
      </c>
      <c r="D7877" s="1" t="s">
        <v>5412</v>
      </c>
      <c r="F7877" s="1" t="s">
        <v>3981</v>
      </c>
      <c r="G7877" s="1" t="s">
        <v>4003</v>
      </c>
      <c r="H7877" s="1" t="s">
        <v>4004</v>
      </c>
      <c r="J7877" s="1" t="s">
        <v>3109</v>
      </c>
      <c r="L7877" s="1" t="s">
        <v>3111</v>
      </c>
      <c r="M7877" s="1" t="s">
        <v>4307</v>
      </c>
      <c r="N7877" s="1" t="s">
        <v>4009</v>
      </c>
      <c r="P7877" s="1" t="s">
        <v>8213</v>
      </c>
      <c r="Q7877" s="30" t="s">
        <v>2566</v>
      </c>
      <c r="R7877" s="33" t="s">
        <v>3472</v>
      </c>
      <c r="S7877">
        <v>36</v>
      </c>
      <c r="T7877" s="1" t="s">
        <v>8211</v>
      </c>
      <c r="U7877" s="1" t="str">
        <f>HYPERLINK("http://ictvonline.org/taxonomy/p/taxonomy-history?taxnode_id=202109701","ICTVonline=202109701")</f>
        <v>ICTVonline=202109701</v>
      </c>
    </row>
    <row r="7878" spans="1:21" x14ac:dyDescent="0.2">
      <c r="A7878" s="3">
        <v>7877</v>
      </c>
      <c r="B7878" s="1" t="s">
        <v>4226</v>
      </c>
      <c r="D7878" s="1" t="s">
        <v>5412</v>
      </c>
      <c r="F7878" s="1" t="s">
        <v>3981</v>
      </c>
      <c r="G7878" s="1" t="s">
        <v>4003</v>
      </c>
      <c r="H7878" s="1" t="s">
        <v>4004</v>
      </c>
      <c r="J7878" s="1" t="s">
        <v>3109</v>
      </c>
      <c r="L7878" s="1" t="s">
        <v>3111</v>
      </c>
      <c r="M7878" s="1" t="s">
        <v>4307</v>
      </c>
      <c r="N7878" s="1" t="s">
        <v>3112</v>
      </c>
      <c r="P7878" s="1" t="s">
        <v>3067</v>
      </c>
      <c r="Q7878" s="30" t="s">
        <v>2566</v>
      </c>
      <c r="R7878" s="33" t="s">
        <v>3474</v>
      </c>
      <c r="S7878">
        <v>35</v>
      </c>
      <c r="T7878" s="1" t="s">
        <v>5416</v>
      </c>
      <c r="U7878" s="1" t="str">
        <f>HYPERLINK("http://ictvonline.org/taxonomy/p/taxonomy-history?taxnode_id=202100022","ICTVonline=202100022")</f>
        <v>ICTVonline=202100022</v>
      </c>
    </row>
    <row r="7879" spans="1:21" x14ac:dyDescent="0.2">
      <c r="A7879" s="3">
        <v>7878</v>
      </c>
      <c r="B7879" s="1" t="s">
        <v>4226</v>
      </c>
      <c r="D7879" s="1" t="s">
        <v>5412</v>
      </c>
      <c r="F7879" s="1" t="s">
        <v>3981</v>
      </c>
      <c r="G7879" s="1" t="s">
        <v>4003</v>
      </c>
      <c r="H7879" s="1" t="s">
        <v>4004</v>
      </c>
      <c r="J7879" s="1" t="s">
        <v>3109</v>
      </c>
      <c r="L7879" s="1" t="s">
        <v>3111</v>
      </c>
      <c r="M7879" s="1" t="s">
        <v>4307</v>
      </c>
      <c r="N7879" s="1" t="s">
        <v>3112</v>
      </c>
      <c r="P7879" s="1" t="s">
        <v>3140</v>
      </c>
      <c r="Q7879" s="30" t="s">
        <v>2566</v>
      </c>
      <c r="R7879" s="33" t="s">
        <v>3474</v>
      </c>
      <c r="S7879">
        <v>35</v>
      </c>
      <c r="T7879" s="1" t="s">
        <v>5416</v>
      </c>
      <c r="U7879" s="1" t="str">
        <f>HYPERLINK("http://ictvonline.org/taxonomy/p/taxonomy-history?taxnode_id=202100023","ICTVonline=202100023")</f>
        <v>ICTVonline=202100023</v>
      </c>
    </row>
    <row r="7880" spans="1:21" x14ac:dyDescent="0.2">
      <c r="A7880" s="3">
        <v>7879</v>
      </c>
      <c r="B7880" s="1" t="s">
        <v>4226</v>
      </c>
      <c r="D7880" s="1" t="s">
        <v>5412</v>
      </c>
      <c r="F7880" s="1" t="s">
        <v>3981</v>
      </c>
      <c r="G7880" s="1" t="s">
        <v>4003</v>
      </c>
      <c r="H7880" s="1" t="s">
        <v>4004</v>
      </c>
      <c r="J7880" s="1" t="s">
        <v>3109</v>
      </c>
      <c r="L7880" s="1" t="s">
        <v>3111</v>
      </c>
      <c r="M7880" s="1" t="s">
        <v>4307</v>
      </c>
      <c r="N7880" s="1" t="s">
        <v>3112</v>
      </c>
      <c r="P7880" s="1" t="s">
        <v>3141</v>
      </c>
      <c r="Q7880" s="30" t="s">
        <v>2566</v>
      </c>
      <c r="R7880" s="33" t="s">
        <v>3474</v>
      </c>
      <c r="S7880">
        <v>35</v>
      </c>
      <c r="T7880" s="1" t="s">
        <v>5416</v>
      </c>
      <c r="U7880" s="1" t="str">
        <f>HYPERLINK("http://ictvonline.org/taxonomy/p/taxonomy-history?taxnode_id=202100024","ICTVonline=202100024")</f>
        <v>ICTVonline=202100024</v>
      </c>
    </row>
    <row r="7881" spans="1:21" x14ac:dyDescent="0.2">
      <c r="A7881" s="3">
        <v>7880</v>
      </c>
      <c r="B7881" s="1" t="s">
        <v>4226</v>
      </c>
      <c r="D7881" s="1" t="s">
        <v>5412</v>
      </c>
      <c r="F7881" s="1" t="s">
        <v>3981</v>
      </c>
      <c r="G7881" s="1" t="s">
        <v>4003</v>
      </c>
      <c r="H7881" s="1" t="s">
        <v>4004</v>
      </c>
      <c r="J7881" s="1" t="s">
        <v>3109</v>
      </c>
      <c r="L7881" s="1" t="s">
        <v>3111</v>
      </c>
      <c r="M7881" s="1" t="s">
        <v>4307</v>
      </c>
      <c r="N7881" s="1" t="s">
        <v>3112</v>
      </c>
      <c r="P7881" s="1" t="s">
        <v>3068</v>
      </c>
      <c r="Q7881" s="30" t="s">
        <v>2566</v>
      </c>
      <c r="R7881" s="33" t="s">
        <v>3474</v>
      </c>
      <c r="S7881">
        <v>35</v>
      </c>
      <c r="T7881" s="1" t="s">
        <v>5416</v>
      </c>
      <c r="U7881" s="1" t="str">
        <f>HYPERLINK("http://ictvonline.org/taxonomy/p/taxonomy-history?taxnode_id=202100025","ICTVonline=202100025")</f>
        <v>ICTVonline=202100025</v>
      </c>
    </row>
    <row r="7882" spans="1:21" x14ac:dyDescent="0.2">
      <c r="A7882" s="3">
        <v>7881</v>
      </c>
      <c r="B7882" s="1" t="s">
        <v>4226</v>
      </c>
      <c r="D7882" s="1" t="s">
        <v>5412</v>
      </c>
      <c r="F7882" s="1" t="s">
        <v>3981</v>
      </c>
      <c r="G7882" s="1" t="s">
        <v>4003</v>
      </c>
      <c r="H7882" s="1" t="s">
        <v>4004</v>
      </c>
      <c r="J7882" s="1" t="s">
        <v>3109</v>
      </c>
      <c r="L7882" s="1" t="s">
        <v>3111</v>
      </c>
      <c r="M7882" s="1" t="s">
        <v>4307</v>
      </c>
      <c r="N7882" s="1" t="s">
        <v>3112</v>
      </c>
      <c r="P7882" s="1" t="s">
        <v>3069</v>
      </c>
      <c r="Q7882" s="30" t="s">
        <v>2566</v>
      </c>
      <c r="R7882" s="33" t="s">
        <v>3474</v>
      </c>
      <c r="S7882">
        <v>35</v>
      </c>
      <c r="T7882" s="1" t="s">
        <v>5416</v>
      </c>
      <c r="U7882" s="1" t="str">
        <f>HYPERLINK("http://ictvonline.org/taxonomy/p/taxonomy-history?taxnode_id=202100026","ICTVonline=202100026")</f>
        <v>ICTVonline=202100026</v>
      </c>
    </row>
    <row r="7883" spans="1:21" x14ac:dyDescent="0.2">
      <c r="A7883" s="3">
        <v>7882</v>
      </c>
      <c r="B7883" s="1" t="s">
        <v>4226</v>
      </c>
      <c r="D7883" s="1" t="s">
        <v>5412</v>
      </c>
      <c r="F7883" s="1" t="s">
        <v>3981</v>
      </c>
      <c r="G7883" s="1" t="s">
        <v>4003</v>
      </c>
      <c r="H7883" s="1" t="s">
        <v>4004</v>
      </c>
      <c r="J7883" s="1" t="s">
        <v>3109</v>
      </c>
      <c r="L7883" s="1" t="s">
        <v>3111</v>
      </c>
      <c r="M7883" s="1" t="s">
        <v>4307</v>
      </c>
      <c r="N7883" s="1" t="s">
        <v>3112</v>
      </c>
      <c r="P7883" s="1" t="s">
        <v>3142</v>
      </c>
      <c r="Q7883" s="30" t="s">
        <v>2566</v>
      </c>
      <c r="R7883" s="33" t="s">
        <v>3474</v>
      </c>
      <c r="S7883">
        <v>35</v>
      </c>
      <c r="T7883" s="1" t="s">
        <v>5416</v>
      </c>
      <c r="U7883" s="1" t="str">
        <f>HYPERLINK("http://ictvonline.org/taxonomy/p/taxonomy-history?taxnode_id=202100027","ICTVonline=202100027")</f>
        <v>ICTVonline=202100027</v>
      </c>
    </row>
    <row r="7884" spans="1:21" x14ac:dyDescent="0.2">
      <c r="A7884" s="3">
        <v>7883</v>
      </c>
      <c r="B7884" s="1" t="s">
        <v>4226</v>
      </c>
      <c r="D7884" s="1" t="s">
        <v>5412</v>
      </c>
      <c r="F7884" s="1" t="s">
        <v>3981</v>
      </c>
      <c r="G7884" s="1" t="s">
        <v>4003</v>
      </c>
      <c r="H7884" s="1" t="s">
        <v>4004</v>
      </c>
      <c r="J7884" s="1" t="s">
        <v>3109</v>
      </c>
      <c r="L7884" s="1" t="s">
        <v>3111</v>
      </c>
      <c r="M7884" s="1" t="s">
        <v>4307</v>
      </c>
      <c r="N7884" s="1" t="s">
        <v>3112</v>
      </c>
      <c r="P7884" s="1" t="s">
        <v>3143</v>
      </c>
      <c r="Q7884" s="30" t="s">
        <v>2566</v>
      </c>
      <c r="R7884" s="33" t="s">
        <v>3474</v>
      </c>
      <c r="S7884">
        <v>35</v>
      </c>
      <c r="T7884" s="1" t="s">
        <v>5416</v>
      </c>
      <c r="U7884" s="1" t="str">
        <f>HYPERLINK("http://ictvonline.org/taxonomy/p/taxonomy-history?taxnode_id=202100028","ICTVonline=202100028")</f>
        <v>ICTVonline=202100028</v>
      </c>
    </row>
    <row r="7885" spans="1:21" x14ac:dyDescent="0.2">
      <c r="A7885" s="3">
        <v>7884</v>
      </c>
      <c r="B7885" s="1" t="s">
        <v>4226</v>
      </c>
      <c r="D7885" s="1" t="s">
        <v>5412</v>
      </c>
      <c r="F7885" s="1" t="s">
        <v>3981</v>
      </c>
      <c r="G7885" s="1" t="s">
        <v>4003</v>
      </c>
      <c r="H7885" s="1" t="s">
        <v>4004</v>
      </c>
      <c r="J7885" s="1" t="s">
        <v>3109</v>
      </c>
      <c r="L7885" s="1" t="s">
        <v>3111</v>
      </c>
      <c r="M7885" s="1" t="s">
        <v>4307</v>
      </c>
      <c r="N7885" s="1" t="s">
        <v>3112</v>
      </c>
      <c r="P7885" s="1" t="s">
        <v>3070</v>
      </c>
      <c r="Q7885" s="30" t="s">
        <v>2566</v>
      </c>
      <c r="R7885" s="33" t="s">
        <v>3474</v>
      </c>
      <c r="S7885">
        <v>35</v>
      </c>
      <c r="T7885" s="1" t="s">
        <v>5416</v>
      </c>
      <c r="U7885" s="1" t="str">
        <f>HYPERLINK("http://ictvonline.org/taxonomy/p/taxonomy-history?taxnode_id=202100029","ICTVonline=202100029")</f>
        <v>ICTVonline=202100029</v>
      </c>
    </row>
    <row r="7886" spans="1:21" x14ac:dyDescent="0.2">
      <c r="A7886" s="3">
        <v>7885</v>
      </c>
      <c r="B7886" s="1" t="s">
        <v>4226</v>
      </c>
      <c r="D7886" s="1" t="s">
        <v>5412</v>
      </c>
      <c r="F7886" s="1" t="s">
        <v>3981</v>
      </c>
      <c r="G7886" s="1" t="s">
        <v>4003</v>
      </c>
      <c r="H7886" s="1" t="s">
        <v>4004</v>
      </c>
      <c r="J7886" s="1" t="s">
        <v>3109</v>
      </c>
      <c r="L7886" s="1" t="s">
        <v>3111</v>
      </c>
      <c r="M7886" s="1" t="s">
        <v>4307</v>
      </c>
      <c r="N7886" s="1" t="s">
        <v>3112</v>
      </c>
      <c r="P7886" s="1" t="s">
        <v>3144</v>
      </c>
      <c r="Q7886" s="30" t="s">
        <v>2566</v>
      </c>
      <c r="R7886" s="33" t="s">
        <v>3474</v>
      </c>
      <c r="S7886">
        <v>35</v>
      </c>
      <c r="T7886" s="1" t="s">
        <v>5416</v>
      </c>
      <c r="U7886" s="1" t="str">
        <f>HYPERLINK("http://ictvonline.org/taxonomy/p/taxonomy-history?taxnode_id=202100030","ICTVonline=202100030")</f>
        <v>ICTVonline=202100030</v>
      </c>
    </row>
    <row r="7887" spans="1:21" x14ac:dyDescent="0.2">
      <c r="A7887" s="3">
        <v>7886</v>
      </c>
      <c r="B7887" s="1" t="s">
        <v>4226</v>
      </c>
      <c r="D7887" s="1" t="s">
        <v>5412</v>
      </c>
      <c r="F7887" s="1" t="s">
        <v>3981</v>
      </c>
      <c r="G7887" s="1" t="s">
        <v>4003</v>
      </c>
      <c r="H7887" s="1" t="s">
        <v>4004</v>
      </c>
      <c r="J7887" s="1" t="s">
        <v>3109</v>
      </c>
      <c r="L7887" s="1" t="s">
        <v>3111</v>
      </c>
      <c r="M7887" s="1" t="s">
        <v>4307</v>
      </c>
      <c r="N7887" s="1" t="s">
        <v>3112</v>
      </c>
      <c r="P7887" s="1" t="s">
        <v>3145</v>
      </c>
      <c r="Q7887" s="30" t="s">
        <v>2566</v>
      </c>
      <c r="R7887" s="33" t="s">
        <v>3474</v>
      </c>
      <c r="S7887">
        <v>35</v>
      </c>
      <c r="T7887" s="1" t="s">
        <v>5416</v>
      </c>
      <c r="U7887" s="1" t="str">
        <f>HYPERLINK("http://ictvonline.org/taxonomy/p/taxonomy-history?taxnode_id=202100031","ICTVonline=202100031")</f>
        <v>ICTVonline=202100031</v>
      </c>
    </row>
    <row r="7888" spans="1:21" x14ac:dyDescent="0.2">
      <c r="A7888" s="3">
        <v>7887</v>
      </c>
      <c r="B7888" s="1" t="s">
        <v>4226</v>
      </c>
      <c r="D7888" s="1" t="s">
        <v>5412</v>
      </c>
      <c r="F7888" s="1" t="s">
        <v>3981</v>
      </c>
      <c r="G7888" s="1" t="s">
        <v>4003</v>
      </c>
      <c r="H7888" s="1" t="s">
        <v>4004</v>
      </c>
      <c r="J7888" s="1" t="s">
        <v>3109</v>
      </c>
      <c r="L7888" s="1" t="s">
        <v>3111</v>
      </c>
      <c r="M7888" s="1" t="s">
        <v>4307</v>
      </c>
      <c r="N7888" s="1" t="s">
        <v>3112</v>
      </c>
      <c r="P7888" s="1" t="s">
        <v>3146</v>
      </c>
      <c r="Q7888" s="30" t="s">
        <v>2566</v>
      </c>
      <c r="R7888" s="33" t="s">
        <v>3474</v>
      </c>
      <c r="S7888">
        <v>35</v>
      </c>
      <c r="T7888" s="1" t="s">
        <v>5416</v>
      </c>
      <c r="U7888" s="1" t="str">
        <f>HYPERLINK("http://ictvonline.org/taxonomy/p/taxonomy-history?taxnode_id=202100032","ICTVonline=202100032")</f>
        <v>ICTVonline=202100032</v>
      </c>
    </row>
    <row r="7889" spans="1:21" x14ac:dyDescent="0.2">
      <c r="A7889" s="3">
        <v>7888</v>
      </c>
      <c r="B7889" s="1" t="s">
        <v>4226</v>
      </c>
      <c r="D7889" s="1" t="s">
        <v>5412</v>
      </c>
      <c r="F7889" s="1" t="s">
        <v>3981</v>
      </c>
      <c r="G7889" s="1" t="s">
        <v>4003</v>
      </c>
      <c r="H7889" s="1" t="s">
        <v>4004</v>
      </c>
      <c r="J7889" s="1" t="s">
        <v>3109</v>
      </c>
      <c r="L7889" s="1" t="s">
        <v>3111</v>
      </c>
      <c r="M7889" s="1" t="s">
        <v>4307</v>
      </c>
      <c r="N7889" s="1" t="s">
        <v>3112</v>
      </c>
      <c r="P7889" s="1" t="s">
        <v>3071</v>
      </c>
      <c r="Q7889" s="30" t="s">
        <v>2566</v>
      </c>
      <c r="R7889" s="33" t="s">
        <v>3474</v>
      </c>
      <c r="S7889">
        <v>35</v>
      </c>
      <c r="T7889" s="1" t="s">
        <v>5416</v>
      </c>
      <c r="U7889" s="1" t="str">
        <f>HYPERLINK("http://ictvonline.org/taxonomy/p/taxonomy-history?taxnode_id=202100033","ICTVonline=202100033")</f>
        <v>ICTVonline=202100033</v>
      </c>
    </row>
    <row r="7890" spans="1:21" x14ac:dyDescent="0.2">
      <c r="A7890" s="3">
        <v>7889</v>
      </c>
      <c r="B7890" s="1" t="s">
        <v>4226</v>
      </c>
      <c r="D7890" s="1" t="s">
        <v>5412</v>
      </c>
      <c r="F7890" s="1" t="s">
        <v>3981</v>
      </c>
      <c r="G7890" s="1" t="s">
        <v>4003</v>
      </c>
      <c r="H7890" s="1" t="s">
        <v>4004</v>
      </c>
      <c r="J7890" s="1" t="s">
        <v>3109</v>
      </c>
      <c r="L7890" s="1" t="s">
        <v>3111</v>
      </c>
      <c r="M7890" s="1" t="s">
        <v>4307</v>
      </c>
      <c r="N7890" s="1" t="s">
        <v>3112</v>
      </c>
      <c r="P7890" s="1" t="s">
        <v>3072</v>
      </c>
      <c r="Q7890" s="30" t="s">
        <v>2566</v>
      </c>
      <c r="R7890" s="33" t="s">
        <v>3474</v>
      </c>
      <c r="S7890">
        <v>35</v>
      </c>
      <c r="T7890" s="1" t="s">
        <v>5416</v>
      </c>
      <c r="U7890" s="1" t="str">
        <f>HYPERLINK("http://ictvonline.org/taxonomy/p/taxonomy-history?taxnode_id=202100034","ICTVonline=202100034")</f>
        <v>ICTVonline=202100034</v>
      </c>
    </row>
    <row r="7891" spans="1:21" x14ac:dyDescent="0.2">
      <c r="A7891" s="3">
        <v>7890</v>
      </c>
      <c r="B7891" s="1" t="s">
        <v>4226</v>
      </c>
      <c r="D7891" s="1" t="s">
        <v>5412</v>
      </c>
      <c r="F7891" s="1" t="s">
        <v>3981</v>
      </c>
      <c r="G7891" s="1" t="s">
        <v>4003</v>
      </c>
      <c r="H7891" s="1" t="s">
        <v>4004</v>
      </c>
      <c r="J7891" s="1" t="s">
        <v>3109</v>
      </c>
      <c r="L7891" s="1" t="s">
        <v>3111</v>
      </c>
      <c r="M7891" s="1" t="s">
        <v>4307</v>
      </c>
      <c r="N7891" s="1" t="s">
        <v>3112</v>
      </c>
      <c r="P7891" s="1" t="s">
        <v>3147</v>
      </c>
      <c r="Q7891" s="30" t="s">
        <v>2566</v>
      </c>
      <c r="R7891" s="33" t="s">
        <v>3474</v>
      </c>
      <c r="S7891">
        <v>35</v>
      </c>
      <c r="T7891" s="1" t="s">
        <v>5416</v>
      </c>
      <c r="U7891" s="1" t="str">
        <f>HYPERLINK("http://ictvonline.org/taxonomy/p/taxonomy-history?taxnode_id=202100035","ICTVonline=202100035")</f>
        <v>ICTVonline=202100035</v>
      </c>
    </row>
    <row r="7892" spans="1:21" x14ac:dyDescent="0.2">
      <c r="A7892" s="3">
        <v>7891</v>
      </c>
      <c r="B7892" s="1" t="s">
        <v>4226</v>
      </c>
      <c r="D7892" s="1" t="s">
        <v>5412</v>
      </c>
      <c r="F7892" s="1" t="s">
        <v>3981</v>
      </c>
      <c r="G7892" s="1" t="s">
        <v>4003</v>
      </c>
      <c r="H7892" s="1" t="s">
        <v>4004</v>
      </c>
      <c r="J7892" s="1" t="s">
        <v>3109</v>
      </c>
      <c r="L7892" s="1" t="s">
        <v>3111</v>
      </c>
      <c r="M7892" s="1" t="s">
        <v>4307</v>
      </c>
      <c r="N7892" s="1" t="s">
        <v>3112</v>
      </c>
      <c r="P7892" s="1" t="s">
        <v>3148</v>
      </c>
      <c r="Q7892" s="30" t="s">
        <v>2566</v>
      </c>
      <c r="R7892" s="33" t="s">
        <v>3474</v>
      </c>
      <c r="S7892">
        <v>35</v>
      </c>
      <c r="T7892" s="1" t="s">
        <v>5416</v>
      </c>
      <c r="U7892" s="1" t="str">
        <f>HYPERLINK("http://ictvonline.org/taxonomy/p/taxonomy-history?taxnode_id=202100036","ICTVonline=202100036")</f>
        <v>ICTVonline=202100036</v>
      </c>
    </row>
    <row r="7893" spans="1:21" x14ac:dyDescent="0.2">
      <c r="A7893" s="3">
        <v>7892</v>
      </c>
      <c r="B7893" s="1" t="s">
        <v>4226</v>
      </c>
      <c r="D7893" s="1" t="s">
        <v>5412</v>
      </c>
      <c r="F7893" s="1" t="s">
        <v>3981</v>
      </c>
      <c r="G7893" s="1" t="s">
        <v>4003</v>
      </c>
      <c r="H7893" s="1" t="s">
        <v>4004</v>
      </c>
      <c r="J7893" s="1" t="s">
        <v>3109</v>
      </c>
      <c r="L7893" s="1" t="s">
        <v>3111</v>
      </c>
      <c r="M7893" s="1" t="s">
        <v>4307</v>
      </c>
      <c r="N7893" s="1" t="s">
        <v>3112</v>
      </c>
      <c r="P7893" s="1" t="s">
        <v>3073</v>
      </c>
      <c r="Q7893" s="30" t="s">
        <v>2566</v>
      </c>
      <c r="R7893" s="33" t="s">
        <v>8665</v>
      </c>
      <c r="S7893">
        <v>36</v>
      </c>
      <c r="T7893" s="1" t="s">
        <v>8661</v>
      </c>
      <c r="U7893" s="1" t="str">
        <f>HYPERLINK("http://ictvonline.org/taxonomy/p/taxonomy-history?taxnode_id=202100037","ICTVonline=202100037")</f>
        <v>ICTVonline=202100037</v>
      </c>
    </row>
    <row r="7894" spans="1:21" x14ac:dyDescent="0.2">
      <c r="A7894" s="3">
        <v>7893</v>
      </c>
      <c r="B7894" s="1" t="s">
        <v>4226</v>
      </c>
      <c r="D7894" s="1" t="s">
        <v>5412</v>
      </c>
      <c r="F7894" s="1" t="s">
        <v>3981</v>
      </c>
      <c r="G7894" s="1" t="s">
        <v>4003</v>
      </c>
      <c r="H7894" s="1" t="s">
        <v>4004</v>
      </c>
      <c r="J7894" s="1" t="s">
        <v>3109</v>
      </c>
      <c r="L7894" s="1" t="s">
        <v>3111</v>
      </c>
      <c r="M7894" s="1" t="s">
        <v>4307</v>
      </c>
      <c r="N7894" s="1" t="s">
        <v>3112</v>
      </c>
      <c r="P7894" s="1" t="s">
        <v>3149</v>
      </c>
      <c r="Q7894" s="30" t="s">
        <v>2566</v>
      </c>
      <c r="R7894" s="33" t="s">
        <v>3474</v>
      </c>
      <c r="S7894">
        <v>35</v>
      </c>
      <c r="T7894" s="1" t="s">
        <v>5416</v>
      </c>
      <c r="U7894" s="1" t="str">
        <f>HYPERLINK("http://ictvonline.org/taxonomy/p/taxonomy-history?taxnode_id=202100039","ICTVonline=202100039")</f>
        <v>ICTVonline=202100039</v>
      </c>
    </row>
    <row r="7895" spans="1:21" x14ac:dyDescent="0.2">
      <c r="A7895" s="3">
        <v>7894</v>
      </c>
      <c r="B7895" s="1" t="s">
        <v>4226</v>
      </c>
      <c r="D7895" s="1" t="s">
        <v>5412</v>
      </c>
      <c r="F7895" s="1" t="s">
        <v>3981</v>
      </c>
      <c r="G7895" s="1" t="s">
        <v>4003</v>
      </c>
      <c r="H7895" s="1" t="s">
        <v>4004</v>
      </c>
      <c r="J7895" s="1" t="s">
        <v>3109</v>
      </c>
      <c r="L7895" s="1" t="s">
        <v>3111</v>
      </c>
      <c r="M7895" s="1" t="s">
        <v>4307</v>
      </c>
      <c r="N7895" s="1" t="s">
        <v>3112</v>
      </c>
      <c r="P7895" s="1" t="s">
        <v>3150</v>
      </c>
      <c r="Q7895" s="30" t="s">
        <v>2566</v>
      </c>
      <c r="R7895" s="33" t="s">
        <v>3474</v>
      </c>
      <c r="S7895">
        <v>35</v>
      </c>
      <c r="T7895" s="1" t="s">
        <v>5416</v>
      </c>
      <c r="U7895" s="1" t="str">
        <f>HYPERLINK("http://ictvonline.org/taxonomy/p/taxonomy-history?taxnode_id=202100040","ICTVonline=202100040")</f>
        <v>ICTVonline=202100040</v>
      </c>
    </row>
    <row r="7896" spans="1:21" x14ac:dyDescent="0.2">
      <c r="A7896" s="3">
        <v>7895</v>
      </c>
      <c r="B7896" s="1" t="s">
        <v>4226</v>
      </c>
      <c r="D7896" s="1" t="s">
        <v>5412</v>
      </c>
      <c r="F7896" s="1" t="s">
        <v>3981</v>
      </c>
      <c r="G7896" s="1" t="s">
        <v>4003</v>
      </c>
      <c r="H7896" s="1" t="s">
        <v>4004</v>
      </c>
      <c r="J7896" s="1" t="s">
        <v>3109</v>
      </c>
      <c r="L7896" s="1" t="s">
        <v>3111</v>
      </c>
      <c r="M7896" s="1" t="s">
        <v>4307</v>
      </c>
      <c r="N7896" s="1" t="s">
        <v>3112</v>
      </c>
      <c r="P7896" s="1" t="s">
        <v>3074</v>
      </c>
      <c r="Q7896" s="30" t="s">
        <v>2566</v>
      </c>
      <c r="R7896" s="33" t="s">
        <v>3474</v>
      </c>
      <c r="S7896">
        <v>35</v>
      </c>
      <c r="T7896" s="1" t="s">
        <v>5416</v>
      </c>
      <c r="U7896" s="1" t="str">
        <f>HYPERLINK("http://ictvonline.org/taxonomy/p/taxonomy-history?taxnode_id=202100041","ICTVonline=202100041")</f>
        <v>ICTVonline=202100041</v>
      </c>
    </row>
    <row r="7897" spans="1:21" x14ac:dyDescent="0.2">
      <c r="A7897" s="3">
        <v>7896</v>
      </c>
      <c r="B7897" s="1" t="s">
        <v>4226</v>
      </c>
      <c r="D7897" s="1" t="s">
        <v>5412</v>
      </c>
      <c r="F7897" s="1" t="s">
        <v>3981</v>
      </c>
      <c r="G7897" s="1" t="s">
        <v>4003</v>
      </c>
      <c r="H7897" s="1" t="s">
        <v>4004</v>
      </c>
      <c r="J7897" s="1" t="s">
        <v>3109</v>
      </c>
      <c r="L7897" s="1" t="s">
        <v>3111</v>
      </c>
      <c r="M7897" s="1" t="s">
        <v>4307</v>
      </c>
      <c r="N7897" s="1" t="s">
        <v>3112</v>
      </c>
      <c r="P7897" s="1" t="s">
        <v>3075</v>
      </c>
      <c r="Q7897" s="30" t="s">
        <v>2566</v>
      </c>
      <c r="R7897" s="33" t="s">
        <v>3474</v>
      </c>
      <c r="S7897">
        <v>35</v>
      </c>
      <c r="T7897" s="1" t="s">
        <v>5416</v>
      </c>
      <c r="U7897" s="1" t="str">
        <f>HYPERLINK("http://ictvonline.org/taxonomy/p/taxonomy-history?taxnode_id=202100042","ICTVonline=202100042")</f>
        <v>ICTVonline=202100042</v>
      </c>
    </row>
    <row r="7898" spans="1:21" x14ac:dyDescent="0.2">
      <c r="A7898" s="3">
        <v>7897</v>
      </c>
      <c r="B7898" s="1" t="s">
        <v>4226</v>
      </c>
      <c r="D7898" s="1" t="s">
        <v>5412</v>
      </c>
      <c r="F7898" s="1" t="s">
        <v>3981</v>
      </c>
      <c r="G7898" s="1" t="s">
        <v>4003</v>
      </c>
      <c r="H7898" s="1" t="s">
        <v>4004</v>
      </c>
      <c r="J7898" s="1" t="s">
        <v>3109</v>
      </c>
      <c r="L7898" s="1" t="s">
        <v>3111</v>
      </c>
      <c r="M7898" s="1" t="s">
        <v>4307</v>
      </c>
      <c r="N7898" s="1" t="s">
        <v>3112</v>
      </c>
      <c r="P7898" s="1" t="s">
        <v>3151</v>
      </c>
      <c r="Q7898" s="30" t="s">
        <v>2566</v>
      </c>
      <c r="R7898" s="33" t="s">
        <v>3474</v>
      </c>
      <c r="S7898">
        <v>35</v>
      </c>
      <c r="T7898" s="1" t="s">
        <v>5416</v>
      </c>
      <c r="U7898" s="1" t="str">
        <f>HYPERLINK("http://ictvonline.org/taxonomy/p/taxonomy-history?taxnode_id=202100045","ICTVonline=202100045")</f>
        <v>ICTVonline=202100045</v>
      </c>
    </row>
    <row r="7899" spans="1:21" x14ac:dyDescent="0.2">
      <c r="A7899" s="3">
        <v>7898</v>
      </c>
      <c r="B7899" s="1" t="s">
        <v>4226</v>
      </c>
      <c r="D7899" s="1" t="s">
        <v>5412</v>
      </c>
      <c r="F7899" s="1" t="s">
        <v>3981</v>
      </c>
      <c r="G7899" s="1" t="s">
        <v>4003</v>
      </c>
      <c r="H7899" s="1" t="s">
        <v>4004</v>
      </c>
      <c r="J7899" s="1" t="s">
        <v>3109</v>
      </c>
      <c r="L7899" s="1" t="s">
        <v>3111</v>
      </c>
      <c r="M7899" s="1" t="s">
        <v>4307</v>
      </c>
      <c r="N7899" s="1" t="s">
        <v>3112</v>
      </c>
      <c r="P7899" s="1" t="s">
        <v>3152</v>
      </c>
      <c r="Q7899" s="30" t="s">
        <v>2566</v>
      </c>
      <c r="R7899" s="33" t="s">
        <v>3474</v>
      </c>
      <c r="S7899">
        <v>35</v>
      </c>
      <c r="T7899" s="1" t="s">
        <v>5416</v>
      </c>
      <c r="U7899" s="1" t="str">
        <f>HYPERLINK("http://ictvonline.org/taxonomy/p/taxonomy-history?taxnode_id=202100046","ICTVonline=202100046")</f>
        <v>ICTVonline=202100046</v>
      </c>
    </row>
    <row r="7900" spans="1:21" x14ac:dyDescent="0.2">
      <c r="A7900" s="3">
        <v>7899</v>
      </c>
      <c r="B7900" s="1" t="s">
        <v>4226</v>
      </c>
      <c r="D7900" s="1" t="s">
        <v>5412</v>
      </c>
      <c r="F7900" s="1" t="s">
        <v>3981</v>
      </c>
      <c r="G7900" s="1" t="s">
        <v>4003</v>
      </c>
      <c r="H7900" s="1" t="s">
        <v>4004</v>
      </c>
      <c r="J7900" s="1" t="s">
        <v>3109</v>
      </c>
      <c r="L7900" s="1" t="s">
        <v>3111</v>
      </c>
      <c r="M7900" s="1" t="s">
        <v>4307</v>
      </c>
      <c r="N7900" s="1" t="s">
        <v>3112</v>
      </c>
      <c r="P7900" s="1" t="s">
        <v>3153</v>
      </c>
      <c r="Q7900" s="30" t="s">
        <v>2566</v>
      </c>
      <c r="R7900" s="33" t="s">
        <v>3474</v>
      </c>
      <c r="S7900">
        <v>35</v>
      </c>
      <c r="T7900" s="1" t="s">
        <v>5416</v>
      </c>
      <c r="U7900" s="1" t="str">
        <f>HYPERLINK("http://ictvonline.org/taxonomy/p/taxonomy-history?taxnode_id=202100047","ICTVonline=202100047")</f>
        <v>ICTVonline=202100047</v>
      </c>
    </row>
    <row r="7901" spans="1:21" x14ac:dyDescent="0.2">
      <c r="A7901" s="3">
        <v>7900</v>
      </c>
      <c r="B7901" s="1" t="s">
        <v>4226</v>
      </c>
      <c r="D7901" s="1" t="s">
        <v>5412</v>
      </c>
      <c r="F7901" s="1" t="s">
        <v>3981</v>
      </c>
      <c r="G7901" s="1" t="s">
        <v>4003</v>
      </c>
      <c r="H7901" s="1" t="s">
        <v>4004</v>
      </c>
      <c r="J7901" s="1" t="s">
        <v>3109</v>
      </c>
      <c r="L7901" s="1" t="s">
        <v>3111</v>
      </c>
      <c r="M7901" s="1" t="s">
        <v>4307</v>
      </c>
      <c r="N7901" s="1" t="s">
        <v>3112</v>
      </c>
      <c r="P7901" s="1" t="s">
        <v>3154</v>
      </c>
      <c r="Q7901" s="30" t="s">
        <v>2566</v>
      </c>
      <c r="R7901" s="33" t="s">
        <v>3474</v>
      </c>
      <c r="S7901">
        <v>35</v>
      </c>
      <c r="T7901" s="1" t="s">
        <v>5416</v>
      </c>
      <c r="U7901" s="1" t="str">
        <f>HYPERLINK("http://ictvonline.org/taxonomy/p/taxonomy-history?taxnode_id=202100048","ICTVonline=202100048")</f>
        <v>ICTVonline=202100048</v>
      </c>
    </row>
    <row r="7902" spans="1:21" x14ac:dyDescent="0.2">
      <c r="A7902" s="3">
        <v>7901</v>
      </c>
      <c r="B7902" s="1" t="s">
        <v>4226</v>
      </c>
      <c r="D7902" s="1" t="s">
        <v>5412</v>
      </c>
      <c r="F7902" s="1" t="s">
        <v>3981</v>
      </c>
      <c r="G7902" s="1" t="s">
        <v>4003</v>
      </c>
      <c r="H7902" s="1" t="s">
        <v>4004</v>
      </c>
      <c r="J7902" s="1" t="s">
        <v>3109</v>
      </c>
      <c r="L7902" s="1" t="s">
        <v>3111</v>
      </c>
      <c r="M7902" s="1" t="s">
        <v>4307</v>
      </c>
      <c r="N7902" s="1" t="s">
        <v>3112</v>
      </c>
      <c r="P7902" s="1" t="s">
        <v>3155</v>
      </c>
      <c r="Q7902" s="30" t="s">
        <v>2566</v>
      </c>
      <c r="R7902" s="33" t="s">
        <v>3474</v>
      </c>
      <c r="S7902">
        <v>35</v>
      </c>
      <c r="T7902" s="1" t="s">
        <v>5416</v>
      </c>
      <c r="U7902" s="1" t="str">
        <f>HYPERLINK("http://ictvonline.org/taxonomy/p/taxonomy-history?taxnode_id=202100050","ICTVonline=202100050")</f>
        <v>ICTVonline=202100050</v>
      </c>
    </row>
    <row r="7903" spans="1:21" x14ac:dyDescent="0.2">
      <c r="A7903" s="3">
        <v>7902</v>
      </c>
      <c r="B7903" s="1" t="s">
        <v>4226</v>
      </c>
      <c r="D7903" s="1" t="s">
        <v>5412</v>
      </c>
      <c r="F7903" s="1" t="s">
        <v>3981</v>
      </c>
      <c r="G7903" s="1" t="s">
        <v>4003</v>
      </c>
      <c r="H7903" s="1" t="s">
        <v>4004</v>
      </c>
      <c r="J7903" s="1" t="s">
        <v>3109</v>
      </c>
      <c r="L7903" s="1" t="s">
        <v>3111</v>
      </c>
      <c r="M7903" s="1" t="s">
        <v>4307</v>
      </c>
      <c r="N7903" s="1" t="s">
        <v>3112</v>
      </c>
      <c r="P7903" s="1" t="s">
        <v>3076</v>
      </c>
      <c r="Q7903" s="30" t="s">
        <v>2566</v>
      </c>
      <c r="R7903" s="33" t="s">
        <v>3474</v>
      </c>
      <c r="S7903">
        <v>35</v>
      </c>
      <c r="T7903" s="1" t="s">
        <v>5416</v>
      </c>
      <c r="U7903" s="1" t="str">
        <f>HYPERLINK("http://ictvonline.org/taxonomy/p/taxonomy-history?taxnode_id=202100051","ICTVonline=202100051")</f>
        <v>ICTVonline=202100051</v>
      </c>
    </row>
    <row r="7904" spans="1:21" x14ac:dyDescent="0.2">
      <c r="A7904" s="3">
        <v>7903</v>
      </c>
      <c r="B7904" s="1" t="s">
        <v>4226</v>
      </c>
      <c r="D7904" s="1" t="s">
        <v>5412</v>
      </c>
      <c r="F7904" s="1" t="s">
        <v>3981</v>
      </c>
      <c r="G7904" s="1" t="s">
        <v>4003</v>
      </c>
      <c r="H7904" s="1" t="s">
        <v>4004</v>
      </c>
      <c r="J7904" s="1" t="s">
        <v>3109</v>
      </c>
      <c r="L7904" s="1" t="s">
        <v>3111</v>
      </c>
      <c r="M7904" s="1" t="s">
        <v>4307</v>
      </c>
      <c r="N7904" s="1" t="s">
        <v>3112</v>
      </c>
      <c r="P7904" s="1" t="s">
        <v>3077</v>
      </c>
      <c r="Q7904" s="30" t="s">
        <v>2566</v>
      </c>
      <c r="R7904" s="33" t="s">
        <v>3474</v>
      </c>
      <c r="S7904">
        <v>35</v>
      </c>
      <c r="T7904" s="1" t="s">
        <v>5416</v>
      </c>
      <c r="U7904" s="1" t="str">
        <f>HYPERLINK("http://ictvonline.org/taxonomy/p/taxonomy-history?taxnode_id=202100052","ICTVonline=202100052")</f>
        <v>ICTVonline=202100052</v>
      </c>
    </row>
    <row r="7905" spans="1:21" x14ac:dyDescent="0.2">
      <c r="A7905" s="3">
        <v>7904</v>
      </c>
      <c r="B7905" s="1" t="s">
        <v>4226</v>
      </c>
      <c r="D7905" s="1" t="s">
        <v>5412</v>
      </c>
      <c r="F7905" s="1" t="s">
        <v>3981</v>
      </c>
      <c r="G7905" s="1" t="s">
        <v>4003</v>
      </c>
      <c r="H7905" s="1" t="s">
        <v>4004</v>
      </c>
      <c r="J7905" s="1" t="s">
        <v>3109</v>
      </c>
      <c r="L7905" s="1" t="s">
        <v>3111</v>
      </c>
      <c r="M7905" s="1" t="s">
        <v>4307</v>
      </c>
      <c r="N7905" s="1" t="s">
        <v>3112</v>
      </c>
      <c r="P7905" s="1" t="s">
        <v>8214</v>
      </c>
      <c r="Q7905" s="30" t="s">
        <v>2566</v>
      </c>
      <c r="R7905" s="33" t="s">
        <v>3472</v>
      </c>
      <c r="S7905">
        <v>36</v>
      </c>
      <c r="T7905" s="1" t="s">
        <v>8211</v>
      </c>
      <c r="U7905" s="1" t="str">
        <f>HYPERLINK("http://ictvonline.org/taxonomy/p/taxonomy-history?taxnode_id=202109702","ICTVonline=202109702")</f>
        <v>ICTVonline=202109702</v>
      </c>
    </row>
    <row r="7906" spans="1:21" x14ac:dyDescent="0.2">
      <c r="A7906" s="3">
        <v>7905</v>
      </c>
      <c r="B7906" s="1" t="s">
        <v>4226</v>
      </c>
      <c r="D7906" s="1" t="s">
        <v>5412</v>
      </c>
      <c r="F7906" s="1" t="s">
        <v>3981</v>
      </c>
      <c r="G7906" s="1" t="s">
        <v>4003</v>
      </c>
      <c r="H7906" s="1" t="s">
        <v>4004</v>
      </c>
      <c r="J7906" s="1" t="s">
        <v>3109</v>
      </c>
      <c r="L7906" s="1" t="s">
        <v>3111</v>
      </c>
      <c r="M7906" s="1" t="s">
        <v>4307</v>
      </c>
      <c r="N7906" s="1" t="s">
        <v>3112</v>
      </c>
      <c r="P7906" s="1" t="s">
        <v>3156</v>
      </c>
      <c r="Q7906" s="30" t="s">
        <v>2566</v>
      </c>
      <c r="R7906" s="33" t="s">
        <v>3474</v>
      </c>
      <c r="S7906">
        <v>35</v>
      </c>
      <c r="T7906" s="1" t="s">
        <v>5416</v>
      </c>
      <c r="U7906" s="1" t="str">
        <f>HYPERLINK("http://ictvonline.org/taxonomy/p/taxonomy-history?taxnode_id=202100054","ICTVonline=202100054")</f>
        <v>ICTVonline=202100054</v>
      </c>
    </row>
    <row r="7907" spans="1:21" x14ac:dyDescent="0.2">
      <c r="A7907" s="3">
        <v>7906</v>
      </c>
      <c r="B7907" s="1" t="s">
        <v>4226</v>
      </c>
      <c r="D7907" s="1" t="s">
        <v>5412</v>
      </c>
      <c r="F7907" s="1" t="s">
        <v>3981</v>
      </c>
      <c r="G7907" s="1" t="s">
        <v>4003</v>
      </c>
      <c r="H7907" s="1" t="s">
        <v>4004</v>
      </c>
      <c r="J7907" s="1" t="s">
        <v>3109</v>
      </c>
      <c r="L7907" s="1" t="s">
        <v>3111</v>
      </c>
      <c r="M7907" s="1" t="s">
        <v>4307</v>
      </c>
      <c r="N7907" s="1" t="s">
        <v>3112</v>
      </c>
      <c r="P7907" s="1" t="s">
        <v>3078</v>
      </c>
      <c r="Q7907" s="30" t="s">
        <v>2566</v>
      </c>
      <c r="R7907" s="33" t="s">
        <v>3474</v>
      </c>
      <c r="S7907">
        <v>35</v>
      </c>
      <c r="T7907" s="1" t="s">
        <v>5416</v>
      </c>
      <c r="U7907" s="1" t="str">
        <f>HYPERLINK("http://ictvonline.org/taxonomy/p/taxonomy-history?taxnode_id=202100055","ICTVonline=202100055")</f>
        <v>ICTVonline=202100055</v>
      </c>
    </row>
    <row r="7908" spans="1:21" x14ac:dyDescent="0.2">
      <c r="A7908" s="3">
        <v>7907</v>
      </c>
      <c r="B7908" s="1" t="s">
        <v>4226</v>
      </c>
      <c r="D7908" s="1" t="s">
        <v>5412</v>
      </c>
      <c r="F7908" s="1" t="s">
        <v>3981</v>
      </c>
      <c r="G7908" s="1" t="s">
        <v>4003</v>
      </c>
      <c r="H7908" s="1" t="s">
        <v>4004</v>
      </c>
      <c r="J7908" s="1" t="s">
        <v>3109</v>
      </c>
      <c r="L7908" s="1" t="s">
        <v>3111</v>
      </c>
      <c r="M7908" s="1" t="s">
        <v>4307</v>
      </c>
      <c r="N7908" s="1" t="s">
        <v>3112</v>
      </c>
      <c r="P7908" s="1" t="s">
        <v>14042</v>
      </c>
      <c r="Q7908" s="30" t="s">
        <v>2566</v>
      </c>
      <c r="R7908" s="33" t="s">
        <v>3475</v>
      </c>
      <c r="S7908">
        <v>37</v>
      </c>
      <c r="T7908" s="1" t="s">
        <v>14008</v>
      </c>
      <c r="U7908" s="1" t="str">
        <f>HYPERLINK("http://ictvonline.org/taxonomy/p/taxonomy-history?taxnode_id=202100021","ICTVonline=202100021")</f>
        <v>ICTVonline=202100021</v>
      </c>
    </row>
    <row r="7909" spans="1:21" x14ac:dyDescent="0.2">
      <c r="A7909" s="3">
        <v>7908</v>
      </c>
      <c r="B7909" s="1" t="s">
        <v>4226</v>
      </c>
      <c r="D7909" s="1" t="s">
        <v>5412</v>
      </c>
      <c r="F7909" s="1" t="s">
        <v>3981</v>
      </c>
      <c r="G7909" s="1" t="s">
        <v>4003</v>
      </c>
      <c r="H7909" s="1" t="s">
        <v>4004</v>
      </c>
      <c r="J7909" s="1" t="s">
        <v>3109</v>
      </c>
      <c r="L7909" s="1" t="s">
        <v>3111</v>
      </c>
      <c r="M7909" s="1" t="s">
        <v>4307</v>
      </c>
      <c r="N7909" s="1" t="s">
        <v>3112</v>
      </c>
      <c r="P7909" s="1" t="s">
        <v>3079</v>
      </c>
      <c r="Q7909" s="30" t="s">
        <v>2566</v>
      </c>
      <c r="R7909" s="33" t="s">
        <v>3474</v>
      </c>
      <c r="S7909">
        <v>35</v>
      </c>
      <c r="T7909" s="1" t="s">
        <v>5416</v>
      </c>
      <c r="U7909" s="1" t="str">
        <f>HYPERLINK("http://ictvonline.org/taxonomy/p/taxonomy-history?taxnode_id=202100056","ICTVonline=202100056")</f>
        <v>ICTVonline=202100056</v>
      </c>
    </row>
    <row r="7910" spans="1:21" x14ac:dyDescent="0.2">
      <c r="A7910" s="3">
        <v>7909</v>
      </c>
      <c r="B7910" s="1" t="s">
        <v>4226</v>
      </c>
      <c r="D7910" s="1" t="s">
        <v>5412</v>
      </c>
      <c r="F7910" s="1" t="s">
        <v>3981</v>
      </c>
      <c r="G7910" s="1" t="s">
        <v>4003</v>
      </c>
      <c r="H7910" s="1" t="s">
        <v>4004</v>
      </c>
      <c r="J7910" s="1" t="s">
        <v>3109</v>
      </c>
      <c r="L7910" s="1" t="s">
        <v>3111</v>
      </c>
      <c r="M7910" s="1" t="s">
        <v>4307</v>
      </c>
      <c r="N7910" s="1" t="s">
        <v>3112</v>
      </c>
      <c r="P7910" s="1" t="s">
        <v>3080</v>
      </c>
      <c r="Q7910" s="30" t="s">
        <v>2566</v>
      </c>
      <c r="R7910" s="33" t="s">
        <v>3474</v>
      </c>
      <c r="S7910">
        <v>35</v>
      </c>
      <c r="T7910" s="1" t="s">
        <v>5416</v>
      </c>
      <c r="U7910" s="1" t="str">
        <f>HYPERLINK("http://ictvonline.org/taxonomy/p/taxonomy-history?taxnode_id=202100057","ICTVonline=202100057")</f>
        <v>ICTVonline=202100057</v>
      </c>
    </row>
    <row r="7911" spans="1:21" x14ac:dyDescent="0.2">
      <c r="A7911" s="3">
        <v>7910</v>
      </c>
      <c r="B7911" s="1" t="s">
        <v>4226</v>
      </c>
      <c r="D7911" s="1" t="s">
        <v>5412</v>
      </c>
      <c r="F7911" s="1" t="s">
        <v>3981</v>
      </c>
      <c r="G7911" s="1" t="s">
        <v>4003</v>
      </c>
      <c r="H7911" s="1" t="s">
        <v>4004</v>
      </c>
      <c r="J7911" s="1" t="s">
        <v>3109</v>
      </c>
      <c r="L7911" s="1" t="s">
        <v>3111</v>
      </c>
      <c r="M7911" s="1" t="s">
        <v>4307</v>
      </c>
      <c r="N7911" s="1" t="s">
        <v>3112</v>
      </c>
      <c r="P7911" s="1" t="s">
        <v>8215</v>
      </c>
      <c r="Q7911" s="30" t="s">
        <v>2566</v>
      </c>
      <c r="R7911" s="33" t="s">
        <v>3472</v>
      </c>
      <c r="S7911">
        <v>36</v>
      </c>
      <c r="T7911" s="1" t="s">
        <v>8211</v>
      </c>
      <c r="U7911" s="1" t="str">
        <f>HYPERLINK("http://ictvonline.org/taxonomy/p/taxonomy-history?taxnode_id=202109703","ICTVonline=202109703")</f>
        <v>ICTVonline=202109703</v>
      </c>
    </row>
    <row r="7912" spans="1:21" x14ac:dyDescent="0.2">
      <c r="A7912" s="3">
        <v>7911</v>
      </c>
      <c r="B7912" s="1" t="s">
        <v>4226</v>
      </c>
      <c r="D7912" s="1" t="s">
        <v>5412</v>
      </c>
      <c r="F7912" s="1" t="s">
        <v>3981</v>
      </c>
      <c r="G7912" s="1" t="s">
        <v>4003</v>
      </c>
      <c r="H7912" s="1" t="s">
        <v>4004</v>
      </c>
      <c r="J7912" s="1" t="s">
        <v>3109</v>
      </c>
      <c r="L7912" s="1" t="s">
        <v>3111</v>
      </c>
      <c r="M7912" s="1" t="s">
        <v>4307</v>
      </c>
      <c r="N7912" s="1" t="s">
        <v>3112</v>
      </c>
      <c r="P7912" s="1" t="s">
        <v>3081</v>
      </c>
      <c r="Q7912" s="30" t="s">
        <v>2566</v>
      </c>
      <c r="R7912" s="33" t="s">
        <v>3474</v>
      </c>
      <c r="S7912">
        <v>35</v>
      </c>
      <c r="T7912" s="1" t="s">
        <v>5416</v>
      </c>
      <c r="U7912" s="1" t="str">
        <f>HYPERLINK("http://ictvonline.org/taxonomy/p/taxonomy-history?taxnode_id=202100058","ICTVonline=202100058")</f>
        <v>ICTVonline=202100058</v>
      </c>
    </row>
    <row r="7913" spans="1:21" x14ac:dyDescent="0.2">
      <c r="A7913" s="3">
        <v>7912</v>
      </c>
      <c r="B7913" s="1" t="s">
        <v>4226</v>
      </c>
      <c r="D7913" s="1" t="s">
        <v>5412</v>
      </c>
      <c r="F7913" s="1" t="s">
        <v>3981</v>
      </c>
      <c r="G7913" s="1" t="s">
        <v>4003</v>
      </c>
      <c r="H7913" s="1" t="s">
        <v>4004</v>
      </c>
      <c r="J7913" s="1" t="s">
        <v>3109</v>
      </c>
      <c r="L7913" s="1" t="s">
        <v>3111</v>
      </c>
      <c r="M7913" s="1" t="s">
        <v>4307</v>
      </c>
      <c r="N7913" s="1" t="s">
        <v>3112</v>
      </c>
      <c r="P7913" s="1" t="s">
        <v>4308</v>
      </c>
      <c r="Q7913" s="30" t="s">
        <v>2566</v>
      </c>
      <c r="R7913" s="33" t="s">
        <v>3474</v>
      </c>
      <c r="S7913">
        <v>35</v>
      </c>
      <c r="T7913" s="1" t="s">
        <v>5416</v>
      </c>
      <c r="U7913" s="1" t="str">
        <f>HYPERLINK("http://ictvonline.org/taxonomy/p/taxonomy-history?taxnode_id=202106435","ICTVonline=202106435")</f>
        <v>ICTVonline=202106435</v>
      </c>
    </row>
    <row r="7914" spans="1:21" x14ac:dyDescent="0.2">
      <c r="A7914" s="3">
        <v>7913</v>
      </c>
      <c r="B7914" s="1" t="s">
        <v>4226</v>
      </c>
      <c r="D7914" s="1" t="s">
        <v>5412</v>
      </c>
      <c r="F7914" s="1" t="s">
        <v>3981</v>
      </c>
      <c r="G7914" s="1" t="s">
        <v>4003</v>
      </c>
      <c r="H7914" s="1" t="s">
        <v>4004</v>
      </c>
      <c r="J7914" s="1" t="s">
        <v>3109</v>
      </c>
      <c r="L7914" s="1" t="s">
        <v>3111</v>
      </c>
      <c r="M7914" s="1" t="s">
        <v>4307</v>
      </c>
      <c r="N7914" s="1" t="s">
        <v>3112</v>
      </c>
      <c r="P7914" s="1" t="s">
        <v>3082</v>
      </c>
      <c r="Q7914" s="30" t="s">
        <v>2566</v>
      </c>
      <c r="R7914" s="33" t="s">
        <v>3474</v>
      </c>
      <c r="S7914">
        <v>35</v>
      </c>
      <c r="T7914" s="1" t="s">
        <v>5416</v>
      </c>
      <c r="U7914" s="1" t="str">
        <f>HYPERLINK("http://ictvonline.org/taxonomy/p/taxonomy-history?taxnode_id=202100060","ICTVonline=202100060")</f>
        <v>ICTVonline=202100060</v>
      </c>
    </row>
    <row r="7915" spans="1:21" x14ac:dyDescent="0.2">
      <c r="A7915" s="3">
        <v>7914</v>
      </c>
      <c r="B7915" s="1" t="s">
        <v>4226</v>
      </c>
      <c r="D7915" s="1" t="s">
        <v>5412</v>
      </c>
      <c r="F7915" s="1" t="s">
        <v>3981</v>
      </c>
      <c r="G7915" s="1" t="s">
        <v>4003</v>
      </c>
      <c r="H7915" s="1" t="s">
        <v>4004</v>
      </c>
      <c r="J7915" s="1" t="s">
        <v>3109</v>
      </c>
      <c r="L7915" s="1" t="s">
        <v>3111</v>
      </c>
      <c r="M7915" s="1" t="s">
        <v>4307</v>
      </c>
      <c r="N7915" s="1" t="s">
        <v>3112</v>
      </c>
      <c r="P7915" s="1" t="s">
        <v>3157</v>
      </c>
      <c r="Q7915" s="30" t="s">
        <v>2566</v>
      </c>
      <c r="R7915" s="33" t="s">
        <v>3474</v>
      </c>
      <c r="S7915">
        <v>35</v>
      </c>
      <c r="T7915" s="1" t="s">
        <v>5416</v>
      </c>
      <c r="U7915" s="1" t="str">
        <f>HYPERLINK("http://ictvonline.org/taxonomy/p/taxonomy-history?taxnode_id=202100061","ICTVonline=202100061")</f>
        <v>ICTVonline=202100061</v>
      </c>
    </row>
    <row r="7916" spans="1:21" x14ac:dyDescent="0.2">
      <c r="A7916" s="3">
        <v>7915</v>
      </c>
      <c r="B7916" s="1" t="s">
        <v>4226</v>
      </c>
      <c r="D7916" s="1" t="s">
        <v>5412</v>
      </c>
      <c r="F7916" s="1" t="s">
        <v>3981</v>
      </c>
      <c r="G7916" s="1" t="s">
        <v>4003</v>
      </c>
      <c r="H7916" s="1" t="s">
        <v>4004</v>
      </c>
      <c r="J7916" s="1" t="s">
        <v>3109</v>
      </c>
      <c r="L7916" s="1" t="s">
        <v>3111</v>
      </c>
      <c r="M7916" s="1" t="s">
        <v>4307</v>
      </c>
      <c r="N7916" s="1" t="s">
        <v>4013</v>
      </c>
      <c r="P7916" s="1" t="s">
        <v>4014</v>
      </c>
      <c r="Q7916" s="30" t="s">
        <v>2566</v>
      </c>
      <c r="R7916" s="33" t="s">
        <v>3474</v>
      </c>
      <c r="S7916">
        <v>35</v>
      </c>
      <c r="T7916" s="1" t="s">
        <v>5416</v>
      </c>
      <c r="U7916" s="1" t="str">
        <f>HYPERLINK("http://ictvonline.org/taxonomy/p/taxonomy-history?taxnode_id=202100038","ICTVonline=202100038")</f>
        <v>ICTVonline=202100038</v>
      </c>
    </row>
    <row r="7917" spans="1:21" x14ac:dyDescent="0.2">
      <c r="A7917" s="3">
        <v>7916</v>
      </c>
      <c r="B7917" s="1" t="s">
        <v>4226</v>
      </c>
      <c r="D7917" s="1" t="s">
        <v>5412</v>
      </c>
      <c r="F7917" s="1" t="s">
        <v>3981</v>
      </c>
      <c r="G7917" s="1" t="s">
        <v>4003</v>
      </c>
      <c r="H7917" s="1" t="s">
        <v>4004</v>
      </c>
      <c r="J7917" s="1" t="s">
        <v>3109</v>
      </c>
      <c r="L7917" s="1" t="s">
        <v>3111</v>
      </c>
      <c r="M7917" s="1" t="s">
        <v>4307</v>
      </c>
      <c r="N7917" s="1" t="s">
        <v>4013</v>
      </c>
      <c r="P7917" s="1" t="s">
        <v>14043</v>
      </c>
      <c r="Q7917" s="30" t="s">
        <v>2566</v>
      </c>
      <c r="R7917" s="33" t="s">
        <v>3475</v>
      </c>
      <c r="S7917">
        <v>37</v>
      </c>
      <c r="T7917" s="1" t="s">
        <v>14008</v>
      </c>
      <c r="U7917" s="1" t="str">
        <f>HYPERLINK("http://ictvonline.org/taxonomy/p/taxonomy-history?taxnode_id=202100059","ICTVonline=202100059")</f>
        <v>ICTVonline=202100059</v>
      </c>
    </row>
    <row r="7918" spans="1:21" x14ac:dyDescent="0.2">
      <c r="A7918" s="3">
        <v>7917</v>
      </c>
      <c r="B7918" s="1" t="s">
        <v>4226</v>
      </c>
      <c r="D7918" s="1" t="s">
        <v>5412</v>
      </c>
      <c r="F7918" s="1" t="s">
        <v>3981</v>
      </c>
      <c r="G7918" s="1" t="s">
        <v>4003</v>
      </c>
      <c r="H7918" s="1" t="s">
        <v>4004</v>
      </c>
      <c r="J7918" s="1" t="s">
        <v>3109</v>
      </c>
      <c r="L7918" s="1" t="s">
        <v>3111</v>
      </c>
      <c r="M7918" s="1" t="s">
        <v>4309</v>
      </c>
      <c r="N7918" s="1" t="s">
        <v>4310</v>
      </c>
      <c r="P7918" s="1" t="s">
        <v>4311</v>
      </c>
      <c r="Q7918" s="30" t="s">
        <v>2566</v>
      </c>
      <c r="R7918" s="33" t="s">
        <v>8665</v>
      </c>
      <c r="S7918">
        <v>36</v>
      </c>
      <c r="T7918" s="1" t="s">
        <v>8661</v>
      </c>
      <c r="U7918" s="1" t="str">
        <f>HYPERLINK("http://ictvonline.org/taxonomy/p/taxonomy-history?taxnode_id=202106438","ICTVonline=202106438")</f>
        <v>ICTVonline=202106438</v>
      </c>
    </row>
    <row r="7919" spans="1:21" x14ac:dyDescent="0.2">
      <c r="A7919" s="3">
        <v>7918</v>
      </c>
      <c r="B7919" s="1" t="s">
        <v>4226</v>
      </c>
      <c r="D7919" s="1" t="s">
        <v>5412</v>
      </c>
      <c r="F7919" s="1" t="s">
        <v>3981</v>
      </c>
      <c r="G7919" s="1" t="s">
        <v>4003</v>
      </c>
      <c r="H7919" s="1" t="s">
        <v>4004</v>
      </c>
      <c r="J7919" s="1" t="s">
        <v>3109</v>
      </c>
      <c r="L7919" s="1" t="s">
        <v>4312</v>
      </c>
      <c r="N7919" s="1" t="s">
        <v>4313</v>
      </c>
      <c r="P7919" s="1" t="s">
        <v>13540</v>
      </c>
      <c r="Q7919" s="30" t="s">
        <v>2566</v>
      </c>
      <c r="R7919" s="33" t="s">
        <v>3475</v>
      </c>
      <c r="S7919">
        <v>37</v>
      </c>
      <c r="T7919" s="1" t="s">
        <v>14005</v>
      </c>
      <c r="U7919" s="1" t="str">
        <f>HYPERLINK("http://ictvonline.org/taxonomy/p/taxonomy-history?taxnode_id=202106595","ICTVonline=202106595")</f>
        <v>ICTVonline=202106595</v>
      </c>
    </row>
    <row r="7920" spans="1:21" x14ac:dyDescent="0.2">
      <c r="A7920" s="3">
        <v>7919</v>
      </c>
      <c r="B7920" s="1" t="s">
        <v>4226</v>
      </c>
      <c r="D7920" s="1" t="s">
        <v>5412</v>
      </c>
      <c r="F7920" s="1" t="s">
        <v>3981</v>
      </c>
      <c r="G7920" s="1" t="s">
        <v>4003</v>
      </c>
      <c r="H7920" s="1" t="s">
        <v>4004</v>
      </c>
      <c r="J7920" s="1" t="s">
        <v>3109</v>
      </c>
      <c r="L7920" s="1" t="s">
        <v>4015</v>
      </c>
      <c r="N7920" s="1" t="s">
        <v>4016</v>
      </c>
      <c r="P7920" s="1" t="s">
        <v>13541</v>
      </c>
      <c r="Q7920" s="30" t="s">
        <v>2566</v>
      </c>
      <c r="R7920" s="33" t="s">
        <v>3475</v>
      </c>
      <c r="S7920">
        <v>37</v>
      </c>
      <c r="T7920" s="1" t="s">
        <v>14005</v>
      </c>
      <c r="U7920" s="1" t="str">
        <f>HYPERLINK("http://ictvonline.org/taxonomy/p/taxonomy-history?taxnode_id=202106215","ICTVonline=202106215")</f>
        <v>ICTVonline=202106215</v>
      </c>
    </row>
    <row r="7921" spans="1:21" x14ac:dyDescent="0.2">
      <c r="A7921" s="3">
        <v>7920</v>
      </c>
      <c r="B7921" s="1" t="s">
        <v>4226</v>
      </c>
      <c r="D7921" s="1" t="s">
        <v>5412</v>
      </c>
      <c r="F7921" s="1" t="s">
        <v>3981</v>
      </c>
      <c r="G7921" s="1" t="s">
        <v>4003</v>
      </c>
      <c r="H7921" s="1" t="s">
        <v>4004</v>
      </c>
      <c r="J7921" s="1" t="s">
        <v>3109</v>
      </c>
      <c r="L7921" s="1" t="s">
        <v>3113</v>
      </c>
      <c r="N7921" s="1" t="s">
        <v>8216</v>
      </c>
      <c r="P7921" s="1" t="s">
        <v>8217</v>
      </c>
      <c r="Q7921" s="30" t="s">
        <v>2566</v>
      </c>
      <c r="R7921" s="33" t="s">
        <v>3472</v>
      </c>
      <c r="S7921">
        <v>36</v>
      </c>
      <c r="T7921" s="1" t="s">
        <v>8218</v>
      </c>
      <c r="U7921" s="1" t="str">
        <f>HYPERLINK("http://ictvonline.org/taxonomy/p/taxonomy-history?taxnode_id=202109788","ICTVonline=202109788")</f>
        <v>ICTVonline=202109788</v>
      </c>
    </row>
    <row r="7922" spans="1:21" x14ac:dyDescent="0.2">
      <c r="A7922" s="3">
        <v>7921</v>
      </c>
      <c r="B7922" s="1" t="s">
        <v>4226</v>
      </c>
      <c r="D7922" s="1" t="s">
        <v>5412</v>
      </c>
      <c r="F7922" s="1" t="s">
        <v>3981</v>
      </c>
      <c r="G7922" s="1" t="s">
        <v>4003</v>
      </c>
      <c r="H7922" s="1" t="s">
        <v>4004</v>
      </c>
      <c r="J7922" s="1" t="s">
        <v>3109</v>
      </c>
      <c r="L7922" s="1" t="s">
        <v>3113</v>
      </c>
      <c r="N7922" s="1" t="s">
        <v>8219</v>
      </c>
      <c r="P7922" s="1" t="s">
        <v>8220</v>
      </c>
      <c r="Q7922" s="30" t="s">
        <v>2566</v>
      </c>
      <c r="R7922" s="33" t="s">
        <v>3472</v>
      </c>
      <c r="S7922">
        <v>36</v>
      </c>
      <c r="T7922" s="1" t="s">
        <v>8218</v>
      </c>
      <c r="U7922" s="1" t="str">
        <f>HYPERLINK("http://ictvonline.org/taxonomy/p/taxonomy-history?taxnode_id=202109790","ICTVonline=202109790")</f>
        <v>ICTVonline=202109790</v>
      </c>
    </row>
    <row r="7923" spans="1:21" x14ac:dyDescent="0.2">
      <c r="A7923" s="3">
        <v>7922</v>
      </c>
      <c r="B7923" s="1" t="s">
        <v>4226</v>
      </c>
      <c r="D7923" s="1" t="s">
        <v>5412</v>
      </c>
      <c r="F7923" s="1" t="s">
        <v>3981</v>
      </c>
      <c r="G7923" s="1" t="s">
        <v>4003</v>
      </c>
      <c r="H7923" s="1" t="s">
        <v>4004</v>
      </c>
      <c r="J7923" s="1" t="s">
        <v>3109</v>
      </c>
      <c r="L7923" s="1" t="s">
        <v>3113</v>
      </c>
      <c r="N7923" s="1" t="s">
        <v>3114</v>
      </c>
      <c r="P7923" s="1" t="s">
        <v>8221</v>
      </c>
      <c r="Q7923" s="30" t="s">
        <v>2566</v>
      </c>
      <c r="R7923" s="33" t="s">
        <v>3472</v>
      </c>
      <c r="S7923">
        <v>36</v>
      </c>
      <c r="T7923" s="1" t="s">
        <v>8218</v>
      </c>
      <c r="U7923" s="1" t="str">
        <f>HYPERLINK("http://ictvonline.org/taxonomy/p/taxonomy-history?taxnode_id=202109757","ICTVonline=202109757")</f>
        <v>ICTVonline=202109757</v>
      </c>
    </row>
    <row r="7924" spans="1:21" x14ac:dyDescent="0.2">
      <c r="A7924" s="3">
        <v>7923</v>
      </c>
      <c r="B7924" s="1" t="s">
        <v>4226</v>
      </c>
      <c r="D7924" s="1" t="s">
        <v>5412</v>
      </c>
      <c r="F7924" s="1" t="s">
        <v>3981</v>
      </c>
      <c r="G7924" s="1" t="s">
        <v>4003</v>
      </c>
      <c r="H7924" s="1" t="s">
        <v>4004</v>
      </c>
      <c r="J7924" s="1" t="s">
        <v>3109</v>
      </c>
      <c r="L7924" s="1" t="s">
        <v>3113</v>
      </c>
      <c r="N7924" s="1" t="s">
        <v>3114</v>
      </c>
      <c r="P7924" s="1" t="s">
        <v>8222</v>
      </c>
      <c r="Q7924" s="30" t="s">
        <v>2566</v>
      </c>
      <c r="R7924" s="33" t="s">
        <v>3472</v>
      </c>
      <c r="S7924">
        <v>36</v>
      </c>
      <c r="T7924" s="1" t="s">
        <v>8218</v>
      </c>
      <c r="U7924" s="1" t="str">
        <f>HYPERLINK("http://ictvonline.org/taxonomy/p/taxonomy-history?taxnode_id=202109758","ICTVonline=202109758")</f>
        <v>ICTVonline=202109758</v>
      </c>
    </row>
    <row r="7925" spans="1:21" x14ac:dyDescent="0.2">
      <c r="A7925" s="3">
        <v>7924</v>
      </c>
      <c r="B7925" s="1" t="s">
        <v>4226</v>
      </c>
      <c r="D7925" s="1" t="s">
        <v>5412</v>
      </c>
      <c r="F7925" s="1" t="s">
        <v>3981</v>
      </c>
      <c r="G7925" s="1" t="s">
        <v>4003</v>
      </c>
      <c r="H7925" s="1" t="s">
        <v>4004</v>
      </c>
      <c r="J7925" s="1" t="s">
        <v>3109</v>
      </c>
      <c r="L7925" s="1" t="s">
        <v>3113</v>
      </c>
      <c r="N7925" s="1" t="s">
        <v>3114</v>
      </c>
      <c r="P7925" s="1" t="s">
        <v>3527</v>
      </c>
      <c r="Q7925" s="30" t="s">
        <v>2566</v>
      </c>
      <c r="R7925" s="33" t="s">
        <v>3474</v>
      </c>
      <c r="S7925">
        <v>35</v>
      </c>
      <c r="T7925" s="1" t="s">
        <v>5416</v>
      </c>
      <c r="U7925" s="1" t="str">
        <f>HYPERLINK("http://ictvonline.org/taxonomy/p/taxonomy-history?taxnode_id=202105462","ICTVonline=202105462")</f>
        <v>ICTVonline=202105462</v>
      </c>
    </row>
    <row r="7926" spans="1:21" x14ac:dyDescent="0.2">
      <c r="A7926" s="3">
        <v>7925</v>
      </c>
      <c r="B7926" s="1" t="s">
        <v>4226</v>
      </c>
      <c r="D7926" s="1" t="s">
        <v>5412</v>
      </c>
      <c r="F7926" s="1" t="s">
        <v>3981</v>
      </c>
      <c r="G7926" s="1" t="s">
        <v>4003</v>
      </c>
      <c r="H7926" s="1" t="s">
        <v>4004</v>
      </c>
      <c r="J7926" s="1" t="s">
        <v>3109</v>
      </c>
      <c r="L7926" s="1" t="s">
        <v>3113</v>
      </c>
      <c r="N7926" s="1" t="s">
        <v>3114</v>
      </c>
      <c r="P7926" s="1" t="s">
        <v>8223</v>
      </c>
      <c r="Q7926" s="30" t="s">
        <v>2566</v>
      </c>
      <c r="R7926" s="33" t="s">
        <v>3472</v>
      </c>
      <c r="S7926">
        <v>36</v>
      </c>
      <c r="T7926" s="1" t="s">
        <v>8218</v>
      </c>
      <c r="U7926" s="1" t="str">
        <f>HYPERLINK("http://ictvonline.org/taxonomy/p/taxonomy-history?taxnode_id=202109759","ICTVonline=202109759")</f>
        <v>ICTVonline=202109759</v>
      </c>
    </row>
    <row r="7927" spans="1:21" x14ac:dyDescent="0.2">
      <c r="A7927" s="3">
        <v>7926</v>
      </c>
      <c r="B7927" s="1" t="s">
        <v>4226</v>
      </c>
      <c r="D7927" s="1" t="s">
        <v>5412</v>
      </c>
      <c r="F7927" s="1" t="s">
        <v>3981</v>
      </c>
      <c r="G7927" s="1" t="s">
        <v>4003</v>
      </c>
      <c r="H7927" s="1" t="s">
        <v>4004</v>
      </c>
      <c r="J7927" s="1" t="s">
        <v>3109</v>
      </c>
      <c r="L7927" s="1" t="s">
        <v>3113</v>
      </c>
      <c r="N7927" s="1" t="s">
        <v>3114</v>
      </c>
      <c r="P7927" s="1" t="s">
        <v>8224</v>
      </c>
      <c r="Q7927" s="30" t="s">
        <v>2566</v>
      </c>
      <c r="R7927" s="33" t="s">
        <v>3472</v>
      </c>
      <c r="S7927">
        <v>36</v>
      </c>
      <c r="T7927" s="1" t="s">
        <v>8218</v>
      </c>
      <c r="U7927" s="1" t="str">
        <f>HYPERLINK("http://ictvonline.org/taxonomy/p/taxonomy-history?taxnode_id=202109760","ICTVonline=202109760")</f>
        <v>ICTVonline=202109760</v>
      </c>
    </row>
    <row r="7928" spans="1:21" x14ac:dyDescent="0.2">
      <c r="A7928" s="3">
        <v>7927</v>
      </c>
      <c r="B7928" s="1" t="s">
        <v>4226</v>
      </c>
      <c r="D7928" s="1" t="s">
        <v>5412</v>
      </c>
      <c r="F7928" s="1" t="s">
        <v>3981</v>
      </c>
      <c r="G7928" s="1" t="s">
        <v>4003</v>
      </c>
      <c r="H7928" s="1" t="s">
        <v>4004</v>
      </c>
      <c r="J7928" s="1" t="s">
        <v>3109</v>
      </c>
      <c r="L7928" s="1" t="s">
        <v>3113</v>
      </c>
      <c r="N7928" s="1" t="s">
        <v>3114</v>
      </c>
      <c r="P7928" s="1" t="s">
        <v>8225</v>
      </c>
      <c r="Q7928" s="30" t="s">
        <v>2566</v>
      </c>
      <c r="R7928" s="33" t="s">
        <v>3472</v>
      </c>
      <c r="S7928">
        <v>36</v>
      </c>
      <c r="T7928" s="1" t="s">
        <v>8218</v>
      </c>
      <c r="U7928" s="1" t="str">
        <f>HYPERLINK("http://ictvonline.org/taxonomy/p/taxonomy-history?taxnode_id=202109761","ICTVonline=202109761")</f>
        <v>ICTVonline=202109761</v>
      </c>
    </row>
    <row r="7929" spans="1:21" x14ac:dyDescent="0.2">
      <c r="A7929" s="3">
        <v>7928</v>
      </c>
      <c r="B7929" s="1" t="s">
        <v>4226</v>
      </c>
      <c r="D7929" s="1" t="s">
        <v>5412</v>
      </c>
      <c r="F7929" s="1" t="s">
        <v>3981</v>
      </c>
      <c r="G7929" s="1" t="s">
        <v>4003</v>
      </c>
      <c r="H7929" s="1" t="s">
        <v>4004</v>
      </c>
      <c r="J7929" s="1" t="s">
        <v>3109</v>
      </c>
      <c r="L7929" s="1" t="s">
        <v>3113</v>
      </c>
      <c r="N7929" s="1" t="s">
        <v>3114</v>
      </c>
      <c r="P7929" s="1" t="s">
        <v>3528</v>
      </c>
      <c r="Q7929" s="30" t="s">
        <v>2566</v>
      </c>
      <c r="R7929" s="33" t="s">
        <v>3474</v>
      </c>
      <c r="S7929">
        <v>35</v>
      </c>
      <c r="T7929" s="1" t="s">
        <v>5416</v>
      </c>
      <c r="U7929" s="1" t="str">
        <f>HYPERLINK("http://ictvonline.org/taxonomy/p/taxonomy-history?taxnode_id=202105463","ICTVonline=202105463")</f>
        <v>ICTVonline=202105463</v>
      </c>
    </row>
    <row r="7930" spans="1:21" x14ac:dyDescent="0.2">
      <c r="A7930" s="3">
        <v>7929</v>
      </c>
      <c r="B7930" s="1" t="s">
        <v>4226</v>
      </c>
      <c r="D7930" s="1" t="s">
        <v>5412</v>
      </c>
      <c r="F7930" s="1" t="s">
        <v>3981</v>
      </c>
      <c r="G7930" s="1" t="s">
        <v>4003</v>
      </c>
      <c r="H7930" s="1" t="s">
        <v>4004</v>
      </c>
      <c r="J7930" s="1" t="s">
        <v>3109</v>
      </c>
      <c r="L7930" s="1" t="s">
        <v>3113</v>
      </c>
      <c r="N7930" s="1" t="s">
        <v>3114</v>
      </c>
      <c r="P7930" s="1" t="s">
        <v>8226</v>
      </c>
      <c r="Q7930" s="30" t="s">
        <v>2566</v>
      </c>
      <c r="R7930" s="33" t="s">
        <v>3472</v>
      </c>
      <c r="S7930">
        <v>36</v>
      </c>
      <c r="T7930" s="1" t="s">
        <v>8218</v>
      </c>
      <c r="U7930" s="1" t="str">
        <f>HYPERLINK("http://ictvonline.org/taxonomy/p/taxonomy-history?taxnode_id=202109762","ICTVonline=202109762")</f>
        <v>ICTVonline=202109762</v>
      </c>
    </row>
    <row r="7931" spans="1:21" x14ac:dyDescent="0.2">
      <c r="A7931" s="3">
        <v>7930</v>
      </c>
      <c r="B7931" s="1" t="s">
        <v>4226</v>
      </c>
      <c r="D7931" s="1" t="s">
        <v>5412</v>
      </c>
      <c r="F7931" s="1" t="s">
        <v>3981</v>
      </c>
      <c r="G7931" s="1" t="s">
        <v>4003</v>
      </c>
      <c r="H7931" s="1" t="s">
        <v>4004</v>
      </c>
      <c r="J7931" s="1" t="s">
        <v>3109</v>
      </c>
      <c r="L7931" s="1" t="s">
        <v>3113</v>
      </c>
      <c r="N7931" s="1" t="s">
        <v>3114</v>
      </c>
      <c r="P7931" s="1" t="s">
        <v>3083</v>
      </c>
      <c r="Q7931" s="30" t="s">
        <v>2566</v>
      </c>
      <c r="R7931" s="33" t="s">
        <v>3474</v>
      </c>
      <c r="S7931">
        <v>35</v>
      </c>
      <c r="T7931" s="1" t="s">
        <v>5416</v>
      </c>
      <c r="U7931" s="1" t="str">
        <f>HYPERLINK("http://ictvonline.org/taxonomy/p/taxonomy-history?taxnode_id=202100070","ICTVonline=202100070")</f>
        <v>ICTVonline=202100070</v>
      </c>
    </row>
    <row r="7932" spans="1:21" x14ac:dyDescent="0.2">
      <c r="A7932" s="3">
        <v>7931</v>
      </c>
      <c r="B7932" s="1" t="s">
        <v>4226</v>
      </c>
      <c r="D7932" s="1" t="s">
        <v>5412</v>
      </c>
      <c r="F7932" s="1" t="s">
        <v>3981</v>
      </c>
      <c r="G7932" s="1" t="s">
        <v>4003</v>
      </c>
      <c r="H7932" s="1" t="s">
        <v>4004</v>
      </c>
      <c r="J7932" s="1" t="s">
        <v>3109</v>
      </c>
      <c r="L7932" s="1" t="s">
        <v>3113</v>
      </c>
      <c r="N7932" s="1" t="s">
        <v>3114</v>
      </c>
      <c r="P7932" s="1" t="s">
        <v>3084</v>
      </c>
      <c r="Q7932" s="30" t="s">
        <v>2566</v>
      </c>
      <c r="R7932" s="33" t="s">
        <v>3474</v>
      </c>
      <c r="S7932">
        <v>35</v>
      </c>
      <c r="T7932" s="1" t="s">
        <v>5416</v>
      </c>
      <c r="U7932" s="1" t="str">
        <f>HYPERLINK("http://ictvonline.org/taxonomy/p/taxonomy-history?taxnode_id=202100071","ICTVonline=202100071")</f>
        <v>ICTVonline=202100071</v>
      </c>
    </row>
    <row r="7933" spans="1:21" x14ac:dyDescent="0.2">
      <c r="A7933" s="3">
        <v>7932</v>
      </c>
      <c r="B7933" s="1" t="s">
        <v>4226</v>
      </c>
      <c r="D7933" s="1" t="s">
        <v>5412</v>
      </c>
      <c r="F7933" s="1" t="s">
        <v>3981</v>
      </c>
      <c r="G7933" s="1" t="s">
        <v>4003</v>
      </c>
      <c r="H7933" s="1" t="s">
        <v>4004</v>
      </c>
      <c r="J7933" s="1" t="s">
        <v>3109</v>
      </c>
      <c r="L7933" s="1" t="s">
        <v>3113</v>
      </c>
      <c r="N7933" s="1" t="s">
        <v>3114</v>
      </c>
      <c r="P7933" s="1" t="s">
        <v>3085</v>
      </c>
      <c r="Q7933" s="30" t="s">
        <v>2566</v>
      </c>
      <c r="R7933" s="33" t="s">
        <v>8665</v>
      </c>
      <c r="S7933">
        <v>36</v>
      </c>
      <c r="T7933" s="1" t="s">
        <v>8661</v>
      </c>
      <c r="U7933" s="1" t="str">
        <f>HYPERLINK("http://ictvonline.org/taxonomy/p/taxonomy-history?taxnode_id=202100072","ICTVonline=202100072")</f>
        <v>ICTVonline=202100072</v>
      </c>
    </row>
    <row r="7934" spans="1:21" x14ac:dyDescent="0.2">
      <c r="A7934" s="3">
        <v>7933</v>
      </c>
      <c r="B7934" s="1" t="s">
        <v>4226</v>
      </c>
      <c r="D7934" s="1" t="s">
        <v>5412</v>
      </c>
      <c r="F7934" s="1" t="s">
        <v>3981</v>
      </c>
      <c r="G7934" s="1" t="s">
        <v>4003</v>
      </c>
      <c r="H7934" s="1" t="s">
        <v>4004</v>
      </c>
      <c r="J7934" s="1" t="s">
        <v>3109</v>
      </c>
      <c r="L7934" s="1" t="s">
        <v>3113</v>
      </c>
      <c r="N7934" s="1" t="s">
        <v>3114</v>
      </c>
      <c r="P7934" s="1" t="s">
        <v>8227</v>
      </c>
      <c r="Q7934" s="30" t="s">
        <v>2566</v>
      </c>
      <c r="R7934" s="33" t="s">
        <v>3472</v>
      </c>
      <c r="S7934">
        <v>36</v>
      </c>
      <c r="T7934" s="1" t="s">
        <v>8218</v>
      </c>
      <c r="U7934" s="1" t="str">
        <f>HYPERLINK("http://ictvonline.org/taxonomy/p/taxonomy-history?taxnode_id=202109763","ICTVonline=202109763")</f>
        <v>ICTVonline=202109763</v>
      </c>
    </row>
    <row r="7935" spans="1:21" x14ac:dyDescent="0.2">
      <c r="A7935" s="3">
        <v>7934</v>
      </c>
      <c r="B7935" s="1" t="s">
        <v>4226</v>
      </c>
      <c r="D7935" s="1" t="s">
        <v>5412</v>
      </c>
      <c r="F7935" s="1" t="s">
        <v>3981</v>
      </c>
      <c r="G7935" s="1" t="s">
        <v>4003</v>
      </c>
      <c r="H7935" s="1" t="s">
        <v>4004</v>
      </c>
      <c r="J7935" s="1" t="s">
        <v>3109</v>
      </c>
      <c r="L7935" s="1" t="s">
        <v>3113</v>
      </c>
      <c r="N7935" s="1" t="s">
        <v>3114</v>
      </c>
      <c r="P7935" s="1" t="s">
        <v>4314</v>
      </c>
      <c r="Q7935" s="30" t="s">
        <v>2566</v>
      </c>
      <c r="R7935" s="33" t="s">
        <v>3474</v>
      </c>
      <c r="S7935">
        <v>35</v>
      </c>
      <c r="T7935" s="1" t="s">
        <v>5416</v>
      </c>
      <c r="U7935" s="1" t="str">
        <f>HYPERLINK("http://ictvonline.org/taxonomy/p/taxonomy-history?taxnode_id=202100107","ICTVonline=202100107")</f>
        <v>ICTVonline=202100107</v>
      </c>
    </row>
    <row r="7936" spans="1:21" x14ac:dyDescent="0.2">
      <c r="A7936" s="3">
        <v>7935</v>
      </c>
      <c r="B7936" s="1" t="s">
        <v>4226</v>
      </c>
      <c r="D7936" s="1" t="s">
        <v>5412</v>
      </c>
      <c r="F7936" s="1" t="s">
        <v>3981</v>
      </c>
      <c r="G7936" s="1" t="s">
        <v>4003</v>
      </c>
      <c r="H7936" s="1" t="s">
        <v>4004</v>
      </c>
      <c r="J7936" s="1" t="s">
        <v>3109</v>
      </c>
      <c r="L7936" s="1" t="s">
        <v>3113</v>
      </c>
      <c r="N7936" s="1" t="s">
        <v>3114</v>
      </c>
      <c r="P7936" s="1" t="s">
        <v>8228</v>
      </c>
      <c r="Q7936" s="30" t="s">
        <v>2566</v>
      </c>
      <c r="R7936" s="33" t="s">
        <v>3472</v>
      </c>
      <c r="S7936">
        <v>36</v>
      </c>
      <c r="T7936" s="1" t="s">
        <v>8218</v>
      </c>
      <c r="U7936" s="1" t="str">
        <f>HYPERLINK("http://ictvonline.org/taxonomy/p/taxonomy-history?taxnode_id=202109764","ICTVonline=202109764")</f>
        <v>ICTVonline=202109764</v>
      </c>
    </row>
    <row r="7937" spans="1:21" x14ac:dyDescent="0.2">
      <c r="A7937" s="3">
        <v>7936</v>
      </c>
      <c r="B7937" s="1" t="s">
        <v>4226</v>
      </c>
      <c r="D7937" s="1" t="s">
        <v>5412</v>
      </c>
      <c r="F7937" s="1" t="s">
        <v>3981</v>
      </c>
      <c r="G7937" s="1" t="s">
        <v>4003</v>
      </c>
      <c r="H7937" s="1" t="s">
        <v>4004</v>
      </c>
      <c r="J7937" s="1" t="s">
        <v>3109</v>
      </c>
      <c r="L7937" s="1" t="s">
        <v>3113</v>
      </c>
      <c r="N7937" s="1" t="s">
        <v>3114</v>
      </c>
      <c r="P7937" s="1" t="s">
        <v>3162</v>
      </c>
      <c r="Q7937" s="30" t="s">
        <v>2566</v>
      </c>
      <c r="R7937" s="33" t="s">
        <v>3474</v>
      </c>
      <c r="S7937">
        <v>35</v>
      </c>
      <c r="T7937" s="1" t="s">
        <v>5416</v>
      </c>
      <c r="U7937" s="1" t="str">
        <f>HYPERLINK("http://ictvonline.org/taxonomy/p/taxonomy-history?taxnode_id=202100073","ICTVonline=202100073")</f>
        <v>ICTVonline=202100073</v>
      </c>
    </row>
    <row r="7938" spans="1:21" x14ac:dyDescent="0.2">
      <c r="A7938" s="3">
        <v>7937</v>
      </c>
      <c r="B7938" s="1" t="s">
        <v>4226</v>
      </c>
      <c r="D7938" s="1" t="s">
        <v>5412</v>
      </c>
      <c r="F7938" s="1" t="s">
        <v>3981</v>
      </c>
      <c r="G7938" s="1" t="s">
        <v>4003</v>
      </c>
      <c r="H7938" s="1" t="s">
        <v>4004</v>
      </c>
      <c r="J7938" s="1" t="s">
        <v>3109</v>
      </c>
      <c r="L7938" s="1" t="s">
        <v>3113</v>
      </c>
      <c r="N7938" s="1" t="s">
        <v>3114</v>
      </c>
      <c r="P7938" s="1" t="s">
        <v>8229</v>
      </c>
      <c r="Q7938" s="30" t="s">
        <v>2566</v>
      </c>
      <c r="R7938" s="33" t="s">
        <v>3472</v>
      </c>
      <c r="S7938">
        <v>36</v>
      </c>
      <c r="T7938" s="1" t="s">
        <v>8218</v>
      </c>
      <c r="U7938" s="1" t="str">
        <f>HYPERLINK("http://ictvonline.org/taxonomy/p/taxonomy-history?taxnode_id=202109765","ICTVonline=202109765")</f>
        <v>ICTVonline=202109765</v>
      </c>
    </row>
    <row r="7939" spans="1:21" x14ac:dyDescent="0.2">
      <c r="A7939" s="3">
        <v>7938</v>
      </c>
      <c r="B7939" s="1" t="s">
        <v>4226</v>
      </c>
      <c r="D7939" s="1" t="s">
        <v>5412</v>
      </c>
      <c r="F7939" s="1" t="s">
        <v>3981</v>
      </c>
      <c r="G7939" s="1" t="s">
        <v>4003</v>
      </c>
      <c r="H7939" s="1" t="s">
        <v>4004</v>
      </c>
      <c r="J7939" s="1" t="s">
        <v>3109</v>
      </c>
      <c r="L7939" s="1" t="s">
        <v>3113</v>
      </c>
      <c r="N7939" s="1" t="s">
        <v>3114</v>
      </c>
      <c r="P7939" s="1" t="s">
        <v>3086</v>
      </c>
      <c r="Q7939" s="30" t="s">
        <v>2566</v>
      </c>
      <c r="R7939" s="33" t="s">
        <v>3474</v>
      </c>
      <c r="S7939">
        <v>35</v>
      </c>
      <c r="T7939" s="1" t="s">
        <v>5416</v>
      </c>
      <c r="U7939" s="1" t="str">
        <f>HYPERLINK("http://ictvonline.org/taxonomy/p/taxonomy-history?taxnode_id=202100074","ICTVonline=202100074")</f>
        <v>ICTVonline=202100074</v>
      </c>
    </row>
    <row r="7940" spans="1:21" x14ac:dyDescent="0.2">
      <c r="A7940" s="3">
        <v>7939</v>
      </c>
      <c r="B7940" s="1" t="s">
        <v>4226</v>
      </c>
      <c r="D7940" s="1" t="s">
        <v>5412</v>
      </c>
      <c r="F7940" s="1" t="s">
        <v>3981</v>
      </c>
      <c r="G7940" s="1" t="s">
        <v>4003</v>
      </c>
      <c r="H7940" s="1" t="s">
        <v>4004</v>
      </c>
      <c r="J7940" s="1" t="s">
        <v>3109</v>
      </c>
      <c r="L7940" s="1" t="s">
        <v>3113</v>
      </c>
      <c r="N7940" s="1" t="s">
        <v>3114</v>
      </c>
      <c r="P7940" s="1" t="s">
        <v>8230</v>
      </c>
      <c r="Q7940" s="30" t="s">
        <v>2566</v>
      </c>
      <c r="R7940" s="33" t="s">
        <v>3472</v>
      </c>
      <c r="S7940">
        <v>36</v>
      </c>
      <c r="T7940" s="1" t="s">
        <v>8218</v>
      </c>
      <c r="U7940" s="1" t="str">
        <f>HYPERLINK("http://ictvonline.org/taxonomy/p/taxonomy-history?taxnode_id=202109766","ICTVonline=202109766")</f>
        <v>ICTVonline=202109766</v>
      </c>
    </row>
    <row r="7941" spans="1:21" x14ac:dyDescent="0.2">
      <c r="A7941" s="3">
        <v>7940</v>
      </c>
      <c r="B7941" s="1" t="s">
        <v>4226</v>
      </c>
      <c r="D7941" s="1" t="s">
        <v>5412</v>
      </c>
      <c r="F7941" s="1" t="s">
        <v>3981</v>
      </c>
      <c r="G7941" s="1" t="s">
        <v>4003</v>
      </c>
      <c r="H7941" s="1" t="s">
        <v>4004</v>
      </c>
      <c r="J7941" s="1" t="s">
        <v>3109</v>
      </c>
      <c r="L7941" s="1" t="s">
        <v>3113</v>
      </c>
      <c r="N7941" s="1" t="s">
        <v>3114</v>
      </c>
      <c r="P7941" s="1" t="s">
        <v>3163</v>
      </c>
      <c r="Q7941" s="30" t="s">
        <v>2566</v>
      </c>
      <c r="R7941" s="33" t="s">
        <v>3474</v>
      </c>
      <c r="S7941">
        <v>35</v>
      </c>
      <c r="T7941" s="1" t="s">
        <v>5416</v>
      </c>
      <c r="U7941" s="1" t="str">
        <f>HYPERLINK("http://ictvonline.org/taxonomy/p/taxonomy-history?taxnode_id=202100075","ICTVonline=202100075")</f>
        <v>ICTVonline=202100075</v>
      </c>
    </row>
    <row r="7942" spans="1:21" x14ac:dyDescent="0.2">
      <c r="A7942" s="3">
        <v>7941</v>
      </c>
      <c r="B7942" s="1" t="s">
        <v>4226</v>
      </c>
      <c r="D7942" s="1" t="s">
        <v>5412</v>
      </c>
      <c r="F7942" s="1" t="s">
        <v>3981</v>
      </c>
      <c r="G7942" s="1" t="s">
        <v>4003</v>
      </c>
      <c r="H7942" s="1" t="s">
        <v>4004</v>
      </c>
      <c r="J7942" s="1" t="s">
        <v>3109</v>
      </c>
      <c r="L7942" s="1" t="s">
        <v>3113</v>
      </c>
      <c r="N7942" s="1" t="s">
        <v>3114</v>
      </c>
      <c r="P7942" s="1" t="s">
        <v>3164</v>
      </c>
      <c r="Q7942" s="30" t="s">
        <v>2566</v>
      </c>
      <c r="R7942" s="33" t="s">
        <v>3474</v>
      </c>
      <c r="S7942">
        <v>35</v>
      </c>
      <c r="T7942" s="1" t="s">
        <v>5416</v>
      </c>
      <c r="U7942" s="1" t="str">
        <f>HYPERLINK("http://ictvonline.org/taxonomy/p/taxonomy-history?taxnode_id=202100076","ICTVonline=202100076")</f>
        <v>ICTVonline=202100076</v>
      </c>
    </row>
    <row r="7943" spans="1:21" x14ac:dyDescent="0.2">
      <c r="A7943" s="3">
        <v>7942</v>
      </c>
      <c r="B7943" s="1" t="s">
        <v>4226</v>
      </c>
      <c r="D7943" s="1" t="s">
        <v>5412</v>
      </c>
      <c r="F7943" s="1" t="s">
        <v>3981</v>
      </c>
      <c r="G7943" s="1" t="s">
        <v>4003</v>
      </c>
      <c r="H7943" s="1" t="s">
        <v>4004</v>
      </c>
      <c r="J7943" s="1" t="s">
        <v>3109</v>
      </c>
      <c r="L7943" s="1" t="s">
        <v>3113</v>
      </c>
      <c r="N7943" s="1" t="s">
        <v>3114</v>
      </c>
      <c r="P7943" s="1" t="s">
        <v>8231</v>
      </c>
      <c r="Q7943" s="30" t="s">
        <v>2566</v>
      </c>
      <c r="R7943" s="33" t="s">
        <v>3472</v>
      </c>
      <c r="S7943">
        <v>36</v>
      </c>
      <c r="T7943" s="1" t="s">
        <v>8218</v>
      </c>
      <c r="U7943" s="1" t="str">
        <f>HYPERLINK("http://ictvonline.org/taxonomy/p/taxonomy-history?taxnode_id=202109767","ICTVonline=202109767")</f>
        <v>ICTVonline=202109767</v>
      </c>
    </row>
    <row r="7944" spans="1:21" x14ac:dyDescent="0.2">
      <c r="A7944" s="3">
        <v>7943</v>
      </c>
      <c r="B7944" s="1" t="s">
        <v>4226</v>
      </c>
      <c r="D7944" s="1" t="s">
        <v>5412</v>
      </c>
      <c r="F7944" s="1" t="s">
        <v>3981</v>
      </c>
      <c r="G7944" s="1" t="s">
        <v>4003</v>
      </c>
      <c r="H7944" s="1" t="s">
        <v>4004</v>
      </c>
      <c r="J7944" s="1" t="s">
        <v>3109</v>
      </c>
      <c r="L7944" s="1" t="s">
        <v>3113</v>
      </c>
      <c r="N7944" s="1" t="s">
        <v>3114</v>
      </c>
      <c r="P7944" s="1" t="s">
        <v>8232</v>
      </c>
      <c r="Q7944" s="30" t="s">
        <v>2566</v>
      </c>
      <c r="R7944" s="33" t="s">
        <v>3472</v>
      </c>
      <c r="S7944">
        <v>36</v>
      </c>
      <c r="T7944" s="1" t="s">
        <v>8218</v>
      </c>
      <c r="U7944" s="1" t="str">
        <f>HYPERLINK("http://ictvonline.org/taxonomy/p/taxonomy-history?taxnode_id=202109768","ICTVonline=202109768")</f>
        <v>ICTVonline=202109768</v>
      </c>
    </row>
    <row r="7945" spans="1:21" x14ac:dyDescent="0.2">
      <c r="A7945" s="3">
        <v>7944</v>
      </c>
      <c r="B7945" s="1" t="s">
        <v>4226</v>
      </c>
      <c r="D7945" s="1" t="s">
        <v>5412</v>
      </c>
      <c r="F7945" s="1" t="s">
        <v>3981</v>
      </c>
      <c r="G7945" s="1" t="s">
        <v>4003</v>
      </c>
      <c r="H7945" s="1" t="s">
        <v>4004</v>
      </c>
      <c r="J7945" s="1" t="s">
        <v>3109</v>
      </c>
      <c r="L7945" s="1" t="s">
        <v>3113</v>
      </c>
      <c r="N7945" s="1" t="s">
        <v>3114</v>
      </c>
      <c r="P7945" s="1" t="s">
        <v>8233</v>
      </c>
      <c r="Q7945" s="30" t="s">
        <v>2566</v>
      </c>
      <c r="R7945" s="33" t="s">
        <v>3472</v>
      </c>
      <c r="S7945">
        <v>36</v>
      </c>
      <c r="T7945" s="1" t="s">
        <v>8218</v>
      </c>
      <c r="U7945" s="1" t="str">
        <f>HYPERLINK("http://ictvonline.org/taxonomy/p/taxonomy-history?taxnode_id=202109769","ICTVonline=202109769")</f>
        <v>ICTVonline=202109769</v>
      </c>
    </row>
    <row r="7946" spans="1:21" x14ac:dyDescent="0.2">
      <c r="A7946" s="3">
        <v>7945</v>
      </c>
      <c r="B7946" s="1" t="s">
        <v>4226</v>
      </c>
      <c r="D7946" s="1" t="s">
        <v>5412</v>
      </c>
      <c r="F7946" s="1" t="s">
        <v>3981</v>
      </c>
      <c r="G7946" s="1" t="s">
        <v>4003</v>
      </c>
      <c r="H7946" s="1" t="s">
        <v>4004</v>
      </c>
      <c r="J7946" s="1" t="s">
        <v>3109</v>
      </c>
      <c r="L7946" s="1" t="s">
        <v>3113</v>
      </c>
      <c r="N7946" s="1" t="s">
        <v>3114</v>
      </c>
      <c r="P7946" s="1" t="s">
        <v>3165</v>
      </c>
      <c r="Q7946" s="30" t="s">
        <v>2566</v>
      </c>
      <c r="R7946" s="33" t="s">
        <v>3474</v>
      </c>
      <c r="S7946">
        <v>35</v>
      </c>
      <c r="T7946" s="1" t="s">
        <v>5416</v>
      </c>
      <c r="U7946" s="1" t="str">
        <f>HYPERLINK("http://ictvonline.org/taxonomy/p/taxonomy-history?taxnode_id=202100077","ICTVonline=202100077")</f>
        <v>ICTVonline=202100077</v>
      </c>
    </row>
    <row r="7947" spans="1:21" x14ac:dyDescent="0.2">
      <c r="A7947" s="3">
        <v>7946</v>
      </c>
      <c r="B7947" s="1" t="s">
        <v>4226</v>
      </c>
      <c r="D7947" s="1" t="s">
        <v>5412</v>
      </c>
      <c r="F7947" s="1" t="s">
        <v>3981</v>
      </c>
      <c r="G7947" s="1" t="s">
        <v>4003</v>
      </c>
      <c r="H7947" s="1" t="s">
        <v>4004</v>
      </c>
      <c r="J7947" s="1" t="s">
        <v>3109</v>
      </c>
      <c r="L7947" s="1" t="s">
        <v>3113</v>
      </c>
      <c r="N7947" s="1" t="s">
        <v>3114</v>
      </c>
      <c r="P7947" s="1" t="s">
        <v>8234</v>
      </c>
      <c r="Q7947" s="30" t="s">
        <v>2566</v>
      </c>
      <c r="R7947" s="33" t="s">
        <v>3472</v>
      </c>
      <c r="S7947">
        <v>36</v>
      </c>
      <c r="T7947" s="1" t="s">
        <v>8218</v>
      </c>
      <c r="U7947" s="1" t="str">
        <f>HYPERLINK("http://ictvonline.org/taxonomy/p/taxonomy-history?taxnode_id=202109770","ICTVonline=202109770")</f>
        <v>ICTVonline=202109770</v>
      </c>
    </row>
    <row r="7948" spans="1:21" x14ac:dyDescent="0.2">
      <c r="A7948" s="3">
        <v>7947</v>
      </c>
      <c r="B7948" s="1" t="s">
        <v>4226</v>
      </c>
      <c r="D7948" s="1" t="s">
        <v>5412</v>
      </c>
      <c r="F7948" s="1" t="s">
        <v>3981</v>
      </c>
      <c r="G7948" s="1" t="s">
        <v>4003</v>
      </c>
      <c r="H7948" s="1" t="s">
        <v>4004</v>
      </c>
      <c r="J7948" s="1" t="s">
        <v>3109</v>
      </c>
      <c r="L7948" s="1" t="s">
        <v>3113</v>
      </c>
      <c r="N7948" s="1" t="s">
        <v>3114</v>
      </c>
      <c r="P7948" s="1" t="s">
        <v>8235</v>
      </c>
      <c r="Q7948" s="30" t="s">
        <v>2566</v>
      </c>
      <c r="R7948" s="33" t="s">
        <v>3472</v>
      </c>
      <c r="S7948">
        <v>36</v>
      </c>
      <c r="T7948" s="1" t="s">
        <v>8218</v>
      </c>
      <c r="U7948" s="1" t="str">
        <f>HYPERLINK("http://ictvonline.org/taxonomy/p/taxonomy-history?taxnode_id=202109771","ICTVonline=202109771")</f>
        <v>ICTVonline=202109771</v>
      </c>
    </row>
    <row r="7949" spans="1:21" x14ac:dyDescent="0.2">
      <c r="A7949" s="3">
        <v>7948</v>
      </c>
      <c r="B7949" s="1" t="s">
        <v>4226</v>
      </c>
      <c r="D7949" s="1" t="s">
        <v>5412</v>
      </c>
      <c r="F7949" s="1" t="s">
        <v>3981</v>
      </c>
      <c r="G7949" s="1" t="s">
        <v>4003</v>
      </c>
      <c r="H7949" s="1" t="s">
        <v>4004</v>
      </c>
      <c r="J7949" s="1" t="s">
        <v>3109</v>
      </c>
      <c r="L7949" s="1" t="s">
        <v>3113</v>
      </c>
      <c r="N7949" s="1" t="s">
        <v>3114</v>
      </c>
      <c r="P7949" s="1" t="s">
        <v>3087</v>
      </c>
      <c r="Q7949" s="30" t="s">
        <v>2566</v>
      </c>
      <c r="R7949" s="33" t="s">
        <v>3474</v>
      </c>
      <c r="S7949">
        <v>35</v>
      </c>
      <c r="T7949" s="1" t="s">
        <v>5416</v>
      </c>
      <c r="U7949" s="1" t="str">
        <f>HYPERLINK("http://ictvonline.org/taxonomy/p/taxonomy-history?taxnode_id=202100078","ICTVonline=202100078")</f>
        <v>ICTVonline=202100078</v>
      </c>
    </row>
    <row r="7950" spans="1:21" x14ac:dyDescent="0.2">
      <c r="A7950" s="3">
        <v>7949</v>
      </c>
      <c r="B7950" s="1" t="s">
        <v>4226</v>
      </c>
      <c r="D7950" s="1" t="s">
        <v>5412</v>
      </c>
      <c r="F7950" s="1" t="s">
        <v>3981</v>
      </c>
      <c r="G7950" s="1" t="s">
        <v>4003</v>
      </c>
      <c r="H7950" s="1" t="s">
        <v>4004</v>
      </c>
      <c r="J7950" s="1" t="s">
        <v>3109</v>
      </c>
      <c r="L7950" s="1" t="s">
        <v>3113</v>
      </c>
      <c r="N7950" s="1" t="s">
        <v>3114</v>
      </c>
      <c r="P7950" s="1" t="s">
        <v>3088</v>
      </c>
      <c r="Q7950" s="30" t="s">
        <v>2566</v>
      </c>
      <c r="R7950" s="33" t="s">
        <v>3474</v>
      </c>
      <c r="S7950">
        <v>35</v>
      </c>
      <c r="T7950" s="1" t="s">
        <v>5416</v>
      </c>
      <c r="U7950" s="1" t="str">
        <f>HYPERLINK("http://ictvonline.org/taxonomy/p/taxonomy-history?taxnode_id=202100079","ICTVonline=202100079")</f>
        <v>ICTVonline=202100079</v>
      </c>
    </row>
    <row r="7951" spans="1:21" x14ac:dyDescent="0.2">
      <c r="A7951" s="3">
        <v>7950</v>
      </c>
      <c r="B7951" s="1" t="s">
        <v>4226</v>
      </c>
      <c r="D7951" s="1" t="s">
        <v>5412</v>
      </c>
      <c r="F7951" s="1" t="s">
        <v>3981</v>
      </c>
      <c r="G7951" s="1" t="s">
        <v>4003</v>
      </c>
      <c r="H7951" s="1" t="s">
        <v>4004</v>
      </c>
      <c r="J7951" s="1" t="s">
        <v>3109</v>
      </c>
      <c r="L7951" s="1" t="s">
        <v>3113</v>
      </c>
      <c r="N7951" s="1" t="s">
        <v>3114</v>
      </c>
      <c r="P7951" s="1" t="s">
        <v>8236</v>
      </c>
      <c r="Q7951" s="30" t="s">
        <v>2566</v>
      </c>
      <c r="R7951" s="33" t="s">
        <v>3472</v>
      </c>
      <c r="S7951">
        <v>36</v>
      </c>
      <c r="T7951" s="1" t="s">
        <v>8218</v>
      </c>
      <c r="U7951" s="1" t="str">
        <f>HYPERLINK("http://ictvonline.org/taxonomy/p/taxonomy-history?taxnode_id=202109772","ICTVonline=202109772")</f>
        <v>ICTVonline=202109772</v>
      </c>
    </row>
    <row r="7952" spans="1:21" x14ac:dyDescent="0.2">
      <c r="A7952" s="3">
        <v>7951</v>
      </c>
      <c r="B7952" s="1" t="s">
        <v>4226</v>
      </c>
      <c r="D7952" s="1" t="s">
        <v>5412</v>
      </c>
      <c r="F7952" s="1" t="s">
        <v>3981</v>
      </c>
      <c r="G7952" s="1" t="s">
        <v>4003</v>
      </c>
      <c r="H7952" s="1" t="s">
        <v>4004</v>
      </c>
      <c r="J7952" s="1" t="s">
        <v>3109</v>
      </c>
      <c r="L7952" s="1" t="s">
        <v>3113</v>
      </c>
      <c r="N7952" s="1" t="s">
        <v>3114</v>
      </c>
      <c r="P7952" s="1" t="s">
        <v>8237</v>
      </c>
      <c r="Q7952" s="30" t="s">
        <v>2566</v>
      </c>
      <c r="R7952" s="33" t="s">
        <v>3472</v>
      </c>
      <c r="S7952">
        <v>36</v>
      </c>
      <c r="T7952" s="1" t="s">
        <v>8218</v>
      </c>
      <c r="U7952" s="1" t="str">
        <f>HYPERLINK("http://ictvonline.org/taxonomy/p/taxonomy-history?taxnode_id=202109773","ICTVonline=202109773")</f>
        <v>ICTVonline=202109773</v>
      </c>
    </row>
    <row r="7953" spans="1:21" x14ac:dyDescent="0.2">
      <c r="A7953" s="3">
        <v>7952</v>
      </c>
      <c r="B7953" s="1" t="s">
        <v>4226</v>
      </c>
      <c r="D7953" s="1" t="s">
        <v>5412</v>
      </c>
      <c r="F7953" s="1" t="s">
        <v>3981</v>
      </c>
      <c r="G7953" s="1" t="s">
        <v>4003</v>
      </c>
      <c r="H7953" s="1" t="s">
        <v>4004</v>
      </c>
      <c r="J7953" s="1" t="s">
        <v>3109</v>
      </c>
      <c r="L7953" s="1" t="s">
        <v>3113</v>
      </c>
      <c r="N7953" s="1" t="s">
        <v>3114</v>
      </c>
      <c r="P7953" s="1" t="s">
        <v>8238</v>
      </c>
      <c r="Q7953" s="30" t="s">
        <v>2566</v>
      </c>
      <c r="R7953" s="33" t="s">
        <v>3472</v>
      </c>
      <c r="S7953">
        <v>36</v>
      </c>
      <c r="T7953" s="1" t="s">
        <v>8218</v>
      </c>
      <c r="U7953" s="1" t="str">
        <f>HYPERLINK("http://ictvonline.org/taxonomy/p/taxonomy-history?taxnode_id=202109774","ICTVonline=202109774")</f>
        <v>ICTVonline=202109774</v>
      </c>
    </row>
    <row r="7954" spans="1:21" x14ac:dyDescent="0.2">
      <c r="A7954" s="3">
        <v>7953</v>
      </c>
      <c r="B7954" s="1" t="s">
        <v>4226</v>
      </c>
      <c r="D7954" s="1" t="s">
        <v>5412</v>
      </c>
      <c r="F7954" s="1" t="s">
        <v>3981</v>
      </c>
      <c r="G7954" s="1" t="s">
        <v>4003</v>
      </c>
      <c r="H7954" s="1" t="s">
        <v>4004</v>
      </c>
      <c r="J7954" s="1" t="s">
        <v>3109</v>
      </c>
      <c r="L7954" s="1" t="s">
        <v>3113</v>
      </c>
      <c r="N7954" s="1" t="s">
        <v>3114</v>
      </c>
      <c r="P7954" s="1" t="s">
        <v>8239</v>
      </c>
      <c r="Q7954" s="30" t="s">
        <v>2566</v>
      </c>
      <c r="R7954" s="33" t="s">
        <v>3472</v>
      </c>
      <c r="S7954">
        <v>36</v>
      </c>
      <c r="T7954" s="1" t="s">
        <v>8218</v>
      </c>
      <c r="U7954" s="1" t="str">
        <f>HYPERLINK("http://ictvonline.org/taxonomy/p/taxonomy-history?taxnode_id=202109775","ICTVonline=202109775")</f>
        <v>ICTVonline=202109775</v>
      </c>
    </row>
    <row r="7955" spans="1:21" x14ac:dyDescent="0.2">
      <c r="A7955" s="3">
        <v>7954</v>
      </c>
      <c r="B7955" s="1" t="s">
        <v>4226</v>
      </c>
      <c r="D7955" s="1" t="s">
        <v>5412</v>
      </c>
      <c r="F7955" s="1" t="s">
        <v>3981</v>
      </c>
      <c r="G7955" s="1" t="s">
        <v>4003</v>
      </c>
      <c r="H7955" s="1" t="s">
        <v>4004</v>
      </c>
      <c r="J7955" s="1" t="s">
        <v>3109</v>
      </c>
      <c r="L7955" s="1" t="s">
        <v>3113</v>
      </c>
      <c r="N7955" s="1" t="s">
        <v>3114</v>
      </c>
      <c r="P7955" s="1" t="s">
        <v>8240</v>
      </c>
      <c r="Q7955" s="30" t="s">
        <v>2566</v>
      </c>
      <c r="R7955" s="33" t="s">
        <v>3472</v>
      </c>
      <c r="S7955">
        <v>36</v>
      </c>
      <c r="T7955" s="1" t="s">
        <v>8218</v>
      </c>
      <c r="U7955" s="1" t="str">
        <f>HYPERLINK("http://ictvonline.org/taxonomy/p/taxonomy-history?taxnode_id=202109776","ICTVonline=202109776")</f>
        <v>ICTVonline=202109776</v>
      </c>
    </row>
    <row r="7956" spans="1:21" x14ac:dyDescent="0.2">
      <c r="A7956" s="3">
        <v>7955</v>
      </c>
      <c r="B7956" s="1" t="s">
        <v>4226</v>
      </c>
      <c r="D7956" s="1" t="s">
        <v>5412</v>
      </c>
      <c r="F7956" s="1" t="s">
        <v>3981</v>
      </c>
      <c r="G7956" s="1" t="s">
        <v>4003</v>
      </c>
      <c r="H7956" s="1" t="s">
        <v>4004</v>
      </c>
      <c r="J7956" s="1" t="s">
        <v>3109</v>
      </c>
      <c r="L7956" s="1" t="s">
        <v>3113</v>
      </c>
      <c r="N7956" s="1" t="s">
        <v>3114</v>
      </c>
      <c r="P7956" s="1" t="s">
        <v>3529</v>
      </c>
      <c r="Q7956" s="30" t="s">
        <v>2566</v>
      </c>
      <c r="R7956" s="33" t="s">
        <v>3474</v>
      </c>
      <c r="S7956">
        <v>35</v>
      </c>
      <c r="T7956" s="1" t="s">
        <v>5416</v>
      </c>
      <c r="U7956" s="1" t="str">
        <f>HYPERLINK("http://ictvonline.org/taxonomy/p/taxonomy-history?taxnode_id=202100069","ICTVonline=202100069")</f>
        <v>ICTVonline=202100069</v>
      </c>
    </row>
    <row r="7957" spans="1:21" x14ac:dyDescent="0.2">
      <c r="A7957" s="3">
        <v>7956</v>
      </c>
      <c r="B7957" s="1" t="s">
        <v>4226</v>
      </c>
      <c r="D7957" s="1" t="s">
        <v>5412</v>
      </c>
      <c r="F7957" s="1" t="s">
        <v>3981</v>
      </c>
      <c r="G7957" s="1" t="s">
        <v>4003</v>
      </c>
      <c r="H7957" s="1" t="s">
        <v>4004</v>
      </c>
      <c r="J7957" s="1" t="s">
        <v>3109</v>
      </c>
      <c r="L7957" s="1" t="s">
        <v>3113</v>
      </c>
      <c r="N7957" s="1" t="s">
        <v>3114</v>
      </c>
      <c r="P7957" s="1" t="s">
        <v>3089</v>
      </c>
      <c r="Q7957" s="30" t="s">
        <v>2566</v>
      </c>
      <c r="R7957" s="33" t="s">
        <v>3474</v>
      </c>
      <c r="S7957">
        <v>35</v>
      </c>
      <c r="T7957" s="1" t="s">
        <v>5416</v>
      </c>
      <c r="U7957" s="1" t="str">
        <f>HYPERLINK("http://ictvonline.org/taxonomy/p/taxonomy-history?taxnode_id=202100080","ICTVonline=202100080")</f>
        <v>ICTVonline=202100080</v>
      </c>
    </row>
    <row r="7958" spans="1:21" x14ac:dyDescent="0.2">
      <c r="A7958" s="3">
        <v>7957</v>
      </c>
      <c r="B7958" s="1" t="s">
        <v>4226</v>
      </c>
      <c r="D7958" s="1" t="s">
        <v>5412</v>
      </c>
      <c r="F7958" s="1" t="s">
        <v>3981</v>
      </c>
      <c r="G7958" s="1" t="s">
        <v>4003</v>
      </c>
      <c r="H7958" s="1" t="s">
        <v>4004</v>
      </c>
      <c r="J7958" s="1" t="s">
        <v>3109</v>
      </c>
      <c r="L7958" s="1" t="s">
        <v>3113</v>
      </c>
      <c r="N7958" s="1" t="s">
        <v>3114</v>
      </c>
      <c r="P7958" s="1" t="s">
        <v>8241</v>
      </c>
      <c r="Q7958" s="30" t="s">
        <v>2566</v>
      </c>
      <c r="R7958" s="33" t="s">
        <v>3472</v>
      </c>
      <c r="S7958">
        <v>36</v>
      </c>
      <c r="T7958" s="1" t="s">
        <v>8218</v>
      </c>
      <c r="U7958" s="1" t="str">
        <f>HYPERLINK("http://ictvonline.org/taxonomy/p/taxonomy-history?taxnode_id=202109777","ICTVonline=202109777")</f>
        <v>ICTVonline=202109777</v>
      </c>
    </row>
    <row r="7959" spans="1:21" x14ac:dyDescent="0.2">
      <c r="A7959" s="3">
        <v>7958</v>
      </c>
      <c r="B7959" s="1" t="s">
        <v>4226</v>
      </c>
      <c r="D7959" s="1" t="s">
        <v>5412</v>
      </c>
      <c r="F7959" s="1" t="s">
        <v>3981</v>
      </c>
      <c r="G7959" s="1" t="s">
        <v>4003</v>
      </c>
      <c r="H7959" s="1" t="s">
        <v>4004</v>
      </c>
      <c r="J7959" s="1" t="s">
        <v>3109</v>
      </c>
      <c r="L7959" s="1" t="s">
        <v>3113</v>
      </c>
      <c r="N7959" s="1" t="s">
        <v>3114</v>
      </c>
      <c r="P7959" s="1" t="s">
        <v>8242</v>
      </c>
      <c r="Q7959" s="30" t="s">
        <v>2566</v>
      </c>
      <c r="R7959" s="33" t="s">
        <v>3472</v>
      </c>
      <c r="S7959">
        <v>36</v>
      </c>
      <c r="T7959" s="1" t="s">
        <v>8218</v>
      </c>
      <c r="U7959" s="1" t="str">
        <f>HYPERLINK("http://ictvonline.org/taxonomy/p/taxonomy-history?taxnode_id=202109778","ICTVonline=202109778")</f>
        <v>ICTVonline=202109778</v>
      </c>
    </row>
    <row r="7960" spans="1:21" x14ac:dyDescent="0.2">
      <c r="A7960" s="3">
        <v>7959</v>
      </c>
      <c r="B7960" s="1" t="s">
        <v>4226</v>
      </c>
      <c r="D7960" s="1" t="s">
        <v>5412</v>
      </c>
      <c r="F7960" s="1" t="s">
        <v>3981</v>
      </c>
      <c r="G7960" s="1" t="s">
        <v>4003</v>
      </c>
      <c r="H7960" s="1" t="s">
        <v>4004</v>
      </c>
      <c r="J7960" s="1" t="s">
        <v>3109</v>
      </c>
      <c r="L7960" s="1" t="s">
        <v>3113</v>
      </c>
      <c r="N7960" s="1" t="s">
        <v>3114</v>
      </c>
      <c r="P7960" s="1" t="s">
        <v>8243</v>
      </c>
      <c r="Q7960" s="30" t="s">
        <v>2566</v>
      </c>
      <c r="R7960" s="33" t="s">
        <v>3472</v>
      </c>
      <c r="S7960">
        <v>36</v>
      </c>
      <c r="T7960" s="1" t="s">
        <v>8218</v>
      </c>
      <c r="U7960" s="1" t="str">
        <f>HYPERLINK("http://ictvonline.org/taxonomy/p/taxonomy-history?taxnode_id=202109779","ICTVonline=202109779")</f>
        <v>ICTVonline=202109779</v>
      </c>
    </row>
    <row r="7961" spans="1:21" x14ac:dyDescent="0.2">
      <c r="A7961" s="3">
        <v>7960</v>
      </c>
      <c r="B7961" s="1" t="s">
        <v>4226</v>
      </c>
      <c r="D7961" s="1" t="s">
        <v>5412</v>
      </c>
      <c r="F7961" s="1" t="s">
        <v>3981</v>
      </c>
      <c r="G7961" s="1" t="s">
        <v>4003</v>
      </c>
      <c r="H7961" s="1" t="s">
        <v>4004</v>
      </c>
      <c r="J7961" s="1" t="s">
        <v>3109</v>
      </c>
      <c r="L7961" s="1" t="s">
        <v>3113</v>
      </c>
      <c r="N7961" s="1" t="s">
        <v>3114</v>
      </c>
      <c r="P7961" s="1" t="s">
        <v>8244</v>
      </c>
      <c r="Q7961" s="30" t="s">
        <v>2566</v>
      </c>
      <c r="R7961" s="33" t="s">
        <v>3472</v>
      </c>
      <c r="S7961">
        <v>36</v>
      </c>
      <c r="T7961" s="1" t="s">
        <v>8218</v>
      </c>
      <c r="U7961" s="1" t="str">
        <f>HYPERLINK("http://ictvonline.org/taxonomy/p/taxonomy-history?taxnode_id=202109780","ICTVonline=202109780")</f>
        <v>ICTVonline=202109780</v>
      </c>
    </row>
    <row r="7962" spans="1:21" x14ac:dyDescent="0.2">
      <c r="A7962" s="3">
        <v>7961</v>
      </c>
      <c r="B7962" s="1" t="s">
        <v>4226</v>
      </c>
      <c r="D7962" s="1" t="s">
        <v>5412</v>
      </c>
      <c r="F7962" s="1" t="s">
        <v>3981</v>
      </c>
      <c r="G7962" s="1" t="s">
        <v>4003</v>
      </c>
      <c r="H7962" s="1" t="s">
        <v>4004</v>
      </c>
      <c r="J7962" s="1" t="s">
        <v>3109</v>
      </c>
      <c r="L7962" s="1" t="s">
        <v>3113</v>
      </c>
      <c r="N7962" s="1" t="s">
        <v>3114</v>
      </c>
      <c r="P7962" s="1" t="s">
        <v>8245</v>
      </c>
      <c r="Q7962" s="30" t="s">
        <v>2566</v>
      </c>
      <c r="R7962" s="33" t="s">
        <v>3472</v>
      </c>
      <c r="S7962">
        <v>36</v>
      </c>
      <c r="T7962" s="1" t="s">
        <v>8218</v>
      </c>
      <c r="U7962" s="1" t="str">
        <f>HYPERLINK("http://ictvonline.org/taxonomy/p/taxonomy-history?taxnode_id=202109781","ICTVonline=202109781")</f>
        <v>ICTVonline=202109781</v>
      </c>
    </row>
    <row r="7963" spans="1:21" x14ac:dyDescent="0.2">
      <c r="A7963" s="3">
        <v>7962</v>
      </c>
      <c r="B7963" s="1" t="s">
        <v>4226</v>
      </c>
      <c r="D7963" s="1" t="s">
        <v>5412</v>
      </c>
      <c r="F7963" s="1" t="s">
        <v>3981</v>
      </c>
      <c r="G7963" s="1" t="s">
        <v>4003</v>
      </c>
      <c r="H7963" s="1" t="s">
        <v>4004</v>
      </c>
      <c r="J7963" s="1" t="s">
        <v>3109</v>
      </c>
      <c r="L7963" s="1" t="s">
        <v>3113</v>
      </c>
      <c r="N7963" s="1" t="s">
        <v>3114</v>
      </c>
      <c r="P7963" s="1" t="s">
        <v>8246</v>
      </c>
      <c r="Q7963" s="30" t="s">
        <v>2566</v>
      </c>
      <c r="R7963" s="33" t="s">
        <v>3472</v>
      </c>
      <c r="S7963">
        <v>36</v>
      </c>
      <c r="T7963" s="1" t="s">
        <v>8218</v>
      </c>
      <c r="U7963" s="1" t="str">
        <f>HYPERLINK("http://ictvonline.org/taxonomy/p/taxonomy-history?taxnode_id=202109782","ICTVonline=202109782")</f>
        <v>ICTVonline=202109782</v>
      </c>
    </row>
    <row r="7964" spans="1:21" x14ac:dyDescent="0.2">
      <c r="A7964" s="3">
        <v>7963</v>
      </c>
      <c r="B7964" s="1" t="s">
        <v>4226</v>
      </c>
      <c r="D7964" s="1" t="s">
        <v>5412</v>
      </c>
      <c r="F7964" s="1" t="s">
        <v>3981</v>
      </c>
      <c r="G7964" s="1" t="s">
        <v>4003</v>
      </c>
      <c r="H7964" s="1" t="s">
        <v>4004</v>
      </c>
      <c r="J7964" s="1" t="s">
        <v>3109</v>
      </c>
      <c r="L7964" s="1" t="s">
        <v>3113</v>
      </c>
      <c r="N7964" s="1" t="s">
        <v>8247</v>
      </c>
      <c r="P7964" s="1" t="s">
        <v>8248</v>
      </c>
      <c r="Q7964" s="30" t="s">
        <v>2566</v>
      </c>
      <c r="R7964" s="33" t="s">
        <v>3472</v>
      </c>
      <c r="S7964">
        <v>36</v>
      </c>
      <c r="T7964" s="1" t="s">
        <v>8218</v>
      </c>
      <c r="U7964" s="1" t="str">
        <f>HYPERLINK("http://ictvonline.org/taxonomy/p/taxonomy-history?taxnode_id=202109786","ICTVonline=202109786")</f>
        <v>ICTVonline=202109786</v>
      </c>
    </row>
    <row r="7965" spans="1:21" x14ac:dyDescent="0.2">
      <c r="A7965" s="3">
        <v>7964</v>
      </c>
      <c r="B7965" s="1" t="s">
        <v>4226</v>
      </c>
      <c r="D7965" s="1" t="s">
        <v>5412</v>
      </c>
      <c r="F7965" s="1" t="s">
        <v>3981</v>
      </c>
      <c r="G7965" s="1" t="s">
        <v>4003</v>
      </c>
      <c r="H7965" s="1" t="s">
        <v>4004</v>
      </c>
      <c r="J7965" s="1" t="s">
        <v>3109</v>
      </c>
      <c r="L7965" s="1" t="s">
        <v>3113</v>
      </c>
      <c r="N7965" s="1" t="s">
        <v>4017</v>
      </c>
      <c r="P7965" s="1" t="s">
        <v>4018</v>
      </c>
      <c r="Q7965" s="30" t="s">
        <v>2566</v>
      </c>
      <c r="R7965" s="33" t="s">
        <v>8665</v>
      </c>
      <c r="S7965">
        <v>36</v>
      </c>
      <c r="T7965" s="1" t="s">
        <v>8661</v>
      </c>
      <c r="U7965" s="1" t="str">
        <f>HYPERLINK("http://ictvonline.org/taxonomy/p/taxonomy-history?taxnode_id=202106217","ICTVonline=202106217")</f>
        <v>ICTVonline=202106217</v>
      </c>
    </row>
    <row r="7966" spans="1:21" x14ac:dyDescent="0.2">
      <c r="A7966" s="3">
        <v>7965</v>
      </c>
      <c r="B7966" s="1" t="s">
        <v>4226</v>
      </c>
      <c r="D7966" s="1" t="s">
        <v>5412</v>
      </c>
      <c r="F7966" s="1" t="s">
        <v>3981</v>
      </c>
      <c r="G7966" s="1" t="s">
        <v>4003</v>
      </c>
      <c r="H7966" s="1" t="s">
        <v>4004</v>
      </c>
      <c r="J7966" s="1" t="s">
        <v>3109</v>
      </c>
      <c r="L7966" s="1" t="s">
        <v>3113</v>
      </c>
      <c r="N7966" s="1" t="s">
        <v>4019</v>
      </c>
      <c r="P7966" s="1" t="s">
        <v>4020</v>
      </c>
      <c r="Q7966" s="30" t="s">
        <v>2566</v>
      </c>
      <c r="R7966" s="33" t="s">
        <v>8665</v>
      </c>
      <c r="S7966">
        <v>36</v>
      </c>
      <c r="T7966" s="1" t="s">
        <v>8661</v>
      </c>
      <c r="U7966" s="1" t="str">
        <f>HYPERLINK("http://ictvonline.org/taxonomy/p/taxonomy-history?taxnode_id=202106219","ICTVonline=202106219")</f>
        <v>ICTVonline=202106219</v>
      </c>
    </row>
    <row r="7967" spans="1:21" x14ac:dyDescent="0.2">
      <c r="A7967" s="3">
        <v>7966</v>
      </c>
      <c r="B7967" s="1" t="s">
        <v>4226</v>
      </c>
      <c r="D7967" s="1" t="s">
        <v>5412</v>
      </c>
      <c r="F7967" s="1" t="s">
        <v>3981</v>
      </c>
      <c r="G7967" s="1" t="s">
        <v>4003</v>
      </c>
      <c r="H7967" s="1" t="s">
        <v>4004</v>
      </c>
      <c r="J7967" s="1" t="s">
        <v>3109</v>
      </c>
      <c r="L7967" s="1" t="s">
        <v>3113</v>
      </c>
      <c r="N7967" s="1" t="s">
        <v>8249</v>
      </c>
      <c r="P7967" s="1" t="s">
        <v>8250</v>
      </c>
      <c r="Q7967" s="30" t="s">
        <v>2566</v>
      </c>
      <c r="R7967" s="33" t="s">
        <v>3472</v>
      </c>
      <c r="S7967">
        <v>36</v>
      </c>
      <c r="T7967" s="1" t="s">
        <v>8218</v>
      </c>
      <c r="U7967" s="1" t="str">
        <f>HYPERLINK("http://ictvonline.org/taxonomy/p/taxonomy-history?taxnode_id=202109784","ICTVonline=202109784")</f>
        <v>ICTVonline=202109784</v>
      </c>
    </row>
    <row r="7968" spans="1:21" x14ac:dyDescent="0.2">
      <c r="A7968" s="3">
        <v>7967</v>
      </c>
      <c r="B7968" s="1" t="s">
        <v>4226</v>
      </c>
      <c r="D7968" s="1" t="s">
        <v>5412</v>
      </c>
      <c r="F7968" s="1" t="s">
        <v>3981</v>
      </c>
      <c r="G7968" s="1" t="s">
        <v>4003</v>
      </c>
      <c r="H7968" s="1" t="s">
        <v>4004</v>
      </c>
      <c r="J7968" s="1" t="s">
        <v>3109</v>
      </c>
      <c r="L7968" s="1" t="s">
        <v>3115</v>
      </c>
      <c r="N7968" s="1" t="s">
        <v>3158</v>
      </c>
      <c r="P7968" s="1" t="s">
        <v>3159</v>
      </c>
      <c r="Q7968" s="30" t="s">
        <v>2566</v>
      </c>
      <c r="R7968" s="33" t="s">
        <v>8665</v>
      </c>
      <c r="S7968">
        <v>36</v>
      </c>
      <c r="T7968" s="1" t="s">
        <v>8661</v>
      </c>
      <c r="U7968" s="1" t="str">
        <f>HYPERLINK("http://ictvonline.org/taxonomy/p/taxonomy-history?taxnode_id=202100083","ICTVonline=202100083")</f>
        <v>ICTVonline=202100083</v>
      </c>
    </row>
    <row r="7969" spans="1:21" x14ac:dyDescent="0.2">
      <c r="A7969" s="3">
        <v>7968</v>
      </c>
      <c r="B7969" s="1" t="s">
        <v>4226</v>
      </c>
      <c r="D7969" s="1" t="s">
        <v>5412</v>
      </c>
      <c r="F7969" s="1" t="s">
        <v>3981</v>
      </c>
      <c r="G7969" s="1" t="s">
        <v>4003</v>
      </c>
      <c r="H7969" s="1" t="s">
        <v>4004</v>
      </c>
      <c r="J7969" s="1" t="s">
        <v>3109</v>
      </c>
      <c r="L7969" s="1" t="s">
        <v>3115</v>
      </c>
      <c r="N7969" s="1" t="s">
        <v>3158</v>
      </c>
      <c r="P7969" s="1" t="s">
        <v>3160</v>
      </c>
      <c r="Q7969" s="30" t="s">
        <v>2566</v>
      </c>
      <c r="R7969" s="33" t="s">
        <v>3474</v>
      </c>
      <c r="S7969">
        <v>35</v>
      </c>
      <c r="T7969" s="1" t="s">
        <v>5416</v>
      </c>
      <c r="U7969" s="1" t="str">
        <f>HYPERLINK("http://ictvonline.org/taxonomy/p/taxonomy-history?taxnode_id=202100084","ICTVonline=202100084")</f>
        <v>ICTVonline=202100084</v>
      </c>
    </row>
    <row r="7970" spans="1:21" x14ac:dyDescent="0.2">
      <c r="A7970" s="3">
        <v>7969</v>
      </c>
      <c r="B7970" s="1" t="s">
        <v>4226</v>
      </c>
      <c r="D7970" s="1" t="s">
        <v>5412</v>
      </c>
      <c r="F7970" s="1" t="s">
        <v>3981</v>
      </c>
      <c r="G7970" s="1" t="s">
        <v>4003</v>
      </c>
      <c r="H7970" s="1" t="s">
        <v>4004</v>
      </c>
      <c r="J7970" s="1" t="s">
        <v>3109</v>
      </c>
      <c r="L7970" s="1" t="s">
        <v>3115</v>
      </c>
      <c r="N7970" s="1" t="s">
        <v>3158</v>
      </c>
      <c r="P7970" s="1" t="s">
        <v>3161</v>
      </c>
      <c r="Q7970" s="30" t="s">
        <v>2566</v>
      </c>
      <c r="R7970" s="33" t="s">
        <v>3474</v>
      </c>
      <c r="S7970">
        <v>35</v>
      </c>
      <c r="T7970" s="1" t="s">
        <v>5416</v>
      </c>
      <c r="U7970" s="1" t="str">
        <f>HYPERLINK("http://ictvonline.org/taxonomy/p/taxonomy-history?taxnode_id=202100086","ICTVonline=202100086")</f>
        <v>ICTVonline=202100086</v>
      </c>
    </row>
    <row r="7971" spans="1:21" x14ac:dyDescent="0.2">
      <c r="A7971" s="3">
        <v>7970</v>
      </c>
      <c r="B7971" s="1" t="s">
        <v>4226</v>
      </c>
      <c r="D7971" s="1" t="s">
        <v>5412</v>
      </c>
      <c r="F7971" s="1" t="s">
        <v>3981</v>
      </c>
      <c r="G7971" s="1" t="s">
        <v>4003</v>
      </c>
      <c r="H7971" s="1" t="s">
        <v>4004</v>
      </c>
      <c r="J7971" s="1" t="s">
        <v>3109</v>
      </c>
      <c r="L7971" s="1" t="s">
        <v>3115</v>
      </c>
      <c r="N7971" s="1" t="s">
        <v>13542</v>
      </c>
      <c r="P7971" s="1" t="s">
        <v>13543</v>
      </c>
      <c r="Q7971" s="30" t="s">
        <v>2566</v>
      </c>
      <c r="R7971" s="33" t="s">
        <v>3472</v>
      </c>
      <c r="S7971">
        <v>37</v>
      </c>
      <c r="T7971" s="1" t="s">
        <v>14044</v>
      </c>
      <c r="U7971" s="1" t="str">
        <f>HYPERLINK("http://ictvonline.org/taxonomy/p/taxonomy-history?taxnode_id=202112232","ICTVonline=202112232")</f>
        <v>ICTVonline=202112232</v>
      </c>
    </row>
    <row r="7972" spans="1:21" x14ac:dyDescent="0.2">
      <c r="A7972" s="3">
        <v>7971</v>
      </c>
      <c r="B7972" s="1" t="s">
        <v>4226</v>
      </c>
      <c r="D7972" s="1" t="s">
        <v>5412</v>
      </c>
      <c r="F7972" s="1" t="s">
        <v>3981</v>
      </c>
      <c r="G7972" s="1" t="s">
        <v>4003</v>
      </c>
      <c r="H7972" s="1" t="s">
        <v>4004</v>
      </c>
      <c r="J7972" s="1" t="s">
        <v>3109</v>
      </c>
      <c r="L7972" s="1" t="s">
        <v>3115</v>
      </c>
      <c r="N7972" s="1" t="s">
        <v>13544</v>
      </c>
      <c r="P7972" s="1" t="s">
        <v>13545</v>
      </c>
      <c r="Q7972" s="30" t="s">
        <v>2566</v>
      </c>
      <c r="R7972" s="33" t="s">
        <v>3472</v>
      </c>
      <c r="S7972">
        <v>37</v>
      </c>
      <c r="T7972" s="1" t="s">
        <v>14044</v>
      </c>
      <c r="U7972" s="1" t="str">
        <f>HYPERLINK("http://ictvonline.org/taxonomy/p/taxonomy-history?taxnode_id=202112234","ICTVonline=202112234")</f>
        <v>ICTVonline=202112234</v>
      </c>
    </row>
    <row r="7973" spans="1:21" x14ac:dyDescent="0.2">
      <c r="A7973" s="3">
        <v>7972</v>
      </c>
      <c r="B7973" s="1" t="s">
        <v>4226</v>
      </c>
      <c r="D7973" s="1" t="s">
        <v>5412</v>
      </c>
      <c r="F7973" s="1" t="s">
        <v>3981</v>
      </c>
      <c r="G7973" s="1" t="s">
        <v>4003</v>
      </c>
      <c r="H7973" s="1" t="s">
        <v>4004</v>
      </c>
      <c r="J7973" s="1" t="s">
        <v>3109</v>
      </c>
      <c r="L7973" s="1" t="s">
        <v>3115</v>
      </c>
      <c r="N7973" s="1" t="s">
        <v>13546</v>
      </c>
      <c r="P7973" s="1" t="s">
        <v>13547</v>
      </c>
      <c r="Q7973" s="30" t="s">
        <v>2566</v>
      </c>
      <c r="R7973" s="33" t="s">
        <v>3472</v>
      </c>
      <c r="S7973">
        <v>37</v>
      </c>
      <c r="T7973" s="1" t="s">
        <v>14044</v>
      </c>
      <c r="U7973" s="1" t="str">
        <f>HYPERLINK("http://ictvonline.org/taxonomy/p/taxonomy-history?taxnode_id=202112236","ICTVonline=202112236")</f>
        <v>ICTVonline=202112236</v>
      </c>
    </row>
    <row r="7974" spans="1:21" x14ac:dyDescent="0.2">
      <c r="A7974" s="3">
        <v>7973</v>
      </c>
      <c r="B7974" s="1" t="s">
        <v>4226</v>
      </c>
      <c r="D7974" s="1" t="s">
        <v>5412</v>
      </c>
      <c r="F7974" s="1" t="s">
        <v>3981</v>
      </c>
      <c r="G7974" s="1" t="s">
        <v>4003</v>
      </c>
      <c r="H7974" s="1" t="s">
        <v>4004</v>
      </c>
      <c r="J7974" s="1" t="s">
        <v>3109</v>
      </c>
      <c r="L7974" s="1" t="s">
        <v>3115</v>
      </c>
      <c r="N7974" s="1" t="s">
        <v>1841</v>
      </c>
      <c r="P7974" s="1" t="s">
        <v>8251</v>
      </c>
      <c r="Q7974" s="30" t="s">
        <v>2566</v>
      </c>
      <c r="R7974" s="33" t="s">
        <v>3472</v>
      </c>
      <c r="S7974">
        <v>36</v>
      </c>
      <c r="T7974" s="1" t="s">
        <v>8252</v>
      </c>
      <c r="U7974" s="1" t="str">
        <f>HYPERLINK("http://ictvonline.org/taxonomy/p/taxonomy-history?taxnode_id=202109315","ICTVonline=202109315")</f>
        <v>ICTVonline=202109315</v>
      </c>
    </row>
    <row r="7975" spans="1:21" x14ac:dyDescent="0.2">
      <c r="A7975" s="3">
        <v>7974</v>
      </c>
      <c r="B7975" s="1" t="s">
        <v>4226</v>
      </c>
      <c r="D7975" s="1" t="s">
        <v>5412</v>
      </c>
      <c r="F7975" s="1" t="s">
        <v>3981</v>
      </c>
      <c r="G7975" s="1" t="s">
        <v>4003</v>
      </c>
      <c r="H7975" s="1" t="s">
        <v>4004</v>
      </c>
      <c r="J7975" s="1" t="s">
        <v>3109</v>
      </c>
      <c r="L7975" s="1" t="s">
        <v>3115</v>
      </c>
      <c r="N7975" s="1" t="s">
        <v>1841</v>
      </c>
      <c r="P7975" s="1" t="s">
        <v>2834</v>
      </c>
      <c r="Q7975" s="30" t="s">
        <v>2566</v>
      </c>
      <c r="R7975" s="33" t="s">
        <v>3474</v>
      </c>
      <c r="S7975">
        <v>35</v>
      </c>
      <c r="T7975" s="1" t="s">
        <v>5416</v>
      </c>
      <c r="U7975" s="1" t="str">
        <f>HYPERLINK("http://ictvonline.org/taxonomy/p/taxonomy-history?taxnode_id=202100089","ICTVonline=202100089")</f>
        <v>ICTVonline=202100089</v>
      </c>
    </row>
    <row r="7976" spans="1:21" x14ac:dyDescent="0.2">
      <c r="A7976" s="3">
        <v>7975</v>
      </c>
      <c r="B7976" s="1" t="s">
        <v>4226</v>
      </c>
      <c r="D7976" s="1" t="s">
        <v>5412</v>
      </c>
      <c r="F7976" s="1" t="s">
        <v>3981</v>
      </c>
      <c r="G7976" s="1" t="s">
        <v>4003</v>
      </c>
      <c r="H7976" s="1" t="s">
        <v>4004</v>
      </c>
      <c r="J7976" s="1" t="s">
        <v>3109</v>
      </c>
      <c r="L7976" s="1" t="s">
        <v>3115</v>
      </c>
      <c r="N7976" s="1" t="s">
        <v>1841</v>
      </c>
      <c r="P7976" s="1" t="s">
        <v>4315</v>
      </c>
      <c r="Q7976" s="30" t="s">
        <v>2566</v>
      </c>
      <c r="R7976" s="33" t="s">
        <v>3474</v>
      </c>
      <c r="S7976">
        <v>35</v>
      </c>
      <c r="T7976" s="1" t="s">
        <v>5416</v>
      </c>
      <c r="U7976" s="1" t="str">
        <f>HYPERLINK("http://ictvonline.org/taxonomy/p/taxonomy-history?taxnode_id=202106382","ICTVonline=202106382")</f>
        <v>ICTVonline=202106382</v>
      </c>
    </row>
    <row r="7977" spans="1:21" x14ac:dyDescent="0.2">
      <c r="A7977" s="3">
        <v>7976</v>
      </c>
      <c r="B7977" s="1" t="s">
        <v>4226</v>
      </c>
      <c r="D7977" s="1" t="s">
        <v>5412</v>
      </c>
      <c r="F7977" s="1" t="s">
        <v>3981</v>
      </c>
      <c r="G7977" s="1" t="s">
        <v>4003</v>
      </c>
      <c r="H7977" s="1" t="s">
        <v>4004</v>
      </c>
      <c r="J7977" s="1" t="s">
        <v>3109</v>
      </c>
      <c r="L7977" s="1" t="s">
        <v>3115</v>
      </c>
      <c r="N7977" s="1" t="s">
        <v>1841</v>
      </c>
      <c r="P7977" s="1" t="s">
        <v>2835</v>
      </c>
      <c r="Q7977" s="30" t="s">
        <v>2566</v>
      </c>
      <c r="R7977" s="33" t="s">
        <v>3474</v>
      </c>
      <c r="S7977">
        <v>35</v>
      </c>
      <c r="T7977" s="1" t="s">
        <v>5416</v>
      </c>
      <c r="U7977" s="1" t="str">
        <f>HYPERLINK("http://ictvonline.org/taxonomy/p/taxonomy-history?taxnode_id=202100090","ICTVonline=202100090")</f>
        <v>ICTVonline=202100090</v>
      </c>
    </row>
    <row r="7978" spans="1:21" x14ac:dyDescent="0.2">
      <c r="A7978" s="3">
        <v>7977</v>
      </c>
      <c r="B7978" s="1" t="s">
        <v>4226</v>
      </c>
      <c r="D7978" s="1" t="s">
        <v>5412</v>
      </c>
      <c r="F7978" s="1" t="s">
        <v>3981</v>
      </c>
      <c r="G7978" s="1" t="s">
        <v>4003</v>
      </c>
      <c r="H7978" s="1" t="s">
        <v>4004</v>
      </c>
      <c r="J7978" s="1" t="s">
        <v>3109</v>
      </c>
      <c r="L7978" s="1" t="s">
        <v>3115</v>
      </c>
      <c r="N7978" s="1" t="s">
        <v>1841</v>
      </c>
      <c r="P7978" s="1" t="s">
        <v>2836</v>
      </c>
      <c r="Q7978" s="30" t="s">
        <v>2566</v>
      </c>
      <c r="R7978" s="33" t="s">
        <v>3474</v>
      </c>
      <c r="S7978">
        <v>35</v>
      </c>
      <c r="T7978" s="1" t="s">
        <v>5416</v>
      </c>
      <c r="U7978" s="1" t="str">
        <f>HYPERLINK("http://ictvonline.org/taxonomy/p/taxonomy-history?taxnode_id=202100091","ICTVonline=202100091")</f>
        <v>ICTVonline=202100091</v>
      </c>
    </row>
    <row r="7979" spans="1:21" x14ac:dyDescent="0.2">
      <c r="A7979" s="3">
        <v>7978</v>
      </c>
      <c r="B7979" s="1" t="s">
        <v>4226</v>
      </c>
      <c r="D7979" s="1" t="s">
        <v>5412</v>
      </c>
      <c r="F7979" s="1" t="s">
        <v>3981</v>
      </c>
      <c r="G7979" s="1" t="s">
        <v>4003</v>
      </c>
      <c r="H7979" s="1" t="s">
        <v>4004</v>
      </c>
      <c r="J7979" s="1" t="s">
        <v>3109</v>
      </c>
      <c r="L7979" s="1" t="s">
        <v>3115</v>
      </c>
      <c r="N7979" s="1" t="s">
        <v>1841</v>
      </c>
      <c r="P7979" s="1" t="s">
        <v>4316</v>
      </c>
      <c r="Q7979" s="30" t="s">
        <v>2566</v>
      </c>
      <c r="R7979" s="33" t="s">
        <v>3474</v>
      </c>
      <c r="S7979">
        <v>35</v>
      </c>
      <c r="T7979" s="1" t="s">
        <v>5416</v>
      </c>
      <c r="U7979" s="1" t="str">
        <f>HYPERLINK("http://ictvonline.org/taxonomy/p/taxonomy-history?taxnode_id=202106354","ICTVonline=202106354")</f>
        <v>ICTVonline=202106354</v>
      </c>
    </row>
    <row r="7980" spans="1:21" x14ac:dyDescent="0.2">
      <c r="A7980" s="3">
        <v>7979</v>
      </c>
      <c r="B7980" s="1" t="s">
        <v>4226</v>
      </c>
      <c r="D7980" s="1" t="s">
        <v>5412</v>
      </c>
      <c r="F7980" s="1" t="s">
        <v>3981</v>
      </c>
      <c r="G7980" s="1" t="s">
        <v>4003</v>
      </c>
      <c r="H7980" s="1" t="s">
        <v>4004</v>
      </c>
      <c r="J7980" s="1" t="s">
        <v>3109</v>
      </c>
      <c r="L7980" s="1" t="s">
        <v>3115</v>
      </c>
      <c r="N7980" s="1" t="s">
        <v>1841</v>
      </c>
      <c r="P7980" s="1" t="s">
        <v>8253</v>
      </c>
      <c r="Q7980" s="30" t="s">
        <v>2566</v>
      </c>
      <c r="R7980" s="33" t="s">
        <v>3472</v>
      </c>
      <c r="S7980">
        <v>36</v>
      </c>
      <c r="T7980" s="1" t="s">
        <v>8252</v>
      </c>
      <c r="U7980" s="1" t="str">
        <f>HYPERLINK("http://ictvonline.org/taxonomy/p/taxonomy-history?taxnode_id=202109316","ICTVonline=202109316")</f>
        <v>ICTVonline=202109316</v>
      </c>
    </row>
    <row r="7981" spans="1:21" x14ac:dyDescent="0.2">
      <c r="A7981" s="3">
        <v>7980</v>
      </c>
      <c r="B7981" s="1" t="s">
        <v>4226</v>
      </c>
      <c r="D7981" s="1" t="s">
        <v>5412</v>
      </c>
      <c r="F7981" s="1" t="s">
        <v>3981</v>
      </c>
      <c r="G7981" s="1" t="s">
        <v>4003</v>
      </c>
      <c r="H7981" s="1" t="s">
        <v>4004</v>
      </c>
      <c r="J7981" s="1" t="s">
        <v>3109</v>
      </c>
      <c r="L7981" s="1" t="s">
        <v>3115</v>
      </c>
      <c r="N7981" s="1" t="s">
        <v>1841</v>
      </c>
      <c r="P7981" s="1" t="s">
        <v>4317</v>
      </c>
      <c r="Q7981" s="30" t="s">
        <v>2566</v>
      </c>
      <c r="R7981" s="33" t="s">
        <v>3474</v>
      </c>
      <c r="S7981">
        <v>35</v>
      </c>
      <c r="T7981" s="1" t="s">
        <v>5416</v>
      </c>
      <c r="U7981" s="1" t="str">
        <f>HYPERLINK("http://ictvonline.org/taxonomy/p/taxonomy-history?taxnode_id=202106383","ICTVonline=202106383")</f>
        <v>ICTVonline=202106383</v>
      </c>
    </row>
    <row r="7982" spans="1:21" x14ac:dyDescent="0.2">
      <c r="A7982" s="3">
        <v>7981</v>
      </c>
      <c r="B7982" s="1" t="s">
        <v>4226</v>
      </c>
      <c r="D7982" s="1" t="s">
        <v>5412</v>
      </c>
      <c r="F7982" s="1" t="s">
        <v>3981</v>
      </c>
      <c r="G7982" s="1" t="s">
        <v>4003</v>
      </c>
      <c r="H7982" s="1" t="s">
        <v>4004</v>
      </c>
      <c r="J7982" s="1" t="s">
        <v>3109</v>
      </c>
      <c r="L7982" s="1" t="s">
        <v>3115</v>
      </c>
      <c r="N7982" s="1" t="s">
        <v>1841</v>
      </c>
      <c r="P7982" s="1" t="s">
        <v>2837</v>
      </c>
      <c r="Q7982" s="30" t="s">
        <v>2566</v>
      </c>
      <c r="R7982" s="33" t="s">
        <v>3474</v>
      </c>
      <c r="S7982">
        <v>35</v>
      </c>
      <c r="T7982" s="1" t="s">
        <v>5416</v>
      </c>
      <c r="U7982" s="1" t="str">
        <f>HYPERLINK("http://ictvonline.org/taxonomy/p/taxonomy-history?taxnode_id=202100092","ICTVonline=202100092")</f>
        <v>ICTVonline=202100092</v>
      </c>
    </row>
    <row r="7983" spans="1:21" x14ac:dyDescent="0.2">
      <c r="A7983" s="3">
        <v>7982</v>
      </c>
      <c r="B7983" s="1" t="s">
        <v>4226</v>
      </c>
      <c r="D7983" s="1" t="s">
        <v>5412</v>
      </c>
      <c r="F7983" s="1" t="s">
        <v>3981</v>
      </c>
      <c r="G7983" s="1" t="s">
        <v>4003</v>
      </c>
      <c r="H7983" s="1" t="s">
        <v>4004</v>
      </c>
      <c r="J7983" s="1" t="s">
        <v>3109</v>
      </c>
      <c r="L7983" s="1" t="s">
        <v>3115</v>
      </c>
      <c r="N7983" s="1" t="s">
        <v>1841</v>
      </c>
      <c r="P7983" s="1" t="s">
        <v>2838</v>
      </c>
      <c r="Q7983" s="30" t="s">
        <v>2566</v>
      </c>
      <c r="R7983" s="33" t="s">
        <v>3474</v>
      </c>
      <c r="S7983">
        <v>35</v>
      </c>
      <c r="T7983" s="1" t="s">
        <v>5416</v>
      </c>
      <c r="U7983" s="1" t="str">
        <f>HYPERLINK("http://ictvonline.org/taxonomy/p/taxonomy-history?taxnode_id=202100093","ICTVonline=202100093")</f>
        <v>ICTVonline=202100093</v>
      </c>
    </row>
    <row r="7984" spans="1:21" x14ac:dyDescent="0.2">
      <c r="A7984" s="3">
        <v>7983</v>
      </c>
      <c r="B7984" s="1" t="s">
        <v>4226</v>
      </c>
      <c r="D7984" s="1" t="s">
        <v>5412</v>
      </c>
      <c r="F7984" s="1" t="s">
        <v>3981</v>
      </c>
      <c r="G7984" s="1" t="s">
        <v>4003</v>
      </c>
      <c r="H7984" s="1" t="s">
        <v>4004</v>
      </c>
      <c r="J7984" s="1" t="s">
        <v>3109</v>
      </c>
      <c r="L7984" s="1" t="s">
        <v>3115</v>
      </c>
      <c r="N7984" s="1" t="s">
        <v>1841</v>
      </c>
      <c r="P7984" s="1" t="s">
        <v>8254</v>
      </c>
      <c r="Q7984" s="30" t="s">
        <v>2566</v>
      </c>
      <c r="R7984" s="33" t="s">
        <v>3472</v>
      </c>
      <c r="S7984">
        <v>36</v>
      </c>
      <c r="T7984" s="1" t="s">
        <v>8252</v>
      </c>
      <c r="U7984" s="1" t="str">
        <f>HYPERLINK("http://ictvonline.org/taxonomy/p/taxonomy-history?taxnode_id=202109317","ICTVonline=202109317")</f>
        <v>ICTVonline=202109317</v>
      </c>
    </row>
    <row r="7985" spans="1:21" x14ac:dyDescent="0.2">
      <c r="A7985" s="3">
        <v>7984</v>
      </c>
      <c r="B7985" s="1" t="s">
        <v>4226</v>
      </c>
      <c r="D7985" s="1" t="s">
        <v>5412</v>
      </c>
      <c r="F7985" s="1" t="s">
        <v>3981</v>
      </c>
      <c r="G7985" s="1" t="s">
        <v>4003</v>
      </c>
      <c r="H7985" s="1" t="s">
        <v>4004</v>
      </c>
      <c r="J7985" s="1" t="s">
        <v>3109</v>
      </c>
      <c r="L7985" s="1" t="s">
        <v>3115</v>
      </c>
      <c r="N7985" s="1" t="s">
        <v>1841</v>
      </c>
      <c r="P7985" s="1" t="s">
        <v>2839</v>
      </c>
      <c r="Q7985" s="30" t="s">
        <v>2566</v>
      </c>
      <c r="R7985" s="33" t="s">
        <v>3474</v>
      </c>
      <c r="S7985">
        <v>35</v>
      </c>
      <c r="T7985" s="1" t="s">
        <v>5416</v>
      </c>
      <c r="U7985" s="1" t="str">
        <f>HYPERLINK("http://ictvonline.org/taxonomy/p/taxonomy-history?taxnode_id=202100094","ICTVonline=202100094")</f>
        <v>ICTVonline=202100094</v>
      </c>
    </row>
    <row r="7986" spans="1:21" x14ac:dyDescent="0.2">
      <c r="A7986" s="3">
        <v>7985</v>
      </c>
      <c r="B7986" s="1" t="s">
        <v>4226</v>
      </c>
      <c r="D7986" s="1" t="s">
        <v>5412</v>
      </c>
      <c r="F7986" s="1" t="s">
        <v>3981</v>
      </c>
      <c r="G7986" s="1" t="s">
        <v>4003</v>
      </c>
      <c r="H7986" s="1" t="s">
        <v>4004</v>
      </c>
      <c r="J7986" s="1" t="s">
        <v>3109</v>
      </c>
      <c r="L7986" s="1" t="s">
        <v>3115</v>
      </c>
      <c r="N7986" s="1" t="s">
        <v>1841</v>
      </c>
      <c r="P7986" s="1" t="s">
        <v>4318</v>
      </c>
      <c r="Q7986" s="30" t="s">
        <v>2566</v>
      </c>
      <c r="R7986" s="33" t="s">
        <v>3474</v>
      </c>
      <c r="S7986">
        <v>35</v>
      </c>
      <c r="T7986" s="1" t="s">
        <v>5416</v>
      </c>
      <c r="U7986" s="1" t="str">
        <f>HYPERLINK("http://ictvonline.org/taxonomy/p/taxonomy-history?taxnode_id=202106355","ICTVonline=202106355")</f>
        <v>ICTVonline=202106355</v>
      </c>
    </row>
    <row r="7987" spans="1:21" x14ac:dyDescent="0.2">
      <c r="A7987" s="3">
        <v>7986</v>
      </c>
      <c r="B7987" s="1" t="s">
        <v>4226</v>
      </c>
      <c r="D7987" s="1" t="s">
        <v>5412</v>
      </c>
      <c r="F7987" s="1" t="s">
        <v>3981</v>
      </c>
      <c r="G7987" s="1" t="s">
        <v>4003</v>
      </c>
      <c r="H7987" s="1" t="s">
        <v>4004</v>
      </c>
      <c r="J7987" s="1" t="s">
        <v>3109</v>
      </c>
      <c r="L7987" s="1" t="s">
        <v>3115</v>
      </c>
      <c r="N7987" s="1" t="s">
        <v>1841</v>
      </c>
      <c r="P7987" s="1" t="s">
        <v>2840</v>
      </c>
      <c r="Q7987" s="30" t="s">
        <v>2566</v>
      </c>
      <c r="R7987" s="33" t="s">
        <v>3474</v>
      </c>
      <c r="S7987">
        <v>35</v>
      </c>
      <c r="T7987" s="1" t="s">
        <v>5416</v>
      </c>
      <c r="U7987" s="1" t="str">
        <f>HYPERLINK("http://ictvonline.org/taxonomy/p/taxonomy-history?taxnode_id=202100095","ICTVonline=202100095")</f>
        <v>ICTVonline=202100095</v>
      </c>
    </row>
    <row r="7988" spans="1:21" x14ac:dyDescent="0.2">
      <c r="A7988" s="3">
        <v>7987</v>
      </c>
      <c r="B7988" s="1" t="s">
        <v>4226</v>
      </c>
      <c r="D7988" s="1" t="s">
        <v>5412</v>
      </c>
      <c r="F7988" s="1" t="s">
        <v>3981</v>
      </c>
      <c r="G7988" s="1" t="s">
        <v>4003</v>
      </c>
      <c r="H7988" s="1" t="s">
        <v>4004</v>
      </c>
      <c r="J7988" s="1" t="s">
        <v>3109</v>
      </c>
      <c r="L7988" s="1" t="s">
        <v>3115</v>
      </c>
      <c r="N7988" s="1" t="s">
        <v>1841</v>
      </c>
      <c r="P7988" s="1" t="s">
        <v>4319</v>
      </c>
      <c r="Q7988" s="30" t="s">
        <v>2566</v>
      </c>
      <c r="R7988" s="33" t="s">
        <v>3474</v>
      </c>
      <c r="S7988">
        <v>35</v>
      </c>
      <c r="T7988" s="1" t="s">
        <v>5416</v>
      </c>
      <c r="U7988" s="1" t="str">
        <f>HYPERLINK("http://ictvonline.org/taxonomy/p/taxonomy-history?taxnode_id=202106596","ICTVonline=202106596")</f>
        <v>ICTVonline=202106596</v>
      </c>
    </row>
    <row r="7989" spans="1:21" x14ac:dyDescent="0.2">
      <c r="A7989" s="3">
        <v>7988</v>
      </c>
      <c r="B7989" s="1" t="s">
        <v>4226</v>
      </c>
      <c r="D7989" s="1" t="s">
        <v>5412</v>
      </c>
      <c r="F7989" s="1" t="s">
        <v>3981</v>
      </c>
      <c r="G7989" s="1" t="s">
        <v>4003</v>
      </c>
      <c r="H7989" s="1" t="s">
        <v>4004</v>
      </c>
      <c r="J7989" s="1" t="s">
        <v>3109</v>
      </c>
      <c r="L7989" s="1" t="s">
        <v>3115</v>
      </c>
      <c r="N7989" s="1" t="s">
        <v>1841</v>
      </c>
      <c r="P7989" s="1" t="s">
        <v>2841</v>
      </c>
      <c r="Q7989" s="30" t="s">
        <v>2566</v>
      </c>
      <c r="R7989" s="33" t="s">
        <v>3474</v>
      </c>
      <c r="S7989">
        <v>35</v>
      </c>
      <c r="T7989" s="1" t="s">
        <v>5416</v>
      </c>
      <c r="U7989" s="1" t="str">
        <f>HYPERLINK("http://ictvonline.org/taxonomy/p/taxonomy-history?taxnode_id=202100096","ICTVonline=202100096")</f>
        <v>ICTVonline=202100096</v>
      </c>
    </row>
    <row r="7990" spans="1:21" x14ac:dyDescent="0.2">
      <c r="A7990" s="3">
        <v>7989</v>
      </c>
      <c r="B7990" s="1" t="s">
        <v>4226</v>
      </c>
      <c r="D7990" s="1" t="s">
        <v>5412</v>
      </c>
      <c r="F7990" s="1" t="s">
        <v>3981</v>
      </c>
      <c r="G7990" s="1" t="s">
        <v>4003</v>
      </c>
      <c r="H7990" s="1" t="s">
        <v>4004</v>
      </c>
      <c r="J7990" s="1" t="s">
        <v>3109</v>
      </c>
      <c r="L7990" s="1" t="s">
        <v>3115</v>
      </c>
      <c r="N7990" s="1" t="s">
        <v>1841</v>
      </c>
      <c r="P7990" s="1" t="s">
        <v>2842</v>
      </c>
      <c r="Q7990" s="30" t="s">
        <v>2566</v>
      </c>
      <c r="R7990" s="33" t="s">
        <v>3474</v>
      </c>
      <c r="S7990">
        <v>35</v>
      </c>
      <c r="T7990" s="1" t="s">
        <v>5416</v>
      </c>
      <c r="U7990" s="1" t="str">
        <f>HYPERLINK("http://ictvonline.org/taxonomy/p/taxonomy-history?taxnode_id=202100097","ICTVonline=202100097")</f>
        <v>ICTVonline=202100097</v>
      </c>
    </row>
    <row r="7991" spans="1:21" x14ac:dyDescent="0.2">
      <c r="A7991" s="3">
        <v>7990</v>
      </c>
      <c r="B7991" s="1" t="s">
        <v>4226</v>
      </c>
      <c r="D7991" s="1" t="s">
        <v>5412</v>
      </c>
      <c r="F7991" s="1" t="s">
        <v>3981</v>
      </c>
      <c r="G7991" s="1" t="s">
        <v>4003</v>
      </c>
      <c r="H7991" s="1" t="s">
        <v>4004</v>
      </c>
      <c r="J7991" s="1" t="s">
        <v>3109</v>
      </c>
      <c r="L7991" s="1" t="s">
        <v>3115</v>
      </c>
      <c r="N7991" s="1" t="s">
        <v>1841</v>
      </c>
      <c r="P7991" s="1" t="s">
        <v>2843</v>
      </c>
      <c r="Q7991" s="30" t="s">
        <v>2566</v>
      </c>
      <c r="R7991" s="33" t="s">
        <v>3474</v>
      </c>
      <c r="S7991">
        <v>35</v>
      </c>
      <c r="T7991" s="1" t="s">
        <v>5416</v>
      </c>
      <c r="U7991" s="1" t="str">
        <f>HYPERLINK("http://ictvonline.org/taxonomy/p/taxonomy-history?taxnode_id=202100098","ICTVonline=202100098")</f>
        <v>ICTVonline=202100098</v>
      </c>
    </row>
    <row r="7992" spans="1:21" x14ac:dyDescent="0.2">
      <c r="A7992" s="3">
        <v>7991</v>
      </c>
      <c r="B7992" s="1" t="s">
        <v>4226</v>
      </c>
      <c r="D7992" s="1" t="s">
        <v>5412</v>
      </c>
      <c r="F7992" s="1" t="s">
        <v>3981</v>
      </c>
      <c r="G7992" s="1" t="s">
        <v>4003</v>
      </c>
      <c r="H7992" s="1" t="s">
        <v>4004</v>
      </c>
      <c r="J7992" s="1" t="s">
        <v>3109</v>
      </c>
      <c r="L7992" s="1" t="s">
        <v>3115</v>
      </c>
      <c r="N7992" s="1" t="s">
        <v>1841</v>
      </c>
      <c r="P7992" s="1" t="s">
        <v>4320</v>
      </c>
      <c r="Q7992" s="30" t="s">
        <v>2566</v>
      </c>
      <c r="R7992" s="33" t="s">
        <v>3474</v>
      </c>
      <c r="S7992">
        <v>35</v>
      </c>
      <c r="T7992" s="1" t="s">
        <v>5416</v>
      </c>
      <c r="U7992" s="1" t="str">
        <f>HYPERLINK("http://ictvonline.org/taxonomy/p/taxonomy-history?taxnode_id=202106356","ICTVonline=202106356")</f>
        <v>ICTVonline=202106356</v>
      </c>
    </row>
    <row r="7993" spans="1:21" x14ac:dyDescent="0.2">
      <c r="A7993" s="3">
        <v>7992</v>
      </c>
      <c r="B7993" s="1" t="s">
        <v>4226</v>
      </c>
      <c r="D7993" s="1" t="s">
        <v>5412</v>
      </c>
      <c r="F7993" s="1" t="s">
        <v>3981</v>
      </c>
      <c r="G7993" s="1" t="s">
        <v>4003</v>
      </c>
      <c r="H7993" s="1" t="s">
        <v>4004</v>
      </c>
      <c r="J7993" s="1" t="s">
        <v>3109</v>
      </c>
      <c r="L7993" s="1" t="s">
        <v>3115</v>
      </c>
      <c r="N7993" s="1" t="s">
        <v>1841</v>
      </c>
      <c r="P7993" s="1" t="s">
        <v>2844</v>
      </c>
      <c r="Q7993" s="30" t="s">
        <v>2566</v>
      </c>
      <c r="R7993" s="33" t="s">
        <v>3474</v>
      </c>
      <c r="S7993">
        <v>35</v>
      </c>
      <c r="T7993" s="1" t="s">
        <v>5416</v>
      </c>
      <c r="U7993" s="1" t="str">
        <f>HYPERLINK("http://ictvonline.org/taxonomy/p/taxonomy-history?taxnode_id=202100099","ICTVonline=202100099")</f>
        <v>ICTVonline=202100099</v>
      </c>
    </row>
    <row r="7994" spans="1:21" x14ac:dyDescent="0.2">
      <c r="A7994" s="3">
        <v>7993</v>
      </c>
      <c r="B7994" s="1" t="s">
        <v>4226</v>
      </c>
      <c r="D7994" s="1" t="s">
        <v>5412</v>
      </c>
      <c r="F7994" s="1" t="s">
        <v>3981</v>
      </c>
      <c r="G7994" s="1" t="s">
        <v>4003</v>
      </c>
      <c r="H7994" s="1" t="s">
        <v>4004</v>
      </c>
      <c r="J7994" s="1" t="s">
        <v>3109</v>
      </c>
      <c r="L7994" s="1" t="s">
        <v>3115</v>
      </c>
      <c r="N7994" s="1" t="s">
        <v>1841</v>
      </c>
      <c r="P7994" s="1" t="s">
        <v>4321</v>
      </c>
      <c r="Q7994" s="30" t="s">
        <v>2566</v>
      </c>
      <c r="R7994" s="33" t="s">
        <v>3474</v>
      </c>
      <c r="S7994">
        <v>35</v>
      </c>
      <c r="T7994" s="1" t="s">
        <v>5416</v>
      </c>
      <c r="U7994" s="1" t="str">
        <f>HYPERLINK("http://ictvonline.org/taxonomy/p/taxonomy-history?taxnode_id=202106357","ICTVonline=202106357")</f>
        <v>ICTVonline=202106357</v>
      </c>
    </row>
    <row r="7995" spans="1:21" x14ac:dyDescent="0.2">
      <c r="A7995" s="3">
        <v>7994</v>
      </c>
      <c r="B7995" s="1" t="s">
        <v>4226</v>
      </c>
      <c r="D7995" s="1" t="s">
        <v>5412</v>
      </c>
      <c r="F7995" s="1" t="s">
        <v>3981</v>
      </c>
      <c r="G7995" s="1" t="s">
        <v>4003</v>
      </c>
      <c r="H7995" s="1" t="s">
        <v>4004</v>
      </c>
      <c r="J7995" s="1" t="s">
        <v>3109</v>
      </c>
      <c r="L7995" s="1" t="s">
        <v>3115</v>
      </c>
      <c r="N7995" s="1" t="s">
        <v>1841</v>
      </c>
      <c r="P7995" s="1" t="s">
        <v>8255</v>
      </c>
      <c r="Q7995" s="30" t="s">
        <v>2566</v>
      </c>
      <c r="R7995" s="33" t="s">
        <v>3472</v>
      </c>
      <c r="S7995">
        <v>36</v>
      </c>
      <c r="T7995" s="1" t="s">
        <v>8252</v>
      </c>
      <c r="U7995" s="1" t="str">
        <f>HYPERLINK("http://ictvonline.org/taxonomy/p/taxonomy-history?taxnode_id=202109318","ICTVonline=202109318")</f>
        <v>ICTVonline=202109318</v>
      </c>
    </row>
    <row r="7996" spans="1:21" x14ac:dyDescent="0.2">
      <c r="A7996" s="3">
        <v>7995</v>
      </c>
      <c r="B7996" s="1" t="s">
        <v>4226</v>
      </c>
      <c r="D7996" s="1" t="s">
        <v>5412</v>
      </c>
      <c r="F7996" s="1" t="s">
        <v>3981</v>
      </c>
      <c r="G7996" s="1" t="s">
        <v>4003</v>
      </c>
      <c r="H7996" s="1" t="s">
        <v>4004</v>
      </c>
      <c r="J7996" s="1" t="s">
        <v>3109</v>
      </c>
      <c r="L7996" s="1" t="s">
        <v>3115</v>
      </c>
      <c r="N7996" s="1" t="s">
        <v>1841</v>
      </c>
      <c r="P7996" s="1" t="s">
        <v>8256</v>
      </c>
      <c r="Q7996" s="30" t="s">
        <v>2566</v>
      </c>
      <c r="R7996" s="33" t="s">
        <v>3472</v>
      </c>
      <c r="S7996">
        <v>36</v>
      </c>
      <c r="T7996" s="1" t="s">
        <v>8252</v>
      </c>
      <c r="U7996" s="1" t="str">
        <f>HYPERLINK("http://ictvonline.org/taxonomy/p/taxonomy-history?taxnode_id=202109319","ICTVonline=202109319")</f>
        <v>ICTVonline=202109319</v>
      </c>
    </row>
    <row r="7997" spans="1:21" x14ac:dyDescent="0.2">
      <c r="A7997" s="3">
        <v>7996</v>
      </c>
      <c r="B7997" s="1" t="s">
        <v>4226</v>
      </c>
      <c r="D7997" s="1" t="s">
        <v>5412</v>
      </c>
      <c r="F7997" s="1" t="s">
        <v>3981</v>
      </c>
      <c r="G7997" s="1" t="s">
        <v>4003</v>
      </c>
      <c r="H7997" s="1" t="s">
        <v>4004</v>
      </c>
      <c r="J7997" s="1" t="s">
        <v>3109</v>
      </c>
      <c r="L7997" s="1" t="s">
        <v>3115</v>
      </c>
      <c r="N7997" s="1" t="s">
        <v>1841</v>
      </c>
      <c r="P7997" s="1" t="s">
        <v>8257</v>
      </c>
      <c r="Q7997" s="30" t="s">
        <v>2566</v>
      </c>
      <c r="R7997" s="33" t="s">
        <v>3472</v>
      </c>
      <c r="S7997">
        <v>36</v>
      </c>
      <c r="T7997" s="1" t="s">
        <v>8252</v>
      </c>
      <c r="U7997" s="1" t="str">
        <f>HYPERLINK("http://ictvonline.org/taxonomy/p/taxonomy-history?taxnode_id=202109320","ICTVonline=202109320")</f>
        <v>ICTVonline=202109320</v>
      </c>
    </row>
    <row r="7998" spans="1:21" x14ac:dyDescent="0.2">
      <c r="A7998" s="3">
        <v>7997</v>
      </c>
      <c r="B7998" s="1" t="s">
        <v>4226</v>
      </c>
      <c r="D7998" s="1" t="s">
        <v>5412</v>
      </c>
      <c r="F7998" s="1" t="s">
        <v>3981</v>
      </c>
      <c r="G7998" s="1" t="s">
        <v>4003</v>
      </c>
      <c r="H7998" s="1" t="s">
        <v>4004</v>
      </c>
      <c r="J7998" s="1" t="s">
        <v>3109</v>
      </c>
      <c r="L7998" s="1" t="s">
        <v>3115</v>
      </c>
      <c r="N7998" s="1" t="s">
        <v>1841</v>
      </c>
      <c r="P7998" s="1" t="s">
        <v>2845</v>
      </c>
      <c r="Q7998" s="30" t="s">
        <v>2566</v>
      </c>
      <c r="R7998" s="33" t="s">
        <v>8665</v>
      </c>
      <c r="S7998">
        <v>36</v>
      </c>
      <c r="T7998" s="1" t="s">
        <v>8661</v>
      </c>
      <c r="U7998" s="1" t="str">
        <f>HYPERLINK("http://ictvonline.org/taxonomy/p/taxonomy-history?taxnode_id=202100100","ICTVonline=202100100")</f>
        <v>ICTVonline=202100100</v>
      </c>
    </row>
    <row r="7999" spans="1:21" x14ac:dyDescent="0.2">
      <c r="A7999" s="3">
        <v>7998</v>
      </c>
      <c r="B7999" s="1" t="s">
        <v>4226</v>
      </c>
      <c r="D7999" s="1" t="s">
        <v>5412</v>
      </c>
      <c r="F7999" s="1" t="s">
        <v>3981</v>
      </c>
      <c r="G7999" s="1" t="s">
        <v>4003</v>
      </c>
      <c r="H7999" s="1" t="s">
        <v>4004</v>
      </c>
      <c r="J7999" s="1" t="s">
        <v>3109</v>
      </c>
      <c r="L7999" s="1" t="s">
        <v>3115</v>
      </c>
      <c r="N7999" s="1" t="s">
        <v>1841</v>
      </c>
      <c r="P7999" s="1" t="s">
        <v>2846</v>
      </c>
      <c r="Q7999" s="30" t="s">
        <v>2566</v>
      </c>
      <c r="R7999" s="33" t="s">
        <v>3474</v>
      </c>
      <c r="S7999">
        <v>35</v>
      </c>
      <c r="T7999" s="1" t="s">
        <v>5416</v>
      </c>
      <c r="U7999" s="1" t="str">
        <f>HYPERLINK("http://ictvonline.org/taxonomy/p/taxonomy-history?taxnode_id=202100101","ICTVonline=202100101")</f>
        <v>ICTVonline=202100101</v>
      </c>
    </row>
    <row r="8000" spans="1:21" x14ac:dyDescent="0.2">
      <c r="A8000" s="3">
        <v>7999</v>
      </c>
      <c r="B8000" s="1" t="s">
        <v>4226</v>
      </c>
      <c r="D8000" s="1" t="s">
        <v>5412</v>
      </c>
      <c r="F8000" s="1" t="s">
        <v>3981</v>
      </c>
      <c r="G8000" s="1" t="s">
        <v>4003</v>
      </c>
      <c r="H8000" s="1" t="s">
        <v>4004</v>
      </c>
      <c r="J8000" s="1" t="s">
        <v>3109</v>
      </c>
      <c r="L8000" s="1" t="s">
        <v>3115</v>
      </c>
      <c r="N8000" s="1" t="s">
        <v>1841</v>
      </c>
      <c r="P8000" s="1" t="s">
        <v>4322</v>
      </c>
      <c r="Q8000" s="30" t="s">
        <v>2566</v>
      </c>
      <c r="R8000" s="33" t="s">
        <v>3474</v>
      </c>
      <c r="S8000">
        <v>35</v>
      </c>
      <c r="T8000" s="1" t="s">
        <v>5416</v>
      </c>
      <c r="U8000" s="1" t="str">
        <f>HYPERLINK("http://ictvonline.org/taxonomy/p/taxonomy-history?taxnode_id=202106374","ICTVonline=202106374")</f>
        <v>ICTVonline=202106374</v>
      </c>
    </row>
    <row r="8001" spans="1:21" x14ac:dyDescent="0.2">
      <c r="A8001" s="3">
        <v>8000</v>
      </c>
      <c r="B8001" s="1" t="s">
        <v>4226</v>
      </c>
      <c r="D8001" s="1" t="s">
        <v>5412</v>
      </c>
      <c r="F8001" s="1" t="s">
        <v>3981</v>
      </c>
      <c r="G8001" s="1" t="s">
        <v>4003</v>
      </c>
      <c r="H8001" s="1" t="s">
        <v>4004</v>
      </c>
      <c r="J8001" s="1" t="s">
        <v>3109</v>
      </c>
      <c r="L8001" s="1" t="s">
        <v>3115</v>
      </c>
      <c r="N8001" s="1" t="s">
        <v>1841</v>
      </c>
      <c r="P8001" s="1" t="s">
        <v>2847</v>
      </c>
      <c r="Q8001" s="30" t="s">
        <v>2566</v>
      </c>
      <c r="R8001" s="33" t="s">
        <v>3474</v>
      </c>
      <c r="S8001">
        <v>35</v>
      </c>
      <c r="T8001" s="1" t="s">
        <v>5416</v>
      </c>
      <c r="U8001" s="1" t="str">
        <f>HYPERLINK("http://ictvonline.org/taxonomy/p/taxonomy-history?taxnode_id=202100102","ICTVonline=202100102")</f>
        <v>ICTVonline=202100102</v>
      </c>
    </row>
    <row r="8002" spans="1:21" x14ac:dyDescent="0.2">
      <c r="A8002" s="3">
        <v>8001</v>
      </c>
      <c r="B8002" s="1" t="s">
        <v>4226</v>
      </c>
      <c r="D8002" s="1" t="s">
        <v>5412</v>
      </c>
      <c r="F8002" s="1" t="s">
        <v>3981</v>
      </c>
      <c r="G8002" s="1" t="s">
        <v>4003</v>
      </c>
      <c r="H8002" s="1" t="s">
        <v>4004</v>
      </c>
      <c r="J8002" s="1" t="s">
        <v>3109</v>
      </c>
      <c r="L8002" s="1" t="s">
        <v>3115</v>
      </c>
      <c r="N8002" s="1" t="s">
        <v>1841</v>
      </c>
      <c r="P8002" s="1" t="s">
        <v>4323</v>
      </c>
      <c r="Q8002" s="30" t="s">
        <v>2566</v>
      </c>
      <c r="R8002" s="33" t="s">
        <v>3474</v>
      </c>
      <c r="S8002">
        <v>35</v>
      </c>
      <c r="T8002" s="1" t="s">
        <v>5416</v>
      </c>
      <c r="U8002" s="1" t="str">
        <f>HYPERLINK("http://ictvonline.org/taxonomy/p/taxonomy-history?taxnode_id=202106358","ICTVonline=202106358")</f>
        <v>ICTVonline=202106358</v>
      </c>
    </row>
    <row r="8003" spans="1:21" x14ac:dyDescent="0.2">
      <c r="A8003" s="3">
        <v>8002</v>
      </c>
      <c r="B8003" s="1" t="s">
        <v>4226</v>
      </c>
      <c r="D8003" s="1" t="s">
        <v>5412</v>
      </c>
      <c r="F8003" s="1" t="s">
        <v>3981</v>
      </c>
      <c r="G8003" s="1" t="s">
        <v>4003</v>
      </c>
      <c r="H8003" s="1" t="s">
        <v>4004</v>
      </c>
      <c r="J8003" s="1" t="s">
        <v>3109</v>
      </c>
      <c r="L8003" s="1" t="s">
        <v>3115</v>
      </c>
      <c r="N8003" s="1" t="s">
        <v>1841</v>
      </c>
      <c r="P8003" s="1" t="s">
        <v>4324</v>
      </c>
      <c r="Q8003" s="30" t="s">
        <v>2566</v>
      </c>
      <c r="R8003" s="33" t="s">
        <v>3474</v>
      </c>
      <c r="S8003">
        <v>35</v>
      </c>
      <c r="T8003" s="1" t="s">
        <v>5416</v>
      </c>
      <c r="U8003" s="1" t="str">
        <f>HYPERLINK("http://ictvonline.org/taxonomy/p/taxonomy-history?taxnode_id=202106384","ICTVonline=202106384")</f>
        <v>ICTVonline=202106384</v>
      </c>
    </row>
    <row r="8004" spans="1:21" x14ac:dyDescent="0.2">
      <c r="A8004" s="3">
        <v>8003</v>
      </c>
      <c r="B8004" s="1" t="s">
        <v>4226</v>
      </c>
      <c r="D8004" s="1" t="s">
        <v>5412</v>
      </c>
      <c r="F8004" s="1" t="s">
        <v>3981</v>
      </c>
      <c r="G8004" s="1" t="s">
        <v>4003</v>
      </c>
      <c r="H8004" s="1" t="s">
        <v>4004</v>
      </c>
      <c r="J8004" s="1" t="s">
        <v>3109</v>
      </c>
      <c r="L8004" s="1" t="s">
        <v>3115</v>
      </c>
      <c r="N8004" s="1" t="s">
        <v>1841</v>
      </c>
      <c r="P8004" s="1" t="s">
        <v>2848</v>
      </c>
      <c r="Q8004" s="30" t="s">
        <v>2566</v>
      </c>
      <c r="R8004" s="33" t="s">
        <v>3474</v>
      </c>
      <c r="S8004">
        <v>35</v>
      </c>
      <c r="T8004" s="1" t="s">
        <v>5416</v>
      </c>
      <c r="U8004" s="1" t="str">
        <f>HYPERLINK("http://ictvonline.org/taxonomy/p/taxonomy-history?taxnode_id=202100103","ICTVonline=202100103")</f>
        <v>ICTVonline=202100103</v>
      </c>
    </row>
    <row r="8005" spans="1:21" x14ac:dyDescent="0.2">
      <c r="A8005" s="3">
        <v>8004</v>
      </c>
      <c r="B8005" s="1" t="s">
        <v>4226</v>
      </c>
      <c r="D8005" s="1" t="s">
        <v>5412</v>
      </c>
      <c r="F8005" s="1" t="s">
        <v>3981</v>
      </c>
      <c r="G8005" s="1" t="s">
        <v>4003</v>
      </c>
      <c r="H8005" s="1" t="s">
        <v>4004</v>
      </c>
      <c r="J8005" s="1" t="s">
        <v>3109</v>
      </c>
      <c r="L8005" s="1" t="s">
        <v>3115</v>
      </c>
      <c r="N8005" s="1" t="s">
        <v>1841</v>
      </c>
      <c r="P8005" s="1" t="s">
        <v>2849</v>
      </c>
      <c r="Q8005" s="30" t="s">
        <v>2566</v>
      </c>
      <c r="R8005" s="33" t="s">
        <v>3474</v>
      </c>
      <c r="S8005">
        <v>35</v>
      </c>
      <c r="T8005" s="1" t="s">
        <v>5416</v>
      </c>
      <c r="U8005" s="1" t="str">
        <f>HYPERLINK("http://ictvonline.org/taxonomy/p/taxonomy-history?taxnode_id=202100104","ICTVonline=202100104")</f>
        <v>ICTVonline=202100104</v>
      </c>
    </row>
    <row r="8006" spans="1:21" x14ac:dyDescent="0.2">
      <c r="A8006" s="3">
        <v>8005</v>
      </c>
      <c r="B8006" s="1" t="s">
        <v>4226</v>
      </c>
      <c r="D8006" s="1" t="s">
        <v>5412</v>
      </c>
      <c r="F8006" s="1" t="s">
        <v>3981</v>
      </c>
      <c r="G8006" s="1" t="s">
        <v>4003</v>
      </c>
      <c r="H8006" s="1" t="s">
        <v>4004</v>
      </c>
      <c r="J8006" s="1" t="s">
        <v>3109</v>
      </c>
      <c r="L8006" s="1" t="s">
        <v>3115</v>
      </c>
      <c r="N8006" s="1" t="s">
        <v>1841</v>
      </c>
      <c r="P8006" s="1" t="s">
        <v>2850</v>
      </c>
      <c r="Q8006" s="30" t="s">
        <v>2566</v>
      </c>
      <c r="R8006" s="33" t="s">
        <v>3474</v>
      </c>
      <c r="S8006">
        <v>35</v>
      </c>
      <c r="T8006" s="1" t="s">
        <v>5416</v>
      </c>
      <c r="U8006" s="1" t="str">
        <f>HYPERLINK("http://ictvonline.org/taxonomy/p/taxonomy-history?taxnode_id=202100105","ICTVonline=202100105")</f>
        <v>ICTVonline=202100105</v>
      </c>
    </row>
    <row r="8007" spans="1:21" x14ac:dyDescent="0.2">
      <c r="A8007" s="3">
        <v>8006</v>
      </c>
      <c r="B8007" s="1" t="s">
        <v>4226</v>
      </c>
      <c r="D8007" s="1" t="s">
        <v>5412</v>
      </c>
      <c r="F8007" s="1" t="s">
        <v>3981</v>
      </c>
      <c r="G8007" s="1" t="s">
        <v>4003</v>
      </c>
      <c r="H8007" s="1" t="s">
        <v>4004</v>
      </c>
      <c r="J8007" s="1" t="s">
        <v>3109</v>
      </c>
      <c r="L8007" s="1" t="s">
        <v>3115</v>
      </c>
      <c r="N8007" s="1" t="s">
        <v>1841</v>
      </c>
      <c r="P8007" s="1" t="s">
        <v>4325</v>
      </c>
      <c r="Q8007" s="30" t="s">
        <v>2566</v>
      </c>
      <c r="R8007" s="33" t="s">
        <v>3474</v>
      </c>
      <c r="S8007">
        <v>35</v>
      </c>
      <c r="T8007" s="1" t="s">
        <v>5416</v>
      </c>
      <c r="U8007" s="1" t="str">
        <f>HYPERLINK("http://ictvonline.org/taxonomy/p/taxonomy-history?taxnode_id=202106375","ICTVonline=202106375")</f>
        <v>ICTVonline=202106375</v>
      </c>
    </row>
    <row r="8008" spans="1:21" x14ac:dyDescent="0.2">
      <c r="A8008" s="3">
        <v>8007</v>
      </c>
      <c r="B8008" s="1" t="s">
        <v>4226</v>
      </c>
      <c r="D8008" s="1" t="s">
        <v>5412</v>
      </c>
      <c r="F8008" s="1" t="s">
        <v>3981</v>
      </c>
      <c r="G8008" s="1" t="s">
        <v>4003</v>
      </c>
      <c r="H8008" s="1" t="s">
        <v>4004</v>
      </c>
      <c r="J8008" s="1" t="s">
        <v>3109</v>
      </c>
      <c r="L8008" s="1" t="s">
        <v>3115</v>
      </c>
      <c r="N8008" s="1" t="s">
        <v>1841</v>
      </c>
      <c r="P8008" s="1" t="s">
        <v>2851</v>
      </c>
      <c r="Q8008" s="30" t="s">
        <v>2566</v>
      </c>
      <c r="R8008" s="33" t="s">
        <v>3474</v>
      </c>
      <c r="S8008">
        <v>35</v>
      </c>
      <c r="T8008" s="1" t="s">
        <v>5416</v>
      </c>
      <c r="U8008" s="1" t="str">
        <f>HYPERLINK("http://ictvonline.org/taxonomy/p/taxonomy-history?taxnode_id=202100106","ICTVonline=202100106")</f>
        <v>ICTVonline=202100106</v>
      </c>
    </row>
    <row r="8009" spans="1:21" x14ac:dyDescent="0.2">
      <c r="A8009" s="3">
        <v>8008</v>
      </c>
      <c r="B8009" s="1" t="s">
        <v>4226</v>
      </c>
      <c r="D8009" s="1" t="s">
        <v>5412</v>
      </c>
      <c r="F8009" s="1" t="s">
        <v>3981</v>
      </c>
      <c r="G8009" s="1" t="s">
        <v>4003</v>
      </c>
      <c r="H8009" s="1" t="s">
        <v>4004</v>
      </c>
      <c r="J8009" s="1" t="s">
        <v>3109</v>
      </c>
      <c r="L8009" s="1" t="s">
        <v>3115</v>
      </c>
      <c r="N8009" s="1" t="s">
        <v>1841</v>
      </c>
      <c r="P8009" s="1" t="s">
        <v>4326</v>
      </c>
      <c r="Q8009" s="30" t="s">
        <v>2566</v>
      </c>
      <c r="R8009" s="33" t="s">
        <v>3474</v>
      </c>
      <c r="S8009">
        <v>35</v>
      </c>
      <c r="T8009" s="1" t="s">
        <v>5416</v>
      </c>
      <c r="U8009" s="1" t="str">
        <f>HYPERLINK("http://ictvonline.org/taxonomy/p/taxonomy-history?taxnode_id=202106597","ICTVonline=202106597")</f>
        <v>ICTVonline=202106597</v>
      </c>
    </row>
    <row r="8010" spans="1:21" x14ac:dyDescent="0.2">
      <c r="A8010" s="3">
        <v>8009</v>
      </c>
      <c r="B8010" s="1" t="s">
        <v>4226</v>
      </c>
      <c r="D8010" s="1" t="s">
        <v>5412</v>
      </c>
      <c r="F8010" s="1" t="s">
        <v>3981</v>
      </c>
      <c r="G8010" s="1" t="s">
        <v>4003</v>
      </c>
      <c r="H8010" s="1" t="s">
        <v>4004</v>
      </c>
      <c r="J8010" s="1" t="s">
        <v>3109</v>
      </c>
      <c r="L8010" s="1" t="s">
        <v>3115</v>
      </c>
      <c r="N8010" s="1" t="s">
        <v>1841</v>
      </c>
      <c r="P8010" s="1" t="s">
        <v>4327</v>
      </c>
      <c r="Q8010" s="30" t="s">
        <v>2566</v>
      </c>
      <c r="R8010" s="33" t="s">
        <v>3474</v>
      </c>
      <c r="S8010">
        <v>35</v>
      </c>
      <c r="T8010" s="1" t="s">
        <v>5416</v>
      </c>
      <c r="U8010" s="1" t="str">
        <f>HYPERLINK("http://ictvonline.org/taxonomy/p/taxonomy-history?taxnode_id=202106378","ICTVonline=202106378")</f>
        <v>ICTVonline=202106378</v>
      </c>
    </row>
    <row r="8011" spans="1:21" x14ac:dyDescent="0.2">
      <c r="A8011" s="3">
        <v>8010</v>
      </c>
      <c r="B8011" s="1" t="s">
        <v>4226</v>
      </c>
      <c r="D8011" s="1" t="s">
        <v>5412</v>
      </c>
      <c r="F8011" s="1" t="s">
        <v>3981</v>
      </c>
      <c r="G8011" s="1" t="s">
        <v>4003</v>
      </c>
      <c r="H8011" s="1" t="s">
        <v>4004</v>
      </c>
      <c r="J8011" s="1" t="s">
        <v>3109</v>
      </c>
      <c r="L8011" s="1" t="s">
        <v>3115</v>
      </c>
      <c r="N8011" s="1" t="s">
        <v>1841</v>
      </c>
      <c r="P8011" s="1" t="s">
        <v>4328</v>
      </c>
      <c r="Q8011" s="30" t="s">
        <v>2566</v>
      </c>
      <c r="R8011" s="33" t="s">
        <v>3474</v>
      </c>
      <c r="S8011">
        <v>35</v>
      </c>
      <c r="T8011" s="1" t="s">
        <v>5416</v>
      </c>
      <c r="U8011" s="1" t="str">
        <f>HYPERLINK("http://ictvonline.org/taxonomy/p/taxonomy-history?taxnode_id=202106359","ICTVonline=202106359")</f>
        <v>ICTVonline=202106359</v>
      </c>
    </row>
    <row r="8012" spans="1:21" x14ac:dyDescent="0.2">
      <c r="A8012" s="3">
        <v>8011</v>
      </c>
      <c r="B8012" s="1" t="s">
        <v>4226</v>
      </c>
      <c r="D8012" s="1" t="s">
        <v>5412</v>
      </c>
      <c r="F8012" s="1" t="s">
        <v>3981</v>
      </c>
      <c r="G8012" s="1" t="s">
        <v>4003</v>
      </c>
      <c r="H8012" s="1" t="s">
        <v>4004</v>
      </c>
      <c r="J8012" s="1" t="s">
        <v>3109</v>
      </c>
      <c r="L8012" s="1" t="s">
        <v>3115</v>
      </c>
      <c r="N8012" s="1" t="s">
        <v>1841</v>
      </c>
      <c r="P8012" s="1" t="s">
        <v>2852</v>
      </c>
      <c r="Q8012" s="30" t="s">
        <v>2566</v>
      </c>
      <c r="R8012" s="33" t="s">
        <v>3474</v>
      </c>
      <c r="S8012">
        <v>35</v>
      </c>
      <c r="T8012" s="1" t="s">
        <v>5416</v>
      </c>
      <c r="U8012" s="1" t="str">
        <f>HYPERLINK("http://ictvonline.org/taxonomy/p/taxonomy-history?taxnode_id=202100108","ICTVonline=202100108")</f>
        <v>ICTVonline=202100108</v>
      </c>
    </row>
    <row r="8013" spans="1:21" x14ac:dyDescent="0.2">
      <c r="A8013" s="3">
        <v>8012</v>
      </c>
      <c r="B8013" s="1" t="s">
        <v>4226</v>
      </c>
      <c r="D8013" s="1" t="s">
        <v>5412</v>
      </c>
      <c r="F8013" s="1" t="s">
        <v>3981</v>
      </c>
      <c r="G8013" s="1" t="s">
        <v>4003</v>
      </c>
      <c r="H8013" s="1" t="s">
        <v>4004</v>
      </c>
      <c r="J8013" s="1" t="s">
        <v>3109</v>
      </c>
      <c r="L8013" s="1" t="s">
        <v>3115</v>
      </c>
      <c r="N8013" s="1" t="s">
        <v>1841</v>
      </c>
      <c r="P8013" s="1" t="s">
        <v>8258</v>
      </c>
      <c r="Q8013" s="30" t="s">
        <v>2566</v>
      </c>
      <c r="R8013" s="33" t="s">
        <v>3472</v>
      </c>
      <c r="S8013">
        <v>36</v>
      </c>
      <c r="T8013" s="1" t="s">
        <v>8252</v>
      </c>
      <c r="U8013" s="1" t="str">
        <f>HYPERLINK("http://ictvonline.org/taxonomy/p/taxonomy-history?taxnode_id=202109321","ICTVonline=202109321")</f>
        <v>ICTVonline=202109321</v>
      </c>
    </row>
    <row r="8014" spans="1:21" x14ac:dyDescent="0.2">
      <c r="A8014" s="3">
        <v>8013</v>
      </c>
      <c r="B8014" s="1" t="s">
        <v>4226</v>
      </c>
      <c r="D8014" s="1" t="s">
        <v>5412</v>
      </c>
      <c r="F8014" s="1" t="s">
        <v>3981</v>
      </c>
      <c r="G8014" s="1" t="s">
        <v>4003</v>
      </c>
      <c r="H8014" s="1" t="s">
        <v>4004</v>
      </c>
      <c r="J8014" s="1" t="s">
        <v>3109</v>
      </c>
      <c r="L8014" s="1" t="s">
        <v>3115</v>
      </c>
      <c r="N8014" s="1" t="s">
        <v>1841</v>
      </c>
      <c r="P8014" s="1" t="s">
        <v>2853</v>
      </c>
      <c r="Q8014" s="30" t="s">
        <v>2566</v>
      </c>
      <c r="R8014" s="33" t="s">
        <v>3474</v>
      </c>
      <c r="S8014">
        <v>35</v>
      </c>
      <c r="T8014" s="1" t="s">
        <v>5416</v>
      </c>
      <c r="U8014" s="1" t="str">
        <f>HYPERLINK("http://ictvonline.org/taxonomy/p/taxonomy-history?taxnode_id=202100109","ICTVonline=202100109")</f>
        <v>ICTVonline=202100109</v>
      </c>
    </row>
    <row r="8015" spans="1:21" x14ac:dyDescent="0.2">
      <c r="A8015" s="3">
        <v>8014</v>
      </c>
      <c r="B8015" s="1" t="s">
        <v>4226</v>
      </c>
      <c r="D8015" s="1" t="s">
        <v>5412</v>
      </c>
      <c r="F8015" s="1" t="s">
        <v>3981</v>
      </c>
      <c r="G8015" s="1" t="s">
        <v>4003</v>
      </c>
      <c r="H8015" s="1" t="s">
        <v>4004</v>
      </c>
      <c r="J8015" s="1" t="s">
        <v>3109</v>
      </c>
      <c r="L8015" s="1" t="s">
        <v>3115</v>
      </c>
      <c r="N8015" s="1" t="s">
        <v>1841</v>
      </c>
      <c r="P8015" s="1" t="s">
        <v>2854</v>
      </c>
      <c r="Q8015" s="30" t="s">
        <v>2566</v>
      </c>
      <c r="R8015" s="33" t="s">
        <v>3474</v>
      </c>
      <c r="S8015">
        <v>35</v>
      </c>
      <c r="T8015" s="1" t="s">
        <v>5416</v>
      </c>
      <c r="U8015" s="1" t="str">
        <f>HYPERLINK("http://ictvonline.org/taxonomy/p/taxonomy-history?taxnode_id=202100110","ICTVonline=202100110")</f>
        <v>ICTVonline=202100110</v>
      </c>
    </row>
    <row r="8016" spans="1:21" x14ac:dyDescent="0.2">
      <c r="A8016" s="3">
        <v>8015</v>
      </c>
      <c r="B8016" s="1" t="s">
        <v>4226</v>
      </c>
      <c r="D8016" s="1" t="s">
        <v>5412</v>
      </c>
      <c r="F8016" s="1" t="s">
        <v>3981</v>
      </c>
      <c r="G8016" s="1" t="s">
        <v>4003</v>
      </c>
      <c r="H8016" s="1" t="s">
        <v>4004</v>
      </c>
      <c r="J8016" s="1" t="s">
        <v>3109</v>
      </c>
      <c r="L8016" s="1" t="s">
        <v>3115</v>
      </c>
      <c r="N8016" s="1" t="s">
        <v>1841</v>
      </c>
      <c r="P8016" s="1" t="s">
        <v>2855</v>
      </c>
      <c r="Q8016" s="30" t="s">
        <v>2566</v>
      </c>
      <c r="R8016" s="33" t="s">
        <v>3474</v>
      </c>
      <c r="S8016">
        <v>35</v>
      </c>
      <c r="T8016" s="1" t="s">
        <v>5416</v>
      </c>
      <c r="U8016" s="1" t="str">
        <f>HYPERLINK("http://ictvonline.org/taxonomy/p/taxonomy-history?taxnode_id=202100111","ICTVonline=202100111")</f>
        <v>ICTVonline=202100111</v>
      </c>
    </row>
    <row r="8017" spans="1:21" x14ac:dyDescent="0.2">
      <c r="A8017" s="3">
        <v>8016</v>
      </c>
      <c r="B8017" s="1" t="s">
        <v>4226</v>
      </c>
      <c r="D8017" s="1" t="s">
        <v>5412</v>
      </c>
      <c r="F8017" s="1" t="s">
        <v>3981</v>
      </c>
      <c r="G8017" s="1" t="s">
        <v>4003</v>
      </c>
      <c r="H8017" s="1" t="s">
        <v>4004</v>
      </c>
      <c r="J8017" s="1" t="s">
        <v>3109</v>
      </c>
      <c r="L8017" s="1" t="s">
        <v>3115</v>
      </c>
      <c r="N8017" s="1" t="s">
        <v>1841</v>
      </c>
      <c r="P8017" s="1" t="s">
        <v>4329</v>
      </c>
      <c r="Q8017" s="30" t="s">
        <v>2566</v>
      </c>
      <c r="R8017" s="33" t="s">
        <v>3474</v>
      </c>
      <c r="S8017">
        <v>35</v>
      </c>
      <c r="T8017" s="1" t="s">
        <v>5416</v>
      </c>
      <c r="U8017" s="1" t="str">
        <f>HYPERLINK("http://ictvonline.org/taxonomy/p/taxonomy-history?taxnode_id=202106385","ICTVonline=202106385")</f>
        <v>ICTVonline=202106385</v>
      </c>
    </row>
    <row r="8018" spans="1:21" x14ac:dyDescent="0.2">
      <c r="A8018" s="3">
        <v>8017</v>
      </c>
      <c r="B8018" s="1" t="s">
        <v>4226</v>
      </c>
      <c r="D8018" s="1" t="s">
        <v>5412</v>
      </c>
      <c r="F8018" s="1" t="s">
        <v>3981</v>
      </c>
      <c r="G8018" s="1" t="s">
        <v>4003</v>
      </c>
      <c r="H8018" s="1" t="s">
        <v>4004</v>
      </c>
      <c r="J8018" s="1" t="s">
        <v>3109</v>
      </c>
      <c r="L8018" s="1" t="s">
        <v>3115</v>
      </c>
      <c r="N8018" s="1" t="s">
        <v>1841</v>
      </c>
      <c r="P8018" s="1" t="s">
        <v>4330</v>
      </c>
      <c r="Q8018" s="30" t="s">
        <v>2566</v>
      </c>
      <c r="R8018" s="33" t="s">
        <v>3474</v>
      </c>
      <c r="S8018">
        <v>35</v>
      </c>
      <c r="T8018" s="1" t="s">
        <v>5416</v>
      </c>
      <c r="U8018" s="1" t="str">
        <f>HYPERLINK("http://ictvonline.org/taxonomy/p/taxonomy-history?taxnode_id=202106360","ICTVonline=202106360")</f>
        <v>ICTVonline=202106360</v>
      </c>
    </row>
    <row r="8019" spans="1:21" x14ac:dyDescent="0.2">
      <c r="A8019" s="3">
        <v>8018</v>
      </c>
      <c r="B8019" s="1" t="s">
        <v>4226</v>
      </c>
      <c r="D8019" s="1" t="s">
        <v>5412</v>
      </c>
      <c r="F8019" s="1" t="s">
        <v>3981</v>
      </c>
      <c r="G8019" s="1" t="s">
        <v>4003</v>
      </c>
      <c r="H8019" s="1" t="s">
        <v>4004</v>
      </c>
      <c r="J8019" s="1" t="s">
        <v>3109</v>
      </c>
      <c r="L8019" s="1" t="s">
        <v>3115</v>
      </c>
      <c r="N8019" s="1" t="s">
        <v>1841</v>
      </c>
      <c r="P8019" s="1" t="s">
        <v>4331</v>
      </c>
      <c r="Q8019" s="30" t="s">
        <v>2566</v>
      </c>
      <c r="R8019" s="33" t="s">
        <v>3474</v>
      </c>
      <c r="S8019">
        <v>35</v>
      </c>
      <c r="T8019" s="1" t="s">
        <v>5416</v>
      </c>
      <c r="U8019" s="1" t="str">
        <f>HYPERLINK("http://ictvonline.org/taxonomy/p/taxonomy-history?taxnode_id=202106376","ICTVonline=202106376")</f>
        <v>ICTVonline=202106376</v>
      </c>
    </row>
    <row r="8020" spans="1:21" x14ac:dyDescent="0.2">
      <c r="A8020" s="3">
        <v>8019</v>
      </c>
      <c r="B8020" s="1" t="s">
        <v>4226</v>
      </c>
      <c r="D8020" s="1" t="s">
        <v>5412</v>
      </c>
      <c r="F8020" s="1" t="s">
        <v>3981</v>
      </c>
      <c r="G8020" s="1" t="s">
        <v>4003</v>
      </c>
      <c r="H8020" s="1" t="s">
        <v>4004</v>
      </c>
      <c r="J8020" s="1" t="s">
        <v>3109</v>
      </c>
      <c r="L8020" s="1" t="s">
        <v>3115</v>
      </c>
      <c r="N8020" s="1" t="s">
        <v>1841</v>
      </c>
      <c r="P8020" s="1" t="s">
        <v>4332</v>
      </c>
      <c r="Q8020" s="30" t="s">
        <v>2566</v>
      </c>
      <c r="R8020" s="33" t="s">
        <v>3474</v>
      </c>
      <c r="S8020">
        <v>35</v>
      </c>
      <c r="T8020" s="1" t="s">
        <v>5416</v>
      </c>
      <c r="U8020" s="1" t="str">
        <f>HYPERLINK("http://ictvonline.org/taxonomy/p/taxonomy-history?taxnode_id=202106364","ICTVonline=202106364")</f>
        <v>ICTVonline=202106364</v>
      </c>
    </row>
    <row r="8021" spans="1:21" x14ac:dyDescent="0.2">
      <c r="A8021" s="3">
        <v>8020</v>
      </c>
      <c r="B8021" s="1" t="s">
        <v>4226</v>
      </c>
      <c r="D8021" s="1" t="s">
        <v>5412</v>
      </c>
      <c r="F8021" s="1" t="s">
        <v>3981</v>
      </c>
      <c r="G8021" s="1" t="s">
        <v>4003</v>
      </c>
      <c r="H8021" s="1" t="s">
        <v>4004</v>
      </c>
      <c r="J8021" s="1" t="s">
        <v>3109</v>
      </c>
      <c r="L8021" s="1" t="s">
        <v>3115</v>
      </c>
      <c r="N8021" s="1" t="s">
        <v>1841</v>
      </c>
      <c r="P8021" s="1" t="s">
        <v>4333</v>
      </c>
      <c r="Q8021" s="30" t="s">
        <v>2566</v>
      </c>
      <c r="R8021" s="33" t="s">
        <v>3474</v>
      </c>
      <c r="S8021">
        <v>35</v>
      </c>
      <c r="T8021" s="1" t="s">
        <v>5416</v>
      </c>
      <c r="U8021" s="1" t="str">
        <f>HYPERLINK("http://ictvonline.org/taxonomy/p/taxonomy-history?taxnode_id=202106388","ICTVonline=202106388")</f>
        <v>ICTVonline=202106388</v>
      </c>
    </row>
    <row r="8022" spans="1:21" x14ac:dyDescent="0.2">
      <c r="A8022" s="3">
        <v>8021</v>
      </c>
      <c r="B8022" s="1" t="s">
        <v>4226</v>
      </c>
      <c r="D8022" s="1" t="s">
        <v>5412</v>
      </c>
      <c r="F8022" s="1" t="s">
        <v>3981</v>
      </c>
      <c r="G8022" s="1" t="s">
        <v>4003</v>
      </c>
      <c r="H8022" s="1" t="s">
        <v>4004</v>
      </c>
      <c r="J8022" s="1" t="s">
        <v>3109</v>
      </c>
      <c r="L8022" s="1" t="s">
        <v>3115</v>
      </c>
      <c r="N8022" s="1" t="s">
        <v>1841</v>
      </c>
      <c r="P8022" s="1" t="s">
        <v>2856</v>
      </c>
      <c r="Q8022" s="30" t="s">
        <v>2566</v>
      </c>
      <c r="R8022" s="33" t="s">
        <v>3474</v>
      </c>
      <c r="S8022">
        <v>35</v>
      </c>
      <c r="T8022" s="1" t="s">
        <v>5416</v>
      </c>
      <c r="U8022" s="1" t="str">
        <f>HYPERLINK("http://ictvonline.org/taxonomy/p/taxonomy-history?taxnode_id=202100112","ICTVonline=202100112")</f>
        <v>ICTVonline=202100112</v>
      </c>
    </row>
    <row r="8023" spans="1:21" x14ac:dyDescent="0.2">
      <c r="A8023" s="3">
        <v>8022</v>
      </c>
      <c r="B8023" s="1" t="s">
        <v>4226</v>
      </c>
      <c r="D8023" s="1" t="s">
        <v>5412</v>
      </c>
      <c r="F8023" s="1" t="s">
        <v>3981</v>
      </c>
      <c r="G8023" s="1" t="s">
        <v>4003</v>
      </c>
      <c r="H8023" s="1" t="s">
        <v>4004</v>
      </c>
      <c r="J8023" s="1" t="s">
        <v>3109</v>
      </c>
      <c r="L8023" s="1" t="s">
        <v>3115</v>
      </c>
      <c r="N8023" s="1" t="s">
        <v>1841</v>
      </c>
      <c r="P8023" s="1" t="s">
        <v>2857</v>
      </c>
      <c r="Q8023" s="30" t="s">
        <v>2566</v>
      </c>
      <c r="R8023" s="33" t="s">
        <v>3474</v>
      </c>
      <c r="S8023">
        <v>35</v>
      </c>
      <c r="T8023" s="1" t="s">
        <v>5416</v>
      </c>
      <c r="U8023" s="1" t="str">
        <f>HYPERLINK("http://ictvonline.org/taxonomy/p/taxonomy-history?taxnode_id=202100113","ICTVonline=202100113")</f>
        <v>ICTVonline=202100113</v>
      </c>
    </row>
    <row r="8024" spans="1:21" x14ac:dyDescent="0.2">
      <c r="A8024" s="3">
        <v>8023</v>
      </c>
      <c r="B8024" s="1" t="s">
        <v>4226</v>
      </c>
      <c r="D8024" s="1" t="s">
        <v>5412</v>
      </c>
      <c r="F8024" s="1" t="s">
        <v>3981</v>
      </c>
      <c r="G8024" s="1" t="s">
        <v>4003</v>
      </c>
      <c r="H8024" s="1" t="s">
        <v>4004</v>
      </c>
      <c r="J8024" s="1" t="s">
        <v>3109</v>
      </c>
      <c r="L8024" s="1" t="s">
        <v>3115</v>
      </c>
      <c r="N8024" s="1" t="s">
        <v>1841</v>
      </c>
      <c r="P8024" s="1" t="s">
        <v>4334</v>
      </c>
      <c r="Q8024" s="30" t="s">
        <v>2566</v>
      </c>
      <c r="R8024" s="33" t="s">
        <v>3474</v>
      </c>
      <c r="S8024">
        <v>35</v>
      </c>
      <c r="T8024" s="1" t="s">
        <v>5416</v>
      </c>
      <c r="U8024" s="1" t="str">
        <f>HYPERLINK("http://ictvonline.org/taxonomy/p/taxonomy-history?taxnode_id=202106365","ICTVonline=202106365")</f>
        <v>ICTVonline=202106365</v>
      </c>
    </row>
    <row r="8025" spans="1:21" x14ac:dyDescent="0.2">
      <c r="A8025" s="3">
        <v>8024</v>
      </c>
      <c r="B8025" s="1" t="s">
        <v>4226</v>
      </c>
      <c r="D8025" s="1" t="s">
        <v>5412</v>
      </c>
      <c r="F8025" s="1" t="s">
        <v>3981</v>
      </c>
      <c r="G8025" s="1" t="s">
        <v>4003</v>
      </c>
      <c r="H8025" s="1" t="s">
        <v>4004</v>
      </c>
      <c r="J8025" s="1" t="s">
        <v>3109</v>
      </c>
      <c r="L8025" s="1" t="s">
        <v>3115</v>
      </c>
      <c r="N8025" s="1" t="s">
        <v>1841</v>
      </c>
      <c r="P8025" s="1" t="s">
        <v>2858</v>
      </c>
      <c r="Q8025" s="30" t="s">
        <v>2566</v>
      </c>
      <c r="R8025" s="33" t="s">
        <v>3474</v>
      </c>
      <c r="S8025">
        <v>35</v>
      </c>
      <c r="T8025" s="1" t="s">
        <v>5416</v>
      </c>
      <c r="U8025" s="1" t="str">
        <f>HYPERLINK("http://ictvonline.org/taxonomy/p/taxonomy-history?taxnode_id=202100114","ICTVonline=202100114")</f>
        <v>ICTVonline=202100114</v>
      </c>
    </row>
    <row r="8026" spans="1:21" x14ac:dyDescent="0.2">
      <c r="A8026" s="3">
        <v>8025</v>
      </c>
      <c r="B8026" s="1" t="s">
        <v>4226</v>
      </c>
      <c r="D8026" s="1" t="s">
        <v>5412</v>
      </c>
      <c r="F8026" s="1" t="s">
        <v>3981</v>
      </c>
      <c r="G8026" s="1" t="s">
        <v>4003</v>
      </c>
      <c r="H8026" s="1" t="s">
        <v>4004</v>
      </c>
      <c r="J8026" s="1" t="s">
        <v>3109</v>
      </c>
      <c r="L8026" s="1" t="s">
        <v>3115</v>
      </c>
      <c r="N8026" s="1" t="s">
        <v>1841</v>
      </c>
      <c r="P8026" s="1" t="s">
        <v>4335</v>
      </c>
      <c r="Q8026" s="30" t="s">
        <v>2566</v>
      </c>
      <c r="R8026" s="33" t="s">
        <v>3474</v>
      </c>
      <c r="S8026">
        <v>35</v>
      </c>
      <c r="T8026" s="1" t="s">
        <v>5416</v>
      </c>
      <c r="U8026" s="1" t="str">
        <f>HYPERLINK("http://ictvonline.org/taxonomy/p/taxonomy-history?taxnode_id=202106366","ICTVonline=202106366")</f>
        <v>ICTVonline=202106366</v>
      </c>
    </row>
    <row r="8027" spans="1:21" x14ac:dyDescent="0.2">
      <c r="A8027" s="3">
        <v>8026</v>
      </c>
      <c r="B8027" s="1" t="s">
        <v>4226</v>
      </c>
      <c r="D8027" s="1" t="s">
        <v>5412</v>
      </c>
      <c r="F8027" s="1" t="s">
        <v>3981</v>
      </c>
      <c r="G8027" s="1" t="s">
        <v>4003</v>
      </c>
      <c r="H8027" s="1" t="s">
        <v>4004</v>
      </c>
      <c r="J8027" s="1" t="s">
        <v>3109</v>
      </c>
      <c r="L8027" s="1" t="s">
        <v>3115</v>
      </c>
      <c r="N8027" s="1" t="s">
        <v>1841</v>
      </c>
      <c r="P8027" s="1" t="s">
        <v>4336</v>
      </c>
      <c r="Q8027" s="30" t="s">
        <v>2566</v>
      </c>
      <c r="R8027" s="33" t="s">
        <v>3474</v>
      </c>
      <c r="S8027">
        <v>35</v>
      </c>
      <c r="T8027" s="1" t="s">
        <v>5416</v>
      </c>
      <c r="U8027" s="1" t="str">
        <f>HYPERLINK("http://ictvonline.org/taxonomy/p/taxonomy-history?taxnode_id=202106389","ICTVonline=202106389")</f>
        <v>ICTVonline=202106389</v>
      </c>
    </row>
    <row r="8028" spans="1:21" x14ac:dyDescent="0.2">
      <c r="A8028" s="3">
        <v>8027</v>
      </c>
      <c r="B8028" s="1" t="s">
        <v>4226</v>
      </c>
      <c r="D8028" s="1" t="s">
        <v>5412</v>
      </c>
      <c r="F8028" s="1" t="s">
        <v>3981</v>
      </c>
      <c r="G8028" s="1" t="s">
        <v>4003</v>
      </c>
      <c r="H8028" s="1" t="s">
        <v>4004</v>
      </c>
      <c r="J8028" s="1" t="s">
        <v>3109</v>
      </c>
      <c r="L8028" s="1" t="s">
        <v>3115</v>
      </c>
      <c r="N8028" s="1" t="s">
        <v>1841</v>
      </c>
      <c r="P8028" s="1" t="s">
        <v>14045</v>
      </c>
      <c r="Q8028" s="30" t="s">
        <v>2566</v>
      </c>
      <c r="R8028" s="33" t="s">
        <v>3475</v>
      </c>
      <c r="S8028">
        <v>37</v>
      </c>
      <c r="T8028" s="1" t="s">
        <v>14008</v>
      </c>
      <c r="U8028" s="1" t="str">
        <f>HYPERLINK("http://ictvonline.org/taxonomy/p/taxonomy-history?taxnode_id=202106367","ICTVonline=202106367")</f>
        <v>ICTVonline=202106367</v>
      </c>
    </row>
    <row r="8029" spans="1:21" x14ac:dyDescent="0.2">
      <c r="A8029" s="3">
        <v>8028</v>
      </c>
      <c r="B8029" s="1" t="s">
        <v>4226</v>
      </c>
      <c r="D8029" s="1" t="s">
        <v>5412</v>
      </c>
      <c r="F8029" s="1" t="s">
        <v>3981</v>
      </c>
      <c r="G8029" s="1" t="s">
        <v>4003</v>
      </c>
      <c r="H8029" s="1" t="s">
        <v>4004</v>
      </c>
      <c r="J8029" s="1" t="s">
        <v>3109</v>
      </c>
      <c r="L8029" s="1" t="s">
        <v>3115</v>
      </c>
      <c r="N8029" s="1" t="s">
        <v>1841</v>
      </c>
      <c r="P8029" s="1" t="s">
        <v>4337</v>
      </c>
      <c r="Q8029" s="30" t="s">
        <v>2566</v>
      </c>
      <c r="R8029" s="33" t="s">
        <v>3474</v>
      </c>
      <c r="S8029">
        <v>35</v>
      </c>
      <c r="T8029" s="1" t="s">
        <v>5416</v>
      </c>
      <c r="U8029" s="1" t="str">
        <f>HYPERLINK("http://ictvonline.org/taxonomy/p/taxonomy-history?taxnode_id=202106386","ICTVonline=202106386")</f>
        <v>ICTVonline=202106386</v>
      </c>
    </row>
    <row r="8030" spans="1:21" x14ac:dyDescent="0.2">
      <c r="A8030" s="3">
        <v>8029</v>
      </c>
      <c r="B8030" s="1" t="s">
        <v>4226</v>
      </c>
      <c r="D8030" s="1" t="s">
        <v>5412</v>
      </c>
      <c r="F8030" s="1" t="s">
        <v>3981</v>
      </c>
      <c r="G8030" s="1" t="s">
        <v>4003</v>
      </c>
      <c r="H8030" s="1" t="s">
        <v>4004</v>
      </c>
      <c r="J8030" s="1" t="s">
        <v>3109</v>
      </c>
      <c r="L8030" s="1" t="s">
        <v>3115</v>
      </c>
      <c r="N8030" s="1" t="s">
        <v>1841</v>
      </c>
      <c r="P8030" s="1" t="s">
        <v>2859</v>
      </c>
      <c r="Q8030" s="30" t="s">
        <v>2566</v>
      </c>
      <c r="R8030" s="33" t="s">
        <v>3474</v>
      </c>
      <c r="S8030">
        <v>35</v>
      </c>
      <c r="T8030" s="1" t="s">
        <v>5416</v>
      </c>
      <c r="U8030" s="1" t="str">
        <f>HYPERLINK("http://ictvonline.org/taxonomy/p/taxonomy-history?taxnode_id=202100115","ICTVonline=202100115")</f>
        <v>ICTVonline=202100115</v>
      </c>
    </row>
    <row r="8031" spans="1:21" x14ac:dyDescent="0.2">
      <c r="A8031" s="3">
        <v>8030</v>
      </c>
      <c r="B8031" s="1" t="s">
        <v>4226</v>
      </c>
      <c r="D8031" s="1" t="s">
        <v>5412</v>
      </c>
      <c r="F8031" s="1" t="s">
        <v>3981</v>
      </c>
      <c r="G8031" s="1" t="s">
        <v>4003</v>
      </c>
      <c r="H8031" s="1" t="s">
        <v>4004</v>
      </c>
      <c r="J8031" s="1" t="s">
        <v>3109</v>
      </c>
      <c r="L8031" s="1" t="s">
        <v>3115</v>
      </c>
      <c r="N8031" s="1" t="s">
        <v>1841</v>
      </c>
      <c r="P8031" s="1" t="s">
        <v>4338</v>
      </c>
      <c r="Q8031" s="30" t="s">
        <v>2566</v>
      </c>
      <c r="R8031" s="33" t="s">
        <v>3474</v>
      </c>
      <c r="S8031">
        <v>35</v>
      </c>
      <c r="T8031" s="1" t="s">
        <v>5416</v>
      </c>
      <c r="U8031" s="1" t="str">
        <f>HYPERLINK("http://ictvonline.org/taxonomy/p/taxonomy-history?taxnode_id=202106361","ICTVonline=202106361")</f>
        <v>ICTVonline=202106361</v>
      </c>
    </row>
    <row r="8032" spans="1:21" x14ac:dyDescent="0.2">
      <c r="A8032" s="3">
        <v>8031</v>
      </c>
      <c r="B8032" s="1" t="s">
        <v>4226</v>
      </c>
      <c r="D8032" s="1" t="s">
        <v>5412</v>
      </c>
      <c r="F8032" s="1" t="s">
        <v>3981</v>
      </c>
      <c r="G8032" s="1" t="s">
        <v>4003</v>
      </c>
      <c r="H8032" s="1" t="s">
        <v>4004</v>
      </c>
      <c r="J8032" s="1" t="s">
        <v>3109</v>
      </c>
      <c r="L8032" s="1" t="s">
        <v>3115</v>
      </c>
      <c r="N8032" s="1" t="s">
        <v>1841</v>
      </c>
      <c r="P8032" s="1" t="s">
        <v>8259</v>
      </c>
      <c r="Q8032" s="30" t="s">
        <v>2566</v>
      </c>
      <c r="R8032" s="33" t="s">
        <v>3472</v>
      </c>
      <c r="S8032">
        <v>36</v>
      </c>
      <c r="T8032" s="1" t="s">
        <v>8252</v>
      </c>
      <c r="U8032" s="1" t="str">
        <f>HYPERLINK("http://ictvonline.org/taxonomy/p/taxonomy-history?taxnode_id=202109322","ICTVonline=202109322")</f>
        <v>ICTVonline=202109322</v>
      </c>
    </row>
    <row r="8033" spans="1:21" x14ac:dyDescent="0.2">
      <c r="A8033" s="3">
        <v>8032</v>
      </c>
      <c r="B8033" s="1" t="s">
        <v>4226</v>
      </c>
      <c r="D8033" s="1" t="s">
        <v>5412</v>
      </c>
      <c r="F8033" s="1" t="s">
        <v>3981</v>
      </c>
      <c r="G8033" s="1" t="s">
        <v>4003</v>
      </c>
      <c r="H8033" s="1" t="s">
        <v>4004</v>
      </c>
      <c r="J8033" s="1" t="s">
        <v>3109</v>
      </c>
      <c r="L8033" s="1" t="s">
        <v>3115</v>
      </c>
      <c r="N8033" s="1" t="s">
        <v>1841</v>
      </c>
      <c r="P8033" s="1" t="s">
        <v>2860</v>
      </c>
      <c r="Q8033" s="30" t="s">
        <v>2566</v>
      </c>
      <c r="R8033" s="33" t="s">
        <v>3474</v>
      </c>
      <c r="S8033">
        <v>35</v>
      </c>
      <c r="T8033" s="1" t="s">
        <v>5416</v>
      </c>
      <c r="U8033" s="1" t="str">
        <f>HYPERLINK("http://ictvonline.org/taxonomy/p/taxonomy-history?taxnode_id=202100116","ICTVonline=202100116")</f>
        <v>ICTVonline=202100116</v>
      </c>
    </row>
    <row r="8034" spans="1:21" x14ac:dyDescent="0.2">
      <c r="A8034" s="3">
        <v>8033</v>
      </c>
      <c r="B8034" s="1" t="s">
        <v>4226</v>
      </c>
      <c r="D8034" s="1" t="s">
        <v>5412</v>
      </c>
      <c r="F8034" s="1" t="s">
        <v>3981</v>
      </c>
      <c r="G8034" s="1" t="s">
        <v>4003</v>
      </c>
      <c r="H8034" s="1" t="s">
        <v>4004</v>
      </c>
      <c r="J8034" s="1" t="s">
        <v>3109</v>
      </c>
      <c r="L8034" s="1" t="s">
        <v>3115</v>
      </c>
      <c r="N8034" s="1" t="s">
        <v>1841</v>
      </c>
      <c r="P8034" s="1" t="s">
        <v>2861</v>
      </c>
      <c r="Q8034" s="30" t="s">
        <v>2566</v>
      </c>
      <c r="R8034" s="33" t="s">
        <v>3474</v>
      </c>
      <c r="S8034">
        <v>35</v>
      </c>
      <c r="T8034" s="1" t="s">
        <v>5416</v>
      </c>
      <c r="U8034" s="1" t="str">
        <f>HYPERLINK("http://ictvonline.org/taxonomy/p/taxonomy-history?taxnode_id=202100117","ICTVonline=202100117")</f>
        <v>ICTVonline=202100117</v>
      </c>
    </row>
    <row r="8035" spans="1:21" x14ac:dyDescent="0.2">
      <c r="A8035" s="3">
        <v>8034</v>
      </c>
      <c r="B8035" s="1" t="s">
        <v>4226</v>
      </c>
      <c r="D8035" s="1" t="s">
        <v>5412</v>
      </c>
      <c r="F8035" s="1" t="s">
        <v>3981</v>
      </c>
      <c r="G8035" s="1" t="s">
        <v>4003</v>
      </c>
      <c r="H8035" s="1" t="s">
        <v>4004</v>
      </c>
      <c r="J8035" s="1" t="s">
        <v>3109</v>
      </c>
      <c r="L8035" s="1" t="s">
        <v>3115</v>
      </c>
      <c r="N8035" s="1" t="s">
        <v>1841</v>
      </c>
      <c r="P8035" s="1" t="s">
        <v>8260</v>
      </c>
      <c r="Q8035" s="30" t="s">
        <v>2566</v>
      </c>
      <c r="R8035" s="33" t="s">
        <v>3472</v>
      </c>
      <c r="S8035">
        <v>36</v>
      </c>
      <c r="T8035" s="1" t="s">
        <v>8252</v>
      </c>
      <c r="U8035" s="1" t="str">
        <f>HYPERLINK("http://ictvonline.org/taxonomy/p/taxonomy-history?taxnode_id=202109323","ICTVonline=202109323")</f>
        <v>ICTVonline=202109323</v>
      </c>
    </row>
    <row r="8036" spans="1:21" x14ac:dyDescent="0.2">
      <c r="A8036" s="3">
        <v>8035</v>
      </c>
      <c r="B8036" s="1" t="s">
        <v>4226</v>
      </c>
      <c r="D8036" s="1" t="s">
        <v>5412</v>
      </c>
      <c r="F8036" s="1" t="s">
        <v>3981</v>
      </c>
      <c r="G8036" s="1" t="s">
        <v>4003</v>
      </c>
      <c r="H8036" s="1" t="s">
        <v>4004</v>
      </c>
      <c r="J8036" s="1" t="s">
        <v>3109</v>
      </c>
      <c r="L8036" s="1" t="s">
        <v>3115</v>
      </c>
      <c r="N8036" s="1" t="s">
        <v>1841</v>
      </c>
      <c r="P8036" s="1" t="s">
        <v>8261</v>
      </c>
      <c r="Q8036" s="30" t="s">
        <v>2566</v>
      </c>
      <c r="R8036" s="33" t="s">
        <v>3472</v>
      </c>
      <c r="S8036">
        <v>36</v>
      </c>
      <c r="T8036" s="1" t="s">
        <v>8252</v>
      </c>
      <c r="U8036" s="1" t="str">
        <f>HYPERLINK("http://ictvonline.org/taxonomy/p/taxonomy-history?taxnode_id=202109324","ICTVonline=202109324")</f>
        <v>ICTVonline=202109324</v>
      </c>
    </row>
    <row r="8037" spans="1:21" x14ac:dyDescent="0.2">
      <c r="A8037" s="3">
        <v>8036</v>
      </c>
      <c r="B8037" s="1" t="s">
        <v>4226</v>
      </c>
      <c r="D8037" s="1" t="s">
        <v>5412</v>
      </c>
      <c r="F8037" s="1" t="s">
        <v>3981</v>
      </c>
      <c r="G8037" s="1" t="s">
        <v>4003</v>
      </c>
      <c r="H8037" s="1" t="s">
        <v>4004</v>
      </c>
      <c r="J8037" s="1" t="s">
        <v>3109</v>
      </c>
      <c r="L8037" s="1" t="s">
        <v>3115</v>
      </c>
      <c r="N8037" s="1" t="s">
        <v>1841</v>
      </c>
      <c r="P8037" s="1" t="s">
        <v>2862</v>
      </c>
      <c r="Q8037" s="30" t="s">
        <v>2566</v>
      </c>
      <c r="R8037" s="33" t="s">
        <v>3474</v>
      </c>
      <c r="S8037">
        <v>35</v>
      </c>
      <c r="T8037" s="1" t="s">
        <v>5416</v>
      </c>
      <c r="U8037" s="1" t="str">
        <f>HYPERLINK("http://ictvonline.org/taxonomy/p/taxonomy-history?taxnode_id=202100118","ICTVonline=202100118")</f>
        <v>ICTVonline=202100118</v>
      </c>
    </row>
    <row r="8038" spans="1:21" x14ac:dyDescent="0.2">
      <c r="A8038" s="3">
        <v>8037</v>
      </c>
      <c r="B8038" s="1" t="s">
        <v>4226</v>
      </c>
      <c r="D8038" s="1" t="s">
        <v>5412</v>
      </c>
      <c r="F8038" s="1" t="s">
        <v>3981</v>
      </c>
      <c r="G8038" s="1" t="s">
        <v>4003</v>
      </c>
      <c r="H8038" s="1" t="s">
        <v>4004</v>
      </c>
      <c r="J8038" s="1" t="s">
        <v>3109</v>
      </c>
      <c r="L8038" s="1" t="s">
        <v>3115</v>
      </c>
      <c r="N8038" s="1" t="s">
        <v>1841</v>
      </c>
      <c r="P8038" s="1" t="s">
        <v>8262</v>
      </c>
      <c r="Q8038" s="30" t="s">
        <v>2566</v>
      </c>
      <c r="R8038" s="33" t="s">
        <v>3472</v>
      </c>
      <c r="S8038">
        <v>36</v>
      </c>
      <c r="T8038" s="1" t="s">
        <v>8252</v>
      </c>
      <c r="U8038" s="1" t="str">
        <f>HYPERLINK("http://ictvonline.org/taxonomy/p/taxonomy-history?taxnode_id=202109325","ICTVonline=202109325")</f>
        <v>ICTVonline=202109325</v>
      </c>
    </row>
    <row r="8039" spans="1:21" x14ac:dyDescent="0.2">
      <c r="A8039" s="3">
        <v>8038</v>
      </c>
      <c r="B8039" s="1" t="s">
        <v>4226</v>
      </c>
      <c r="D8039" s="1" t="s">
        <v>5412</v>
      </c>
      <c r="F8039" s="1" t="s">
        <v>3981</v>
      </c>
      <c r="G8039" s="1" t="s">
        <v>4003</v>
      </c>
      <c r="H8039" s="1" t="s">
        <v>4004</v>
      </c>
      <c r="J8039" s="1" t="s">
        <v>3109</v>
      </c>
      <c r="L8039" s="1" t="s">
        <v>3115</v>
      </c>
      <c r="N8039" s="1" t="s">
        <v>1841</v>
      </c>
      <c r="P8039" s="1" t="s">
        <v>4339</v>
      </c>
      <c r="Q8039" s="30" t="s">
        <v>2566</v>
      </c>
      <c r="R8039" s="33" t="s">
        <v>3474</v>
      </c>
      <c r="S8039">
        <v>35</v>
      </c>
      <c r="T8039" s="1" t="s">
        <v>5416</v>
      </c>
      <c r="U8039" s="1" t="str">
        <f>HYPERLINK("http://ictvonline.org/taxonomy/p/taxonomy-history?taxnode_id=202106368","ICTVonline=202106368")</f>
        <v>ICTVonline=202106368</v>
      </c>
    </row>
    <row r="8040" spans="1:21" x14ac:dyDescent="0.2">
      <c r="A8040" s="3">
        <v>8039</v>
      </c>
      <c r="B8040" s="1" t="s">
        <v>4226</v>
      </c>
      <c r="D8040" s="1" t="s">
        <v>5412</v>
      </c>
      <c r="F8040" s="1" t="s">
        <v>3981</v>
      </c>
      <c r="G8040" s="1" t="s">
        <v>4003</v>
      </c>
      <c r="H8040" s="1" t="s">
        <v>4004</v>
      </c>
      <c r="J8040" s="1" t="s">
        <v>3109</v>
      </c>
      <c r="L8040" s="1" t="s">
        <v>3115</v>
      </c>
      <c r="N8040" s="1" t="s">
        <v>1841</v>
      </c>
      <c r="P8040" s="1" t="s">
        <v>4340</v>
      </c>
      <c r="Q8040" s="30" t="s">
        <v>2566</v>
      </c>
      <c r="R8040" s="33" t="s">
        <v>3474</v>
      </c>
      <c r="S8040">
        <v>35</v>
      </c>
      <c r="T8040" s="1" t="s">
        <v>5416</v>
      </c>
      <c r="U8040" s="1" t="str">
        <f>HYPERLINK("http://ictvonline.org/taxonomy/p/taxonomy-history?taxnode_id=202106377","ICTVonline=202106377")</f>
        <v>ICTVonline=202106377</v>
      </c>
    </row>
    <row r="8041" spans="1:21" x14ac:dyDescent="0.2">
      <c r="A8041" s="3">
        <v>8040</v>
      </c>
      <c r="B8041" s="1" t="s">
        <v>4226</v>
      </c>
      <c r="D8041" s="1" t="s">
        <v>5412</v>
      </c>
      <c r="F8041" s="1" t="s">
        <v>3981</v>
      </c>
      <c r="G8041" s="1" t="s">
        <v>4003</v>
      </c>
      <c r="H8041" s="1" t="s">
        <v>4004</v>
      </c>
      <c r="J8041" s="1" t="s">
        <v>3109</v>
      </c>
      <c r="L8041" s="1" t="s">
        <v>3115</v>
      </c>
      <c r="N8041" s="1" t="s">
        <v>1841</v>
      </c>
      <c r="P8041" s="1" t="s">
        <v>2863</v>
      </c>
      <c r="Q8041" s="30" t="s">
        <v>2566</v>
      </c>
      <c r="R8041" s="33" t="s">
        <v>3474</v>
      </c>
      <c r="S8041">
        <v>35</v>
      </c>
      <c r="T8041" s="1" t="s">
        <v>5416</v>
      </c>
      <c r="U8041" s="1" t="str">
        <f>HYPERLINK("http://ictvonline.org/taxonomy/p/taxonomy-history?taxnode_id=202100119","ICTVonline=202100119")</f>
        <v>ICTVonline=202100119</v>
      </c>
    </row>
    <row r="8042" spans="1:21" x14ac:dyDescent="0.2">
      <c r="A8042" s="3">
        <v>8041</v>
      </c>
      <c r="B8042" s="1" t="s">
        <v>4226</v>
      </c>
      <c r="D8042" s="1" t="s">
        <v>5412</v>
      </c>
      <c r="F8042" s="1" t="s">
        <v>3981</v>
      </c>
      <c r="G8042" s="1" t="s">
        <v>4003</v>
      </c>
      <c r="H8042" s="1" t="s">
        <v>4004</v>
      </c>
      <c r="J8042" s="1" t="s">
        <v>3109</v>
      </c>
      <c r="L8042" s="1" t="s">
        <v>3115</v>
      </c>
      <c r="N8042" s="1" t="s">
        <v>1841</v>
      </c>
      <c r="P8042" s="1" t="s">
        <v>8263</v>
      </c>
      <c r="Q8042" s="30" t="s">
        <v>2566</v>
      </c>
      <c r="R8042" s="33" t="s">
        <v>3472</v>
      </c>
      <c r="S8042">
        <v>36</v>
      </c>
      <c r="T8042" s="1" t="s">
        <v>8252</v>
      </c>
      <c r="U8042" s="1" t="str">
        <f>HYPERLINK("http://ictvonline.org/taxonomy/p/taxonomy-history?taxnode_id=202109326","ICTVonline=202109326")</f>
        <v>ICTVonline=202109326</v>
      </c>
    </row>
    <row r="8043" spans="1:21" x14ac:dyDescent="0.2">
      <c r="A8043" s="3">
        <v>8042</v>
      </c>
      <c r="B8043" s="1" t="s">
        <v>4226</v>
      </c>
      <c r="D8043" s="1" t="s">
        <v>5412</v>
      </c>
      <c r="F8043" s="1" t="s">
        <v>3981</v>
      </c>
      <c r="G8043" s="1" t="s">
        <v>4003</v>
      </c>
      <c r="H8043" s="1" t="s">
        <v>4004</v>
      </c>
      <c r="J8043" s="1" t="s">
        <v>3109</v>
      </c>
      <c r="L8043" s="1" t="s">
        <v>3115</v>
      </c>
      <c r="N8043" s="1" t="s">
        <v>1841</v>
      </c>
      <c r="P8043" s="1" t="s">
        <v>2864</v>
      </c>
      <c r="Q8043" s="30" t="s">
        <v>2566</v>
      </c>
      <c r="R8043" s="33" t="s">
        <v>3474</v>
      </c>
      <c r="S8043">
        <v>35</v>
      </c>
      <c r="T8043" s="1" t="s">
        <v>5416</v>
      </c>
      <c r="U8043" s="1" t="str">
        <f>HYPERLINK("http://ictvonline.org/taxonomy/p/taxonomy-history?taxnode_id=202100120","ICTVonline=202100120")</f>
        <v>ICTVonline=202100120</v>
      </c>
    </row>
    <row r="8044" spans="1:21" x14ac:dyDescent="0.2">
      <c r="A8044" s="3">
        <v>8043</v>
      </c>
      <c r="B8044" s="1" t="s">
        <v>4226</v>
      </c>
      <c r="D8044" s="1" t="s">
        <v>5412</v>
      </c>
      <c r="F8044" s="1" t="s">
        <v>3981</v>
      </c>
      <c r="G8044" s="1" t="s">
        <v>4003</v>
      </c>
      <c r="H8044" s="1" t="s">
        <v>4004</v>
      </c>
      <c r="J8044" s="1" t="s">
        <v>3109</v>
      </c>
      <c r="L8044" s="1" t="s">
        <v>3115</v>
      </c>
      <c r="N8044" s="1" t="s">
        <v>1841</v>
      </c>
      <c r="P8044" s="1" t="s">
        <v>2865</v>
      </c>
      <c r="Q8044" s="30" t="s">
        <v>2566</v>
      </c>
      <c r="R8044" s="33" t="s">
        <v>3474</v>
      </c>
      <c r="S8044">
        <v>35</v>
      </c>
      <c r="T8044" s="1" t="s">
        <v>5416</v>
      </c>
      <c r="U8044" s="1" t="str">
        <f>HYPERLINK("http://ictvonline.org/taxonomy/p/taxonomy-history?taxnode_id=202100121","ICTVonline=202100121")</f>
        <v>ICTVonline=202100121</v>
      </c>
    </row>
    <row r="8045" spans="1:21" x14ac:dyDescent="0.2">
      <c r="A8045" s="3">
        <v>8044</v>
      </c>
      <c r="B8045" s="1" t="s">
        <v>4226</v>
      </c>
      <c r="D8045" s="1" t="s">
        <v>5412</v>
      </c>
      <c r="F8045" s="1" t="s">
        <v>3981</v>
      </c>
      <c r="G8045" s="1" t="s">
        <v>4003</v>
      </c>
      <c r="H8045" s="1" t="s">
        <v>4004</v>
      </c>
      <c r="J8045" s="1" t="s">
        <v>3109</v>
      </c>
      <c r="L8045" s="1" t="s">
        <v>3115</v>
      </c>
      <c r="N8045" s="1" t="s">
        <v>1841</v>
      </c>
      <c r="P8045" s="1" t="s">
        <v>2866</v>
      </c>
      <c r="Q8045" s="30" t="s">
        <v>2566</v>
      </c>
      <c r="R8045" s="33" t="s">
        <v>3474</v>
      </c>
      <c r="S8045">
        <v>35</v>
      </c>
      <c r="T8045" s="1" t="s">
        <v>5416</v>
      </c>
      <c r="U8045" s="1" t="str">
        <f>HYPERLINK("http://ictvonline.org/taxonomy/p/taxonomy-history?taxnode_id=202100122","ICTVonline=202100122")</f>
        <v>ICTVonline=202100122</v>
      </c>
    </row>
    <row r="8046" spans="1:21" x14ac:dyDescent="0.2">
      <c r="A8046" s="3">
        <v>8045</v>
      </c>
      <c r="B8046" s="1" t="s">
        <v>4226</v>
      </c>
      <c r="D8046" s="1" t="s">
        <v>5412</v>
      </c>
      <c r="F8046" s="1" t="s">
        <v>3981</v>
      </c>
      <c r="G8046" s="1" t="s">
        <v>4003</v>
      </c>
      <c r="H8046" s="1" t="s">
        <v>4004</v>
      </c>
      <c r="J8046" s="1" t="s">
        <v>3109</v>
      </c>
      <c r="L8046" s="1" t="s">
        <v>3115</v>
      </c>
      <c r="N8046" s="1" t="s">
        <v>1841</v>
      </c>
      <c r="P8046" s="1" t="s">
        <v>2867</v>
      </c>
      <c r="Q8046" s="30" t="s">
        <v>2566</v>
      </c>
      <c r="R8046" s="33" t="s">
        <v>3474</v>
      </c>
      <c r="S8046">
        <v>35</v>
      </c>
      <c r="T8046" s="1" t="s">
        <v>5416</v>
      </c>
      <c r="U8046" s="1" t="str">
        <f>HYPERLINK("http://ictvonline.org/taxonomy/p/taxonomy-history?taxnode_id=202100123","ICTVonline=202100123")</f>
        <v>ICTVonline=202100123</v>
      </c>
    </row>
    <row r="8047" spans="1:21" x14ac:dyDescent="0.2">
      <c r="A8047" s="3">
        <v>8046</v>
      </c>
      <c r="B8047" s="1" t="s">
        <v>4226</v>
      </c>
      <c r="D8047" s="1" t="s">
        <v>5412</v>
      </c>
      <c r="F8047" s="1" t="s">
        <v>3981</v>
      </c>
      <c r="G8047" s="1" t="s">
        <v>4003</v>
      </c>
      <c r="H8047" s="1" t="s">
        <v>4004</v>
      </c>
      <c r="J8047" s="1" t="s">
        <v>3109</v>
      </c>
      <c r="L8047" s="1" t="s">
        <v>3115</v>
      </c>
      <c r="N8047" s="1" t="s">
        <v>1841</v>
      </c>
      <c r="P8047" s="1" t="s">
        <v>2868</v>
      </c>
      <c r="Q8047" s="30" t="s">
        <v>2566</v>
      </c>
      <c r="R8047" s="33" t="s">
        <v>3474</v>
      </c>
      <c r="S8047">
        <v>35</v>
      </c>
      <c r="T8047" s="1" t="s">
        <v>5416</v>
      </c>
      <c r="U8047" s="1" t="str">
        <f>HYPERLINK("http://ictvonline.org/taxonomy/p/taxonomy-history?taxnode_id=202100124","ICTVonline=202100124")</f>
        <v>ICTVonline=202100124</v>
      </c>
    </row>
    <row r="8048" spans="1:21" x14ac:dyDescent="0.2">
      <c r="A8048" s="3">
        <v>8047</v>
      </c>
      <c r="B8048" s="1" t="s">
        <v>4226</v>
      </c>
      <c r="D8048" s="1" t="s">
        <v>5412</v>
      </c>
      <c r="F8048" s="1" t="s">
        <v>3981</v>
      </c>
      <c r="G8048" s="1" t="s">
        <v>4003</v>
      </c>
      <c r="H8048" s="1" t="s">
        <v>4004</v>
      </c>
      <c r="J8048" s="1" t="s">
        <v>3109</v>
      </c>
      <c r="L8048" s="1" t="s">
        <v>3115</v>
      </c>
      <c r="N8048" s="1" t="s">
        <v>1841</v>
      </c>
      <c r="P8048" s="1" t="s">
        <v>8264</v>
      </c>
      <c r="Q8048" s="30" t="s">
        <v>2566</v>
      </c>
      <c r="R8048" s="33" t="s">
        <v>3472</v>
      </c>
      <c r="S8048">
        <v>36</v>
      </c>
      <c r="T8048" s="1" t="s">
        <v>8252</v>
      </c>
      <c r="U8048" s="1" t="str">
        <f>HYPERLINK("http://ictvonline.org/taxonomy/p/taxonomy-history?taxnode_id=202109327","ICTVonline=202109327")</f>
        <v>ICTVonline=202109327</v>
      </c>
    </row>
    <row r="8049" spans="1:21" x14ac:dyDescent="0.2">
      <c r="A8049" s="3">
        <v>8048</v>
      </c>
      <c r="B8049" s="1" t="s">
        <v>4226</v>
      </c>
      <c r="D8049" s="1" t="s">
        <v>5412</v>
      </c>
      <c r="F8049" s="1" t="s">
        <v>3981</v>
      </c>
      <c r="G8049" s="1" t="s">
        <v>4003</v>
      </c>
      <c r="H8049" s="1" t="s">
        <v>4004</v>
      </c>
      <c r="J8049" s="1" t="s">
        <v>3109</v>
      </c>
      <c r="L8049" s="1" t="s">
        <v>3115</v>
      </c>
      <c r="N8049" s="1" t="s">
        <v>1841</v>
      </c>
      <c r="P8049" s="1" t="s">
        <v>2869</v>
      </c>
      <c r="Q8049" s="30" t="s">
        <v>2566</v>
      </c>
      <c r="R8049" s="33" t="s">
        <v>3474</v>
      </c>
      <c r="S8049">
        <v>35</v>
      </c>
      <c r="T8049" s="1" t="s">
        <v>5416</v>
      </c>
      <c r="U8049" s="1" t="str">
        <f>HYPERLINK("http://ictvonline.org/taxonomy/p/taxonomy-history?taxnode_id=202100125","ICTVonline=202100125")</f>
        <v>ICTVonline=202100125</v>
      </c>
    </row>
    <row r="8050" spans="1:21" x14ac:dyDescent="0.2">
      <c r="A8050" s="3">
        <v>8049</v>
      </c>
      <c r="B8050" s="1" t="s">
        <v>4226</v>
      </c>
      <c r="D8050" s="1" t="s">
        <v>5412</v>
      </c>
      <c r="F8050" s="1" t="s">
        <v>3981</v>
      </c>
      <c r="G8050" s="1" t="s">
        <v>4003</v>
      </c>
      <c r="H8050" s="1" t="s">
        <v>4004</v>
      </c>
      <c r="J8050" s="1" t="s">
        <v>3109</v>
      </c>
      <c r="L8050" s="1" t="s">
        <v>3115</v>
      </c>
      <c r="N8050" s="1" t="s">
        <v>1841</v>
      </c>
      <c r="P8050" s="1" t="s">
        <v>4341</v>
      </c>
      <c r="Q8050" s="30" t="s">
        <v>2566</v>
      </c>
      <c r="R8050" s="33" t="s">
        <v>3474</v>
      </c>
      <c r="S8050">
        <v>35</v>
      </c>
      <c r="T8050" s="1" t="s">
        <v>5416</v>
      </c>
      <c r="U8050" s="1" t="str">
        <f>HYPERLINK("http://ictvonline.org/taxonomy/p/taxonomy-history?taxnode_id=202106380","ICTVonline=202106380")</f>
        <v>ICTVonline=202106380</v>
      </c>
    </row>
    <row r="8051" spans="1:21" x14ac:dyDescent="0.2">
      <c r="A8051" s="3">
        <v>8050</v>
      </c>
      <c r="B8051" s="1" t="s">
        <v>4226</v>
      </c>
      <c r="D8051" s="1" t="s">
        <v>5412</v>
      </c>
      <c r="F8051" s="1" t="s">
        <v>3981</v>
      </c>
      <c r="G8051" s="1" t="s">
        <v>4003</v>
      </c>
      <c r="H8051" s="1" t="s">
        <v>4004</v>
      </c>
      <c r="J8051" s="1" t="s">
        <v>3109</v>
      </c>
      <c r="L8051" s="1" t="s">
        <v>3115</v>
      </c>
      <c r="N8051" s="1" t="s">
        <v>1841</v>
      </c>
      <c r="P8051" s="1" t="s">
        <v>4342</v>
      </c>
      <c r="Q8051" s="30" t="s">
        <v>2566</v>
      </c>
      <c r="R8051" s="33" t="s">
        <v>3474</v>
      </c>
      <c r="S8051">
        <v>35</v>
      </c>
      <c r="T8051" s="1" t="s">
        <v>5416</v>
      </c>
      <c r="U8051" s="1" t="str">
        <f>HYPERLINK("http://ictvonline.org/taxonomy/p/taxonomy-history?taxnode_id=202106362","ICTVonline=202106362")</f>
        <v>ICTVonline=202106362</v>
      </c>
    </row>
    <row r="8052" spans="1:21" x14ac:dyDescent="0.2">
      <c r="A8052" s="3">
        <v>8051</v>
      </c>
      <c r="B8052" s="1" t="s">
        <v>4226</v>
      </c>
      <c r="D8052" s="1" t="s">
        <v>5412</v>
      </c>
      <c r="F8052" s="1" t="s">
        <v>3981</v>
      </c>
      <c r="G8052" s="1" t="s">
        <v>4003</v>
      </c>
      <c r="H8052" s="1" t="s">
        <v>4004</v>
      </c>
      <c r="J8052" s="1" t="s">
        <v>3109</v>
      </c>
      <c r="L8052" s="1" t="s">
        <v>3115</v>
      </c>
      <c r="N8052" s="1" t="s">
        <v>1841</v>
      </c>
      <c r="P8052" s="1" t="s">
        <v>4343</v>
      </c>
      <c r="Q8052" s="30" t="s">
        <v>2566</v>
      </c>
      <c r="R8052" s="33" t="s">
        <v>3474</v>
      </c>
      <c r="S8052">
        <v>35</v>
      </c>
      <c r="T8052" s="1" t="s">
        <v>5416</v>
      </c>
      <c r="U8052" s="1" t="str">
        <f>HYPERLINK("http://ictvonline.org/taxonomy/p/taxonomy-history?taxnode_id=202106353","ICTVonline=202106353")</f>
        <v>ICTVonline=202106353</v>
      </c>
    </row>
    <row r="8053" spans="1:21" x14ac:dyDescent="0.2">
      <c r="A8053" s="3">
        <v>8052</v>
      </c>
      <c r="B8053" s="1" t="s">
        <v>4226</v>
      </c>
      <c r="D8053" s="1" t="s">
        <v>5412</v>
      </c>
      <c r="F8053" s="1" t="s">
        <v>3981</v>
      </c>
      <c r="G8053" s="1" t="s">
        <v>4003</v>
      </c>
      <c r="H8053" s="1" t="s">
        <v>4004</v>
      </c>
      <c r="J8053" s="1" t="s">
        <v>3109</v>
      </c>
      <c r="L8053" s="1" t="s">
        <v>3115</v>
      </c>
      <c r="N8053" s="1" t="s">
        <v>1841</v>
      </c>
      <c r="P8053" s="1" t="s">
        <v>4344</v>
      </c>
      <c r="Q8053" s="30" t="s">
        <v>2566</v>
      </c>
      <c r="R8053" s="33" t="s">
        <v>3474</v>
      </c>
      <c r="S8053">
        <v>35</v>
      </c>
      <c r="T8053" s="1" t="s">
        <v>5416</v>
      </c>
      <c r="U8053" s="1" t="str">
        <f>HYPERLINK("http://ictvonline.org/taxonomy/p/taxonomy-history?taxnode_id=202106369","ICTVonline=202106369")</f>
        <v>ICTVonline=202106369</v>
      </c>
    </row>
    <row r="8054" spans="1:21" x14ac:dyDescent="0.2">
      <c r="A8054" s="3">
        <v>8053</v>
      </c>
      <c r="B8054" s="1" t="s">
        <v>4226</v>
      </c>
      <c r="D8054" s="1" t="s">
        <v>5412</v>
      </c>
      <c r="F8054" s="1" t="s">
        <v>3981</v>
      </c>
      <c r="G8054" s="1" t="s">
        <v>4003</v>
      </c>
      <c r="H8054" s="1" t="s">
        <v>4004</v>
      </c>
      <c r="J8054" s="1" t="s">
        <v>3109</v>
      </c>
      <c r="L8054" s="1" t="s">
        <v>3115</v>
      </c>
      <c r="N8054" s="1" t="s">
        <v>1841</v>
      </c>
      <c r="P8054" s="1" t="s">
        <v>4345</v>
      </c>
      <c r="Q8054" s="30" t="s">
        <v>2566</v>
      </c>
      <c r="R8054" s="33" t="s">
        <v>3474</v>
      </c>
      <c r="S8054">
        <v>35</v>
      </c>
      <c r="T8054" s="1" t="s">
        <v>5416</v>
      </c>
      <c r="U8054" s="1" t="str">
        <f>HYPERLINK("http://ictvonline.org/taxonomy/p/taxonomy-history?taxnode_id=202106381","ICTVonline=202106381")</f>
        <v>ICTVonline=202106381</v>
      </c>
    </row>
    <row r="8055" spans="1:21" x14ac:dyDescent="0.2">
      <c r="A8055" s="3">
        <v>8054</v>
      </c>
      <c r="B8055" s="1" t="s">
        <v>4226</v>
      </c>
      <c r="D8055" s="1" t="s">
        <v>5412</v>
      </c>
      <c r="F8055" s="1" t="s">
        <v>3981</v>
      </c>
      <c r="G8055" s="1" t="s">
        <v>4003</v>
      </c>
      <c r="H8055" s="1" t="s">
        <v>4004</v>
      </c>
      <c r="J8055" s="1" t="s">
        <v>3109</v>
      </c>
      <c r="L8055" s="1" t="s">
        <v>3115</v>
      </c>
      <c r="N8055" s="1" t="s">
        <v>1841</v>
      </c>
      <c r="P8055" s="1" t="s">
        <v>4346</v>
      </c>
      <c r="Q8055" s="30" t="s">
        <v>2566</v>
      </c>
      <c r="R8055" s="33" t="s">
        <v>3474</v>
      </c>
      <c r="S8055">
        <v>35</v>
      </c>
      <c r="T8055" s="1" t="s">
        <v>5416</v>
      </c>
      <c r="U8055" s="1" t="str">
        <f>HYPERLINK("http://ictvonline.org/taxonomy/p/taxonomy-history?taxnode_id=202100126","ICTVonline=202100126")</f>
        <v>ICTVonline=202100126</v>
      </c>
    </row>
    <row r="8056" spans="1:21" x14ac:dyDescent="0.2">
      <c r="A8056" s="3">
        <v>8055</v>
      </c>
      <c r="B8056" s="1" t="s">
        <v>4226</v>
      </c>
      <c r="D8056" s="1" t="s">
        <v>5412</v>
      </c>
      <c r="F8056" s="1" t="s">
        <v>3981</v>
      </c>
      <c r="G8056" s="1" t="s">
        <v>4003</v>
      </c>
      <c r="H8056" s="1" t="s">
        <v>4004</v>
      </c>
      <c r="J8056" s="1" t="s">
        <v>3109</v>
      </c>
      <c r="L8056" s="1" t="s">
        <v>3115</v>
      </c>
      <c r="N8056" s="1" t="s">
        <v>1841</v>
      </c>
      <c r="P8056" s="1" t="s">
        <v>8265</v>
      </c>
      <c r="Q8056" s="30" t="s">
        <v>2566</v>
      </c>
      <c r="R8056" s="33" t="s">
        <v>3472</v>
      </c>
      <c r="S8056">
        <v>36</v>
      </c>
      <c r="T8056" s="1" t="s">
        <v>8252</v>
      </c>
      <c r="U8056" s="1" t="str">
        <f>HYPERLINK("http://ictvonline.org/taxonomy/p/taxonomy-history?taxnode_id=202109328","ICTVonline=202109328")</f>
        <v>ICTVonline=202109328</v>
      </c>
    </row>
    <row r="8057" spans="1:21" x14ac:dyDescent="0.2">
      <c r="A8057" s="3">
        <v>8056</v>
      </c>
      <c r="B8057" s="1" t="s">
        <v>4226</v>
      </c>
      <c r="D8057" s="1" t="s">
        <v>5412</v>
      </c>
      <c r="F8057" s="1" t="s">
        <v>3981</v>
      </c>
      <c r="G8057" s="1" t="s">
        <v>4003</v>
      </c>
      <c r="H8057" s="1" t="s">
        <v>4004</v>
      </c>
      <c r="J8057" s="1" t="s">
        <v>3109</v>
      </c>
      <c r="L8057" s="1" t="s">
        <v>3115</v>
      </c>
      <c r="N8057" s="1" t="s">
        <v>1841</v>
      </c>
      <c r="P8057" s="1" t="s">
        <v>4347</v>
      </c>
      <c r="Q8057" s="30" t="s">
        <v>2566</v>
      </c>
      <c r="R8057" s="33" t="s">
        <v>3474</v>
      </c>
      <c r="S8057">
        <v>35</v>
      </c>
      <c r="T8057" s="1" t="s">
        <v>5416</v>
      </c>
      <c r="U8057" s="1" t="str">
        <f>HYPERLINK("http://ictvonline.org/taxonomy/p/taxonomy-history?taxnode_id=202106370","ICTVonline=202106370")</f>
        <v>ICTVonline=202106370</v>
      </c>
    </row>
    <row r="8058" spans="1:21" x14ac:dyDescent="0.2">
      <c r="A8058" s="3">
        <v>8057</v>
      </c>
      <c r="B8058" s="1" t="s">
        <v>4226</v>
      </c>
      <c r="D8058" s="1" t="s">
        <v>5412</v>
      </c>
      <c r="F8058" s="1" t="s">
        <v>3981</v>
      </c>
      <c r="G8058" s="1" t="s">
        <v>4003</v>
      </c>
      <c r="H8058" s="1" t="s">
        <v>4004</v>
      </c>
      <c r="J8058" s="1" t="s">
        <v>3109</v>
      </c>
      <c r="L8058" s="1" t="s">
        <v>3115</v>
      </c>
      <c r="N8058" s="1" t="s">
        <v>1841</v>
      </c>
      <c r="P8058" s="1" t="s">
        <v>8266</v>
      </c>
      <c r="Q8058" s="30" t="s">
        <v>2566</v>
      </c>
      <c r="R8058" s="33" t="s">
        <v>3472</v>
      </c>
      <c r="S8058">
        <v>36</v>
      </c>
      <c r="T8058" s="1" t="s">
        <v>8252</v>
      </c>
      <c r="U8058" s="1" t="str">
        <f>HYPERLINK("http://ictvonline.org/taxonomy/p/taxonomy-history?taxnode_id=202109329","ICTVonline=202109329")</f>
        <v>ICTVonline=202109329</v>
      </c>
    </row>
    <row r="8059" spans="1:21" x14ac:dyDescent="0.2">
      <c r="A8059" s="3">
        <v>8058</v>
      </c>
      <c r="B8059" s="1" t="s">
        <v>4226</v>
      </c>
      <c r="D8059" s="1" t="s">
        <v>5412</v>
      </c>
      <c r="F8059" s="1" t="s">
        <v>3981</v>
      </c>
      <c r="G8059" s="1" t="s">
        <v>4003</v>
      </c>
      <c r="H8059" s="1" t="s">
        <v>4004</v>
      </c>
      <c r="J8059" s="1" t="s">
        <v>3109</v>
      </c>
      <c r="L8059" s="1" t="s">
        <v>3115</v>
      </c>
      <c r="N8059" s="1" t="s">
        <v>1841</v>
      </c>
      <c r="P8059" s="1" t="s">
        <v>2870</v>
      </c>
      <c r="Q8059" s="30" t="s">
        <v>2566</v>
      </c>
      <c r="R8059" s="33" t="s">
        <v>3474</v>
      </c>
      <c r="S8059">
        <v>35</v>
      </c>
      <c r="T8059" s="1" t="s">
        <v>5416</v>
      </c>
      <c r="U8059" s="1" t="str">
        <f>HYPERLINK("http://ictvonline.org/taxonomy/p/taxonomy-history?taxnode_id=202100128","ICTVonline=202100128")</f>
        <v>ICTVonline=202100128</v>
      </c>
    </row>
    <row r="8060" spans="1:21" x14ac:dyDescent="0.2">
      <c r="A8060" s="3">
        <v>8059</v>
      </c>
      <c r="B8060" s="1" t="s">
        <v>4226</v>
      </c>
      <c r="D8060" s="1" t="s">
        <v>5412</v>
      </c>
      <c r="F8060" s="1" t="s">
        <v>3981</v>
      </c>
      <c r="G8060" s="1" t="s">
        <v>4003</v>
      </c>
      <c r="H8060" s="1" t="s">
        <v>4004</v>
      </c>
      <c r="J8060" s="1" t="s">
        <v>3109</v>
      </c>
      <c r="L8060" s="1" t="s">
        <v>3115</v>
      </c>
      <c r="N8060" s="1" t="s">
        <v>1841</v>
      </c>
      <c r="P8060" s="1" t="s">
        <v>2871</v>
      </c>
      <c r="Q8060" s="30" t="s">
        <v>2566</v>
      </c>
      <c r="R8060" s="33" t="s">
        <v>3474</v>
      </c>
      <c r="S8060">
        <v>35</v>
      </c>
      <c r="T8060" s="1" t="s">
        <v>5416</v>
      </c>
      <c r="U8060" s="1" t="str">
        <f>HYPERLINK("http://ictvonline.org/taxonomy/p/taxonomy-history?taxnode_id=202100129","ICTVonline=202100129")</f>
        <v>ICTVonline=202100129</v>
      </c>
    </row>
    <row r="8061" spans="1:21" x14ac:dyDescent="0.2">
      <c r="A8061" s="3">
        <v>8060</v>
      </c>
      <c r="B8061" s="1" t="s">
        <v>4226</v>
      </c>
      <c r="D8061" s="1" t="s">
        <v>5412</v>
      </c>
      <c r="F8061" s="1" t="s">
        <v>3981</v>
      </c>
      <c r="G8061" s="1" t="s">
        <v>4003</v>
      </c>
      <c r="H8061" s="1" t="s">
        <v>4004</v>
      </c>
      <c r="J8061" s="1" t="s">
        <v>3109</v>
      </c>
      <c r="L8061" s="1" t="s">
        <v>3115</v>
      </c>
      <c r="N8061" s="1" t="s">
        <v>1841</v>
      </c>
      <c r="P8061" s="1" t="s">
        <v>4348</v>
      </c>
      <c r="Q8061" s="30" t="s">
        <v>2566</v>
      </c>
      <c r="R8061" s="33" t="s">
        <v>3474</v>
      </c>
      <c r="S8061">
        <v>35</v>
      </c>
      <c r="T8061" s="1" t="s">
        <v>5416</v>
      </c>
      <c r="U8061" s="1" t="str">
        <f>HYPERLINK("http://ictvonline.org/taxonomy/p/taxonomy-history?taxnode_id=202106371","ICTVonline=202106371")</f>
        <v>ICTVonline=202106371</v>
      </c>
    </row>
    <row r="8062" spans="1:21" x14ac:dyDescent="0.2">
      <c r="A8062" s="3">
        <v>8061</v>
      </c>
      <c r="B8062" s="1" t="s">
        <v>4226</v>
      </c>
      <c r="D8062" s="1" t="s">
        <v>5412</v>
      </c>
      <c r="F8062" s="1" t="s">
        <v>3981</v>
      </c>
      <c r="G8062" s="1" t="s">
        <v>4003</v>
      </c>
      <c r="H8062" s="1" t="s">
        <v>4004</v>
      </c>
      <c r="J8062" s="1" t="s">
        <v>3109</v>
      </c>
      <c r="L8062" s="1" t="s">
        <v>3115</v>
      </c>
      <c r="N8062" s="1" t="s">
        <v>1841</v>
      </c>
      <c r="P8062" s="1" t="s">
        <v>4349</v>
      </c>
      <c r="Q8062" s="30" t="s">
        <v>2566</v>
      </c>
      <c r="R8062" s="33" t="s">
        <v>3474</v>
      </c>
      <c r="S8062">
        <v>35</v>
      </c>
      <c r="T8062" s="1" t="s">
        <v>5416</v>
      </c>
      <c r="U8062" s="1" t="str">
        <f>HYPERLINK("http://ictvonline.org/taxonomy/p/taxonomy-history?taxnode_id=202106387","ICTVonline=202106387")</f>
        <v>ICTVonline=202106387</v>
      </c>
    </row>
    <row r="8063" spans="1:21" x14ac:dyDescent="0.2">
      <c r="A8063" s="3">
        <v>8062</v>
      </c>
      <c r="B8063" s="1" t="s">
        <v>4226</v>
      </c>
      <c r="D8063" s="1" t="s">
        <v>5412</v>
      </c>
      <c r="F8063" s="1" t="s">
        <v>3981</v>
      </c>
      <c r="G8063" s="1" t="s">
        <v>4003</v>
      </c>
      <c r="H8063" s="1" t="s">
        <v>4004</v>
      </c>
      <c r="J8063" s="1" t="s">
        <v>3109</v>
      </c>
      <c r="L8063" s="1" t="s">
        <v>3115</v>
      </c>
      <c r="N8063" s="1" t="s">
        <v>1841</v>
      </c>
      <c r="P8063" s="1" t="s">
        <v>2872</v>
      </c>
      <c r="Q8063" s="30" t="s">
        <v>2566</v>
      </c>
      <c r="R8063" s="33" t="s">
        <v>3474</v>
      </c>
      <c r="S8063">
        <v>35</v>
      </c>
      <c r="T8063" s="1" t="s">
        <v>5416</v>
      </c>
      <c r="U8063" s="1" t="str">
        <f>HYPERLINK("http://ictvonline.org/taxonomy/p/taxonomy-history?taxnode_id=202100130","ICTVonline=202100130")</f>
        <v>ICTVonline=202100130</v>
      </c>
    </row>
    <row r="8064" spans="1:21" x14ac:dyDescent="0.2">
      <c r="A8064" s="3">
        <v>8063</v>
      </c>
      <c r="B8064" s="1" t="s">
        <v>4226</v>
      </c>
      <c r="D8064" s="1" t="s">
        <v>5412</v>
      </c>
      <c r="F8064" s="1" t="s">
        <v>3981</v>
      </c>
      <c r="G8064" s="1" t="s">
        <v>4003</v>
      </c>
      <c r="H8064" s="1" t="s">
        <v>4004</v>
      </c>
      <c r="J8064" s="1" t="s">
        <v>3109</v>
      </c>
      <c r="L8064" s="1" t="s">
        <v>3115</v>
      </c>
      <c r="N8064" s="1" t="s">
        <v>1841</v>
      </c>
      <c r="P8064" s="1" t="s">
        <v>4350</v>
      </c>
      <c r="Q8064" s="30" t="s">
        <v>2566</v>
      </c>
      <c r="R8064" s="33" t="s">
        <v>3474</v>
      </c>
      <c r="S8064">
        <v>35</v>
      </c>
      <c r="T8064" s="1" t="s">
        <v>5416</v>
      </c>
      <c r="U8064" s="1" t="str">
        <f>HYPERLINK("http://ictvonline.org/taxonomy/p/taxonomy-history?taxnode_id=202106372","ICTVonline=202106372")</f>
        <v>ICTVonline=202106372</v>
      </c>
    </row>
    <row r="8065" spans="1:21" x14ac:dyDescent="0.2">
      <c r="A8065" s="3">
        <v>8064</v>
      </c>
      <c r="B8065" s="1" t="s">
        <v>4226</v>
      </c>
      <c r="D8065" s="1" t="s">
        <v>5412</v>
      </c>
      <c r="F8065" s="1" t="s">
        <v>3981</v>
      </c>
      <c r="G8065" s="1" t="s">
        <v>4003</v>
      </c>
      <c r="H8065" s="1" t="s">
        <v>4004</v>
      </c>
      <c r="J8065" s="1" t="s">
        <v>3109</v>
      </c>
      <c r="L8065" s="1" t="s">
        <v>3115</v>
      </c>
      <c r="N8065" s="1" t="s">
        <v>1841</v>
      </c>
      <c r="P8065" s="1" t="s">
        <v>4351</v>
      </c>
      <c r="Q8065" s="30" t="s">
        <v>2566</v>
      </c>
      <c r="R8065" s="33" t="s">
        <v>3474</v>
      </c>
      <c r="S8065">
        <v>35</v>
      </c>
      <c r="T8065" s="1" t="s">
        <v>5416</v>
      </c>
      <c r="U8065" s="1" t="str">
        <f>HYPERLINK("http://ictvonline.org/taxonomy/p/taxonomy-history?taxnode_id=202106598","ICTVonline=202106598")</f>
        <v>ICTVonline=202106598</v>
      </c>
    </row>
    <row r="8066" spans="1:21" x14ac:dyDescent="0.2">
      <c r="A8066" s="3">
        <v>8065</v>
      </c>
      <c r="B8066" s="1" t="s">
        <v>4226</v>
      </c>
      <c r="D8066" s="1" t="s">
        <v>5412</v>
      </c>
      <c r="F8066" s="1" t="s">
        <v>3981</v>
      </c>
      <c r="G8066" s="1" t="s">
        <v>4003</v>
      </c>
      <c r="H8066" s="1" t="s">
        <v>4004</v>
      </c>
      <c r="J8066" s="1" t="s">
        <v>3109</v>
      </c>
      <c r="L8066" s="1" t="s">
        <v>3115</v>
      </c>
      <c r="N8066" s="1" t="s">
        <v>1841</v>
      </c>
      <c r="P8066" s="1" t="s">
        <v>4352</v>
      </c>
      <c r="Q8066" s="30" t="s">
        <v>2566</v>
      </c>
      <c r="R8066" s="33" t="s">
        <v>3474</v>
      </c>
      <c r="S8066">
        <v>35</v>
      </c>
      <c r="T8066" s="1" t="s">
        <v>5416</v>
      </c>
      <c r="U8066" s="1" t="str">
        <f>HYPERLINK("http://ictvonline.org/taxonomy/p/taxonomy-history?taxnode_id=202106363","ICTVonline=202106363")</f>
        <v>ICTVonline=202106363</v>
      </c>
    </row>
    <row r="8067" spans="1:21" x14ac:dyDescent="0.2">
      <c r="A8067" s="3">
        <v>8066</v>
      </c>
      <c r="B8067" s="1" t="s">
        <v>4226</v>
      </c>
      <c r="D8067" s="1" t="s">
        <v>5412</v>
      </c>
      <c r="F8067" s="1" t="s">
        <v>3981</v>
      </c>
      <c r="G8067" s="1" t="s">
        <v>4003</v>
      </c>
      <c r="H8067" s="1" t="s">
        <v>4004</v>
      </c>
      <c r="J8067" s="1" t="s">
        <v>3109</v>
      </c>
      <c r="L8067" s="1" t="s">
        <v>3115</v>
      </c>
      <c r="N8067" s="1" t="s">
        <v>1841</v>
      </c>
      <c r="P8067" s="1" t="s">
        <v>2873</v>
      </c>
      <c r="Q8067" s="30" t="s">
        <v>2566</v>
      </c>
      <c r="R8067" s="33" t="s">
        <v>3474</v>
      </c>
      <c r="S8067">
        <v>35</v>
      </c>
      <c r="T8067" s="1" t="s">
        <v>5416</v>
      </c>
      <c r="U8067" s="1" t="str">
        <f>HYPERLINK("http://ictvonline.org/taxonomy/p/taxonomy-history?taxnode_id=202100131","ICTVonline=202100131")</f>
        <v>ICTVonline=202100131</v>
      </c>
    </row>
    <row r="8068" spans="1:21" x14ac:dyDescent="0.2">
      <c r="A8068" s="3">
        <v>8067</v>
      </c>
      <c r="B8068" s="1" t="s">
        <v>4226</v>
      </c>
      <c r="D8068" s="1" t="s">
        <v>5412</v>
      </c>
      <c r="F8068" s="1" t="s">
        <v>3981</v>
      </c>
      <c r="G8068" s="1" t="s">
        <v>4003</v>
      </c>
      <c r="H8068" s="1" t="s">
        <v>4004</v>
      </c>
      <c r="J8068" s="1" t="s">
        <v>3109</v>
      </c>
      <c r="L8068" s="1" t="s">
        <v>3115</v>
      </c>
      <c r="N8068" s="1" t="s">
        <v>1841</v>
      </c>
      <c r="P8068" s="1" t="s">
        <v>2874</v>
      </c>
      <c r="Q8068" s="30" t="s">
        <v>2566</v>
      </c>
      <c r="R8068" s="33" t="s">
        <v>3474</v>
      </c>
      <c r="S8068">
        <v>35</v>
      </c>
      <c r="T8068" s="1" t="s">
        <v>5416</v>
      </c>
      <c r="U8068" s="1" t="str">
        <f>HYPERLINK("http://ictvonline.org/taxonomy/p/taxonomy-history?taxnode_id=202100132","ICTVonline=202100132")</f>
        <v>ICTVonline=202100132</v>
      </c>
    </row>
    <row r="8069" spans="1:21" x14ac:dyDescent="0.2">
      <c r="A8069" s="3">
        <v>8068</v>
      </c>
      <c r="B8069" s="1" t="s">
        <v>4226</v>
      </c>
      <c r="D8069" s="1" t="s">
        <v>5412</v>
      </c>
      <c r="F8069" s="1" t="s">
        <v>3981</v>
      </c>
      <c r="G8069" s="1" t="s">
        <v>4003</v>
      </c>
      <c r="H8069" s="1" t="s">
        <v>4004</v>
      </c>
      <c r="J8069" s="1" t="s">
        <v>3109</v>
      </c>
      <c r="L8069" s="1" t="s">
        <v>3115</v>
      </c>
      <c r="N8069" s="1" t="s">
        <v>1841</v>
      </c>
      <c r="P8069" s="1" t="s">
        <v>2875</v>
      </c>
      <c r="Q8069" s="30" t="s">
        <v>2566</v>
      </c>
      <c r="R8069" s="33" t="s">
        <v>3474</v>
      </c>
      <c r="S8069">
        <v>35</v>
      </c>
      <c r="T8069" s="1" t="s">
        <v>5416</v>
      </c>
      <c r="U8069" s="1" t="str">
        <f>HYPERLINK("http://ictvonline.org/taxonomy/p/taxonomy-history?taxnode_id=202100133","ICTVonline=202100133")</f>
        <v>ICTVonline=202100133</v>
      </c>
    </row>
    <row r="8070" spans="1:21" x14ac:dyDescent="0.2">
      <c r="A8070" s="3">
        <v>8069</v>
      </c>
      <c r="B8070" s="1" t="s">
        <v>4226</v>
      </c>
      <c r="D8070" s="1" t="s">
        <v>5412</v>
      </c>
      <c r="F8070" s="1" t="s">
        <v>3981</v>
      </c>
      <c r="G8070" s="1" t="s">
        <v>4003</v>
      </c>
      <c r="H8070" s="1" t="s">
        <v>4004</v>
      </c>
      <c r="J8070" s="1" t="s">
        <v>3109</v>
      </c>
      <c r="L8070" s="1" t="s">
        <v>3115</v>
      </c>
      <c r="N8070" s="1" t="s">
        <v>1841</v>
      </c>
      <c r="P8070" s="1" t="s">
        <v>8267</v>
      </c>
      <c r="Q8070" s="30" t="s">
        <v>2566</v>
      </c>
      <c r="R8070" s="33" t="s">
        <v>3472</v>
      </c>
      <c r="S8070">
        <v>36</v>
      </c>
      <c r="T8070" s="1" t="s">
        <v>8252</v>
      </c>
      <c r="U8070" s="1" t="str">
        <f>HYPERLINK("http://ictvonline.org/taxonomy/p/taxonomy-history?taxnode_id=202109330","ICTVonline=202109330")</f>
        <v>ICTVonline=202109330</v>
      </c>
    </row>
    <row r="8071" spans="1:21" x14ac:dyDescent="0.2">
      <c r="A8071" s="3">
        <v>8070</v>
      </c>
      <c r="B8071" s="1" t="s">
        <v>4226</v>
      </c>
      <c r="D8071" s="1" t="s">
        <v>5412</v>
      </c>
      <c r="F8071" s="1" t="s">
        <v>3981</v>
      </c>
      <c r="G8071" s="1" t="s">
        <v>4003</v>
      </c>
      <c r="H8071" s="1" t="s">
        <v>4004</v>
      </c>
      <c r="J8071" s="1" t="s">
        <v>3109</v>
      </c>
      <c r="L8071" s="1" t="s">
        <v>3115</v>
      </c>
      <c r="N8071" s="1" t="s">
        <v>1841</v>
      </c>
      <c r="P8071" s="1" t="s">
        <v>4353</v>
      </c>
      <c r="Q8071" s="30" t="s">
        <v>2566</v>
      </c>
      <c r="R8071" s="33" t="s">
        <v>3474</v>
      </c>
      <c r="S8071">
        <v>35</v>
      </c>
      <c r="T8071" s="1" t="s">
        <v>5416</v>
      </c>
      <c r="U8071" s="1" t="str">
        <f>HYPERLINK("http://ictvonline.org/taxonomy/p/taxonomy-history?taxnode_id=202106373","ICTVonline=202106373")</f>
        <v>ICTVonline=202106373</v>
      </c>
    </row>
    <row r="8072" spans="1:21" x14ac:dyDescent="0.2">
      <c r="A8072" s="3">
        <v>8071</v>
      </c>
      <c r="B8072" s="1" t="s">
        <v>4226</v>
      </c>
      <c r="D8072" s="1" t="s">
        <v>5412</v>
      </c>
      <c r="F8072" s="1" t="s">
        <v>3981</v>
      </c>
      <c r="G8072" s="1" t="s">
        <v>4003</v>
      </c>
      <c r="H8072" s="1" t="s">
        <v>4004</v>
      </c>
      <c r="J8072" s="1" t="s">
        <v>3109</v>
      </c>
      <c r="L8072" s="1" t="s">
        <v>3115</v>
      </c>
      <c r="N8072" s="1" t="s">
        <v>1841</v>
      </c>
      <c r="P8072" s="1" t="s">
        <v>2876</v>
      </c>
      <c r="Q8072" s="30" t="s">
        <v>2566</v>
      </c>
      <c r="R8072" s="33" t="s">
        <v>3474</v>
      </c>
      <c r="S8072">
        <v>35</v>
      </c>
      <c r="T8072" s="1" t="s">
        <v>5416</v>
      </c>
      <c r="U8072" s="1" t="str">
        <f>HYPERLINK("http://ictvonline.org/taxonomy/p/taxonomy-history?taxnode_id=202100134","ICTVonline=202100134")</f>
        <v>ICTVonline=202100134</v>
      </c>
    </row>
    <row r="8073" spans="1:21" x14ac:dyDescent="0.2">
      <c r="A8073" s="3">
        <v>8072</v>
      </c>
      <c r="B8073" s="1" t="s">
        <v>4226</v>
      </c>
      <c r="D8073" s="1" t="s">
        <v>5412</v>
      </c>
      <c r="F8073" s="1" t="s">
        <v>3981</v>
      </c>
      <c r="G8073" s="1" t="s">
        <v>4003</v>
      </c>
      <c r="H8073" s="1" t="s">
        <v>4004</v>
      </c>
      <c r="J8073" s="1" t="s">
        <v>3109</v>
      </c>
      <c r="L8073" s="1" t="s">
        <v>3115</v>
      </c>
      <c r="N8073" s="1" t="s">
        <v>1841</v>
      </c>
      <c r="P8073" s="1" t="s">
        <v>4354</v>
      </c>
      <c r="Q8073" s="30" t="s">
        <v>2566</v>
      </c>
      <c r="R8073" s="33" t="s">
        <v>3474</v>
      </c>
      <c r="S8073">
        <v>35</v>
      </c>
      <c r="T8073" s="1" t="s">
        <v>5416</v>
      </c>
      <c r="U8073" s="1" t="str">
        <f>HYPERLINK("http://ictvonline.org/taxonomy/p/taxonomy-history?taxnode_id=202106379","ICTVonline=202106379")</f>
        <v>ICTVonline=202106379</v>
      </c>
    </row>
    <row r="8074" spans="1:21" x14ac:dyDescent="0.2">
      <c r="A8074" s="3">
        <v>8073</v>
      </c>
      <c r="B8074" s="1" t="s">
        <v>4226</v>
      </c>
      <c r="D8074" s="1" t="s">
        <v>5412</v>
      </c>
      <c r="F8074" s="1" t="s">
        <v>3981</v>
      </c>
      <c r="G8074" s="1" t="s">
        <v>4003</v>
      </c>
      <c r="H8074" s="1" t="s">
        <v>4004</v>
      </c>
      <c r="J8074" s="1" t="s">
        <v>3109</v>
      </c>
      <c r="L8074" s="1" t="s">
        <v>3115</v>
      </c>
      <c r="N8074" s="1" t="s">
        <v>1841</v>
      </c>
      <c r="P8074" s="1" t="s">
        <v>4355</v>
      </c>
      <c r="Q8074" s="30" t="s">
        <v>2566</v>
      </c>
      <c r="R8074" s="33" t="s">
        <v>3474</v>
      </c>
      <c r="S8074">
        <v>35</v>
      </c>
      <c r="T8074" s="1" t="s">
        <v>5416</v>
      </c>
      <c r="U8074" s="1" t="str">
        <f>HYPERLINK("http://ictvonline.org/taxonomy/p/taxonomy-history?taxnode_id=202106599","ICTVonline=202106599")</f>
        <v>ICTVonline=202106599</v>
      </c>
    </row>
    <row r="8075" spans="1:21" x14ac:dyDescent="0.2">
      <c r="A8075" s="3">
        <v>8074</v>
      </c>
      <c r="B8075" s="1" t="s">
        <v>4226</v>
      </c>
      <c r="D8075" s="1" t="s">
        <v>5412</v>
      </c>
      <c r="F8075" s="1" t="s">
        <v>3981</v>
      </c>
      <c r="G8075" s="1" t="s">
        <v>4003</v>
      </c>
      <c r="H8075" s="1" t="s">
        <v>4004</v>
      </c>
      <c r="J8075" s="1" t="s">
        <v>3109</v>
      </c>
      <c r="L8075" s="1" t="s">
        <v>3115</v>
      </c>
      <c r="N8075" s="1" t="s">
        <v>1841</v>
      </c>
      <c r="P8075" s="1" t="s">
        <v>3530</v>
      </c>
      <c r="Q8075" s="30" t="s">
        <v>2566</v>
      </c>
      <c r="R8075" s="33" t="s">
        <v>3474</v>
      </c>
      <c r="S8075">
        <v>35</v>
      </c>
      <c r="T8075" s="1" t="s">
        <v>5416</v>
      </c>
      <c r="U8075" s="1" t="str">
        <f>HYPERLINK("http://ictvonline.org/taxonomy/p/taxonomy-history?taxnode_id=202105464","ICTVonline=202105464")</f>
        <v>ICTVonline=202105464</v>
      </c>
    </row>
    <row r="8076" spans="1:21" x14ac:dyDescent="0.2">
      <c r="A8076" s="3">
        <v>8075</v>
      </c>
      <c r="B8076" s="1" t="s">
        <v>4226</v>
      </c>
      <c r="D8076" s="1" t="s">
        <v>5412</v>
      </c>
      <c r="F8076" s="1" t="s">
        <v>3981</v>
      </c>
      <c r="G8076" s="1" t="s">
        <v>4003</v>
      </c>
      <c r="H8076" s="1" t="s">
        <v>4004</v>
      </c>
      <c r="J8076" s="1" t="s">
        <v>3109</v>
      </c>
      <c r="L8076" s="1" t="s">
        <v>3115</v>
      </c>
      <c r="N8076" s="1" t="s">
        <v>1841</v>
      </c>
      <c r="P8076" s="1" t="s">
        <v>2877</v>
      </c>
      <c r="Q8076" s="30" t="s">
        <v>2566</v>
      </c>
      <c r="R8076" s="33" t="s">
        <v>3474</v>
      </c>
      <c r="S8076">
        <v>35</v>
      </c>
      <c r="T8076" s="1" t="s">
        <v>5416</v>
      </c>
      <c r="U8076" s="1" t="str">
        <f>HYPERLINK("http://ictvonline.org/taxonomy/p/taxonomy-history?taxnode_id=202100135","ICTVonline=202100135")</f>
        <v>ICTVonline=202100135</v>
      </c>
    </row>
    <row r="8077" spans="1:21" x14ac:dyDescent="0.2">
      <c r="A8077" s="3">
        <v>8076</v>
      </c>
      <c r="B8077" s="1" t="s">
        <v>4226</v>
      </c>
      <c r="D8077" s="1" t="s">
        <v>5412</v>
      </c>
      <c r="F8077" s="1" t="s">
        <v>3981</v>
      </c>
      <c r="G8077" s="1" t="s">
        <v>4003</v>
      </c>
      <c r="H8077" s="1" t="s">
        <v>4004</v>
      </c>
      <c r="J8077" s="1" t="s">
        <v>3109</v>
      </c>
      <c r="L8077" s="1" t="s">
        <v>3115</v>
      </c>
      <c r="N8077" s="1" t="s">
        <v>4356</v>
      </c>
      <c r="P8077" s="1" t="s">
        <v>5518</v>
      </c>
      <c r="Q8077" s="30" t="s">
        <v>2566</v>
      </c>
      <c r="R8077" s="33" t="s">
        <v>3472</v>
      </c>
      <c r="S8077">
        <v>35</v>
      </c>
      <c r="T8077" s="1" t="s">
        <v>5519</v>
      </c>
      <c r="U8077" s="1" t="str">
        <f>HYPERLINK("http://ictvonline.org/taxonomy/p/taxonomy-history?taxnode_id=202107517","ICTVonline=202107517")</f>
        <v>ICTVonline=202107517</v>
      </c>
    </row>
    <row r="8078" spans="1:21" x14ac:dyDescent="0.2">
      <c r="A8078" s="3">
        <v>8077</v>
      </c>
      <c r="B8078" s="1" t="s">
        <v>4226</v>
      </c>
      <c r="D8078" s="1" t="s">
        <v>5412</v>
      </c>
      <c r="F8078" s="1" t="s">
        <v>3981</v>
      </c>
      <c r="G8078" s="1" t="s">
        <v>4003</v>
      </c>
      <c r="H8078" s="1" t="s">
        <v>4004</v>
      </c>
      <c r="J8078" s="1" t="s">
        <v>3109</v>
      </c>
      <c r="L8078" s="1" t="s">
        <v>3115</v>
      </c>
      <c r="N8078" s="1" t="s">
        <v>4356</v>
      </c>
      <c r="P8078" s="1" t="s">
        <v>5520</v>
      </c>
      <c r="Q8078" s="30" t="s">
        <v>2566</v>
      </c>
      <c r="R8078" s="33" t="s">
        <v>3473</v>
      </c>
      <c r="S8078">
        <v>35</v>
      </c>
      <c r="T8078" s="1" t="s">
        <v>13548</v>
      </c>
      <c r="U8078" s="1" t="str">
        <f>HYPERLINK("http://ictvonline.org/taxonomy/p/taxonomy-history?taxnode_id=202100160","ICTVonline=202100160")</f>
        <v>ICTVonline=202100160</v>
      </c>
    </row>
    <row r="8079" spans="1:21" x14ac:dyDescent="0.2">
      <c r="A8079" s="3">
        <v>8078</v>
      </c>
      <c r="B8079" s="1" t="s">
        <v>4226</v>
      </c>
      <c r="D8079" s="1" t="s">
        <v>5412</v>
      </c>
      <c r="F8079" s="1" t="s">
        <v>3981</v>
      </c>
      <c r="G8079" s="1" t="s">
        <v>4003</v>
      </c>
      <c r="H8079" s="1" t="s">
        <v>4004</v>
      </c>
      <c r="J8079" s="1" t="s">
        <v>3109</v>
      </c>
      <c r="L8079" s="1" t="s">
        <v>3115</v>
      </c>
      <c r="N8079" s="1" t="s">
        <v>4356</v>
      </c>
      <c r="P8079" s="1" t="s">
        <v>4357</v>
      </c>
      <c r="Q8079" s="30" t="s">
        <v>2566</v>
      </c>
      <c r="R8079" s="33" t="s">
        <v>8665</v>
      </c>
      <c r="S8079">
        <v>36</v>
      </c>
      <c r="T8079" s="1" t="s">
        <v>8661</v>
      </c>
      <c r="U8079" s="1" t="str">
        <f>HYPERLINK("http://ictvonline.org/taxonomy/p/taxonomy-history?taxnode_id=202106601","ICTVonline=202106601")</f>
        <v>ICTVonline=202106601</v>
      </c>
    </row>
    <row r="8080" spans="1:21" x14ac:dyDescent="0.2">
      <c r="A8080" s="3">
        <v>8079</v>
      </c>
      <c r="B8080" s="1" t="s">
        <v>4226</v>
      </c>
      <c r="D8080" s="1" t="s">
        <v>5412</v>
      </c>
      <c r="F8080" s="1" t="s">
        <v>3981</v>
      </c>
      <c r="G8080" s="1" t="s">
        <v>4003</v>
      </c>
      <c r="H8080" s="1" t="s">
        <v>4004</v>
      </c>
      <c r="J8080" s="1" t="s">
        <v>3109</v>
      </c>
      <c r="L8080" s="1" t="s">
        <v>3115</v>
      </c>
      <c r="N8080" s="1" t="s">
        <v>4356</v>
      </c>
      <c r="P8080" s="1" t="s">
        <v>4358</v>
      </c>
      <c r="Q8080" s="30" t="s">
        <v>2566</v>
      </c>
      <c r="R8080" s="33" t="s">
        <v>3474</v>
      </c>
      <c r="S8080">
        <v>35</v>
      </c>
      <c r="T8080" s="1" t="s">
        <v>5416</v>
      </c>
      <c r="U8080" s="1" t="str">
        <f>HYPERLINK("http://ictvonline.org/taxonomy/p/taxonomy-history?taxnode_id=202106602","ICTVonline=202106602")</f>
        <v>ICTVonline=202106602</v>
      </c>
    </row>
    <row r="8081" spans="1:21" x14ac:dyDescent="0.2">
      <c r="A8081" s="3">
        <v>8080</v>
      </c>
      <c r="B8081" s="1" t="s">
        <v>4226</v>
      </c>
      <c r="D8081" s="1" t="s">
        <v>5412</v>
      </c>
      <c r="F8081" s="1" t="s">
        <v>3981</v>
      </c>
      <c r="G8081" s="1" t="s">
        <v>4003</v>
      </c>
      <c r="H8081" s="1" t="s">
        <v>4004</v>
      </c>
      <c r="J8081" s="1" t="s">
        <v>3109</v>
      </c>
      <c r="L8081" s="1" t="s">
        <v>3115</v>
      </c>
      <c r="N8081" s="1" t="s">
        <v>4356</v>
      </c>
      <c r="P8081" s="1" t="s">
        <v>4359</v>
      </c>
      <c r="Q8081" s="30" t="s">
        <v>2566</v>
      </c>
      <c r="R8081" s="33" t="s">
        <v>3474</v>
      </c>
      <c r="S8081">
        <v>35</v>
      </c>
      <c r="T8081" s="1" t="s">
        <v>5416</v>
      </c>
      <c r="U8081" s="1" t="str">
        <f>HYPERLINK("http://ictvonline.org/taxonomy/p/taxonomy-history?taxnode_id=202106603","ICTVonline=202106603")</f>
        <v>ICTVonline=202106603</v>
      </c>
    </row>
    <row r="8082" spans="1:21" x14ac:dyDescent="0.2">
      <c r="A8082" s="3">
        <v>8081</v>
      </c>
      <c r="B8082" s="1" t="s">
        <v>4226</v>
      </c>
      <c r="D8082" s="1" t="s">
        <v>5412</v>
      </c>
      <c r="F8082" s="1" t="s">
        <v>3981</v>
      </c>
      <c r="G8082" s="1" t="s">
        <v>4003</v>
      </c>
      <c r="H8082" s="1" t="s">
        <v>4004</v>
      </c>
      <c r="J8082" s="1" t="s">
        <v>3109</v>
      </c>
      <c r="L8082" s="1" t="s">
        <v>3115</v>
      </c>
      <c r="N8082" s="1" t="s">
        <v>4021</v>
      </c>
      <c r="P8082" s="1" t="s">
        <v>4022</v>
      </c>
      <c r="Q8082" s="30" t="s">
        <v>2566</v>
      </c>
      <c r="R8082" s="33" t="s">
        <v>8665</v>
      </c>
      <c r="S8082">
        <v>36</v>
      </c>
      <c r="T8082" s="1" t="s">
        <v>8661</v>
      </c>
      <c r="U8082" s="1" t="str">
        <f>HYPERLINK("http://ictvonline.org/taxonomy/p/taxonomy-history?taxnode_id=202100085","ICTVonline=202100085")</f>
        <v>ICTVonline=202100085</v>
      </c>
    </row>
    <row r="8083" spans="1:21" x14ac:dyDescent="0.2">
      <c r="A8083" s="3">
        <v>8082</v>
      </c>
      <c r="B8083" s="1" t="s">
        <v>4226</v>
      </c>
      <c r="D8083" s="1" t="s">
        <v>5412</v>
      </c>
      <c r="F8083" s="1" t="s">
        <v>3981</v>
      </c>
      <c r="G8083" s="1" t="s">
        <v>4003</v>
      </c>
      <c r="H8083" s="1" t="s">
        <v>4004</v>
      </c>
      <c r="J8083" s="1" t="s">
        <v>3109</v>
      </c>
      <c r="L8083" s="1" t="s">
        <v>3166</v>
      </c>
      <c r="N8083" s="1" t="s">
        <v>13549</v>
      </c>
      <c r="P8083" s="1" t="s">
        <v>13550</v>
      </c>
      <c r="Q8083" s="30" t="s">
        <v>2566</v>
      </c>
      <c r="R8083" s="33" t="s">
        <v>3472</v>
      </c>
      <c r="S8083">
        <v>37</v>
      </c>
      <c r="T8083" s="1" t="s">
        <v>14046</v>
      </c>
      <c r="U8083" s="1" t="str">
        <f>HYPERLINK("http://ictvonline.org/taxonomy/p/taxonomy-history?taxnode_id=202112243","ICTVonline=202112243")</f>
        <v>ICTVonline=202112243</v>
      </c>
    </row>
    <row r="8084" spans="1:21" x14ac:dyDescent="0.2">
      <c r="A8084" s="3">
        <v>8083</v>
      </c>
      <c r="B8084" s="1" t="s">
        <v>4226</v>
      </c>
      <c r="D8084" s="1" t="s">
        <v>5412</v>
      </c>
      <c r="F8084" s="1" t="s">
        <v>3981</v>
      </c>
      <c r="G8084" s="1" t="s">
        <v>4003</v>
      </c>
      <c r="H8084" s="1" t="s">
        <v>4004</v>
      </c>
      <c r="J8084" s="1" t="s">
        <v>3109</v>
      </c>
      <c r="L8084" s="1" t="s">
        <v>3166</v>
      </c>
      <c r="N8084" s="1" t="s">
        <v>4023</v>
      </c>
      <c r="P8084" s="1" t="s">
        <v>4024</v>
      </c>
      <c r="Q8084" s="30" t="s">
        <v>2566</v>
      </c>
      <c r="R8084" s="33" t="s">
        <v>8665</v>
      </c>
      <c r="S8084">
        <v>36</v>
      </c>
      <c r="T8084" s="1" t="s">
        <v>8661</v>
      </c>
      <c r="U8084" s="1" t="str">
        <f>HYPERLINK("http://ictvonline.org/taxonomy/p/taxonomy-history?taxnode_id=202100005","ICTVonline=202100005")</f>
        <v>ICTVonline=202100005</v>
      </c>
    </row>
    <row r="8085" spans="1:21" x14ac:dyDescent="0.2">
      <c r="A8085" s="3">
        <v>8084</v>
      </c>
      <c r="B8085" s="1" t="s">
        <v>4226</v>
      </c>
      <c r="D8085" s="1" t="s">
        <v>5412</v>
      </c>
      <c r="F8085" s="1" t="s">
        <v>3981</v>
      </c>
      <c r="G8085" s="1" t="s">
        <v>4003</v>
      </c>
      <c r="H8085" s="1" t="s">
        <v>4004</v>
      </c>
      <c r="J8085" s="1" t="s">
        <v>3109</v>
      </c>
      <c r="L8085" s="1" t="s">
        <v>3166</v>
      </c>
      <c r="N8085" s="1" t="s">
        <v>4023</v>
      </c>
      <c r="P8085" s="1" t="s">
        <v>8268</v>
      </c>
      <c r="Q8085" s="30" t="s">
        <v>2566</v>
      </c>
      <c r="R8085" s="33" t="s">
        <v>3472</v>
      </c>
      <c r="S8085">
        <v>36</v>
      </c>
      <c r="T8085" s="1" t="s">
        <v>8269</v>
      </c>
      <c r="U8085" s="1" t="str">
        <f>HYPERLINK("http://ictvonline.org/taxonomy/p/taxonomy-history?taxnode_id=202109613","ICTVonline=202109613")</f>
        <v>ICTVonline=202109613</v>
      </c>
    </row>
    <row r="8086" spans="1:21" x14ac:dyDescent="0.2">
      <c r="A8086" s="3">
        <v>8085</v>
      </c>
      <c r="B8086" s="1" t="s">
        <v>4226</v>
      </c>
      <c r="D8086" s="1" t="s">
        <v>5412</v>
      </c>
      <c r="F8086" s="1" t="s">
        <v>3981</v>
      </c>
      <c r="G8086" s="1" t="s">
        <v>4003</v>
      </c>
      <c r="H8086" s="1" t="s">
        <v>4004</v>
      </c>
      <c r="J8086" s="1" t="s">
        <v>3109</v>
      </c>
      <c r="L8086" s="1" t="s">
        <v>3166</v>
      </c>
      <c r="N8086" s="1" t="s">
        <v>4023</v>
      </c>
      <c r="P8086" s="1" t="s">
        <v>8270</v>
      </c>
      <c r="Q8086" s="30" t="s">
        <v>2566</v>
      </c>
      <c r="R8086" s="33" t="s">
        <v>3472</v>
      </c>
      <c r="S8086">
        <v>36</v>
      </c>
      <c r="T8086" s="1" t="s">
        <v>8269</v>
      </c>
      <c r="U8086" s="1" t="str">
        <f>HYPERLINK("http://ictvonline.org/taxonomy/p/taxonomy-history?taxnode_id=202109612","ICTVonline=202109612")</f>
        <v>ICTVonline=202109612</v>
      </c>
    </row>
    <row r="8087" spans="1:21" x14ac:dyDescent="0.2">
      <c r="A8087" s="3">
        <v>8086</v>
      </c>
      <c r="B8087" s="1" t="s">
        <v>4226</v>
      </c>
      <c r="D8087" s="1" t="s">
        <v>5412</v>
      </c>
      <c r="F8087" s="1" t="s">
        <v>3981</v>
      </c>
      <c r="G8087" s="1" t="s">
        <v>4003</v>
      </c>
      <c r="H8087" s="1" t="s">
        <v>4004</v>
      </c>
      <c r="J8087" s="1" t="s">
        <v>3109</v>
      </c>
      <c r="L8087" s="1" t="s">
        <v>3166</v>
      </c>
      <c r="N8087" s="1" t="s">
        <v>8271</v>
      </c>
      <c r="P8087" s="1" t="s">
        <v>8272</v>
      </c>
      <c r="Q8087" s="30" t="s">
        <v>2566</v>
      </c>
      <c r="R8087" s="33" t="s">
        <v>3472</v>
      </c>
      <c r="S8087">
        <v>36</v>
      </c>
      <c r="T8087" s="1" t="s">
        <v>8269</v>
      </c>
      <c r="U8087" s="1" t="str">
        <f>HYPERLINK("http://ictvonline.org/taxonomy/p/taxonomy-history?taxnode_id=202109610","ICTVonline=202109610")</f>
        <v>ICTVonline=202109610</v>
      </c>
    </row>
    <row r="8088" spans="1:21" x14ac:dyDescent="0.2">
      <c r="A8088" s="3">
        <v>8087</v>
      </c>
      <c r="B8088" s="1" t="s">
        <v>4226</v>
      </c>
      <c r="D8088" s="1" t="s">
        <v>5412</v>
      </c>
      <c r="F8088" s="1" t="s">
        <v>3981</v>
      </c>
      <c r="G8088" s="1" t="s">
        <v>4003</v>
      </c>
      <c r="H8088" s="1" t="s">
        <v>4004</v>
      </c>
      <c r="J8088" s="1" t="s">
        <v>3109</v>
      </c>
      <c r="L8088" s="1" t="s">
        <v>3166</v>
      </c>
      <c r="N8088" s="1" t="s">
        <v>8271</v>
      </c>
      <c r="P8088" s="1" t="s">
        <v>8273</v>
      </c>
      <c r="Q8088" s="30" t="s">
        <v>2566</v>
      </c>
      <c r="R8088" s="33" t="s">
        <v>3472</v>
      </c>
      <c r="S8088">
        <v>36</v>
      </c>
      <c r="T8088" s="1" t="s">
        <v>8269</v>
      </c>
      <c r="U8088" s="1" t="str">
        <f>HYPERLINK("http://ictvonline.org/taxonomy/p/taxonomy-history?taxnode_id=202109611","ICTVonline=202109611")</f>
        <v>ICTVonline=202109611</v>
      </c>
    </row>
    <row r="8089" spans="1:21" x14ac:dyDescent="0.2">
      <c r="A8089" s="3">
        <v>8088</v>
      </c>
      <c r="B8089" s="1" t="s">
        <v>4226</v>
      </c>
      <c r="D8089" s="1" t="s">
        <v>5412</v>
      </c>
      <c r="F8089" s="1" t="s">
        <v>3981</v>
      </c>
      <c r="G8089" s="1" t="s">
        <v>4003</v>
      </c>
      <c r="H8089" s="1" t="s">
        <v>4004</v>
      </c>
      <c r="J8089" s="1" t="s">
        <v>3109</v>
      </c>
      <c r="L8089" s="1" t="s">
        <v>3166</v>
      </c>
      <c r="N8089" s="1" t="s">
        <v>4025</v>
      </c>
      <c r="P8089" s="1" t="s">
        <v>4026</v>
      </c>
      <c r="Q8089" s="30" t="s">
        <v>2566</v>
      </c>
      <c r="R8089" s="33" t="s">
        <v>8665</v>
      </c>
      <c r="S8089">
        <v>36</v>
      </c>
      <c r="T8089" s="1" t="s">
        <v>8661</v>
      </c>
      <c r="U8089" s="1" t="str">
        <f>HYPERLINK("http://ictvonline.org/taxonomy/p/taxonomy-history?taxnode_id=202100065","ICTVonline=202100065")</f>
        <v>ICTVonline=202100065</v>
      </c>
    </row>
    <row r="8090" spans="1:21" x14ac:dyDescent="0.2">
      <c r="A8090" s="3">
        <v>8089</v>
      </c>
      <c r="B8090" s="1" t="s">
        <v>4226</v>
      </c>
      <c r="D8090" s="1" t="s">
        <v>5412</v>
      </c>
      <c r="F8090" s="1" t="s">
        <v>3981</v>
      </c>
      <c r="G8090" s="1" t="s">
        <v>4003</v>
      </c>
      <c r="H8090" s="1" t="s">
        <v>4004</v>
      </c>
      <c r="J8090" s="1" t="s">
        <v>3109</v>
      </c>
      <c r="L8090" s="1" t="s">
        <v>3166</v>
      </c>
      <c r="N8090" s="1" t="s">
        <v>3167</v>
      </c>
      <c r="P8090" s="1" t="s">
        <v>5521</v>
      </c>
      <c r="Q8090" s="30" t="s">
        <v>2566</v>
      </c>
      <c r="R8090" s="33" t="s">
        <v>3472</v>
      </c>
      <c r="S8090">
        <v>35</v>
      </c>
      <c r="T8090" s="1" t="s">
        <v>5522</v>
      </c>
      <c r="U8090" s="1" t="str">
        <f>HYPERLINK("http://ictvonline.org/taxonomy/p/taxonomy-history?taxnode_id=202107659","ICTVonline=202107659")</f>
        <v>ICTVonline=202107659</v>
      </c>
    </row>
    <row r="8091" spans="1:21" x14ac:dyDescent="0.2">
      <c r="A8091" s="3">
        <v>8090</v>
      </c>
      <c r="B8091" s="1" t="s">
        <v>4226</v>
      </c>
      <c r="D8091" s="1" t="s">
        <v>5412</v>
      </c>
      <c r="F8091" s="1" t="s">
        <v>3981</v>
      </c>
      <c r="G8091" s="1" t="s">
        <v>4003</v>
      </c>
      <c r="H8091" s="1" t="s">
        <v>4004</v>
      </c>
      <c r="J8091" s="1" t="s">
        <v>3109</v>
      </c>
      <c r="L8091" s="1" t="s">
        <v>3166</v>
      </c>
      <c r="N8091" s="1" t="s">
        <v>3167</v>
      </c>
      <c r="P8091" s="1" t="s">
        <v>8274</v>
      </c>
      <c r="Q8091" s="30" t="s">
        <v>2566</v>
      </c>
      <c r="R8091" s="33" t="s">
        <v>3472</v>
      </c>
      <c r="S8091">
        <v>36</v>
      </c>
      <c r="T8091" s="1" t="s">
        <v>8269</v>
      </c>
      <c r="U8091" s="1" t="str">
        <f>HYPERLINK("http://ictvonline.org/taxonomy/p/taxonomy-history?taxnode_id=202109605","ICTVonline=202109605")</f>
        <v>ICTVonline=202109605</v>
      </c>
    </row>
    <row r="8092" spans="1:21" x14ac:dyDescent="0.2">
      <c r="A8092" s="3">
        <v>8091</v>
      </c>
      <c r="B8092" s="1" t="s">
        <v>4226</v>
      </c>
      <c r="D8092" s="1" t="s">
        <v>5412</v>
      </c>
      <c r="F8092" s="1" t="s">
        <v>3981</v>
      </c>
      <c r="G8092" s="1" t="s">
        <v>4003</v>
      </c>
      <c r="H8092" s="1" t="s">
        <v>4004</v>
      </c>
      <c r="J8092" s="1" t="s">
        <v>3109</v>
      </c>
      <c r="L8092" s="1" t="s">
        <v>3166</v>
      </c>
      <c r="N8092" s="1" t="s">
        <v>3167</v>
      </c>
      <c r="P8092" s="1" t="s">
        <v>4360</v>
      </c>
      <c r="Q8092" s="30" t="s">
        <v>2566</v>
      </c>
      <c r="R8092" s="33" t="s">
        <v>3474</v>
      </c>
      <c r="S8092">
        <v>35</v>
      </c>
      <c r="T8092" s="1" t="s">
        <v>5416</v>
      </c>
      <c r="U8092" s="1" t="str">
        <f>HYPERLINK("http://ictvonline.org/taxonomy/p/taxonomy-history?taxnode_id=202106413","ICTVonline=202106413")</f>
        <v>ICTVonline=202106413</v>
      </c>
    </row>
    <row r="8093" spans="1:21" x14ac:dyDescent="0.2">
      <c r="A8093" s="3">
        <v>8092</v>
      </c>
      <c r="B8093" s="1" t="s">
        <v>4226</v>
      </c>
      <c r="D8093" s="1" t="s">
        <v>5412</v>
      </c>
      <c r="F8093" s="1" t="s">
        <v>3981</v>
      </c>
      <c r="G8093" s="1" t="s">
        <v>4003</v>
      </c>
      <c r="H8093" s="1" t="s">
        <v>4004</v>
      </c>
      <c r="J8093" s="1" t="s">
        <v>3109</v>
      </c>
      <c r="L8093" s="1" t="s">
        <v>3166</v>
      </c>
      <c r="N8093" s="1" t="s">
        <v>3167</v>
      </c>
      <c r="P8093" s="1" t="s">
        <v>4361</v>
      </c>
      <c r="Q8093" s="30" t="s">
        <v>2566</v>
      </c>
      <c r="R8093" s="33" t="s">
        <v>3474</v>
      </c>
      <c r="S8093">
        <v>35</v>
      </c>
      <c r="T8093" s="1" t="s">
        <v>5416</v>
      </c>
      <c r="U8093" s="1" t="str">
        <f>HYPERLINK("http://ictvonline.org/taxonomy/p/taxonomy-history?taxnode_id=202106416","ICTVonline=202106416")</f>
        <v>ICTVonline=202106416</v>
      </c>
    </row>
    <row r="8094" spans="1:21" x14ac:dyDescent="0.2">
      <c r="A8094" s="3">
        <v>8093</v>
      </c>
      <c r="B8094" s="1" t="s">
        <v>4226</v>
      </c>
      <c r="D8094" s="1" t="s">
        <v>5412</v>
      </c>
      <c r="F8094" s="1" t="s">
        <v>3981</v>
      </c>
      <c r="G8094" s="1" t="s">
        <v>4003</v>
      </c>
      <c r="H8094" s="1" t="s">
        <v>4004</v>
      </c>
      <c r="J8094" s="1" t="s">
        <v>3109</v>
      </c>
      <c r="L8094" s="1" t="s">
        <v>3166</v>
      </c>
      <c r="N8094" s="1" t="s">
        <v>3167</v>
      </c>
      <c r="P8094" s="1" t="s">
        <v>8275</v>
      </c>
      <c r="Q8094" s="30" t="s">
        <v>2566</v>
      </c>
      <c r="R8094" s="33" t="s">
        <v>3472</v>
      </c>
      <c r="S8094">
        <v>36</v>
      </c>
      <c r="T8094" s="1" t="s">
        <v>8269</v>
      </c>
      <c r="U8094" s="1" t="str">
        <f>HYPERLINK("http://ictvonline.org/taxonomy/p/taxonomy-history?taxnode_id=202109606","ICTVonline=202109606")</f>
        <v>ICTVonline=202109606</v>
      </c>
    </row>
    <row r="8095" spans="1:21" x14ac:dyDescent="0.2">
      <c r="A8095" s="3">
        <v>8094</v>
      </c>
      <c r="B8095" s="1" t="s">
        <v>4226</v>
      </c>
      <c r="D8095" s="1" t="s">
        <v>5412</v>
      </c>
      <c r="F8095" s="1" t="s">
        <v>3981</v>
      </c>
      <c r="G8095" s="1" t="s">
        <v>4003</v>
      </c>
      <c r="H8095" s="1" t="s">
        <v>4004</v>
      </c>
      <c r="J8095" s="1" t="s">
        <v>3109</v>
      </c>
      <c r="L8095" s="1" t="s">
        <v>3166</v>
      </c>
      <c r="N8095" s="1" t="s">
        <v>3167</v>
      </c>
      <c r="P8095" s="1" t="s">
        <v>8276</v>
      </c>
      <c r="Q8095" s="30" t="s">
        <v>2566</v>
      </c>
      <c r="R8095" s="33" t="s">
        <v>3472</v>
      </c>
      <c r="S8095">
        <v>36</v>
      </c>
      <c r="T8095" s="1" t="s">
        <v>8269</v>
      </c>
      <c r="U8095" s="1" t="str">
        <f>HYPERLINK("http://ictvonline.org/taxonomy/p/taxonomy-history?taxnode_id=202109607","ICTVonline=202109607")</f>
        <v>ICTVonline=202109607</v>
      </c>
    </row>
    <row r="8096" spans="1:21" x14ac:dyDescent="0.2">
      <c r="A8096" s="3">
        <v>8095</v>
      </c>
      <c r="B8096" s="1" t="s">
        <v>4226</v>
      </c>
      <c r="D8096" s="1" t="s">
        <v>5412</v>
      </c>
      <c r="F8096" s="1" t="s">
        <v>3981</v>
      </c>
      <c r="G8096" s="1" t="s">
        <v>4003</v>
      </c>
      <c r="H8096" s="1" t="s">
        <v>4004</v>
      </c>
      <c r="J8096" s="1" t="s">
        <v>3109</v>
      </c>
      <c r="L8096" s="1" t="s">
        <v>3166</v>
      </c>
      <c r="N8096" s="1" t="s">
        <v>3167</v>
      </c>
      <c r="P8096" s="1" t="s">
        <v>3168</v>
      </c>
      <c r="Q8096" s="30" t="s">
        <v>2566</v>
      </c>
      <c r="R8096" s="33" t="s">
        <v>8665</v>
      </c>
      <c r="S8096">
        <v>36</v>
      </c>
      <c r="T8096" s="1" t="s">
        <v>8661</v>
      </c>
      <c r="U8096" s="1" t="str">
        <f>HYPERLINK("http://ictvonline.org/taxonomy/p/taxonomy-history?taxnode_id=202100140","ICTVonline=202100140")</f>
        <v>ICTVonline=202100140</v>
      </c>
    </row>
    <row r="8097" spans="1:21" x14ac:dyDescent="0.2">
      <c r="A8097" s="3">
        <v>8096</v>
      </c>
      <c r="B8097" s="1" t="s">
        <v>4226</v>
      </c>
      <c r="D8097" s="1" t="s">
        <v>5412</v>
      </c>
      <c r="F8097" s="1" t="s">
        <v>3981</v>
      </c>
      <c r="G8097" s="1" t="s">
        <v>4003</v>
      </c>
      <c r="H8097" s="1" t="s">
        <v>4004</v>
      </c>
      <c r="J8097" s="1" t="s">
        <v>3109</v>
      </c>
      <c r="L8097" s="1" t="s">
        <v>3166</v>
      </c>
      <c r="N8097" s="1" t="s">
        <v>3167</v>
      </c>
      <c r="P8097" s="1" t="s">
        <v>8277</v>
      </c>
      <c r="Q8097" s="30" t="s">
        <v>2566</v>
      </c>
      <c r="R8097" s="33" t="s">
        <v>3472</v>
      </c>
      <c r="S8097">
        <v>36</v>
      </c>
      <c r="T8097" s="1" t="s">
        <v>8269</v>
      </c>
      <c r="U8097" s="1" t="str">
        <f>HYPERLINK("http://ictvonline.org/taxonomy/p/taxonomy-history?taxnode_id=202109608","ICTVonline=202109608")</f>
        <v>ICTVonline=202109608</v>
      </c>
    </row>
    <row r="8098" spans="1:21" x14ac:dyDescent="0.2">
      <c r="A8098" s="3">
        <v>8097</v>
      </c>
      <c r="B8098" s="1" t="s">
        <v>4226</v>
      </c>
      <c r="D8098" s="1" t="s">
        <v>5412</v>
      </c>
      <c r="F8098" s="1" t="s">
        <v>3981</v>
      </c>
      <c r="G8098" s="1" t="s">
        <v>4003</v>
      </c>
      <c r="H8098" s="1" t="s">
        <v>4004</v>
      </c>
      <c r="J8098" s="1" t="s">
        <v>3109</v>
      </c>
      <c r="L8098" s="1" t="s">
        <v>3166</v>
      </c>
      <c r="N8098" s="1" t="s">
        <v>3167</v>
      </c>
      <c r="P8098" s="1" t="s">
        <v>4362</v>
      </c>
      <c r="Q8098" s="30" t="s">
        <v>2566</v>
      </c>
      <c r="R8098" s="33" t="s">
        <v>3474</v>
      </c>
      <c r="S8098">
        <v>35</v>
      </c>
      <c r="T8098" s="1" t="s">
        <v>5416</v>
      </c>
      <c r="U8098" s="1" t="str">
        <f>HYPERLINK("http://ictvonline.org/taxonomy/p/taxonomy-history?taxnode_id=202106414","ICTVonline=202106414")</f>
        <v>ICTVonline=202106414</v>
      </c>
    </row>
    <row r="8099" spans="1:21" x14ac:dyDescent="0.2">
      <c r="A8099" s="3">
        <v>8098</v>
      </c>
      <c r="B8099" s="1" t="s">
        <v>4226</v>
      </c>
      <c r="D8099" s="1" t="s">
        <v>5412</v>
      </c>
      <c r="F8099" s="1" t="s">
        <v>3981</v>
      </c>
      <c r="G8099" s="1" t="s">
        <v>4003</v>
      </c>
      <c r="H8099" s="1" t="s">
        <v>4004</v>
      </c>
      <c r="J8099" s="1" t="s">
        <v>3109</v>
      </c>
      <c r="L8099" s="1" t="s">
        <v>3166</v>
      </c>
      <c r="N8099" s="1" t="s">
        <v>3167</v>
      </c>
      <c r="P8099" s="1" t="s">
        <v>14047</v>
      </c>
      <c r="Q8099" s="30" t="s">
        <v>2566</v>
      </c>
      <c r="R8099" s="33" t="s">
        <v>3472</v>
      </c>
      <c r="S8099">
        <v>37</v>
      </c>
      <c r="T8099" s="1" t="s">
        <v>14048</v>
      </c>
      <c r="U8099" s="1" t="str">
        <f>HYPERLINK("http://ictvonline.org/taxonomy/p/taxonomy-history?taxnode_id=202112239","ICTVonline=202112239")</f>
        <v>ICTVonline=202112239</v>
      </c>
    </row>
    <row r="8100" spans="1:21" x14ac:dyDescent="0.2">
      <c r="A8100" s="3">
        <v>8099</v>
      </c>
      <c r="B8100" s="1" t="s">
        <v>4226</v>
      </c>
      <c r="D8100" s="1" t="s">
        <v>5412</v>
      </c>
      <c r="F8100" s="1" t="s">
        <v>3981</v>
      </c>
      <c r="G8100" s="1" t="s">
        <v>4003</v>
      </c>
      <c r="H8100" s="1" t="s">
        <v>4004</v>
      </c>
      <c r="J8100" s="1" t="s">
        <v>3109</v>
      </c>
      <c r="L8100" s="1" t="s">
        <v>3166</v>
      </c>
      <c r="N8100" s="1" t="s">
        <v>3167</v>
      </c>
      <c r="P8100" s="1" t="s">
        <v>13551</v>
      </c>
      <c r="Q8100" s="30" t="s">
        <v>2566</v>
      </c>
      <c r="R8100" s="33" t="s">
        <v>3472</v>
      </c>
      <c r="S8100">
        <v>37</v>
      </c>
      <c r="T8100" s="1" t="s">
        <v>14046</v>
      </c>
      <c r="U8100" s="1" t="str">
        <f>HYPERLINK("http://ictvonline.org/taxonomy/p/taxonomy-history?taxnode_id=202112238","ICTVonline=202112238")</f>
        <v>ICTVonline=202112238</v>
      </c>
    </row>
    <row r="8101" spans="1:21" x14ac:dyDescent="0.2">
      <c r="A8101" s="3">
        <v>8100</v>
      </c>
      <c r="B8101" s="1" t="s">
        <v>4226</v>
      </c>
      <c r="D8101" s="1" t="s">
        <v>5412</v>
      </c>
      <c r="F8101" s="1" t="s">
        <v>3981</v>
      </c>
      <c r="G8101" s="1" t="s">
        <v>4003</v>
      </c>
      <c r="H8101" s="1" t="s">
        <v>4004</v>
      </c>
      <c r="J8101" s="1" t="s">
        <v>3109</v>
      </c>
      <c r="L8101" s="1" t="s">
        <v>3166</v>
      </c>
      <c r="N8101" s="1" t="s">
        <v>3167</v>
      </c>
      <c r="P8101" s="1" t="s">
        <v>13552</v>
      </c>
      <c r="Q8101" s="30" t="s">
        <v>2566</v>
      </c>
      <c r="R8101" s="33" t="s">
        <v>3472</v>
      </c>
      <c r="S8101">
        <v>37</v>
      </c>
      <c r="T8101" s="1" t="s">
        <v>14046</v>
      </c>
      <c r="U8101" s="1" t="str">
        <f>HYPERLINK("http://ictvonline.org/taxonomy/p/taxonomy-history?taxnode_id=202112241","ICTVonline=202112241")</f>
        <v>ICTVonline=202112241</v>
      </c>
    </row>
    <row r="8102" spans="1:21" x14ac:dyDescent="0.2">
      <c r="A8102" s="3">
        <v>8101</v>
      </c>
      <c r="B8102" s="1" t="s">
        <v>4226</v>
      </c>
      <c r="D8102" s="1" t="s">
        <v>5412</v>
      </c>
      <c r="F8102" s="1" t="s">
        <v>3981</v>
      </c>
      <c r="G8102" s="1" t="s">
        <v>4003</v>
      </c>
      <c r="H8102" s="1" t="s">
        <v>4004</v>
      </c>
      <c r="J8102" s="1" t="s">
        <v>3109</v>
      </c>
      <c r="L8102" s="1" t="s">
        <v>3166</v>
      </c>
      <c r="N8102" s="1" t="s">
        <v>3167</v>
      </c>
      <c r="P8102" s="1" t="s">
        <v>14049</v>
      </c>
      <c r="Q8102" s="30" t="s">
        <v>2566</v>
      </c>
      <c r="R8102" s="33" t="s">
        <v>3472</v>
      </c>
      <c r="S8102">
        <v>37</v>
      </c>
      <c r="T8102" s="1" t="s">
        <v>14048</v>
      </c>
      <c r="U8102" s="1" t="str">
        <f>HYPERLINK("http://ictvonline.org/taxonomy/p/taxonomy-history?taxnode_id=202112240","ICTVonline=202112240")</f>
        <v>ICTVonline=202112240</v>
      </c>
    </row>
    <row r="8103" spans="1:21" x14ac:dyDescent="0.2">
      <c r="A8103" s="3">
        <v>8102</v>
      </c>
      <c r="B8103" s="1" t="s">
        <v>4226</v>
      </c>
      <c r="D8103" s="1" t="s">
        <v>5412</v>
      </c>
      <c r="F8103" s="1" t="s">
        <v>3981</v>
      </c>
      <c r="G8103" s="1" t="s">
        <v>4003</v>
      </c>
      <c r="H8103" s="1" t="s">
        <v>4004</v>
      </c>
      <c r="J8103" s="1" t="s">
        <v>3109</v>
      </c>
      <c r="L8103" s="1" t="s">
        <v>3166</v>
      </c>
      <c r="N8103" s="1" t="s">
        <v>3167</v>
      </c>
      <c r="P8103" s="1" t="s">
        <v>4363</v>
      </c>
      <c r="Q8103" s="30" t="s">
        <v>2566</v>
      </c>
      <c r="R8103" s="33" t="s">
        <v>3474</v>
      </c>
      <c r="S8103">
        <v>35</v>
      </c>
      <c r="T8103" s="1" t="s">
        <v>5416</v>
      </c>
      <c r="U8103" s="1" t="str">
        <f>HYPERLINK("http://ictvonline.org/taxonomy/p/taxonomy-history?taxnode_id=202106415","ICTVonline=202106415")</f>
        <v>ICTVonline=202106415</v>
      </c>
    </row>
    <row r="8104" spans="1:21" x14ac:dyDescent="0.2">
      <c r="A8104" s="3">
        <v>8103</v>
      </c>
      <c r="B8104" s="1" t="s">
        <v>4226</v>
      </c>
      <c r="D8104" s="1" t="s">
        <v>5412</v>
      </c>
      <c r="F8104" s="1" t="s">
        <v>3981</v>
      </c>
      <c r="G8104" s="1" t="s">
        <v>4003</v>
      </c>
      <c r="H8104" s="1" t="s">
        <v>4004</v>
      </c>
      <c r="J8104" s="1" t="s">
        <v>3109</v>
      </c>
      <c r="L8104" s="1" t="s">
        <v>3166</v>
      </c>
      <c r="N8104" s="1" t="s">
        <v>3167</v>
      </c>
      <c r="P8104" s="1" t="s">
        <v>3169</v>
      </c>
      <c r="Q8104" s="30" t="s">
        <v>2566</v>
      </c>
      <c r="R8104" s="33" t="s">
        <v>3474</v>
      </c>
      <c r="S8104">
        <v>35</v>
      </c>
      <c r="T8104" s="1" t="s">
        <v>5416</v>
      </c>
      <c r="U8104" s="1" t="str">
        <f>HYPERLINK("http://ictvonline.org/taxonomy/p/taxonomy-history?taxnode_id=202100143","ICTVonline=202100143")</f>
        <v>ICTVonline=202100143</v>
      </c>
    </row>
    <row r="8105" spans="1:21" x14ac:dyDescent="0.2">
      <c r="A8105" s="3">
        <v>8104</v>
      </c>
      <c r="B8105" s="1" t="s">
        <v>4226</v>
      </c>
      <c r="D8105" s="1" t="s">
        <v>5412</v>
      </c>
      <c r="F8105" s="1" t="s">
        <v>3981</v>
      </c>
      <c r="G8105" s="1" t="s">
        <v>4003</v>
      </c>
      <c r="H8105" s="1" t="s">
        <v>4004</v>
      </c>
      <c r="J8105" s="1" t="s">
        <v>3109</v>
      </c>
      <c r="L8105" s="1" t="s">
        <v>3166</v>
      </c>
      <c r="N8105" s="1" t="s">
        <v>3167</v>
      </c>
      <c r="P8105" s="1" t="s">
        <v>3170</v>
      </c>
      <c r="Q8105" s="30" t="s">
        <v>2566</v>
      </c>
      <c r="R8105" s="33" t="s">
        <v>3474</v>
      </c>
      <c r="S8105">
        <v>35</v>
      </c>
      <c r="T8105" s="1" t="s">
        <v>5416</v>
      </c>
      <c r="U8105" s="1" t="str">
        <f>HYPERLINK("http://ictvonline.org/taxonomy/p/taxonomy-history?taxnode_id=202100144","ICTVonline=202100144")</f>
        <v>ICTVonline=202100144</v>
      </c>
    </row>
    <row r="8106" spans="1:21" x14ac:dyDescent="0.2">
      <c r="A8106" s="3">
        <v>8105</v>
      </c>
      <c r="B8106" s="1" t="s">
        <v>4226</v>
      </c>
      <c r="D8106" s="1" t="s">
        <v>5412</v>
      </c>
      <c r="F8106" s="1" t="s">
        <v>3981</v>
      </c>
      <c r="G8106" s="1" t="s">
        <v>4003</v>
      </c>
      <c r="H8106" s="1" t="s">
        <v>4004</v>
      </c>
      <c r="J8106" s="1" t="s">
        <v>3109</v>
      </c>
      <c r="L8106" s="1" t="s">
        <v>3166</v>
      </c>
      <c r="N8106" s="1" t="s">
        <v>3167</v>
      </c>
      <c r="P8106" s="1" t="s">
        <v>3171</v>
      </c>
      <c r="Q8106" s="30" t="s">
        <v>2566</v>
      </c>
      <c r="R8106" s="33" t="s">
        <v>3474</v>
      </c>
      <c r="S8106">
        <v>35</v>
      </c>
      <c r="T8106" s="1" t="s">
        <v>5416</v>
      </c>
      <c r="U8106" s="1" t="str">
        <f>HYPERLINK("http://ictvonline.org/taxonomy/p/taxonomy-history?taxnode_id=202100145","ICTVonline=202100145")</f>
        <v>ICTVonline=202100145</v>
      </c>
    </row>
    <row r="8107" spans="1:21" x14ac:dyDescent="0.2">
      <c r="A8107" s="3">
        <v>8106</v>
      </c>
      <c r="B8107" s="1" t="s">
        <v>4226</v>
      </c>
      <c r="D8107" s="1" t="s">
        <v>5412</v>
      </c>
      <c r="F8107" s="1" t="s">
        <v>3981</v>
      </c>
      <c r="G8107" s="1" t="s">
        <v>4003</v>
      </c>
      <c r="H8107" s="1" t="s">
        <v>4004</v>
      </c>
      <c r="J8107" s="1" t="s">
        <v>3109</v>
      </c>
      <c r="L8107" s="1" t="s">
        <v>3166</v>
      </c>
      <c r="N8107" s="1" t="s">
        <v>4364</v>
      </c>
      <c r="P8107" s="1" t="s">
        <v>4365</v>
      </c>
      <c r="Q8107" s="30" t="s">
        <v>2566</v>
      </c>
      <c r="R8107" s="33" t="s">
        <v>8665</v>
      </c>
      <c r="S8107">
        <v>36</v>
      </c>
      <c r="T8107" s="1" t="s">
        <v>8661</v>
      </c>
      <c r="U8107" s="1" t="str">
        <f>HYPERLINK("http://ictvonline.org/taxonomy/p/taxonomy-history?taxnode_id=202106606","ICTVonline=202106606")</f>
        <v>ICTVonline=202106606</v>
      </c>
    </row>
    <row r="8108" spans="1:21" x14ac:dyDescent="0.2">
      <c r="A8108" s="3">
        <v>8107</v>
      </c>
      <c r="B8108" s="1" t="s">
        <v>4226</v>
      </c>
      <c r="D8108" s="1" t="s">
        <v>5412</v>
      </c>
      <c r="F8108" s="1" t="s">
        <v>3981</v>
      </c>
      <c r="G8108" s="1" t="s">
        <v>4003</v>
      </c>
      <c r="H8108" s="1" t="s">
        <v>4004</v>
      </c>
      <c r="J8108" s="1" t="s">
        <v>3109</v>
      </c>
      <c r="L8108" s="1" t="s">
        <v>3166</v>
      </c>
      <c r="N8108" s="1" t="s">
        <v>4027</v>
      </c>
      <c r="P8108" s="1" t="s">
        <v>4028</v>
      </c>
      <c r="Q8108" s="30" t="s">
        <v>2566</v>
      </c>
      <c r="R8108" s="33" t="s">
        <v>8665</v>
      </c>
      <c r="S8108">
        <v>36</v>
      </c>
      <c r="T8108" s="1" t="s">
        <v>8661</v>
      </c>
      <c r="U8108" s="1" t="str">
        <f>HYPERLINK("http://ictvonline.org/taxonomy/p/taxonomy-history?taxnode_id=202106223","ICTVonline=202106223")</f>
        <v>ICTVonline=202106223</v>
      </c>
    </row>
    <row r="8109" spans="1:21" x14ac:dyDescent="0.2">
      <c r="A8109" s="3">
        <v>8108</v>
      </c>
      <c r="B8109" s="1" t="s">
        <v>4226</v>
      </c>
      <c r="D8109" s="1" t="s">
        <v>5412</v>
      </c>
      <c r="F8109" s="1" t="s">
        <v>3981</v>
      </c>
      <c r="G8109" s="1" t="s">
        <v>4003</v>
      </c>
      <c r="H8109" s="1" t="s">
        <v>4004</v>
      </c>
      <c r="J8109" s="1" t="s">
        <v>3109</v>
      </c>
      <c r="L8109" s="1" t="s">
        <v>3116</v>
      </c>
      <c r="N8109" s="1" t="s">
        <v>5523</v>
      </c>
      <c r="P8109" s="1" t="s">
        <v>5524</v>
      </c>
      <c r="Q8109" s="30" t="s">
        <v>2821</v>
      </c>
      <c r="R8109" s="33" t="s">
        <v>3472</v>
      </c>
      <c r="S8109">
        <v>35</v>
      </c>
      <c r="T8109" s="1" t="s">
        <v>5525</v>
      </c>
      <c r="U8109" s="1" t="str">
        <f>HYPERLINK("http://ictvonline.org/taxonomy/p/taxonomy-history?taxnode_id=202107635","ICTVonline=202107635")</f>
        <v>ICTVonline=202107635</v>
      </c>
    </row>
    <row r="8110" spans="1:21" x14ac:dyDescent="0.2">
      <c r="A8110" s="3">
        <v>8109</v>
      </c>
      <c r="B8110" s="1" t="s">
        <v>4226</v>
      </c>
      <c r="D8110" s="1" t="s">
        <v>5412</v>
      </c>
      <c r="F8110" s="1" t="s">
        <v>3981</v>
      </c>
      <c r="G8110" s="1" t="s">
        <v>4003</v>
      </c>
      <c r="H8110" s="1" t="s">
        <v>4004</v>
      </c>
      <c r="J8110" s="1" t="s">
        <v>3109</v>
      </c>
      <c r="L8110" s="1" t="s">
        <v>3116</v>
      </c>
      <c r="N8110" s="1" t="s">
        <v>5523</v>
      </c>
      <c r="P8110" s="1" t="s">
        <v>5526</v>
      </c>
      <c r="Q8110" s="30" t="s">
        <v>2566</v>
      </c>
      <c r="R8110" s="33" t="s">
        <v>8665</v>
      </c>
      <c r="S8110">
        <v>36</v>
      </c>
      <c r="T8110" s="1" t="s">
        <v>8661</v>
      </c>
      <c r="U8110" s="1" t="str">
        <f>HYPERLINK("http://ictvonline.org/taxonomy/p/taxonomy-history?taxnode_id=202100166","ICTVonline=202100166")</f>
        <v>ICTVonline=202100166</v>
      </c>
    </row>
    <row r="8111" spans="1:21" x14ac:dyDescent="0.2">
      <c r="A8111" s="3">
        <v>8110</v>
      </c>
      <c r="B8111" s="1" t="s">
        <v>4226</v>
      </c>
      <c r="D8111" s="1" t="s">
        <v>5412</v>
      </c>
      <c r="F8111" s="1" t="s">
        <v>3981</v>
      </c>
      <c r="G8111" s="1" t="s">
        <v>4003</v>
      </c>
      <c r="H8111" s="1" t="s">
        <v>4004</v>
      </c>
      <c r="J8111" s="1" t="s">
        <v>3109</v>
      </c>
      <c r="L8111" s="1" t="s">
        <v>3116</v>
      </c>
      <c r="N8111" s="1" t="s">
        <v>5523</v>
      </c>
      <c r="P8111" s="1" t="s">
        <v>5528</v>
      </c>
      <c r="Q8111" s="30" t="s">
        <v>2566</v>
      </c>
      <c r="R8111" s="33" t="s">
        <v>3473</v>
      </c>
      <c r="S8111">
        <v>35</v>
      </c>
      <c r="T8111" s="1" t="s">
        <v>5527</v>
      </c>
      <c r="U8111" s="1" t="str">
        <f>HYPERLINK("http://ictvonline.org/taxonomy/p/taxonomy-history?taxnode_id=202106486","ICTVonline=202106486")</f>
        <v>ICTVonline=202106486</v>
      </c>
    </row>
    <row r="8112" spans="1:21" x14ac:dyDescent="0.2">
      <c r="A8112" s="3">
        <v>8111</v>
      </c>
      <c r="B8112" s="1" t="s">
        <v>4226</v>
      </c>
      <c r="D8112" s="1" t="s">
        <v>5412</v>
      </c>
      <c r="F8112" s="1" t="s">
        <v>3981</v>
      </c>
      <c r="G8112" s="1" t="s">
        <v>4003</v>
      </c>
      <c r="H8112" s="1" t="s">
        <v>4004</v>
      </c>
      <c r="J8112" s="1" t="s">
        <v>3109</v>
      </c>
      <c r="L8112" s="1" t="s">
        <v>3116</v>
      </c>
      <c r="N8112" s="1" t="s">
        <v>5523</v>
      </c>
      <c r="P8112" s="1" t="s">
        <v>5529</v>
      </c>
      <c r="Q8112" s="30" t="s">
        <v>2566</v>
      </c>
      <c r="R8112" s="33" t="s">
        <v>3473</v>
      </c>
      <c r="S8112">
        <v>35</v>
      </c>
      <c r="T8112" s="1" t="s">
        <v>5527</v>
      </c>
      <c r="U8112" s="1" t="str">
        <f>HYPERLINK("http://ictvonline.org/taxonomy/p/taxonomy-history?taxnode_id=202106607","ICTVonline=202106607")</f>
        <v>ICTVonline=202106607</v>
      </c>
    </row>
    <row r="8113" spans="1:21" x14ac:dyDescent="0.2">
      <c r="A8113" s="3">
        <v>8112</v>
      </c>
      <c r="B8113" s="1" t="s">
        <v>4226</v>
      </c>
      <c r="D8113" s="1" t="s">
        <v>5412</v>
      </c>
      <c r="F8113" s="1" t="s">
        <v>3981</v>
      </c>
      <c r="G8113" s="1" t="s">
        <v>4003</v>
      </c>
      <c r="H8113" s="1" t="s">
        <v>4004</v>
      </c>
      <c r="J8113" s="1" t="s">
        <v>3109</v>
      </c>
      <c r="L8113" s="1" t="s">
        <v>3116</v>
      </c>
      <c r="N8113" s="1" t="s">
        <v>5523</v>
      </c>
      <c r="P8113" s="1" t="s">
        <v>5530</v>
      </c>
      <c r="Q8113" s="30" t="s">
        <v>2821</v>
      </c>
      <c r="R8113" s="33" t="s">
        <v>3472</v>
      </c>
      <c r="S8113">
        <v>35</v>
      </c>
      <c r="T8113" s="1" t="s">
        <v>5525</v>
      </c>
      <c r="U8113" s="1" t="str">
        <f>HYPERLINK("http://ictvonline.org/taxonomy/p/taxonomy-history?taxnode_id=202107636","ICTVonline=202107636")</f>
        <v>ICTVonline=202107636</v>
      </c>
    </row>
    <row r="8114" spans="1:21" x14ac:dyDescent="0.2">
      <c r="A8114" s="3">
        <v>8113</v>
      </c>
      <c r="B8114" s="1" t="s">
        <v>4226</v>
      </c>
      <c r="D8114" s="1" t="s">
        <v>5412</v>
      </c>
      <c r="F8114" s="1" t="s">
        <v>3981</v>
      </c>
      <c r="G8114" s="1" t="s">
        <v>4003</v>
      </c>
      <c r="H8114" s="1" t="s">
        <v>4004</v>
      </c>
      <c r="J8114" s="1" t="s">
        <v>3109</v>
      </c>
      <c r="L8114" s="1" t="s">
        <v>3116</v>
      </c>
      <c r="N8114" s="1" t="s">
        <v>5523</v>
      </c>
      <c r="P8114" s="1" t="s">
        <v>5531</v>
      </c>
      <c r="Q8114" s="30" t="s">
        <v>2821</v>
      </c>
      <c r="R8114" s="33" t="s">
        <v>3472</v>
      </c>
      <c r="S8114">
        <v>35</v>
      </c>
      <c r="T8114" s="1" t="s">
        <v>5525</v>
      </c>
      <c r="U8114" s="1" t="str">
        <f>HYPERLINK("http://ictvonline.org/taxonomy/p/taxonomy-history?taxnode_id=202107637","ICTVonline=202107637")</f>
        <v>ICTVonline=202107637</v>
      </c>
    </row>
    <row r="8115" spans="1:21" x14ac:dyDescent="0.2">
      <c r="A8115" s="3">
        <v>8114</v>
      </c>
      <c r="B8115" s="1" t="s">
        <v>4226</v>
      </c>
      <c r="D8115" s="1" t="s">
        <v>5412</v>
      </c>
      <c r="F8115" s="1" t="s">
        <v>3981</v>
      </c>
      <c r="G8115" s="1" t="s">
        <v>4003</v>
      </c>
      <c r="H8115" s="1" t="s">
        <v>4004</v>
      </c>
      <c r="J8115" s="1" t="s">
        <v>3109</v>
      </c>
      <c r="L8115" s="1" t="s">
        <v>3116</v>
      </c>
      <c r="N8115" s="1" t="s">
        <v>5523</v>
      </c>
      <c r="P8115" s="1" t="s">
        <v>8278</v>
      </c>
      <c r="Q8115" s="30" t="s">
        <v>2566</v>
      </c>
      <c r="R8115" s="33" t="s">
        <v>3472</v>
      </c>
      <c r="S8115">
        <v>35</v>
      </c>
      <c r="T8115" s="1" t="s">
        <v>5525</v>
      </c>
      <c r="U8115" s="1" t="str">
        <f>HYPERLINK("http://ictvonline.org/taxonomy/p/taxonomy-history?taxnode_id=202107638","ICTVonline=202107638")</f>
        <v>ICTVonline=202107638</v>
      </c>
    </row>
    <row r="8116" spans="1:21" x14ac:dyDescent="0.2">
      <c r="A8116" s="3">
        <v>8115</v>
      </c>
      <c r="B8116" s="1" t="s">
        <v>4226</v>
      </c>
      <c r="D8116" s="1" t="s">
        <v>5412</v>
      </c>
      <c r="F8116" s="1" t="s">
        <v>3981</v>
      </c>
      <c r="G8116" s="1" t="s">
        <v>4003</v>
      </c>
      <c r="H8116" s="1" t="s">
        <v>4004</v>
      </c>
      <c r="J8116" s="1" t="s">
        <v>3109</v>
      </c>
      <c r="L8116" s="1" t="s">
        <v>3116</v>
      </c>
      <c r="N8116" s="1" t="s">
        <v>5523</v>
      </c>
      <c r="P8116" s="1" t="s">
        <v>8279</v>
      </c>
      <c r="Q8116" s="30" t="s">
        <v>2566</v>
      </c>
      <c r="R8116" s="33" t="s">
        <v>3472</v>
      </c>
      <c r="S8116">
        <v>36</v>
      </c>
      <c r="T8116" s="1" t="s">
        <v>8280</v>
      </c>
      <c r="U8116" s="1" t="str">
        <f>HYPERLINK("http://ictvonline.org/taxonomy/p/taxonomy-history?taxnode_id=202109828","ICTVonline=202109828")</f>
        <v>ICTVonline=202109828</v>
      </c>
    </row>
    <row r="8117" spans="1:21" x14ac:dyDescent="0.2">
      <c r="A8117" s="3">
        <v>8116</v>
      </c>
      <c r="B8117" s="1" t="s">
        <v>4226</v>
      </c>
      <c r="D8117" s="1" t="s">
        <v>5412</v>
      </c>
      <c r="F8117" s="1" t="s">
        <v>3981</v>
      </c>
      <c r="G8117" s="1" t="s">
        <v>4003</v>
      </c>
      <c r="H8117" s="1" t="s">
        <v>4004</v>
      </c>
      <c r="J8117" s="1" t="s">
        <v>3109</v>
      </c>
      <c r="L8117" s="1" t="s">
        <v>3116</v>
      </c>
      <c r="N8117" s="1" t="s">
        <v>4029</v>
      </c>
      <c r="P8117" s="1" t="s">
        <v>4030</v>
      </c>
      <c r="Q8117" s="30" t="s">
        <v>2566</v>
      </c>
      <c r="R8117" s="33" t="s">
        <v>8665</v>
      </c>
      <c r="S8117">
        <v>36</v>
      </c>
      <c r="T8117" s="1" t="s">
        <v>8661</v>
      </c>
      <c r="U8117" s="1" t="str">
        <f>HYPERLINK("http://ictvonline.org/taxonomy/p/taxonomy-history?taxnode_id=202106226","ICTVonline=202106226")</f>
        <v>ICTVonline=202106226</v>
      </c>
    </row>
    <row r="8118" spans="1:21" x14ac:dyDescent="0.2">
      <c r="A8118" s="3">
        <v>8117</v>
      </c>
      <c r="B8118" s="1" t="s">
        <v>4226</v>
      </c>
      <c r="D8118" s="1" t="s">
        <v>5412</v>
      </c>
      <c r="F8118" s="1" t="s">
        <v>3981</v>
      </c>
      <c r="G8118" s="1" t="s">
        <v>4003</v>
      </c>
      <c r="H8118" s="1" t="s">
        <v>4004</v>
      </c>
      <c r="J8118" s="1" t="s">
        <v>3109</v>
      </c>
      <c r="L8118" s="1" t="s">
        <v>3116</v>
      </c>
      <c r="N8118" s="1" t="s">
        <v>4380</v>
      </c>
      <c r="P8118" s="1" t="s">
        <v>4381</v>
      </c>
      <c r="Q8118" s="30" t="s">
        <v>2821</v>
      </c>
      <c r="R8118" s="33" t="s">
        <v>8665</v>
      </c>
      <c r="S8118">
        <v>36</v>
      </c>
      <c r="T8118" s="1" t="s">
        <v>8661</v>
      </c>
      <c r="U8118" s="1" t="str">
        <f>HYPERLINK("http://ictvonline.org/taxonomy/p/taxonomy-history?taxnode_id=202106630","ICTVonline=202106630")</f>
        <v>ICTVonline=202106630</v>
      </c>
    </row>
    <row r="8119" spans="1:21" x14ac:dyDescent="0.2">
      <c r="A8119" s="3">
        <v>8118</v>
      </c>
      <c r="B8119" s="1" t="s">
        <v>4226</v>
      </c>
      <c r="D8119" s="1" t="s">
        <v>5412</v>
      </c>
      <c r="F8119" s="1" t="s">
        <v>3981</v>
      </c>
      <c r="G8119" s="1" t="s">
        <v>4003</v>
      </c>
      <c r="H8119" s="1" t="s">
        <v>4004</v>
      </c>
      <c r="J8119" s="1" t="s">
        <v>3109</v>
      </c>
      <c r="L8119" s="1" t="s">
        <v>3116</v>
      </c>
      <c r="N8119" s="1" t="s">
        <v>4380</v>
      </c>
      <c r="P8119" s="1" t="s">
        <v>5532</v>
      </c>
      <c r="Q8119" s="30" t="s">
        <v>2821</v>
      </c>
      <c r="R8119" s="33" t="s">
        <v>3472</v>
      </c>
      <c r="S8119">
        <v>35</v>
      </c>
      <c r="T8119" s="1" t="s">
        <v>5533</v>
      </c>
      <c r="U8119" s="1" t="str">
        <f>HYPERLINK("http://ictvonline.org/taxonomy/p/taxonomy-history?taxnode_id=202107130","ICTVonline=202107130")</f>
        <v>ICTVonline=202107130</v>
      </c>
    </row>
    <row r="8120" spans="1:21" x14ac:dyDescent="0.2">
      <c r="A8120" s="3">
        <v>8119</v>
      </c>
      <c r="B8120" s="1" t="s">
        <v>4226</v>
      </c>
      <c r="D8120" s="1" t="s">
        <v>5412</v>
      </c>
      <c r="F8120" s="1" t="s">
        <v>3981</v>
      </c>
      <c r="G8120" s="1" t="s">
        <v>4003</v>
      </c>
      <c r="H8120" s="1" t="s">
        <v>4004</v>
      </c>
      <c r="J8120" s="1" t="s">
        <v>3109</v>
      </c>
      <c r="L8120" s="1" t="s">
        <v>3116</v>
      </c>
      <c r="N8120" s="1" t="s">
        <v>4380</v>
      </c>
      <c r="P8120" s="1" t="s">
        <v>8281</v>
      </c>
      <c r="Q8120" s="30" t="s">
        <v>2821</v>
      </c>
      <c r="R8120" s="33" t="s">
        <v>3472</v>
      </c>
      <c r="S8120">
        <v>36</v>
      </c>
      <c r="T8120" s="1" t="s">
        <v>8280</v>
      </c>
      <c r="U8120" s="1" t="str">
        <f>HYPERLINK("http://ictvonline.org/taxonomy/p/taxonomy-history?taxnode_id=202109832","ICTVonline=202109832")</f>
        <v>ICTVonline=202109832</v>
      </c>
    </row>
    <row r="8121" spans="1:21" x14ac:dyDescent="0.2">
      <c r="A8121" s="3">
        <v>8120</v>
      </c>
      <c r="B8121" s="1" t="s">
        <v>4226</v>
      </c>
      <c r="D8121" s="1" t="s">
        <v>5412</v>
      </c>
      <c r="F8121" s="1" t="s">
        <v>3981</v>
      </c>
      <c r="G8121" s="1" t="s">
        <v>4003</v>
      </c>
      <c r="H8121" s="1" t="s">
        <v>4004</v>
      </c>
      <c r="J8121" s="1" t="s">
        <v>3109</v>
      </c>
      <c r="L8121" s="1" t="s">
        <v>3116</v>
      </c>
      <c r="N8121" s="1" t="s">
        <v>5534</v>
      </c>
      <c r="P8121" s="1" t="s">
        <v>5535</v>
      </c>
      <c r="Q8121" s="30" t="s">
        <v>2821</v>
      </c>
      <c r="R8121" s="33" t="s">
        <v>8665</v>
      </c>
      <c r="S8121">
        <v>36</v>
      </c>
      <c r="T8121" s="1" t="s">
        <v>8661</v>
      </c>
      <c r="U8121" s="1" t="str">
        <f>HYPERLINK("http://ictvonline.org/taxonomy/p/taxonomy-history?taxnode_id=202107644","ICTVonline=202107644")</f>
        <v>ICTVonline=202107644</v>
      </c>
    </row>
    <row r="8122" spans="1:21" x14ac:dyDescent="0.2">
      <c r="A8122" s="3">
        <v>8121</v>
      </c>
      <c r="B8122" s="1" t="s">
        <v>4226</v>
      </c>
      <c r="D8122" s="1" t="s">
        <v>5412</v>
      </c>
      <c r="F8122" s="1" t="s">
        <v>3981</v>
      </c>
      <c r="G8122" s="1" t="s">
        <v>4003</v>
      </c>
      <c r="H8122" s="1" t="s">
        <v>4004</v>
      </c>
      <c r="J8122" s="1" t="s">
        <v>3109</v>
      </c>
      <c r="L8122" s="1" t="s">
        <v>3116</v>
      </c>
      <c r="N8122" s="1" t="s">
        <v>3172</v>
      </c>
      <c r="P8122" s="1" t="s">
        <v>3173</v>
      </c>
      <c r="Q8122" s="30" t="s">
        <v>2566</v>
      </c>
      <c r="R8122" s="33" t="s">
        <v>3474</v>
      </c>
      <c r="S8122">
        <v>35</v>
      </c>
      <c r="T8122" s="1" t="s">
        <v>5416</v>
      </c>
      <c r="U8122" s="1" t="str">
        <f>HYPERLINK("http://ictvonline.org/taxonomy/p/taxonomy-history?taxnode_id=202100149","ICTVonline=202100149")</f>
        <v>ICTVonline=202100149</v>
      </c>
    </row>
    <row r="8123" spans="1:21" x14ac:dyDescent="0.2">
      <c r="A8123" s="3">
        <v>8122</v>
      </c>
      <c r="B8123" s="1" t="s">
        <v>4226</v>
      </c>
      <c r="D8123" s="1" t="s">
        <v>5412</v>
      </c>
      <c r="F8123" s="1" t="s">
        <v>3981</v>
      </c>
      <c r="G8123" s="1" t="s">
        <v>4003</v>
      </c>
      <c r="H8123" s="1" t="s">
        <v>4004</v>
      </c>
      <c r="J8123" s="1" t="s">
        <v>3109</v>
      </c>
      <c r="L8123" s="1" t="s">
        <v>3116</v>
      </c>
      <c r="N8123" s="1" t="s">
        <v>3172</v>
      </c>
      <c r="P8123" s="1" t="s">
        <v>3174</v>
      </c>
      <c r="Q8123" s="30" t="s">
        <v>2566</v>
      </c>
      <c r="R8123" s="33" t="s">
        <v>8665</v>
      </c>
      <c r="S8123">
        <v>36</v>
      </c>
      <c r="T8123" s="1" t="s">
        <v>8661</v>
      </c>
      <c r="U8123" s="1" t="str">
        <f>HYPERLINK("http://ictvonline.org/taxonomy/p/taxonomy-history?taxnode_id=202100150","ICTVonline=202100150")</f>
        <v>ICTVonline=202100150</v>
      </c>
    </row>
    <row r="8124" spans="1:21" x14ac:dyDescent="0.2">
      <c r="A8124" s="3">
        <v>8123</v>
      </c>
      <c r="B8124" s="1" t="s">
        <v>4226</v>
      </c>
      <c r="D8124" s="1" t="s">
        <v>5412</v>
      </c>
      <c r="F8124" s="1" t="s">
        <v>3981</v>
      </c>
      <c r="G8124" s="1" t="s">
        <v>4003</v>
      </c>
      <c r="H8124" s="1" t="s">
        <v>4004</v>
      </c>
      <c r="J8124" s="1" t="s">
        <v>3109</v>
      </c>
      <c r="L8124" s="1" t="s">
        <v>3116</v>
      </c>
      <c r="N8124" s="1" t="s">
        <v>3172</v>
      </c>
      <c r="P8124" s="1" t="s">
        <v>3175</v>
      </c>
      <c r="Q8124" s="30" t="s">
        <v>2566</v>
      </c>
      <c r="R8124" s="33" t="s">
        <v>3474</v>
      </c>
      <c r="S8124">
        <v>35</v>
      </c>
      <c r="T8124" s="1" t="s">
        <v>5416</v>
      </c>
      <c r="U8124" s="1" t="str">
        <f>HYPERLINK("http://ictvonline.org/taxonomy/p/taxonomy-history?taxnode_id=202100151","ICTVonline=202100151")</f>
        <v>ICTVonline=202100151</v>
      </c>
    </row>
    <row r="8125" spans="1:21" x14ac:dyDescent="0.2">
      <c r="A8125" s="3">
        <v>8124</v>
      </c>
      <c r="B8125" s="1" t="s">
        <v>4226</v>
      </c>
      <c r="D8125" s="1" t="s">
        <v>5412</v>
      </c>
      <c r="F8125" s="1" t="s">
        <v>3981</v>
      </c>
      <c r="G8125" s="1" t="s">
        <v>4003</v>
      </c>
      <c r="H8125" s="1" t="s">
        <v>4004</v>
      </c>
      <c r="J8125" s="1" t="s">
        <v>3109</v>
      </c>
      <c r="L8125" s="1" t="s">
        <v>3116</v>
      </c>
      <c r="N8125" s="1" t="s">
        <v>4031</v>
      </c>
      <c r="P8125" s="1" t="s">
        <v>4032</v>
      </c>
      <c r="Q8125" s="30" t="s">
        <v>2566</v>
      </c>
      <c r="R8125" s="33" t="s">
        <v>8665</v>
      </c>
      <c r="S8125">
        <v>36</v>
      </c>
      <c r="T8125" s="1" t="s">
        <v>8661</v>
      </c>
      <c r="U8125" s="1" t="str">
        <f>HYPERLINK("http://ictvonline.org/taxonomy/p/taxonomy-history?taxnode_id=202106228","ICTVonline=202106228")</f>
        <v>ICTVonline=202106228</v>
      </c>
    </row>
    <row r="8126" spans="1:21" x14ac:dyDescent="0.2">
      <c r="A8126" s="3">
        <v>8125</v>
      </c>
      <c r="B8126" s="1" t="s">
        <v>4226</v>
      </c>
      <c r="D8126" s="1" t="s">
        <v>5412</v>
      </c>
      <c r="F8126" s="1" t="s">
        <v>3981</v>
      </c>
      <c r="G8126" s="1" t="s">
        <v>4003</v>
      </c>
      <c r="H8126" s="1" t="s">
        <v>4004</v>
      </c>
      <c r="J8126" s="1" t="s">
        <v>3109</v>
      </c>
      <c r="L8126" s="1" t="s">
        <v>3116</v>
      </c>
      <c r="N8126" s="1" t="s">
        <v>4031</v>
      </c>
      <c r="P8126" s="1" t="s">
        <v>8282</v>
      </c>
      <c r="Q8126" s="30" t="s">
        <v>2566</v>
      </c>
      <c r="R8126" s="33" t="s">
        <v>3472</v>
      </c>
      <c r="S8126">
        <v>36</v>
      </c>
      <c r="T8126" s="1" t="s">
        <v>8280</v>
      </c>
      <c r="U8126" s="1" t="str">
        <f>HYPERLINK("http://ictvonline.org/taxonomy/p/taxonomy-history?taxnode_id=202109831","ICTVonline=202109831")</f>
        <v>ICTVonline=202109831</v>
      </c>
    </row>
    <row r="8127" spans="1:21" x14ac:dyDescent="0.2">
      <c r="A8127" s="3">
        <v>8126</v>
      </c>
      <c r="B8127" s="1" t="s">
        <v>4226</v>
      </c>
      <c r="D8127" s="1" t="s">
        <v>5412</v>
      </c>
      <c r="F8127" s="1" t="s">
        <v>3981</v>
      </c>
      <c r="G8127" s="1" t="s">
        <v>4003</v>
      </c>
      <c r="H8127" s="1" t="s">
        <v>4004</v>
      </c>
      <c r="J8127" s="1" t="s">
        <v>3109</v>
      </c>
      <c r="L8127" s="1" t="s">
        <v>3116</v>
      </c>
      <c r="N8127" s="1" t="s">
        <v>4033</v>
      </c>
      <c r="P8127" s="1" t="s">
        <v>4034</v>
      </c>
      <c r="Q8127" s="30" t="s">
        <v>2566</v>
      </c>
      <c r="R8127" s="33" t="s">
        <v>8665</v>
      </c>
      <c r="S8127">
        <v>36</v>
      </c>
      <c r="T8127" s="1" t="s">
        <v>8661</v>
      </c>
      <c r="U8127" s="1" t="str">
        <f>HYPERLINK("http://ictvonline.org/taxonomy/p/taxonomy-history?taxnode_id=202106230","ICTVonline=202106230")</f>
        <v>ICTVonline=202106230</v>
      </c>
    </row>
    <row r="8128" spans="1:21" x14ac:dyDescent="0.2">
      <c r="A8128" s="3">
        <v>8127</v>
      </c>
      <c r="B8128" s="1" t="s">
        <v>4226</v>
      </c>
      <c r="D8128" s="1" t="s">
        <v>5412</v>
      </c>
      <c r="F8128" s="1" t="s">
        <v>3981</v>
      </c>
      <c r="G8128" s="1" t="s">
        <v>4003</v>
      </c>
      <c r="H8128" s="1" t="s">
        <v>4004</v>
      </c>
      <c r="J8128" s="1" t="s">
        <v>3109</v>
      </c>
      <c r="L8128" s="1" t="s">
        <v>3116</v>
      </c>
      <c r="N8128" s="1" t="s">
        <v>4035</v>
      </c>
      <c r="P8128" s="1" t="s">
        <v>4036</v>
      </c>
      <c r="Q8128" s="30" t="s">
        <v>2566</v>
      </c>
      <c r="R8128" s="33" t="s">
        <v>8665</v>
      </c>
      <c r="S8128">
        <v>36</v>
      </c>
      <c r="T8128" s="1" t="s">
        <v>8661</v>
      </c>
      <c r="U8128" s="1" t="str">
        <f>HYPERLINK("http://ictvonline.org/taxonomy/p/taxonomy-history?taxnode_id=202106232","ICTVonline=202106232")</f>
        <v>ICTVonline=202106232</v>
      </c>
    </row>
    <row r="8129" spans="1:21" x14ac:dyDescent="0.2">
      <c r="A8129" s="3">
        <v>8128</v>
      </c>
      <c r="B8129" s="1" t="s">
        <v>4226</v>
      </c>
      <c r="D8129" s="1" t="s">
        <v>5412</v>
      </c>
      <c r="F8129" s="1" t="s">
        <v>3981</v>
      </c>
      <c r="G8129" s="1" t="s">
        <v>4003</v>
      </c>
      <c r="H8129" s="1" t="s">
        <v>4004</v>
      </c>
      <c r="J8129" s="1" t="s">
        <v>3109</v>
      </c>
      <c r="L8129" s="1" t="s">
        <v>3116</v>
      </c>
      <c r="N8129" s="1" t="s">
        <v>5536</v>
      </c>
      <c r="P8129" s="1" t="s">
        <v>5537</v>
      </c>
      <c r="Q8129" s="30" t="s">
        <v>2566</v>
      </c>
      <c r="R8129" s="33" t="s">
        <v>8665</v>
      </c>
      <c r="S8129">
        <v>36</v>
      </c>
      <c r="T8129" s="1" t="s">
        <v>8661</v>
      </c>
      <c r="U8129" s="1" t="str">
        <f>HYPERLINK("http://ictvonline.org/taxonomy/p/taxonomy-history?taxnode_id=202107640","ICTVonline=202107640")</f>
        <v>ICTVonline=202107640</v>
      </c>
    </row>
    <row r="8130" spans="1:21" x14ac:dyDescent="0.2">
      <c r="A8130" s="3">
        <v>8129</v>
      </c>
      <c r="B8130" s="1" t="s">
        <v>4226</v>
      </c>
      <c r="D8130" s="1" t="s">
        <v>5412</v>
      </c>
      <c r="F8130" s="1" t="s">
        <v>3981</v>
      </c>
      <c r="G8130" s="1" t="s">
        <v>4003</v>
      </c>
      <c r="H8130" s="1" t="s">
        <v>4004</v>
      </c>
      <c r="J8130" s="1" t="s">
        <v>3109</v>
      </c>
      <c r="L8130" s="1" t="s">
        <v>3116</v>
      </c>
      <c r="N8130" s="1" t="s">
        <v>5536</v>
      </c>
      <c r="P8130" s="1" t="s">
        <v>5538</v>
      </c>
      <c r="Q8130" s="30" t="s">
        <v>2566</v>
      </c>
      <c r="R8130" s="33" t="s">
        <v>3472</v>
      </c>
      <c r="S8130">
        <v>35</v>
      </c>
      <c r="T8130" s="1" t="s">
        <v>5525</v>
      </c>
      <c r="U8130" s="1" t="str">
        <f>HYPERLINK("http://ictvonline.org/taxonomy/p/taxonomy-history?taxnode_id=202107641","ICTVonline=202107641")</f>
        <v>ICTVonline=202107641</v>
      </c>
    </row>
    <row r="8131" spans="1:21" x14ac:dyDescent="0.2">
      <c r="A8131" s="3">
        <v>8130</v>
      </c>
      <c r="B8131" s="1" t="s">
        <v>4226</v>
      </c>
      <c r="D8131" s="1" t="s">
        <v>5412</v>
      </c>
      <c r="F8131" s="1" t="s">
        <v>3981</v>
      </c>
      <c r="G8131" s="1" t="s">
        <v>4003</v>
      </c>
      <c r="H8131" s="1" t="s">
        <v>4004</v>
      </c>
      <c r="J8131" s="1" t="s">
        <v>3109</v>
      </c>
      <c r="L8131" s="1" t="s">
        <v>3116</v>
      </c>
      <c r="N8131" s="1" t="s">
        <v>5536</v>
      </c>
      <c r="P8131" s="1" t="s">
        <v>5539</v>
      </c>
      <c r="Q8131" s="30" t="s">
        <v>2566</v>
      </c>
      <c r="R8131" s="33" t="s">
        <v>3472</v>
      </c>
      <c r="S8131">
        <v>35</v>
      </c>
      <c r="T8131" s="1" t="s">
        <v>5525</v>
      </c>
      <c r="U8131" s="1" t="str">
        <f>HYPERLINK("http://ictvonline.org/taxonomy/p/taxonomy-history?taxnode_id=202107642","ICTVonline=202107642")</f>
        <v>ICTVonline=202107642</v>
      </c>
    </row>
    <row r="8132" spans="1:21" x14ac:dyDescent="0.2">
      <c r="A8132" s="3">
        <v>8131</v>
      </c>
      <c r="B8132" s="1" t="s">
        <v>4226</v>
      </c>
      <c r="D8132" s="1" t="s">
        <v>5412</v>
      </c>
      <c r="F8132" s="1" t="s">
        <v>3981</v>
      </c>
      <c r="G8132" s="1" t="s">
        <v>4003</v>
      </c>
      <c r="H8132" s="1" t="s">
        <v>4004</v>
      </c>
      <c r="J8132" s="1" t="s">
        <v>3109</v>
      </c>
      <c r="L8132" s="1" t="s">
        <v>3116</v>
      </c>
      <c r="N8132" s="1" t="s">
        <v>4366</v>
      </c>
      <c r="P8132" s="1" t="s">
        <v>8283</v>
      </c>
      <c r="Q8132" s="30" t="s">
        <v>2566</v>
      </c>
      <c r="R8132" s="33" t="s">
        <v>3472</v>
      </c>
      <c r="S8132">
        <v>36</v>
      </c>
      <c r="T8132" s="1" t="s">
        <v>8280</v>
      </c>
      <c r="U8132" s="1" t="str">
        <f>HYPERLINK("http://ictvonline.org/taxonomy/p/taxonomy-history?taxnode_id=202109833","ICTVonline=202109833")</f>
        <v>ICTVonline=202109833</v>
      </c>
    </row>
    <row r="8133" spans="1:21" x14ac:dyDescent="0.2">
      <c r="A8133" s="3">
        <v>8132</v>
      </c>
      <c r="B8133" s="1" t="s">
        <v>4226</v>
      </c>
      <c r="D8133" s="1" t="s">
        <v>5412</v>
      </c>
      <c r="F8133" s="1" t="s">
        <v>3981</v>
      </c>
      <c r="G8133" s="1" t="s">
        <v>4003</v>
      </c>
      <c r="H8133" s="1" t="s">
        <v>4004</v>
      </c>
      <c r="J8133" s="1" t="s">
        <v>3109</v>
      </c>
      <c r="L8133" s="1" t="s">
        <v>3116</v>
      </c>
      <c r="N8133" s="1" t="s">
        <v>4366</v>
      </c>
      <c r="P8133" s="1" t="s">
        <v>8284</v>
      </c>
      <c r="Q8133" s="30" t="s">
        <v>2566</v>
      </c>
      <c r="R8133" s="33" t="s">
        <v>3472</v>
      </c>
      <c r="S8133">
        <v>36</v>
      </c>
      <c r="T8133" s="1" t="s">
        <v>8280</v>
      </c>
      <c r="U8133" s="1" t="str">
        <f>HYPERLINK("http://ictvonline.org/taxonomy/p/taxonomy-history?taxnode_id=202109834","ICTVonline=202109834")</f>
        <v>ICTVonline=202109834</v>
      </c>
    </row>
    <row r="8134" spans="1:21" x14ac:dyDescent="0.2">
      <c r="A8134" s="3">
        <v>8133</v>
      </c>
      <c r="B8134" s="1" t="s">
        <v>4226</v>
      </c>
      <c r="D8134" s="1" t="s">
        <v>5412</v>
      </c>
      <c r="F8134" s="1" t="s">
        <v>3981</v>
      </c>
      <c r="G8134" s="1" t="s">
        <v>4003</v>
      </c>
      <c r="H8134" s="1" t="s">
        <v>4004</v>
      </c>
      <c r="J8134" s="1" t="s">
        <v>3109</v>
      </c>
      <c r="L8134" s="1" t="s">
        <v>3116</v>
      </c>
      <c r="N8134" s="1" t="s">
        <v>4366</v>
      </c>
      <c r="P8134" s="1" t="s">
        <v>8285</v>
      </c>
      <c r="Q8134" s="30" t="s">
        <v>2566</v>
      </c>
      <c r="R8134" s="33" t="s">
        <v>3472</v>
      </c>
      <c r="S8134">
        <v>36</v>
      </c>
      <c r="T8134" s="1" t="s">
        <v>8280</v>
      </c>
      <c r="U8134" s="1" t="str">
        <f>HYPERLINK("http://ictvonline.org/taxonomy/p/taxonomy-history?taxnode_id=202109835","ICTVonline=202109835")</f>
        <v>ICTVonline=202109835</v>
      </c>
    </row>
    <row r="8135" spans="1:21" x14ac:dyDescent="0.2">
      <c r="A8135" s="3">
        <v>8134</v>
      </c>
      <c r="B8135" s="1" t="s">
        <v>4226</v>
      </c>
      <c r="D8135" s="1" t="s">
        <v>5412</v>
      </c>
      <c r="F8135" s="1" t="s">
        <v>3981</v>
      </c>
      <c r="G8135" s="1" t="s">
        <v>4003</v>
      </c>
      <c r="H8135" s="1" t="s">
        <v>4004</v>
      </c>
      <c r="J8135" s="1" t="s">
        <v>3109</v>
      </c>
      <c r="L8135" s="1" t="s">
        <v>3116</v>
      </c>
      <c r="N8135" s="1" t="s">
        <v>4366</v>
      </c>
      <c r="P8135" s="1" t="s">
        <v>4367</v>
      </c>
      <c r="Q8135" s="30" t="s">
        <v>2566</v>
      </c>
      <c r="R8135" s="33" t="s">
        <v>8665</v>
      </c>
      <c r="S8135">
        <v>36</v>
      </c>
      <c r="T8135" s="1" t="s">
        <v>8661</v>
      </c>
      <c r="U8135" s="1" t="str">
        <f>HYPERLINK("http://ictvonline.org/taxonomy/p/taxonomy-history?taxnode_id=202106609","ICTVonline=202106609")</f>
        <v>ICTVonline=202106609</v>
      </c>
    </row>
    <row r="8136" spans="1:21" x14ac:dyDescent="0.2">
      <c r="A8136" s="3">
        <v>8135</v>
      </c>
      <c r="B8136" s="1" t="s">
        <v>4226</v>
      </c>
      <c r="D8136" s="1" t="s">
        <v>5412</v>
      </c>
      <c r="F8136" s="1" t="s">
        <v>3981</v>
      </c>
      <c r="G8136" s="1" t="s">
        <v>4003</v>
      </c>
      <c r="H8136" s="1" t="s">
        <v>4004</v>
      </c>
      <c r="J8136" s="1" t="s">
        <v>3109</v>
      </c>
      <c r="L8136" s="1" t="s">
        <v>3116</v>
      </c>
      <c r="N8136" s="1" t="s">
        <v>5540</v>
      </c>
      <c r="P8136" s="1" t="s">
        <v>5541</v>
      </c>
      <c r="Q8136" s="30" t="s">
        <v>2821</v>
      </c>
      <c r="R8136" s="33" t="s">
        <v>8665</v>
      </c>
      <c r="S8136">
        <v>36</v>
      </c>
      <c r="T8136" s="1" t="s">
        <v>8661</v>
      </c>
      <c r="U8136" s="1" t="str">
        <f>HYPERLINK("http://ictvonline.org/taxonomy/p/taxonomy-history?taxnode_id=202107646","ICTVonline=202107646")</f>
        <v>ICTVonline=202107646</v>
      </c>
    </row>
    <row r="8137" spans="1:21" x14ac:dyDescent="0.2">
      <c r="A8137" s="3">
        <v>8136</v>
      </c>
      <c r="B8137" s="1" t="s">
        <v>4226</v>
      </c>
      <c r="D8137" s="1" t="s">
        <v>5412</v>
      </c>
      <c r="F8137" s="1" t="s">
        <v>3981</v>
      </c>
      <c r="G8137" s="1" t="s">
        <v>4003</v>
      </c>
      <c r="H8137" s="1" t="s">
        <v>4004</v>
      </c>
      <c r="J8137" s="1" t="s">
        <v>3109</v>
      </c>
      <c r="L8137" s="1" t="s">
        <v>3116</v>
      </c>
      <c r="N8137" s="1" t="s">
        <v>4037</v>
      </c>
      <c r="P8137" s="1" t="s">
        <v>4038</v>
      </c>
      <c r="Q8137" s="30" t="s">
        <v>2566</v>
      </c>
      <c r="R8137" s="33" t="s">
        <v>8665</v>
      </c>
      <c r="S8137">
        <v>36</v>
      </c>
      <c r="T8137" s="1" t="s">
        <v>8661</v>
      </c>
      <c r="U8137" s="1" t="str">
        <f>HYPERLINK("http://ictvonline.org/taxonomy/p/taxonomy-history?taxnode_id=202106234","ICTVonline=202106234")</f>
        <v>ICTVonline=202106234</v>
      </c>
    </row>
    <row r="8138" spans="1:21" x14ac:dyDescent="0.2">
      <c r="A8138" s="3">
        <v>8137</v>
      </c>
      <c r="B8138" s="1" t="s">
        <v>4226</v>
      </c>
      <c r="D8138" s="1" t="s">
        <v>5412</v>
      </c>
      <c r="F8138" s="1" t="s">
        <v>3981</v>
      </c>
      <c r="G8138" s="1" t="s">
        <v>4003</v>
      </c>
      <c r="H8138" s="1" t="s">
        <v>4004</v>
      </c>
      <c r="J8138" s="1" t="s">
        <v>3109</v>
      </c>
      <c r="L8138" s="1" t="s">
        <v>3116</v>
      </c>
      <c r="N8138" s="1" t="s">
        <v>4037</v>
      </c>
      <c r="P8138" s="1" t="s">
        <v>8286</v>
      </c>
      <c r="Q8138" s="30" t="s">
        <v>2566</v>
      </c>
      <c r="R8138" s="33" t="s">
        <v>3472</v>
      </c>
      <c r="S8138">
        <v>36</v>
      </c>
      <c r="T8138" s="1" t="s">
        <v>8280</v>
      </c>
      <c r="U8138" s="1" t="str">
        <f>HYPERLINK("http://ictvonline.org/taxonomy/p/taxonomy-history?taxnode_id=202109838","ICTVonline=202109838")</f>
        <v>ICTVonline=202109838</v>
      </c>
    </row>
    <row r="8139" spans="1:21" x14ac:dyDescent="0.2">
      <c r="A8139" s="3">
        <v>8138</v>
      </c>
      <c r="B8139" s="1" t="s">
        <v>4226</v>
      </c>
      <c r="D8139" s="1" t="s">
        <v>5412</v>
      </c>
      <c r="F8139" s="1" t="s">
        <v>3981</v>
      </c>
      <c r="G8139" s="1" t="s">
        <v>4003</v>
      </c>
      <c r="H8139" s="1" t="s">
        <v>4004</v>
      </c>
      <c r="J8139" s="1" t="s">
        <v>3109</v>
      </c>
      <c r="L8139" s="1" t="s">
        <v>3116</v>
      </c>
      <c r="N8139" s="1" t="s">
        <v>3176</v>
      </c>
      <c r="P8139" s="1" t="s">
        <v>3177</v>
      </c>
      <c r="Q8139" s="30" t="s">
        <v>2566</v>
      </c>
      <c r="R8139" s="33" t="s">
        <v>8665</v>
      </c>
      <c r="S8139">
        <v>36</v>
      </c>
      <c r="T8139" s="1" t="s">
        <v>8661</v>
      </c>
      <c r="U8139" s="1" t="str">
        <f>HYPERLINK("http://ictvonline.org/taxonomy/p/taxonomy-history?taxnode_id=202100153","ICTVonline=202100153")</f>
        <v>ICTVonline=202100153</v>
      </c>
    </row>
    <row r="8140" spans="1:21" x14ac:dyDescent="0.2">
      <c r="A8140" s="3">
        <v>8139</v>
      </c>
      <c r="B8140" s="1" t="s">
        <v>4226</v>
      </c>
      <c r="D8140" s="1" t="s">
        <v>5412</v>
      </c>
      <c r="F8140" s="1" t="s">
        <v>3981</v>
      </c>
      <c r="G8140" s="1" t="s">
        <v>4003</v>
      </c>
      <c r="H8140" s="1" t="s">
        <v>4004</v>
      </c>
      <c r="J8140" s="1" t="s">
        <v>3109</v>
      </c>
      <c r="L8140" s="1" t="s">
        <v>3116</v>
      </c>
      <c r="N8140" s="1" t="s">
        <v>3176</v>
      </c>
      <c r="P8140" s="1" t="s">
        <v>5542</v>
      </c>
      <c r="Q8140" s="30" t="s">
        <v>2566</v>
      </c>
      <c r="R8140" s="33" t="s">
        <v>8662</v>
      </c>
      <c r="S8140">
        <v>35</v>
      </c>
      <c r="T8140" s="1" t="s">
        <v>5525</v>
      </c>
      <c r="U8140" s="1" t="str">
        <f>HYPERLINK("http://ictvonline.org/taxonomy/p/taxonomy-history?taxnode_id=202106238","ICTVonline=202106238")</f>
        <v>ICTVonline=202106238</v>
      </c>
    </row>
    <row r="8141" spans="1:21" x14ac:dyDescent="0.2">
      <c r="A8141" s="3">
        <v>8140</v>
      </c>
      <c r="B8141" s="1" t="s">
        <v>4226</v>
      </c>
      <c r="D8141" s="1" t="s">
        <v>5412</v>
      </c>
      <c r="F8141" s="1" t="s">
        <v>3981</v>
      </c>
      <c r="G8141" s="1" t="s">
        <v>4003</v>
      </c>
      <c r="H8141" s="1" t="s">
        <v>4004</v>
      </c>
      <c r="J8141" s="1" t="s">
        <v>3109</v>
      </c>
      <c r="L8141" s="1" t="s">
        <v>3116</v>
      </c>
      <c r="N8141" s="1" t="s">
        <v>3176</v>
      </c>
      <c r="P8141" s="1" t="s">
        <v>5543</v>
      </c>
      <c r="Q8141" s="30" t="s">
        <v>2566</v>
      </c>
      <c r="R8141" s="33" t="s">
        <v>3473</v>
      </c>
      <c r="S8141">
        <v>35</v>
      </c>
      <c r="T8141" s="1" t="s">
        <v>5525</v>
      </c>
      <c r="U8141" s="1" t="str">
        <f>HYPERLINK("http://ictvonline.org/taxonomy/p/taxonomy-history?taxnode_id=202106239","ICTVonline=202106239")</f>
        <v>ICTVonline=202106239</v>
      </c>
    </row>
    <row r="8142" spans="1:21" x14ac:dyDescent="0.2">
      <c r="A8142" s="3">
        <v>8141</v>
      </c>
      <c r="B8142" s="1" t="s">
        <v>4226</v>
      </c>
      <c r="D8142" s="1" t="s">
        <v>5412</v>
      </c>
      <c r="F8142" s="1" t="s">
        <v>3981</v>
      </c>
      <c r="G8142" s="1" t="s">
        <v>4003</v>
      </c>
      <c r="H8142" s="1" t="s">
        <v>4004</v>
      </c>
      <c r="J8142" s="1" t="s">
        <v>3109</v>
      </c>
      <c r="L8142" s="1" t="s">
        <v>3116</v>
      </c>
      <c r="N8142" s="1" t="s">
        <v>3176</v>
      </c>
      <c r="P8142" s="1" t="s">
        <v>8287</v>
      </c>
      <c r="Q8142" s="30" t="s">
        <v>2566</v>
      </c>
      <c r="R8142" s="33" t="s">
        <v>3472</v>
      </c>
      <c r="S8142">
        <v>36</v>
      </c>
      <c r="T8142" s="1" t="s">
        <v>8280</v>
      </c>
      <c r="U8142" s="1" t="str">
        <f>HYPERLINK("http://ictvonline.org/taxonomy/p/taxonomy-history?taxnode_id=202109840","ICTVonline=202109840")</f>
        <v>ICTVonline=202109840</v>
      </c>
    </row>
    <row r="8143" spans="1:21" x14ac:dyDescent="0.2">
      <c r="A8143" s="3">
        <v>8142</v>
      </c>
      <c r="B8143" s="1" t="s">
        <v>4226</v>
      </c>
      <c r="D8143" s="1" t="s">
        <v>5412</v>
      </c>
      <c r="F8143" s="1" t="s">
        <v>3981</v>
      </c>
      <c r="G8143" s="1" t="s">
        <v>4003</v>
      </c>
      <c r="H8143" s="1" t="s">
        <v>4004</v>
      </c>
      <c r="J8143" s="1" t="s">
        <v>3109</v>
      </c>
      <c r="L8143" s="1" t="s">
        <v>3116</v>
      </c>
      <c r="N8143" s="1" t="s">
        <v>3176</v>
      </c>
      <c r="P8143" s="1" t="s">
        <v>8288</v>
      </c>
      <c r="Q8143" s="30" t="s">
        <v>2566</v>
      </c>
      <c r="R8143" s="33" t="s">
        <v>3472</v>
      </c>
      <c r="S8143">
        <v>36</v>
      </c>
      <c r="T8143" s="1" t="s">
        <v>8280</v>
      </c>
      <c r="U8143" s="1" t="str">
        <f>HYPERLINK("http://ictvonline.org/taxonomy/p/taxonomy-history?taxnode_id=202109839","ICTVonline=202109839")</f>
        <v>ICTVonline=202109839</v>
      </c>
    </row>
    <row r="8144" spans="1:21" x14ac:dyDescent="0.2">
      <c r="A8144" s="3">
        <v>8143</v>
      </c>
      <c r="B8144" s="1" t="s">
        <v>4226</v>
      </c>
      <c r="D8144" s="1" t="s">
        <v>5412</v>
      </c>
      <c r="F8144" s="1" t="s">
        <v>3981</v>
      </c>
      <c r="G8144" s="1" t="s">
        <v>4003</v>
      </c>
      <c r="H8144" s="1" t="s">
        <v>4004</v>
      </c>
      <c r="J8144" s="1" t="s">
        <v>3109</v>
      </c>
      <c r="L8144" s="1" t="s">
        <v>3116</v>
      </c>
      <c r="N8144" s="1" t="s">
        <v>3176</v>
      </c>
      <c r="P8144" s="1" t="s">
        <v>3178</v>
      </c>
      <c r="Q8144" s="30" t="s">
        <v>2566</v>
      </c>
      <c r="R8144" s="33" t="s">
        <v>3474</v>
      </c>
      <c r="S8144">
        <v>35</v>
      </c>
      <c r="T8144" s="1" t="s">
        <v>5416</v>
      </c>
      <c r="U8144" s="1" t="str">
        <f>HYPERLINK("http://ictvonline.org/taxonomy/p/taxonomy-history?taxnode_id=202100154","ICTVonline=202100154")</f>
        <v>ICTVonline=202100154</v>
      </c>
    </row>
    <row r="8145" spans="1:21" x14ac:dyDescent="0.2">
      <c r="A8145" s="3">
        <v>8144</v>
      </c>
      <c r="B8145" s="1" t="s">
        <v>4226</v>
      </c>
      <c r="D8145" s="1" t="s">
        <v>5412</v>
      </c>
      <c r="F8145" s="1" t="s">
        <v>3981</v>
      </c>
      <c r="G8145" s="1" t="s">
        <v>4003</v>
      </c>
      <c r="H8145" s="1" t="s">
        <v>4004</v>
      </c>
      <c r="J8145" s="1" t="s">
        <v>3109</v>
      </c>
      <c r="L8145" s="1" t="s">
        <v>3116</v>
      </c>
      <c r="N8145" s="1" t="s">
        <v>3176</v>
      </c>
      <c r="P8145" s="1" t="s">
        <v>3179</v>
      </c>
      <c r="Q8145" s="30" t="s">
        <v>2566</v>
      </c>
      <c r="R8145" s="33" t="s">
        <v>3474</v>
      </c>
      <c r="S8145">
        <v>35</v>
      </c>
      <c r="T8145" s="1" t="s">
        <v>5416</v>
      </c>
      <c r="U8145" s="1" t="str">
        <f>HYPERLINK("http://ictvonline.org/taxonomy/p/taxonomy-history?taxnode_id=202100156","ICTVonline=202100156")</f>
        <v>ICTVonline=202100156</v>
      </c>
    </row>
    <row r="8146" spans="1:21" x14ac:dyDescent="0.2">
      <c r="A8146" s="3">
        <v>8145</v>
      </c>
      <c r="B8146" s="1" t="s">
        <v>4226</v>
      </c>
      <c r="D8146" s="1" t="s">
        <v>5412</v>
      </c>
      <c r="F8146" s="1" t="s">
        <v>3981</v>
      </c>
      <c r="G8146" s="1" t="s">
        <v>4003</v>
      </c>
      <c r="H8146" s="1" t="s">
        <v>4004</v>
      </c>
      <c r="J8146" s="1" t="s">
        <v>3109</v>
      </c>
      <c r="L8146" s="1" t="s">
        <v>3116</v>
      </c>
      <c r="N8146" s="1" t="s">
        <v>664</v>
      </c>
      <c r="P8146" s="1" t="s">
        <v>5544</v>
      </c>
      <c r="Q8146" s="30" t="s">
        <v>2821</v>
      </c>
      <c r="R8146" s="33" t="s">
        <v>3472</v>
      </c>
      <c r="S8146">
        <v>35</v>
      </c>
      <c r="T8146" s="1" t="s">
        <v>5525</v>
      </c>
      <c r="U8146" s="1" t="str">
        <f>HYPERLINK("http://ictvonline.org/taxonomy/p/taxonomy-history?taxnode_id=202107619","ICTVonline=202107619")</f>
        <v>ICTVonline=202107619</v>
      </c>
    </row>
    <row r="8147" spans="1:21" x14ac:dyDescent="0.2">
      <c r="A8147" s="3">
        <v>8146</v>
      </c>
      <c r="B8147" s="1" t="s">
        <v>4226</v>
      </c>
      <c r="D8147" s="1" t="s">
        <v>5412</v>
      </c>
      <c r="F8147" s="1" t="s">
        <v>3981</v>
      </c>
      <c r="G8147" s="1" t="s">
        <v>4003</v>
      </c>
      <c r="H8147" s="1" t="s">
        <v>4004</v>
      </c>
      <c r="J8147" s="1" t="s">
        <v>3109</v>
      </c>
      <c r="L8147" s="1" t="s">
        <v>3116</v>
      </c>
      <c r="N8147" s="1" t="s">
        <v>664</v>
      </c>
      <c r="P8147" s="1" t="s">
        <v>5545</v>
      </c>
      <c r="Q8147" s="30" t="s">
        <v>2821</v>
      </c>
      <c r="R8147" s="33" t="s">
        <v>3472</v>
      </c>
      <c r="S8147">
        <v>35</v>
      </c>
      <c r="T8147" s="1" t="s">
        <v>5525</v>
      </c>
      <c r="U8147" s="1" t="str">
        <f>HYPERLINK("http://ictvonline.org/taxonomy/p/taxonomy-history?taxnode_id=202107584","ICTVonline=202107584")</f>
        <v>ICTVonline=202107584</v>
      </c>
    </row>
    <row r="8148" spans="1:21" x14ac:dyDescent="0.2">
      <c r="A8148" s="3">
        <v>8147</v>
      </c>
      <c r="B8148" s="1" t="s">
        <v>4226</v>
      </c>
      <c r="D8148" s="1" t="s">
        <v>5412</v>
      </c>
      <c r="F8148" s="1" t="s">
        <v>3981</v>
      </c>
      <c r="G8148" s="1" t="s">
        <v>4003</v>
      </c>
      <c r="H8148" s="1" t="s">
        <v>4004</v>
      </c>
      <c r="J8148" s="1" t="s">
        <v>3109</v>
      </c>
      <c r="L8148" s="1" t="s">
        <v>3116</v>
      </c>
      <c r="N8148" s="1" t="s">
        <v>664</v>
      </c>
      <c r="P8148" s="1" t="s">
        <v>5546</v>
      </c>
      <c r="Q8148" s="30" t="s">
        <v>2821</v>
      </c>
      <c r="R8148" s="33" t="s">
        <v>3472</v>
      </c>
      <c r="S8148">
        <v>35</v>
      </c>
      <c r="T8148" s="1" t="s">
        <v>5525</v>
      </c>
      <c r="U8148" s="1" t="str">
        <f>HYPERLINK("http://ictvonline.org/taxonomy/p/taxonomy-history?taxnode_id=202107620","ICTVonline=202107620")</f>
        <v>ICTVonline=202107620</v>
      </c>
    </row>
    <row r="8149" spans="1:21" x14ac:dyDescent="0.2">
      <c r="A8149" s="3">
        <v>8148</v>
      </c>
      <c r="B8149" s="1" t="s">
        <v>4226</v>
      </c>
      <c r="D8149" s="1" t="s">
        <v>5412</v>
      </c>
      <c r="F8149" s="1" t="s">
        <v>3981</v>
      </c>
      <c r="G8149" s="1" t="s">
        <v>4003</v>
      </c>
      <c r="H8149" s="1" t="s">
        <v>4004</v>
      </c>
      <c r="J8149" s="1" t="s">
        <v>3109</v>
      </c>
      <c r="L8149" s="1" t="s">
        <v>3116</v>
      </c>
      <c r="N8149" s="1" t="s">
        <v>664</v>
      </c>
      <c r="P8149" s="1" t="s">
        <v>5547</v>
      </c>
      <c r="Q8149" s="30" t="s">
        <v>2821</v>
      </c>
      <c r="R8149" s="33" t="s">
        <v>3472</v>
      </c>
      <c r="S8149">
        <v>35</v>
      </c>
      <c r="T8149" s="1" t="s">
        <v>5525</v>
      </c>
      <c r="U8149" s="1" t="str">
        <f>HYPERLINK("http://ictvonline.org/taxonomy/p/taxonomy-history?taxnode_id=202107609","ICTVonline=202107609")</f>
        <v>ICTVonline=202107609</v>
      </c>
    </row>
    <row r="8150" spans="1:21" x14ac:dyDescent="0.2">
      <c r="A8150" s="3">
        <v>8149</v>
      </c>
      <c r="B8150" s="1" t="s">
        <v>4226</v>
      </c>
      <c r="D8150" s="1" t="s">
        <v>5412</v>
      </c>
      <c r="F8150" s="1" t="s">
        <v>3981</v>
      </c>
      <c r="G8150" s="1" t="s">
        <v>4003</v>
      </c>
      <c r="H8150" s="1" t="s">
        <v>4004</v>
      </c>
      <c r="J8150" s="1" t="s">
        <v>3109</v>
      </c>
      <c r="L8150" s="1" t="s">
        <v>3116</v>
      </c>
      <c r="N8150" s="1" t="s">
        <v>664</v>
      </c>
      <c r="P8150" s="1" t="s">
        <v>5548</v>
      </c>
      <c r="Q8150" s="30" t="s">
        <v>2821</v>
      </c>
      <c r="R8150" s="33" t="s">
        <v>3472</v>
      </c>
      <c r="S8150">
        <v>35</v>
      </c>
      <c r="T8150" s="1" t="s">
        <v>5525</v>
      </c>
      <c r="U8150" s="1" t="str">
        <f>HYPERLINK("http://ictvonline.org/taxonomy/p/taxonomy-history?taxnode_id=202107587","ICTVonline=202107587")</f>
        <v>ICTVonline=202107587</v>
      </c>
    </row>
    <row r="8151" spans="1:21" x14ac:dyDescent="0.2">
      <c r="A8151" s="3">
        <v>8150</v>
      </c>
      <c r="B8151" s="1" t="s">
        <v>4226</v>
      </c>
      <c r="D8151" s="1" t="s">
        <v>5412</v>
      </c>
      <c r="F8151" s="1" t="s">
        <v>3981</v>
      </c>
      <c r="G8151" s="1" t="s">
        <v>4003</v>
      </c>
      <c r="H8151" s="1" t="s">
        <v>4004</v>
      </c>
      <c r="J8151" s="1" t="s">
        <v>3109</v>
      </c>
      <c r="L8151" s="1" t="s">
        <v>3116</v>
      </c>
      <c r="N8151" s="1" t="s">
        <v>664</v>
      </c>
      <c r="P8151" s="1" t="s">
        <v>5549</v>
      </c>
      <c r="Q8151" s="30" t="s">
        <v>2821</v>
      </c>
      <c r="R8151" s="33" t="s">
        <v>3472</v>
      </c>
      <c r="S8151">
        <v>35</v>
      </c>
      <c r="T8151" s="1" t="s">
        <v>5525</v>
      </c>
      <c r="U8151" s="1" t="str">
        <f>HYPERLINK("http://ictvonline.org/taxonomy/p/taxonomy-history?taxnode_id=202107599","ICTVonline=202107599")</f>
        <v>ICTVonline=202107599</v>
      </c>
    </row>
    <row r="8152" spans="1:21" x14ac:dyDescent="0.2">
      <c r="A8152" s="3">
        <v>8151</v>
      </c>
      <c r="B8152" s="1" t="s">
        <v>4226</v>
      </c>
      <c r="D8152" s="1" t="s">
        <v>5412</v>
      </c>
      <c r="F8152" s="1" t="s">
        <v>3981</v>
      </c>
      <c r="G8152" s="1" t="s">
        <v>4003</v>
      </c>
      <c r="H8152" s="1" t="s">
        <v>4004</v>
      </c>
      <c r="J8152" s="1" t="s">
        <v>3109</v>
      </c>
      <c r="L8152" s="1" t="s">
        <v>3116</v>
      </c>
      <c r="N8152" s="1" t="s">
        <v>664</v>
      </c>
      <c r="P8152" s="1" t="s">
        <v>5550</v>
      </c>
      <c r="Q8152" s="30" t="s">
        <v>2821</v>
      </c>
      <c r="R8152" s="33" t="s">
        <v>3472</v>
      </c>
      <c r="S8152">
        <v>35</v>
      </c>
      <c r="T8152" s="1" t="s">
        <v>5525</v>
      </c>
      <c r="U8152" s="1" t="str">
        <f>HYPERLINK("http://ictvonline.org/taxonomy/p/taxonomy-history?taxnode_id=202107622","ICTVonline=202107622")</f>
        <v>ICTVonline=202107622</v>
      </c>
    </row>
    <row r="8153" spans="1:21" x14ac:dyDescent="0.2">
      <c r="A8153" s="3">
        <v>8152</v>
      </c>
      <c r="B8153" s="1" t="s">
        <v>4226</v>
      </c>
      <c r="D8153" s="1" t="s">
        <v>5412</v>
      </c>
      <c r="F8153" s="1" t="s">
        <v>3981</v>
      </c>
      <c r="G8153" s="1" t="s">
        <v>4003</v>
      </c>
      <c r="H8153" s="1" t="s">
        <v>4004</v>
      </c>
      <c r="J8153" s="1" t="s">
        <v>3109</v>
      </c>
      <c r="L8153" s="1" t="s">
        <v>3116</v>
      </c>
      <c r="N8153" s="1" t="s">
        <v>664</v>
      </c>
      <c r="P8153" s="1" t="s">
        <v>8289</v>
      </c>
      <c r="Q8153" s="30" t="s">
        <v>2566</v>
      </c>
      <c r="R8153" s="33" t="s">
        <v>3472</v>
      </c>
      <c r="S8153">
        <v>36</v>
      </c>
      <c r="T8153" s="1" t="s">
        <v>8290</v>
      </c>
      <c r="U8153" s="1" t="str">
        <f>HYPERLINK("http://ictvonline.org/taxonomy/p/taxonomy-history?taxnode_id=202109623","ICTVonline=202109623")</f>
        <v>ICTVonline=202109623</v>
      </c>
    </row>
    <row r="8154" spans="1:21" x14ac:dyDescent="0.2">
      <c r="A8154" s="3">
        <v>8153</v>
      </c>
      <c r="B8154" s="1" t="s">
        <v>4226</v>
      </c>
      <c r="D8154" s="1" t="s">
        <v>5412</v>
      </c>
      <c r="F8154" s="1" t="s">
        <v>3981</v>
      </c>
      <c r="G8154" s="1" t="s">
        <v>4003</v>
      </c>
      <c r="H8154" s="1" t="s">
        <v>4004</v>
      </c>
      <c r="J8154" s="1" t="s">
        <v>3109</v>
      </c>
      <c r="L8154" s="1" t="s">
        <v>3116</v>
      </c>
      <c r="N8154" s="1" t="s">
        <v>664</v>
      </c>
      <c r="P8154" s="1" t="s">
        <v>5551</v>
      </c>
      <c r="Q8154" s="30" t="s">
        <v>2821</v>
      </c>
      <c r="R8154" s="33" t="s">
        <v>3472</v>
      </c>
      <c r="S8154">
        <v>35</v>
      </c>
      <c r="T8154" s="1" t="s">
        <v>5525</v>
      </c>
      <c r="U8154" s="1" t="str">
        <f>HYPERLINK("http://ictvonline.org/taxonomy/p/taxonomy-history?taxnode_id=202107592","ICTVonline=202107592")</f>
        <v>ICTVonline=202107592</v>
      </c>
    </row>
    <row r="8155" spans="1:21" x14ac:dyDescent="0.2">
      <c r="A8155" s="3">
        <v>8154</v>
      </c>
      <c r="B8155" s="1" t="s">
        <v>4226</v>
      </c>
      <c r="D8155" s="1" t="s">
        <v>5412</v>
      </c>
      <c r="F8155" s="1" t="s">
        <v>3981</v>
      </c>
      <c r="G8155" s="1" t="s">
        <v>4003</v>
      </c>
      <c r="H8155" s="1" t="s">
        <v>4004</v>
      </c>
      <c r="J8155" s="1" t="s">
        <v>3109</v>
      </c>
      <c r="L8155" s="1" t="s">
        <v>3116</v>
      </c>
      <c r="N8155" s="1" t="s">
        <v>664</v>
      </c>
      <c r="P8155" s="1" t="s">
        <v>2878</v>
      </c>
      <c r="Q8155" s="30" t="s">
        <v>2821</v>
      </c>
      <c r="R8155" s="33" t="s">
        <v>3474</v>
      </c>
      <c r="S8155">
        <v>35</v>
      </c>
      <c r="T8155" s="1" t="s">
        <v>5416</v>
      </c>
      <c r="U8155" s="1" t="str">
        <f>HYPERLINK("http://ictvonline.org/taxonomy/p/taxonomy-history?taxnode_id=202100158","ICTVonline=202100158")</f>
        <v>ICTVonline=202100158</v>
      </c>
    </row>
    <row r="8156" spans="1:21" x14ac:dyDescent="0.2">
      <c r="A8156" s="3">
        <v>8155</v>
      </c>
      <c r="B8156" s="1" t="s">
        <v>4226</v>
      </c>
      <c r="D8156" s="1" t="s">
        <v>5412</v>
      </c>
      <c r="F8156" s="1" t="s">
        <v>3981</v>
      </c>
      <c r="G8156" s="1" t="s">
        <v>4003</v>
      </c>
      <c r="H8156" s="1" t="s">
        <v>4004</v>
      </c>
      <c r="J8156" s="1" t="s">
        <v>3109</v>
      </c>
      <c r="L8156" s="1" t="s">
        <v>3116</v>
      </c>
      <c r="N8156" s="1" t="s">
        <v>664</v>
      </c>
      <c r="P8156" s="1" t="s">
        <v>5552</v>
      </c>
      <c r="Q8156" s="30" t="s">
        <v>2821</v>
      </c>
      <c r="R8156" s="33" t="s">
        <v>3472</v>
      </c>
      <c r="S8156">
        <v>35</v>
      </c>
      <c r="T8156" s="1" t="s">
        <v>5525</v>
      </c>
      <c r="U8156" s="1" t="str">
        <f>HYPERLINK("http://ictvonline.org/taxonomy/p/taxonomy-history?taxnode_id=202107634","ICTVonline=202107634")</f>
        <v>ICTVonline=202107634</v>
      </c>
    </row>
    <row r="8157" spans="1:21" x14ac:dyDescent="0.2">
      <c r="A8157" s="3">
        <v>8156</v>
      </c>
      <c r="B8157" s="1" t="s">
        <v>4226</v>
      </c>
      <c r="D8157" s="1" t="s">
        <v>5412</v>
      </c>
      <c r="F8157" s="1" t="s">
        <v>3981</v>
      </c>
      <c r="G8157" s="1" t="s">
        <v>4003</v>
      </c>
      <c r="H8157" s="1" t="s">
        <v>4004</v>
      </c>
      <c r="J8157" s="1" t="s">
        <v>3109</v>
      </c>
      <c r="L8157" s="1" t="s">
        <v>3116</v>
      </c>
      <c r="N8157" s="1" t="s">
        <v>664</v>
      </c>
      <c r="P8157" s="1" t="s">
        <v>5553</v>
      </c>
      <c r="Q8157" s="30" t="s">
        <v>2821</v>
      </c>
      <c r="R8157" s="33" t="s">
        <v>3472</v>
      </c>
      <c r="S8157">
        <v>35</v>
      </c>
      <c r="T8157" s="1" t="s">
        <v>5525</v>
      </c>
      <c r="U8157" s="1" t="str">
        <f>HYPERLINK("http://ictvonline.org/taxonomy/p/taxonomy-history?taxnode_id=202107629","ICTVonline=202107629")</f>
        <v>ICTVonline=202107629</v>
      </c>
    </row>
    <row r="8158" spans="1:21" x14ac:dyDescent="0.2">
      <c r="A8158" s="3">
        <v>8157</v>
      </c>
      <c r="B8158" s="1" t="s">
        <v>4226</v>
      </c>
      <c r="D8158" s="1" t="s">
        <v>5412</v>
      </c>
      <c r="F8158" s="1" t="s">
        <v>3981</v>
      </c>
      <c r="G8158" s="1" t="s">
        <v>4003</v>
      </c>
      <c r="H8158" s="1" t="s">
        <v>4004</v>
      </c>
      <c r="J8158" s="1" t="s">
        <v>3109</v>
      </c>
      <c r="L8158" s="1" t="s">
        <v>3116</v>
      </c>
      <c r="N8158" s="1" t="s">
        <v>664</v>
      </c>
      <c r="P8158" s="1" t="s">
        <v>2879</v>
      </c>
      <c r="Q8158" s="30" t="s">
        <v>2821</v>
      </c>
      <c r="R8158" s="33" t="s">
        <v>3474</v>
      </c>
      <c r="S8158">
        <v>35</v>
      </c>
      <c r="T8158" s="1" t="s">
        <v>5416</v>
      </c>
      <c r="U8158" s="1" t="str">
        <f>HYPERLINK("http://ictvonline.org/taxonomy/p/taxonomy-history?taxnode_id=202100159","ICTVonline=202100159")</f>
        <v>ICTVonline=202100159</v>
      </c>
    </row>
    <row r="8159" spans="1:21" x14ac:dyDescent="0.2">
      <c r="A8159" s="3">
        <v>8158</v>
      </c>
      <c r="B8159" s="1" t="s">
        <v>4226</v>
      </c>
      <c r="D8159" s="1" t="s">
        <v>5412</v>
      </c>
      <c r="F8159" s="1" t="s">
        <v>3981</v>
      </c>
      <c r="G8159" s="1" t="s">
        <v>4003</v>
      </c>
      <c r="H8159" s="1" t="s">
        <v>4004</v>
      </c>
      <c r="J8159" s="1" t="s">
        <v>3109</v>
      </c>
      <c r="L8159" s="1" t="s">
        <v>3116</v>
      </c>
      <c r="N8159" s="1" t="s">
        <v>664</v>
      </c>
      <c r="P8159" s="1" t="s">
        <v>5554</v>
      </c>
      <c r="Q8159" s="30" t="s">
        <v>2821</v>
      </c>
      <c r="R8159" s="33" t="s">
        <v>3472</v>
      </c>
      <c r="S8159">
        <v>35</v>
      </c>
      <c r="T8159" s="1" t="s">
        <v>5525</v>
      </c>
      <c r="U8159" s="1" t="str">
        <f>HYPERLINK("http://ictvonline.org/taxonomy/p/taxonomy-history?taxnode_id=202107600","ICTVonline=202107600")</f>
        <v>ICTVonline=202107600</v>
      </c>
    </row>
    <row r="8160" spans="1:21" x14ac:dyDescent="0.2">
      <c r="A8160" s="3">
        <v>8159</v>
      </c>
      <c r="B8160" s="1" t="s">
        <v>4226</v>
      </c>
      <c r="D8160" s="1" t="s">
        <v>5412</v>
      </c>
      <c r="F8160" s="1" t="s">
        <v>3981</v>
      </c>
      <c r="G8160" s="1" t="s">
        <v>4003</v>
      </c>
      <c r="H8160" s="1" t="s">
        <v>4004</v>
      </c>
      <c r="J8160" s="1" t="s">
        <v>3109</v>
      </c>
      <c r="L8160" s="1" t="s">
        <v>3116</v>
      </c>
      <c r="N8160" s="1" t="s">
        <v>664</v>
      </c>
      <c r="P8160" s="1" t="s">
        <v>5555</v>
      </c>
      <c r="Q8160" s="30" t="s">
        <v>2821</v>
      </c>
      <c r="R8160" s="33" t="s">
        <v>3472</v>
      </c>
      <c r="S8160">
        <v>35</v>
      </c>
      <c r="T8160" s="1" t="s">
        <v>5525</v>
      </c>
      <c r="U8160" s="1" t="str">
        <f>HYPERLINK("http://ictvonline.org/taxonomy/p/taxonomy-history?taxnode_id=202107630","ICTVonline=202107630")</f>
        <v>ICTVonline=202107630</v>
      </c>
    </row>
    <row r="8161" spans="1:21" x14ac:dyDescent="0.2">
      <c r="A8161" s="3">
        <v>8160</v>
      </c>
      <c r="B8161" s="1" t="s">
        <v>4226</v>
      </c>
      <c r="D8161" s="1" t="s">
        <v>5412</v>
      </c>
      <c r="F8161" s="1" t="s">
        <v>3981</v>
      </c>
      <c r="G8161" s="1" t="s">
        <v>4003</v>
      </c>
      <c r="H8161" s="1" t="s">
        <v>4004</v>
      </c>
      <c r="J8161" s="1" t="s">
        <v>3109</v>
      </c>
      <c r="L8161" s="1" t="s">
        <v>3116</v>
      </c>
      <c r="N8161" s="1" t="s">
        <v>664</v>
      </c>
      <c r="P8161" s="1" t="s">
        <v>8291</v>
      </c>
      <c r="Q8161" s="30" t="s">
        <v>2566</v>
      </c>
      <c r="R8161" s="33" t="s">
        <v>3472</v>
      </c>
      <c r="S8161">
        <v>36</v>
      </c>
      <c r="T8161" s="1" t="s">
        <v>8280</v>
      </c>
      <c r="U8161" s="1" t="str">
        <f>HYPERLINK("http://ictvonline.org/taxonomy/p/taxonomy-history?taxnode_id=202109826","ICTVonline=202109826")</f>
        <v>ICTVonline=202109826</v>
      </c>
    </row>
    <row r="8162" spans="1:21" x14ac:dyDescent="0.2">
      <c r="A8162" s="3">
        <v>8161</v>
      </c>
      <c r="B8162" s="1" t="s">
        <v>4226</v>
      </c>
      <c r="D8162" s="1" t="s">
        <v>5412</v>
      </c>
      <c r="F8162" s="1" t="s">
        <v>3981</v>
      </c>
      <c r="G8162" s="1" t="s">
        <v>4003</v>
      </c>
      <c r="H8162" s="1" t="s">
        <v>4004</v>
      </c>
      <c r="J8162" s="1" t="s">
        <v>3109</v>
      </c>
      <c r="L8162" s="1" t="s">
        <v>3116</v>
      </c>
      <c r="N8162" s="1" t="s">
        <v>664</v>
      </c>
      <c r="P8162" s="1" t="s">
        <v>5556</v>
      </c>
      <c r="Q8162" s="30" t="s">
        <v>2821</v>
      </c>
      <c r="R8162" s="33" t="s">
        <v>3472</v>
      </c>
      <c r="S8162">
        <v>35</v>
      </c>
      <c r="T8162" s="1" t="s">
        <v>5525</v>
      </c>
      <c r="U8162" s="1" t="str">
        <f>HYPERLINK("http://ictvonline.org/taxonomy/p/taxonomy-history?taxnode_id=202107611","ICTVonline=202107611")</f>
        <v>ICTVonline=202107611</v>
      </c>
    </row>
    <row r="8163" spans="1:21" x14ac:dyDescent="0.2">
      <c r="A8163" s="3">
        <v>8162</v>
      </c>
      <c r="B8163" s="1" t="s">
        <v>4226</v>
      </c>
      <c r="D8163" s="1" t="s">
        <v>5412</v>
      </c>
      <c r="F8163" s="1" t="s">
        <v>3981</v>
      </c>
      <c r="G8163" s="1" t="s">
        <v>4003</v>
      </c>
      <c r="H8163" s="1" t="s">
        <v>4004</v>
      </c>
      <c r="J8163" s="1" t="s">
        <v>3109</v>
      </c>
      <c r="L8163" s="1" t="s">
        <v>3116</v>
      </c>
      <c r="N8163" s="1" t="s">
        <v>664</v>
      </c>
      <c r="P8163" s="1" t="s">
        <v>5557</v>
      </c>
      <c r="Q8163" s="30" t="s">
        <v>2821</v>
      </c>
      <c r="R8163" s="33" t="s">
        <v>3472</v>
      </c>
      <c r="S8163">
        <v>35</v>
      </c>
      <c r="T8163" s="1" t="s">
        <v>5525</v>
      </c>
      <c r="U8163" s="1" t="str">
        <f>HYPERLINK("http://ictvonline.org/taxonomy/p/taxonomy-history?taxnode_id=202107586","ICTVonline=202107586")</f>
        <v>ICTVonline=202107586</v>
      </c>
    </row>
    <row r="8164" spans="1:21" x14ac:dyDescent="0.2">
      <c r="A8164" s="3">
        <v>8163</v>
      </c>
      <c r="B8164" s="1" t="s">
        <v>4226</v>
      </c>
      <c r="D8164" s="1" t="s">
        <v>5412</v>
      </c>
      <c r="F8164" s="1" t="s">
        <v>3981</v>
      </c>
      <c r="G8164" s="1" t="s">
        <v>4003</v>
      </c>
      <c r="H8164" s="1" t="s">
        <v>4004</v>
      </c>
      <c r="J8164" s="1" t="s">
        <v>3109</v>
      </c>
      <c r="L8164" s="1" t="s">
        <v>3116</v>
      </c>
      <c r="N8164" s="1" t="s">
        <v>664</v>
      </c>
      <c r="P8164" s="1" t="s">
        <v>5558</v>
      </c>
      <c r="Q8164" s="30" t="s">
        <v>2821</v>
      </c>
      <c r="R8164" s="33" t="s">
        <v>3472</v>
      </c>
      <c r="S8164">
        <v>35</v>
      </c>
      <c r="T8164" s="1" t="s">
        <v>5525</v>
      </c>
      <c r="U8164" s="1" t="str">
        <f>HYPERLINK("http://ictvonline.org/taxonomy/p/taxonomy-history?taxnode_id=202107591","ICTVonline=202107591")</f>
        <v>ICTVonline=202107591</v>
      </c>
    </row>
    <row r="8165" spans="1:21" x14ac:dyDescent="0.2">
      <c r="A8165" s="3">
        <v>8164</v>
      </c>
      <c r="B8165" s="1" t="s">
        <v>4226</v>
      </c>
      <c r="D8165" s="1" t="s">
        <v>5412</v>
      </c>
      <c r="F8165" s="1" t="s">
        <v>3981</v>
      </c>
      <c r="G8165" s="1" t="s">
        <v>4003</v>
      </c>
      <c r="H8165" s="1" t="s">
        <v>4004</v>
      </c>
      <c r="J8165" s="1" t="s">
        <v>3109</v>
      </c>
      <c r="L8165" s="1" t="s">
        <v>3116</v>
      </c>
      <c r="N8165" s="1" t="s">
        <v>664</v>
      </c>
      <c r="P8165" s="1" t="s">
        <v>8292</v>
      </c>
      <c r="Q8165" s="30" t="s">
        <v>2566</v>
      </c>
      <c r="R8165" s="33" t="s">
        <v>3472</v>
      </c>
      <c r="S8165">
        <v>36</v>
      </c>
      <c r="T8165" s="1" t="s">
        <v>8290</v>
      </c>
      <c r="U8165" s="1" t="str">
        <f>HYPERLINK("http://ictvonline.org/taxonomy/p/taxonomy-history?taxnode_id=202109622","ICTVonline=202109622")</f>
        <v>ICTVonline=202109622</v>
      </c>
    </row>
    <row r="8166" spans="1:21" x14ac:dyDescent="0.2">
      <c r="A8166" s="3">
        <v>8165</v>
      </c>
      <c r="B8166" s="1" t="s">
        <v>4226</v>
      </c>
      <c r="D8166" s="1" t="s">
        <v>5412</v>
      </c>
      <c r="F8166" s="1" t="s">
        <v>3981</v>
      </c>
      <c r="G8166" s="1" t="s">
        <v>4003</v>
      </c>
      <c r="H8166" s="1" t="s">
        <v>4004</v>
      </c>
      <c r="J8166" s="1" t="s">
        <v>3109</v>
      </c>
      <c r="L8166" s="1" t="s">
        <v>3116</v>
      </c>
      <c r="N8166" s="1" t="s">
        <v>664</v>
      </c>
      <c r="P8166" s="1" t="s">
        <v>2880</v>
      </c>
      <c r="Q8166" s="30" t="s">
        <v>2821</v>
      </c>
      <c r="R8166" s="33" t="s">
        <v>3474</v>
      </c>
      <c r="S8166">
        <v>35</v>
      </c>
      <c r="T8166" s="1" t="s">
        <v>5416</v>
      </c>
      <c r="U8166" s="1" t="str">
        <f>HYPERLINK("http://ictvonline.org/taxonomy/p/taxonomy-history?taxnode_id=202100161","ICTVonline=202100161")</f>
        <v>ICTVonline=202100161</v>
      </c>
    </row>
    <row r="8167" spans="1:21" x14ac:dyDescent="0.2">
      <c r="A8167" s="3">
        <v>8166</v>
      </c>
      <c r="B8167" s="1" t="s">
        <v>4226</v>
      </c>
      <c r="D8167" s="1" t="s">
        <v>5412</v>
      </c>
      <c r="F8167" s="1" t="s">
        <v>3981</v>
      </c>
      <c r="G8167" s="1" t="s">
        <v>4003</v>
      </c>
      <c r="H8167" s="1" t="s">
        <v>4004</v>
      </c>
      <c r="J8167" s="1" t="s">
        <v>3109</v>
      </c>
      <c r="L8167" s="1" t="s">
        <v>3116</v>
      </c>
      <c r="N8167" s="1" t="s">
        <v>664</v>
      </c>
      <c r="P8167" s="1" t="s">
        <v>5559</v>
      </c>
      <c r="Q8167" s="30" t="s">
        <v>2821</v>
      </c>
      <c r="R8167" s="33" t="s">
        <v>3472</v>
      </c>
      <c r="S8167">
        <v>35</v>
      </c>
      <c r="T8167" s="1" t="s">
        <v>5525</v>
      </c>
      <c r="U8167" s="1" t="str">
        <f>HYPERLINK("http://ictvonline.org/taxonomy/p/taxonomy-history?taxnode_id=202107605","ICTVonline=202107605")</f>
        <v>ICTVonline=202107605</v>
      </c>
    </row>
    <row r="8168" spans="1:21" x14ac:dyDescent="0.2">
      <c r="A8168" s="3">
        <v>8167</v>
      </c>
      <c r="B8168" s="1" t="s">
        <v>4226</v>
      </c>
      <c r="D8168" s="1" t="s">
        <v>5412</v>
      </c>
      <c r="F8168" s="1" t="s">
        <v>3981</v>
      </c>
      <c r="G8168" s="1" t="s">
        <v>4003</v>
      </c>
      <c r="H8168" s="1" t="s">
        <v>4004</v>
      </c>
      <c r="J8168" s="1" t="s">
        <v>3109</v>
      </c>
      <c r="L8168" s="1" t="s">
        <v>3116</v>
      </c>
      <c r="N8168" s="1" t="s">
        <v>664</v>
      </c>
      <c r="P8168" s="1" t="s">
        <v>5560</v>
      </c>
      <c r="Q8168" s="30" t="s">
        <v>2821</v>
      </c>
      <c r="R8168" s="33" t="s">
        <v>3472</v>
      </c>
      <c r="S8168">
        <v>35</v>
      </c>
      <c r="T8168" s="1" t="s">
        <v>5525</v>
      </c>
      <c r="U8168" s="1" t="str">
        <f>HYPERLINK("http://ictvonline.org/taxonomy/p/taxonomy-history?taxnode_id=202107631","ICTVonline=202107631")</f>
        <v>ICTVonline=202107631</v>
      </c>
    </row>
    <row r="8169" spans="1:21" x14ac:dyDescent="0.2">
      <c r="A8169" s="3">
        <v>8168</v>
      </c>
      <c r="B8169" s="1" t="s">
        <v>4226</v>
      </c>
      <c r="D8169" s="1" t="s">
        <v>5412</v>
      </c>
      <c r="F8169" s="1" t="s">
        <v>3981</v>
      </c>
      <c r="G8169" s="1" t="s">
        <v>4003</v>
      </c>
      <c r="H8169" s="1" t="s">
        <v>4004</v>
      </c>
      <c r="J8169" s="1" t="s">
        <v>3109</v>
      </c>
      <c r="L8169" s="1" t="s">
        <v>3116</v>
      </c>
      <c r="N8169" s="1" t="s">
        <v>664</v>
      </c>
      <c r="P8169" s="1" t="s">
        <v>5561</v>
      </c>
      <c r="Q8169" s="30" t="s">
        <v>2821</v>
      </c>
      <c r="R8169" s="33" t="s">
        <v>3472</v>
      </c>
      <c r="S8169">
        <v>35</v>
      </c>
      <c r="T8169" s="1" t="s">
        <v>5525</v>
      </c>
      <c r="U8169" s="1" t="str">
        <f>HYPERLINK("http://ictvonline.org/taxonomy/p/taxonomy-history?taxnode_id=202107593","ICTVonline=202107593")</f>
        <v>ICTVonline=202107593</v>
      </c>
    </row>
    <row r="8170" spans="1:21" x14ac:dyDescent="0.2">
      <c r="A8170" s="3">
        <v>8169</v>
      </c>
      <c r="B8170" s="1" t="s">
        <v>4226</v>
      </c>
      <c r="D8170" s="1" t="s">
        <v>5412</v>
      </c>
      <c r="F8170" s="1" t="s">
        <v>3981</v>
      </c>
      <c r="G8170" s="1" t="s">
        <v>4003</v>
      </c>
      <c r="H8170" s="1" t="s">
        <v>4004</v>
      </c>
      <c r="J8170" s="1" t="s">
        <v>3109</v>
      </c>
      <c r="L8170" s="1" t="s">
        <v>3116</v>
      </c>
      <c r="N8170" s="1" t="s">
        <v>664</v>
      </c>
      <c r="P8170" s="1" t="s">
        <v>5562</v>
      </c>
      <c r="Q8170" s="30" t="s">
        <v>2821</v>
      </c>
      <c r="R8170" s="33" t="s">
        <v>3472</v>
      </c>
      <c r="S8170">
        <v>35</v>
      </c>
      <c r="T8170" s="1" t="s">
        <v>5525</v>
      </c>
      <c r="U8170" s="1" t="str">
        <f>HYPERLINK("http://ictvonline.org/taxonomy/p/taxonomy-history?taxnode_id=202107626","ICTVonline=202107626")</f>
        <v>ICTVonline=202107626</v>
      </c>
    </row>
    <row r="8171" spans="1:21" x14ac:dyDescent="0.2">
      <c r="A8171" s="3">
        <v>8170</v>
      </c>
      <c r="B8171" s="1" t="s">
        <v>4226</v>
      </c>
      <c r="D8171" s="1" t="s">
        <v>5412</v>
      </c>
      <c r="F8171" s="1" t="s">
        <v>3981</v>
      </c>
      <c r="G8171" s="1" t="s">
        <v>4003</v>
      </c>
      <c r="H8171" s="1" t="s">
        <v>4004</v>
      </c>
      <c r="J8171" s="1" t="s">
        <v>3109</v>
      </c>
      <c r="L8171" s="1" t="s">
        <v>3116</v>
      </c>
      <c r="N8171" s="1" t="s">
        <v>664</v>
      </c>
      <c r="P8171" s="1" t="s">
        <v>5563</v>
      </c>
      <c r="Q8171" s="30" t="s">
        <v>2821</v>
      </c>
      <c r="R8171" s="33" t="s">
        <v>3472</v>
      </c>
      <c r="S8171">
        <v>35</v>
      </c>
      <c r="T8171" s="1" t="s">
        <v>5525</v>
      </c>
      <c r="U8171" s="1" t="str">
        <f>HYPERLINK("http://ictvonline.org/taxonomy/p/taxonomy-history?taxnode_id=202107613","ICTVonline=202107613")</f>
        <v>ICTVonline=202107613</v>
      </c>
    </row>
    <row r="8172" spans="1:21" x14ac:dyDescent="0.2">
      <c r="A8172" s="3">
        <v>8171</v>
      </c>
      <c r="B8172" s="1" t="s">
        <v>4226</v>
      </c>
      <c r="D8172" s="1" t="s">
        <v>5412</v>
      </c>
      <c r="F8172" s="1" t="s">
        <v>3981</v>
      </c>
      <c r="G8172" s="1" t="s">
        <v>4003</v>
      </c>
      <c r="H8172" s="1" t="s">
        <v>4004</v>
      </c>
      <c r="J8172" s="1" t="s">
        <v>3109</v>
      </c>
      <c r="L8172" s="1" t="s">
        <v>3116</v>
      </c>
      <c r="N8172" s="1" t="s">
        <v>664</v>
      </c>
      <c r="P8172" s="1" t="s">
        <v>5564</v>
      </c>
      <c r="Q8172" s="30" t="s">
        <v>2821</v>
      </c>
      <c r="R8172" s="33" t="s">
        <v>3472</v>
      </c>
      <c r="S8172">
        <v>35</v>
      </c>
      <c r="T8172" s="1" t="s">
        <v>5525</v>
      </c>
      <c r="U8172" s="1" t="str">
        <f>HYPERLINK("http://ictvonline.org/taxonomy/p/taxonomy-history?taxnode_id=202107585","ICTVonline=202107585")</f>
        <v>ICTVonline=202107585</v>
      </c>
    </row>
    <row r="8173" spans="1:21" x14ac:dyDescent="0.2">
      <c r="A8173" s="3">
        <v>8172</v>
      </c>
      <c r="B8173" s="1" t="s">
        <v>4226</v>
      </c>
      <c r="D8173" s="1" t="s">
        <v>5412</v>
      </c>
      <c r="F8173" s="1" t="s">
        <v>3981</v>
      </c>
      <c r="G8173" s="1" t="s">
        <v>4003</v>
      </c>
      <c r="H8173" s="1" t="s">
        <v>4004</v>
      </c>
      <c r="J8173" s="1" t="s">
        <v>3109</v>
      </c>
      <c r="L8173" s="1" t="s">
        <v>3116</v>
      </c>
      <c r="N8173" s="1" t="s">
        <v>664</v>
      </c>
      <c r="P8173" s="1" t="s">
        <v>5565</v>
      </c>
      <c r="Q8173" s="30" t="s">
        <v>2821</v>
      </c>
      <c r="R8173" s="33" t="s">
        <v>3472</v>
      </c>
      <c r="S8173">
        <v>35</v>
      </c>
      <c r="T8173" s="1" t="s">
        <v>5525</v>
      </c>
      <c r="U8173" s="1" t="str">
        <f>HYPERLINK("http://ictvonline.org/taxonomy/p/taxonomy-history?taxnode_id=202107607","ICTVonline=202107607")</f>
        <v>ICTVonline=202107607</v>
      </c>
    </row>
    <row r="8174" spans="1:21" x14ac:dyDescent="0.2">
      <c r="A8174" s="3">
        <v>8173</v>
      </c>
      <c r="B8174" s="1" t="s">
        <v>4226</v>
      </c>
      <c r="D8174" s="1" t="s">
        <v>5412</v>
      </c>
      <c r="F8174" s="1" t="s">
        <v>3981</v>
      </c>
      <c r="G8174" s="1" t="s">
        <v>4003</v>
      </c>
      <c r="H8174" s="1" t="s">
        <v>4004</v>
      </c>
      <c r="J8174" s="1" t="s">
        <v>3109</v>
      </c>
      <c r="L8174" s="1" t="s">
        <v>3116</v>
      </c>
      <c r="N8174" s="1" t="s">
        <v>664</v>
      </c>
      <c r="P8174" s="1" t="s">
        <v>8293</v>
      </c>
      <c r="Q8174" s="30" t="s">
        <v>2566</v>
      </c>
      <c r="R8174" s="33" t="s">
        <v>3472</v>
      </c>
      <c r="S8174">
        <v>36</v>
      </c>
      <c r="T8174" s="1" t="s">
        <v>8290</v>
      </c>
      <c r="U8174" s="1" t="str">
        <f>HYPERLINK("http://ictvonline.org/taxonomy/p/taxonomy-history?taxnode_id=202109621","ICTVonline=202109621")</f>
        <v>ICTVonline=202109621</v>
      </c>
    </row>
    <row r="8175" spans="1:21" x14ac:dyDescent="0.2">
      <c r="A8175" s="3">
        <v>8174</v>
      </c>
      <c r="B8175" s="1" t="s">
        <v>4226</v>
      </c>
      <c r="D8175" s="1" t="s">
        <v>5412</v>
      </c>
      <c r="F8175" s="1" t="s">
        <v>3981</v>
      </c>
      <c r="G8175" s="1" t="s">
        <v>4003</v>
      </c>
      <c r="H8175" s="1" t="s">
        <v>4004</v>
      </c>
      <c r="J8175" s="1" t="s">
        <v>3109</v>
      </c>
      <c r="L8175" s="1" t="s">
        <v>3116</v>
      </c>
      <c r="N8175" s="1" t="s">
        <v>664</v>
      </c>
      <c r="P8175" s="1" t="s">
        <v>5566</v>
      </c>
      <c r="Q8175" s="30" t="s">
        <v>2821</v>
      </c>
      <c r="R8175" s="33" t="s">
        <v>3472</v>
      </c>
      <c r="S8175">
        <v>35</v>
      </c>
      <c r="T8175" s="1" t="s">
        <v>5525</v>
      </c>
      <c r="U8175" s="1" t="str">
        <f>HYPERLINK("http://ictvonline.org/taxonomy/p/taxonomy-history?taxnode_id=202107597","ICTVonline=202107597")</f>
        <v>ICTVonline=202107597</v>
      </c>
    </row>
    <row r="8176" spans="1:21" x14ac:dyDescent="0.2">
      <c r="A8176" s="3">
        <v>8175</v>
      </c>
      <c r="B8176" s="1" t="s">
        <v>4226</v>
      </c>
      <c r="D8176" s="1" t="s">
        <v>5412</v>
      </c>
      <c r="F8176" s="1" t="s">
        <v>3981</v>
      </c>
      <c r="G8176" s="1" t="s">
        <v>4003</v>
      </c>
      <c r="H8176" s="1" t="s">
        <v>4004</v>
      </c>
      <c r="J8176" s="1" t="s">
        <v>3109</v>
      </c>
      <c r="L8176" s="1" t="s">
        <v>3116</v>
      </c>
      <c r="N8176" s="1" t="s">
        <v>664</v>
      </c>
      <c r="P8176" s="1" t="s">
        <v>5567</v>
      </c>
      <c r="Q8176" s="30" t="s">
        <v>2821</v>
      </c>
      <c r="R8176" s="33" t="s">
        <v>3472</v>
      </c>
      <c r="S8176">
        <v>35</v>
      </c>
      <c r="T8176" s="1" t="s">
        <v>5525</v>
      </c>
      <c r="U8176" s="1" t="str">
        <f>HYPERLINK("http://ictvonline.org/taxonomy/p/taxonomy-history?taxnode_id=202107602","ICTVonline=202107602")</f>
        <v>ICTVonline=202107602</v>
      </c>
    </row>
    <row r="8177" spans="1:21" x14ac:dyDescent="0.2">
      <c r="A8177" s="3">
        <v>8176</v>
      </c>
      <c r="B8177" s="1" t="s">
        <v>4226</v>
      </c>
      <c r="D8177" s="1" t="s">
        <v>5412</v>
      </c>
      <c r="F8177" s="1" t="s">
        <v>3981</v>
      </c>
      <c r="G8177" s="1" t="s">
        <v>4003</v>
      </c>
      <c r="H8177" s="1" t="s">
        <v>4004</v>
      </c>
      <c r="J8177" s="1" t="s">
        <v>3109</v>
      </c>
      <c r="L8177" s="1" t="s">
        <v>3116</v>
      </c>
      <c r="N8177" s="1" t="s">
        <v>664</v>
      </c>
      <c r="P8177" s="1" t="s">
        <v>5568</v>
      </c>
      <c r="Q8177" s="30" t="s">
        <v>2821</v>
      </c>
      <c r="R8177" s="33" t="s">
        <v>3472</v>
      </c>
      <c r="S8177">
        <v>35</v>
      </c>
      <c r="T8177" s="1" t="s">
        <v>5525</v>
      </c>
      <c r="U8177" s="1" t="str">
        <f>HYPERLINK("http://ictvonline.org/taxonomy/p/taxonomy-history?taxnode_id=202107594","ICTVonline=202107594")</f>
        <v>ICTVonline=202107594</v>
      </c>
    </row>
    <row r="8178" spans="1:21" x14ac:dyDescent="0.2">
      <c r="A8178" s="3">
        <v>8177</v>
      </c>
      <c r="B8178" s="1" t="s">
        <v>4226</v>
      </c>
      <c r="D8178" s="1" t="s">
        <v>5412</v>
      </c>
      <c r="F8178" s="1" t="s">
        <v>3981</v>
      </c>
      <c r="G8178" s="1" t="s">
        <v>4003</v>
      </c>
      <c r="H8178" s="1" t="s">
        <v>4004</v>
      </c>
      <c r="J8178" s="1" t="s">
        <v>3109</v>
      </c>
      <c r="L8178" s="1" t="s">
        <v>3116</v>
      </c>
      <c r="N8178" s="1" t="s">
        <v>664</v>
      </c>
      <c r="P8178" s="1" t="s">
        <v>5569</v>
      </c>
      <c r="Q8178" s="30" t="s">
        <v>2821</v>
      </c>
      <c r="R8178" s="33" t="s">
        <v>3472</v>
      </c>
      <c r="S8178">
        <v>35</v>
      </c>
      <c r="T8178" s="1" t="s">
        <v>5525</v>
      </c>
      <c r="U8178" s="1" t="str">
        <f>HYPERLINK("http://ictvonline.org/taxonomy/p/taxonomy-history?taxnode_id=202107625","ICTVonline=202107625")</f>
        <v>ICTVonline=202107625</v>
      </c>
    </row>
    <row r="8179" spans="1:21" x14ac:dyDescent="0.2">
      <c r="A8179" s="3">
        <v>8178</v>
      </c>
      <c r="B8179" s="1" t="s">
        <v>4226</v>
      </c>
      <c r="D8179" s="1" t="s">
        <v>5412</v>
      </c>
      <c r="F8179" s="1" t="s">
        <v>3981</v>
      </c>
      <c r="G8179" s="1" t="s">
        <v>4003</v>
      </c>
      <c r="H8179" s="1" t="s">
        <v>4004</v>
      </c>
      <c r="J8179" s="1" t="s">
        <v>3109</v>
      </c>
      <c r="L8179" s="1" t="s">
        <v>3116</v>
      </c>
      <c r="N8179" s="1" t="s">
        <v>664</v>
      </c>
      <c r="P8179" s="1" t="s">
        <v>5570</v>
      </c>
      <c r="Q8179" s="30" t="s">
        <v>2821</v>
      </c>
      <c r="R8179" s="33" t="s">
        <v>3472</v>
      </c>
      <c r="S8179">
        <v>35</v>
      </c>
      <c r="T8179" s="1" t="s">
        <v>5525</v>
      </c>
      <c r="U8179" s="1" t="str">
        <f>HYPERLINK("http://ictvonline.org/taxonomy/p/taxonomy-history?taxnode_id=202107614","ICTVonline=202107614")</f>
        <v>ICTVonline=202107614</v>
      </c>
    </row>
    <row r="8180" spans="1:21" x14ac:dyDescent="0.2">
      <c r="A8180" s="3">
        <v>8179</v>
      </c>
      <c r="B8180" s="1" t="s">
        <v>4226</v>
      </c>
      <c r="D8180" s="1" t="s">
        <v>5412</v>
      </c>
      <c r="F8180" s="1" t="s">
        <v>3981</v>
      </c>
      <c r="G8180" s="1" t="s">
        <v>4003</v>
      </c>
      <c r="H8180" s="1" t="s">
        <v>4004</v>
      </c>
      <c r="J8180" s="1" t="s">
        <v>3109</v>
      </c>
      <c r="L8180" s="1" t="s">
        <v>3116</v>
      </c>
      <c r="N8180" s="1" t="s">
        <v>664</v>
      </c>
      <c r="P8180" s="1" t="s">
        <v>5571</v>
      </c>
      <c r="Q8180" s="30" t="s">
        <v>2821</v>
      </c>
      <c r="R8180" s="33" t="s">
        <v>3472</v>
      </c>
      <c r="S8180">
        <v>35</v>
      </c>
      <c r="T8180" s="1" t="s">
        <v>5525</v>
      </c>
      <c r="U8180" s="1" t="str">
        <f>HYPERLINK("http://ictvonline.org/taxonomy/p/taxonomy-history?taxnode_id=202107621","ICTVonline=202107621")</f>
        <v>ICTVonline=202107621</v>
      </c>
    </row>
    <row r="8181" spans="1:21" x14ac:dyDescent="0.2">
      <c r="A8181" s="3">
        <v>8180</v>
      </c>
      <c r="B8181" s="1" t="s">
        <v>4226</v>
      </c>
      <c r="D8181" s="1" t="s">
        <v>5412</v>
      </c>
      <c r="F8181" s="1" t="s">
        <v>3981</v>
      </c>
      <c r="G8181" s="1" t="s">
        <v>4003</v>
      </c>
      <c r="H8181" s="1" t="s">
        <v>4004</v>
      </c>
      <c r="J8181" s="1" t="s">
        <v>3109</v>
      </c>
      <c r="L8181" s="1" t="s">
        <v>3116</v>
      </c>
      <c r="N8181" s="1" t="s">
        <v>664</v>
      </c>
      <c r="P8181" s="1" t="s">
        <v>5572</v>
      </c>
      <c r="Q8181" s="30" t="s">
        <v>2821</v>
      </c>
      <c r="R8181" s="33" t="s">
        <v>3472</v>
      </c>
      <c r="S8181">
        <v>35</v>
      </c>
      <c r="T8181" s="1" t="s">
        <v>5525</v>
      </c>
      <c r="U8181" s="1" t="str">
        <f>HYPERLINK("http://ictvonline.org/taxonomy/p/taxonomy-history?taxnode_id=202107588","ICTVonline=202107588")</f>
        <v>ICTVonline=202107588</v>
      </c>
    </row>
    <row r="8182" spans="1:21" x14ac:dyDescent="0.2">
      <c r="A8182" s="3">
        <v>8181</v>
      </c>
      <c r="B8182" s="1" t="s">
        <v>4226</v>
      </c>
      <c r="D8182" s="1" t="s">
        <v>5412</v>
      </c>
      <c r="F8182" s="1" t="s">
        <v>3981</v>
      </c>
      <c r="G8182" s="1" t="s">
        <v>4003</v>
      </c>
      <c r="H8182" s="1" t="s">
        <v>4004</v>
      </c>
      <c r="J8182" s="1" t="s">
        <v>3109</v>
      </c>
      <c r="L8182" s="1" t="s">
        <v>3116</v>
      </c>
      <c r="N8182" s="1" t="s">
        <v>664</v>
      </c>
      <c r="P8182" s="1" t="s">
        <v>4368</v>
      </c>
      <c r="Q8182" s="30" t="s">
        <v>2821</v>
      </c>
      <c r="R8182" s="33" t="s">
        <v>3474</v>
      </c>
      <c r="S8182">
        <v>35</v>
      </c>
      <c r="T8182" s="1" t="s">
        <v>5416</v>
      </c>
      <c r="U8182" s="1" t="str">
        <f>HYPERLINK("http://ictvonline.org/taxonomy/p/taxonomy-history?taxnode_id=202106492","ICTVonline=202106492")</f>
        <v>ICTVonline=202106492</v>
      </c>
    </row>
    <row r="8183" spans="1:21" x14ac:dyDescent="0.2">
      <c r="A8183" s="3">
        <v>8182</v>
      </c>
      <c r="B8183" s="1" t="s">
        <v>4226</v>
      </c>
      <c r="D8183" s="1" t="s">
        <v>5412</v>
      </c>
      <c r="F8183" s="1" t="s">
        <v>3981</v>
      </c>
      <c r="G8183" s="1" t="s">
        <v>4003</v>
      </c>
      <c r="H8183" s="1" t="s">
        <v>4004</v>
      </c>
      <c r="J8183" s="1" t="s">
        <v>3109</v>
      </c>
      <c r="L8183" s="1" t="s">
        <v>3116</v>
      </c>
      <c r="N8183" s="1" t="s">
        <v>664</v>
      </c>
      <c r="P8183" s="1" t="s">
        <v>5573</v>
      </c>
      <c r="Q8183" s="30" t="s">
        <v>2821</v>
      </c>
      <c r="R8183" s="33" t="s">
        <v>3472</v>
      </c>
      <c r="S8183">
        <v>35</v>
      </c>
      <c r="T8183" s="1" t="s">
        <v>5525</v>
      </c>
      <c r="U8183" s="1" t="str">
        <f>HYPERLINK("http://ictvonline.org/taxonomy/p/taxonomy-history?taxnode_id=202107595","ICTVonline=202107595")</f>
        <v>ICTVonline=202107595</v>
      </c>
    </row>
    <row r="8184" spans="1:21" x14ac:dyDescent="0.2">
      <c r="A8184" s="3">
        <v>8183</v>
      </c>
      <c r="B8184" s="1" t="s">
        <v>4226</v>
      </c>
      <c r="D8184" s="1" t="s">
        <v>5412</v>
      </c>
      <c r="F8184" s="1" t="s">
        <v>3981</v>
      </c>
      <c r="G8184" s="1" t="s">
        <v>4003</v>
      </c>
      <c r="H8184" s="1" t="s">
        <v>4004</v>
      </c>
      <c r="J8184" s="1" t="s">
        <v>3109</v>
      </c>
      <c r="L8184" s="1" t="s">
        <v>3116</v>
      </c>
      <c r="N8184" s="1" t="s">
        <v>664</v>
      </c>
      <c r="P8184" s="1" t="s">
        <v>5574</v>
      </c>
      <c r="Q8184" s="30" t="s">
        <v>2821</v>
      </c>
      <c r="R8184" s="33" t="s">
        <v>3473</v>
      </c>
      <c r="S8184">
        <v>35</v>
      </c>
      <c r="T8184" s="1" t="s">
        <v>5525</v>
      </c>
      <c r="U8184" s="1" t="str">
        <f>HYPERLINK("http://ictvonline.org/taxonomy/p/taxonomy-history?taxnode_id=202100165","ICTVonline=202100165")</f>
        <v>ICTVonline=202100165</v>
      </c>
    </row>
    <row r="8185" spans="1:21" x14ac:dyDescent="0.2">
      <c r="A8185" s="3">
        <v>8184</v>
      </c>
      <c r="B8185" s="1" t="s">
        <v>4226</v>
      </c>
      <c r="D8185" s="1" t="s">
        <v>5412</v>
      </c>
      <c r="F8185" s="1" t="s">
        <v>3981</v>
      </c>
      <c r="G8185" s="1" t="s">
        <v>4003</v>
      </c>
      <c r="H8185" s="1" t="s">
        <v>4004</v>
      </c>
      <c r="J8185" s="1" t="s">
        <v>3109</v>
      </c>
      <c r="L8185" s="1" t="s">
        <v>3116</v>
      </c>
      <c r="N8185" s="1" t="s">
        <v>664</v>
      </c>
      <c r="P8185" s="1" t="s">
        <v>5575</v>
      </c>
      <c r="Q8185" s="30" t="s">
        <v>2821</v>
      </c>
      <c r="R8185" s="33" t="s">
        <v>3472</v>
      </c>
      <c r="S8185">
        <v>35</v>
      </c>
      <c r="T8185" s="1" t="s">
        <v>5525</v>
      </c>
      <c r="U8185" s="1" t="str">
        <f>HYPERLINK("http://ictvonline.org/taxonomy/p/taxonomy-history?taxnode_id=202107624","ICTVonline=202107624")</f>
        <v>ICTVonline=202107624</v>
      </c>
    </row>
    <row r="8186" spans="1:21" x14ac:dyDescent="0.2">
      <c r="A8186" s="3">
        <v>8185</v>
      </c>
      <c r="B8186" s="1" t="s">
        <v>4226</v>
      </c>
      <c r="D8186" s="1" t="s">
        <v>5412</v>
      </c>
      <c r="F8186" s="1" t="s">
        <v>3981</v>
      </c>
      <c r="G8186" s="1" t="s">
        <v>4003</v>
      </c>
      <c r="H8186" s="1" t="s">
        <v>4004</v>
      </c>
      <c r="J8186" s="1" t="s">
        <v>3109</v>
      </c>
      <c r="L8186" s="1" t="s">
        <v>3116</v>
      </c>
      <c r="N8186" s="1" t="s">
        <v>664</v>
      </c>
      <c r="P8186" s="1" t="s">
        <v>5576</v>
      </c>
      <c r="Q8186" s="30" t="s">
        <v>2821</v>
      </c>
      <c r="R8186" s="33" t="s">
        <v>3472</v>
      </c>
      <c r="S8186">
        <v>35</v>
      </c>
      <c r="T8186" s="1" t="s">
        <v>5525</v>
      </c>
      <c r="U8186" s="1" t="str">
        <f>HYPERLINK("http://ictvonline.org/taxonomy/p/taxonomy-history?taxnode_id=202107606","ICTVonline=202107606")</f>
        <v>ICTVonline=202107606</v>
      </c>
    </row>
    <row r="8187" spans="1:21" x14ac:dyDescent="0.2">
      <c r="A8187" s="3">
        <v>8186</v>
      </c>
      <c r="B8187" s="1" t="s">
        <v>4226</v>
      </c>
      <c r="D8187" s="1" t="s">
        <v>5412</v>
      </c>
      <c r="F8187" s="1" t="s">
        <v>3981</v>
      </c>
      <c r="G8187" s="1" t="s">
        <v>4003</v>
      </c>
      <c r="H8187" s="1" t="s">
        <v>4004</v>
      </c>
      <c r="J8187" s="1" t="s">
        <v>3109</v>
      </c>
      <c r="L8187" s="1" t="s">
        <v>3116</v>
      </c>
      <c r="N8187" s="1" t="s">
        <v>664</v>
      </c>
      <c r="P8187" s="1" t="s">
        <v>5577</v>
      </c>
      <c r="Q8187" s="30" t="s">
        <v>2821</v>
      </c>
      <c r="R8187" s="33" t="s">
        <v>3472</v>
      </c>
      <c r="S8187">
        <v>35</v>
      </c>
      <c r="T8187" s="1" t="s">
        <v>5525</v>
      </c>
      <c r="U8187" s="1" t="str">
        <f>HYPERLINK("http://ictvonline.org/taxonomy/p/taxonomy-history?taxnode_id=202107623","ICTVonline=202107623")</f>
        <v>ICTVonline=202107623</v>
      </c>
    </row>
    <row r="8188" spans="1:21" x14ac:dyDescent="0.2">
      <c r="A8188" s="3">
        <v>8187</v>
      </c>
      <c r="B8188" s="1" t="s">
        <v>4226</v>
      </c>
      <c r="D8188" s="1" t="s">
        <v>5412</v>
      </c>
      <c r="F8188" s="1" t="s">
        <v>3981</v>
      </c>
      <c r="G8188" s="1" t="s">
        <v>4003</v>
      </c>
      <c r="H8188" s="1" t="s">
        <v>4004</v>
      </c>
      <c r="J8188" s="1" t="s">
        <v>3109</v>
      </c>
      <c r="L8188" s="1" t="s">
        <v>3116</v>
      </c>
      <c r="N8188" s="1" t="s">
        <v>664</v>
      </c>
      <c r="P8188" s="1" t="s">
        <v>5578</v>
      </c>
      <c r="Q8188" s="30" t="s">
        <v>2821</v>
      </c>
      <c r="R8188" s="33" t="s">
        <v>3472</v>
      </c>
      <c r="S8188">
        <v>35</v>
      </c>
      <c r="T8188" s="1" t="s">
        <v>5525</v>
      </c>
      <c r="U8188" s="1" t="str">
        <f>HYPERLINK("http://ictvonline.org/taxonomy/p/taxonomy-history?taxnode_id=202107627","ICTVonline=202107627")</f>
        <v>ICTVonline=202107627</v>
      </c>
    </row>
    <row r="8189" spans="1:21" x14ac:dyDescent="0.2">
      <c r="A8189" s="3">
        <v>8188</v>
      </c>
      <c r="B8189" s="1" t="s">
        <v>4226</v>
      </c>
      <c r="D8189" s="1" t="s">
        <v>5412</v>
      </c>
      <c r="F8189" s="1" t="s">
        <v>3981</v>
      </c>
      <c r="G8189" s="1" t="s">
        <v>4003</v>
      </c>
      <c r="H8189" s="1" t="s">
        <v>4004</v>
      </c>
      <c r="J8189" s="1" t="s">
        <v>3109</v>
      </c>
      <c r="L8189" s="1" t="s">
        <v>3116</v>
      </c>
      <c r="N8189" s="1" t="s">
        <v>664</v>
      </c>
      <c r="P8189" s="1" t="s">
        <v>5579</v>
      </c>
      <c r="Q8189" s="30" t="s">
        <v>2821</v>
      </c>
      <c r="R8189" s="33" t="s">
        <v>3472</v>
      </c>
      <c r="S8189">
        <v>35</v>
      </c>
      <c r="T8189" s="1" t="s">
        <v>5525</v>
      </c>
      <c r="U8189" s="1" t="str">
        <f>HYPERLINK("http://ictvonline.org/taxonomy/p/taxonomy-history?taxnode_id=202107596","ICTVonline=202107596")</f>
        <v>ICTVonline=202107596</v>
      </c>
    </row>
    <row r="8190" spans="1:21" x14ac:dyDescent="0.2">
      <c r="A8190" s="3">
        <v>8189</v>
      </c>
      <c r="B8190" s="1" t="s">
        <v>4226</v>
      </c>
      <c r="D8190" s="1" t="s">
        <v>5412</v>
      </c>
      <c r="F8190" s="1" t="s">
        <v>3981</v>
      </c>
      <c r="G8190" s="1" t="s">
        <v>4003</v>
      </c>
      <c r="H8190" s="1" t="s">
        <v>4004</v>
      </c>
      <c r="J8190" s="1" t="s">
        <v>3109</v>
      </c>
      <c r="L8190" s="1" t="s">
        <v>3116</v>
      </c>
      <c r="N8190" s="1" t="s">
        <v>664</v>
      </c>
      <c r="P8190" s="1" t="s">
        <v>8294</v>
      </c>
      <c r="Q8190" s="30" t="s">
        <v>2566</v>
      </c>
      <c r="R8190" s="33" t="s">
        <v>3472</v>
      </c>
      <c r="S8190">
        <v>36</v>
      </c>
      <c r="T8190" s="1" t="s">
        <v>8280</v>
      </c>
      <c r="U8190" s="1" t="str">
        <f>HYPERLINK("http://ictvonline.org/taxonomy/p/taxonomy-history?taxnode_id=202109827","ICTVonline=202109827")</f>
        <v>ICTVonline=202109827</v>
      </c>
    </row>
    <row r="8191" spans="1:21" x14ac:dyDescent="0.2">
      <c r="A8191" s="3">
        <v>8190</v>
      </c>
      <c r="B8191" s="1" t="s">
        <v>4226</v>
      </c>
      <c r="D8191" s="1" t="s">
        <v>5412</v>
      </c>
      <c r="F8191" s="1" t="s">
        <v>3981</v>
      </c>
      <c r="G8191" s="1" t="s">
        <v>4003</v>
      </c>
      <c r="H8191" s="1" t="s">
        <v>4004</v>
      </c>
      <c r="J8191" s="1" t="s">
        <v>3109</v>
      </c>
      <c r="L8191" s="1" t="s">
        <v>3116</v>
      </c>
      <c r="N8191" s="1" t="s">
        <v>664</v>
      </c>
      <c r="P8191" s="1" t="s">
        <v>8295</v>
      </c>
      <c r="Q8191" s="30" t="s">
        <v>2566</v>
      </c>
      <c r="R8191" s="33" t="s">
        <v>3472</v>
      </c>
      <c r="S8191">
        <v>36</v>
      </c>
      <c r="T8191" s="1" t="s">
        <v>8290</v>
      </c>
      <c r="U8191" s="1" t="str">
        <f>HYPERLINK("http://ictvonline.org/taxonomy/p/taxonomy-history?taxnode_id=202109624","ICTVonline=202109624")</f>
        <v>ICTVonline=202109624</v>
      </c>
    </row>
    <row r="8192" spans="1:21" x14ac:dyDescent="0.2">
      <c r="A8192" s="3">
        <v>8191</v>
      </c>
      <c r="B8192" s="1" t="s">
        <v>4226</v>
      </c>
      <c r="D8192" s="1" t="s">
        <v>5412</v>
      </c>
      <c r="F8192" s="1" t="s">
        <v>3981</v>
      </c>
      <c r="G8192" s="1" t="s">
        <v>4003</v>
      </c>
      <c r="H8192" s="1" t="s">
        <v>4004</v>
      </c>
      <c r="J8192" s="1" t="s">
        <v>3109</v>
      </c>
      <c r="L8192" s="1" t="s">
        <v>3116</v>
      </c>
      <c r="N8192" s="1" t="s">
        <v>664</v>
      </c>
      <c r="P8192" s="1" t="s">
        <v>5580</v>
      </c>
      <c r="Q8192" s="30" t="s">
        <v>2821</v>
      </c>
      <c r="R8192" s="33" t="s">
        <v>3472</v>
      </c>
      <c r="S8192">
        <v>35</v>
      </c>
      <c r="T8192" s="1" t="s">
        <v>5525</v>
      </c>
      <c r="U8192" s="1" t="str">
        <f>HYPERLINK("http://ictvonline.org/taxonomy/p/taxonomy-history?taxnode_id=202107615","ICTVonline=202107615")</f>
        <v>ICTVonline=202107615</v>
      </c>
    </row>
    <row r="8193" spans="1:21" x14ac:dyDescent="0.2">
      <c r="A8193" s="3">
        <v>8192</v>
      </c>
      <c r="B8193" s="1" t="s">
        <v>4226</v>
      </c>
      <c r="D8193" s="1" t="s">
        <v>5412</v>
      </c>
      <c r="F8193" s="1" t="s">
        <v>3981</v>
      </c>
      <c r="G8193" s="1" t="s">
        <v>4003</v>
      </c>
      <c r="H8193" s="1" t="s">
        <v>4004</v>
      </c>
      <c r="J8193" s="1" t="s">
        <v>3109</v>
      </c>
      <c r="L8193" s="1" t="s">
        <v>3116</v>
      </c>
      <c r="N8193" s="1" t="s">
        <v>664</v>
      </c>
      <c r="P8193" s="1" t="s">
        <v>2881</v>
      </c>
      <c r="Q8193" s="30" t="s">
        <v>2821</v>
      </c>
      <c r="R8193" s="33" t="s">
        <v>3474</v>
      </c>
      <c r="S8193">
        <v>35</v>
      </c>
      <c r="T8193" s="1" t="s">
        <v>5416</v>
      </c>
      <c r="U8193" s="1" t="str">
        <f>HYPERLINK("http://ictvonline.org/taxonomy/p/taxonomy-history?taxnode_id=202100162","ICTVonline=202100162")</f>
        <v>ICTVonline=202100162</v>
      </c>
    </row>
    <row r="8194" spans="1:21" x14ac:dyDescent="0.2">
      <c r="A8194" s="3">
        <v>8193</v>
      </c>
      <c r="B8194" s="1" t="s">
        <v>4226</v>
      </c>
      <c r="D8194" s="1" t="s">
        <v>5412</v>
      </c>
      <c r="F8194" s="1" t="s">
        <v>3981</v>
      </c>
      <c r="G8194" s="1" t="s">
        <v>4003</v>
      </c>
      <c r="H8194" s="1" t="s">
        <v>4004</v>
      </c>
      <c r="J8194" s="1" t="s">
        <v>3109</v>
      </c>
      <c r="L8194" s="1" t="s">
        <v>3116</v>
      </c>
      <c r="N8194" s="1" t="s">
        <v>664</v>
      </c>
      <c r="P8194" s="1" t="s">
        <v>2882</v>
      </c>
      <c r="Q8194" s="30" t="s">
        <v>2821</v>
      </c>
      <c r="R8194" s="33" t="s">
        <v>8665</v>
      </c>
      <c r="S8194">
        <v>36</v>
      </c>
      <c r="T8194" s="1" t="s">
        <v>8661</v>
      </c>
      <c r="U8194" s="1" t="str">
        <f>HYPERLINK("http://ictvonline.org/taxonomy/p/taxonomy-history?taxnode_id=202100163","ICTVonline=202100163")</f>
        <v>ICTVonline=202100163</v>
      </c>
    </row>
    <row r="8195" spans="1:21" x14ac:dyDescent="0.2">
      <c r="A8195" s="3">
        <v>8194</v>
      </c>
      <c r="B8195" s="1" t="s">
        <v>4226</v>
      </c>
      <c r="D8195" s="1" t="s">
        <v>5412</v>
      </c>
      <c r="F8195" s="1" t="s">
        <v>3981</v>
      </c>
      <c r="G8195" s="1" t="s">
        <v>4003</v>
      </c>
      <c r="H8195" s="1" t="s">
        <v>4004</v>
      </c>
      <c r="J8195" s="1" t="s">
        <v>3109</v>
      </c>
      <c r="L8195" s="1" t="s">
        <v>3116</v>
      </c>
      <c r="N8195" s="1" t="s">
        <v>664</v>
      </c>
      <c r="P8195" s="1" t="s">
        <v>5581</v>
      </c>
      <c r="Q8195" s="30" t="s">
        <v>2821</v>
      </c>
      <c r="R8195" s="33" t="s">
        <v>3472</v>
      </c>
      <c r="S8195">
        <v>35</v>
      </c>
      <c r="T8195" s="1" t="s">
        <v>5525</v>
      </c>
      <c r="U8195" s="1" t="str">
        <f>HYPERLINK("http://ictvonline.org/taxonomy/p/taxonomy-history?taxnode_id=202107633","ICTVonline=202107633")</f>
        <v>ICTVonline=202107633</v>
      </c>
    </row>
    <row r="8196" spans="1:21" x14ac:dyDescent="0.2">
      <c r="A8196" s="3">
        <v>8195</v>
      </c>
      <c r="B8196" s="1" t="s">
        <v>4226</v>
      </c>
      <c r="D8196" s="1" t="s">
        <v>5412</v>
      </c>
      <c r="F8196" s="1" t="s">
        <v>3981</v>
      </c>
      <c r="G8196" s="1" t="s">
        <v>4003</v>
      </c>
      <c r="H8196" s="1" t="s">
        <v>4004</v>
      </c>
      <c r="J8196" s="1" t="s">
        <v>3109</v>
      </c>
      <c r="L8196" s="1" t="s">
        <v>3116</v>
      </c>
      <c r="N8196" s="1" t="s">
        <v>664</v>
      </c>
      <c r="P8196" s="1" t="s">
        <v>5582</v>
      </c>
      <c r="Q8196" s="30" t="s">
        <v>2821</v>
      </c>
      <c r="R8196" s="33" t="s">
        <v>3472</v>
      </c>
      <c r="S8196">
        <v>35</v>
      </c>
      <c r="T8196" s="1" t="s">
        <v>5525</v>
      </c>
      <c r="U8196" s="1" t="str">
        <f>HYPERLINK("http://ictvonline.org/taxonomy/p/taxonomy-history?taxnode_id=202107632","ICTVonline=202107632")</f>
        <v>ICTVonline=202107632</v>
      </c>
    </row>
    <row r="8197" spans="1:21" x14ac:dyDescent="0.2">
      <c r="A8197" s="3">
        <v>8196</v>
      </c>
      <c r="B8197" s="1" t="s">
        <v>4226</v>
      </c>
      <c r="D8197" s="1" t="s">
        <v>5412</v>
      </c>
      <c r="F8197" s="1" t="s">
        <v>3981</v>
      </c>
      <c r="G8197" s="1" t="s">
        <v>4003</v>
      </c>
      <c r="H8197" s="1" t="s">
        <v>4004</v>
      </c>
      <c r="J8197" s="1" t="s">
        <v>3109</v>
      </c>
      <c r="L8197" s="1" t="s">
        <v>3116</v>
      </c>
      <c r="N8197" s="1" t="s">
        <v>664</v>
      </c>
      <c r="P8197" s="1" t="s">
        <v>5583</v>
      </c>
      <c r="Q8197" s="30" t="s">
        <v>2821</v>
      </c>
      <c r="R8197" s="33" t="s">
        <v>3472</v>
      </c>
      <c r="S8197">
        <v>35</v>
      </c>
      <c r="T8197" s="1" t="s">
        <v>5525</v>
      </c>
      <c r="U8197" s="1" t="str">
        <f>HYPERLINK("http://ictvonline.org/taxonomy/p/taxonomy-history?taxnode_id=202107583","ICTVonline=202107583")</f>
        <v>ICTVonline=202107583</v>
      </c>
    </row>
    <row r="8198" spans="1:21" x14ac:dyDescent="0.2">
      <c r="A8198" s="3">
        <v>8197</v>
      </c>
      <c r="B8198" s="1" t="s">
        <v>4226</v>
      </c>
      <c r="D8198" s="1" t="s">
        <v>5412</v>
      </c>
      <c r="F8198" s="1" t="s">
        <v>3981</v>
      </c>
      <c r="G8198" s="1" t="s">
        <v>4003</v>
      </c>
      <c r="H8198" s="1" t="s">
        <v>4004</v>
      </c>
      <c r="J8198" s="1" t="s">
        <v>3109</v>
      </c>
      <c r="L8198" s="1" t="s">
        <v>3116</v>
      </c>
      <c r="N8198" s="1" t="s">
        <v>664</v>
      </c>
      <c r="P8198" s="1" t="s">
        <v>2883</v>
      </c>
      <c r="Q8198" s="30" t="s">
        <v>2821</v>
      </c>
      <c r="R8198" s="33" t="s">
        <v>3474</v>
      </c>
      <c r="S8198">
        <v>35</v>
      </c>
      <c r="T8198" s="1" t="s">
        <v>5416</v>
      </c>
      <c r="U8198" s="1" t="str">
        <f>HYPERLINK("http://ictvonline.org/taxonomy/p/taxonomy-history?taxnode_id=202100164","ICTVonline=202100164")</f>
        <v>ICTVonline=202100164</v>
      </c>
    </row>
    <row r="8199" spans="1:21" x14ac:dyDescent="0.2">
      <c r="A8199" s="3">
        <v>8198</v>
      </c>
      <c r="B8199" s="1" t="s">
        <v>4226</v>
      </c>
      <c r="D8199" s="1" t="s">
        <v>5412</v>
      </c>
      <c r="F8199" s="1" t="s">
        <v>3981</v>
      </c>
      <c r="G8199" s="1" t="s">
        <v>4003</v>
      </c>
      <c r="H8199" s="1" t="s">
        <v>4004</v>
      </c>
      <c r="J8199" s="1" t="s">
        <v>3109</v>
      </c>
      <c r="L8199" s="1" t="s">
        <v>3116</v>
      </c>
      <c r="N8199" s="1" t="s">
        <v>664</v>
      </c>
      <c r="P8199" s="1" t="s">
        <v>8296</v>
      </c>
      <c r="Q8199" s="30" t="s">
        <v>2566</v>
      </c>
      <c r="R8199" s="33" t="s">
        <v>3475</v>
      </c>
      <c r="S8199">
        <v>36</v>
      </c>
      <c r="T8199" s="1" t="s">
        <v>8188</v>
      </c>
      <c r="U8199" s="1" t="str">
        <f>HYPERLINK("http://ictvonline.org/taxonomy/p/taxonomy-history?taxnode_id=202107589","ICTVonline=202107589")</f>
        <v>ICTVonline=202107589</v>
      </c>
    </row>
    <row r="8200" spans="1:21" x14ac:dyDescent="0.2">
      <c r="A8200" s="3">
        <v>8199</v>
      </c>
      <c r="B8200" s="1" t="s">
        <v>4226</v>
      </c>
      <c r="D8200" s="1" t="s">
        <v>5412</v>
      </c>
      <c r="F8200" s="1" t="s">
        <v>3981</v>
      </c>
      <c r="G8200" s="1" t="s">
        <v>4003</v>
      </c>
      <c r="H8200" s="1" t="s">
        <v>4004</v>
      </c>
      <c r="J8200" s="1" t="s">
        <v>3109</v>
      </c>
      <c r="L8200" s="1" t="s">
        <v>3116</v>
      </c>
      <c r="N8200" s="1" t="s">
        <v>664</v>
      </c>
      <c r="P8200" s="1" t="s">
        <v>5584</v>
      </c>
      <c r="Q8200" s="30" t="s">
        <v>2821</v>
      </c>
      <c r="R8200" s="33" t="s">
        <v>3472</v>
      </c>
      <c r="S8200">
        <v>35</v>
      </c>
      <c r="T8200" s="1" t="s">
        <v>5525</v>
      </c>
      <c r="U8200" s="1" t="str">
        <f>HYPERLINK("http://ictvonline.org/taxonomy/p/taxonomy-history?taxnode_id=202107612","ICTVonline=202107612")</f>
        <v>ICTVonline=202107612</v>
      </c>
    </row>
    <row r="8201" spans="1:21" x14ac:dyDescent="0.2">
      <c r="A8201" s="3">
        <v>8200</v>
      </c>
      <c r="B8201" s="1" t="s">
        <v>4226</v>
      </c>
      <c r="D8201" s="1" t="s">
        <v>5412</v>
      </c>
      <c r="F8201" s="1" t="s">
        <v>3981</v>
      </c>
      <c r="G8201" s="1" t="s">
        <v>4003</v>
      </c>
      <c r="H8201" s="1" t="s">
        <v>4004</v>
      </c>
      <c r="J8201" s="1" t="s">
        <v>3109</v>
      </c>
      <c r="L8201" s="1" t="s">
        <v>3116</v>
      </c>
      <c r="N8201" s="1" t="s">
        <v>664</v>
      </c>
      <c r="P8201" s="1" t="s">
        <v>5585</v>
      </c>
      <c r="Q8201" s="30" t="s">
        <v>2821</v>
      </c>
      <c r="R8201" s="33" t="s">
        <v>3472</v>
      </c>
      <c r="S8201">
        <v>35</v>
      </c>
      <c r="T8201" s="1" t="s">
        <v>5525</v>
      </c>
      <c r="U8201" s="1" t="str">
        <f>HYPERLINK("http://ictvonline.org/taxonomy/p/taxonomy-history?taxnode_id=202107608","ICTVonline=202107608")</f>
        <v>ICTVonline=202107608</v>
      </c>
    </row>
    <row r="8202" spans="1:21" x14ac:dyDescent="0.2">
      <c r="A8202" s="3">
        <v>8201</v>
      </c>
      <c r="B8202" s="1" t="s">
        <v>4226</v>
      </c>
      <c r="D8202" s="1" t="s">
        <v>5412</v>
      </c>
      <c r="F8202" s="1" t="s">
        <v>3981</v>
      </c>
      <c r="G8202" s="1" t="s">
        <v>4003</v>
      </c>
      <c r="H8202" s="1" t="s">
        <v>4004</v>
      </c>
      <c r="J8202" s="1" t="s">
        <v>3109</v>
      </c>
      <c r="L8202" s="1" t="s">
        <v>3116</v>
      </c>
      <c r="N8202" s="1" t="s">
        <v>664</v>
      </c>
      <c r="P8202" s="1" t="s">
        <v>5586</v>
      </c>
      <c r="Q8202" s="30" t="s">
        <v>2821</v>
      </c>
      <c r="R8202" s="33" t="s">
        <v>3472</v>
      </c>
      <c r="S8202">
        <v>35</v>
      </c>
      <c r="T8202" s="1" t="s">
        <v>5525</v>
      </c>
      <c r="U8202" s="1" t="str">
        <f>HYPERLINK("http://ictvonline.org/taxonomy/p/taxonomy-history?taxnode_id=202107616","ICTVonline=202107616")</f>
        <v>ICTVonline=202107616</v>
      </c>
    </row>
    <row r="8203" spans="1:21" x14ac:dyDescent="0.2">
      <c r="A8203" s="3">
        <v>8202</v>
      </c>
      <c r="B8203" s="1" t="s">
        <v>4226</v>
      </c>
      <c r="D8203" s="1" t="s">
        <v>5412</v>
      </c>
      <c r="F8203" s="1" t="s">
        <v>3981</v>
      </c>
      <c r="G8203" s="1" t="s">
        <v>4003</v>
      </c>
      <c r="H8203" s="1" t="s">
        <v>4004</v>
      </c>
      <c r="J8203" s="1" t="s">
        <v>3109</v>
      </c>
      <c r="L8203" s="1" t="s">
        <v>3116</v>
      </c>
      <c r="N8203" s="1" t="s">
        <v>664</v>
      </c>
      <c r="P8203" s="1" t="s">
        <v>8297</v>
      </c>
      <c r="Q8203" s="30" t="s">
        <v>2566</v>
      </c>
      <c r="R8203" s="33" t="s">
        <v>3475</v>
      </c>
      <c r="S8203">
        <v>36</v>
      </c>
      <c r="T8203" s="1" t="s">
        <v>8188</v>
      </c>
      <c r="U8203" s="1" t="str">
        <f>HYPERLINK("http://ictvonline.org/taxonomy/p/taxonomy-history?taxnode_id=202107598","ICTVonline=202107598")</f>
        <v>ICTVonline=202107598</v>
      </c>
    </row>
    <row r="8204" spans="1:21" x14ac:dyDescent="0.2">
      <c r="A8204" s="3">
        <v>8203</v>
      </c>
      <c r="B8204" s="1" t="s">
        <v>4226</v>
      </c>
      <c r="D8204" s="1" t="s">
        <v>5412</v>
      </c>
      <c r="F8204" s="1" t="s">
        <v>3981</v>
      </c>
      <c r="G8204" s="1" t="s">
        <v>4003</v>
      </c>
      <c r="H8204" s="1" t="s">
        <v>4004</v>
      </c>
      <c r="J8204" s="1" t="s">
        <v>3109</v>
      </c>
      <c r="L8204" s="1" t="s">
        <v>3116</v>
      </c>
      <c r="N8204" s="1" t="s">
        <v>664</v>
      </c>
      <c r="P8204" s="1" t="s">
        <v>5587</v>
      </c>
      <c r="Q8204" s="30" t="s">
        <v>2821</v>
      </c>
      <c r="R8204" s="33" t="s">
        <v>3472</v>
      </c>
      <c r="S8204">
        <v>35</v>
      </c>
      <c r="T8204" s="1" t="s">
        <v>5525</v>
      </c>
      <c r="U8204" s="1" t="str">
        <f>HYPERLINK("http://ictvonline.org/taxonomy/p/taxonomy-history?taxnode_id=202107610","ICTVonline=202107610")</f>
        <v>ICTVonline=202107610</v>
      </c>
    </row>
    <row r="8205" spans="1:21" x14ac:dyDescent="0.2">
      <c r="A8205" s="3">
        <v>8204</v>
      </c>
      <c r="B8205" s="1" t="s">
        <v>4226</v>
      </c>
      <c r="D8205" s="1" t="s">
        <v>5412</v>
      </c>
      <c r="F8205" s="1" t="s">
        <v>3981</v>
      </c>
      <c r="G8205" s="1" t="s">
        <v>4003</v>
      </c>
      <c r="H8205" s="1" t="s">
        <v>4004</v>
      </c>
      <c r="J8205" s="1" t="s">
        <v>3109</v>
      </c>
      <c r="L8205" s="1" t="s">
        <v>3116</v>
      </c>
      <c r="N8205" s="1" t="s">
        <v>664</v>
      </c>
      <c r="P8205" s="1" t="s">
        <v>5588</v>
      </c>
      <c r="Q8205" s="30" t="s">
        <v>2821</v>
      </c>
      <c r="R8205" s="33" t="s">
        <v>3472</v>
      </c>
      <c r="S8205">
        <v>35</v>
      </c>
      <c r="T8205" s="1" t="s">
        <v>5525</v>
      </c>
      <c r="U8205" s="1" t="str">
        <f>HYPERLINK("http://ictvonline.org/taxonomy/p/taxonomy-history?taxnode_id=202107618","ICTVonline=202107618")</f>
        <v>ICTVonline=202107618</v>
      </c>
    </row>
    <row r="8206" spans="1:21" x14ac:dyDescent="0.2">
      <c r="A8206" s="3">
        <v>8205</v>
      </c>
      <c r="B8206" s="1" t="s">
        <v>4226</v>
      </c>
      <c r="D8206" s="1" t="s">
        <v>5412</v>
      </c>
      <c r="F8206" s="1" t="s">
        <v>3981</v>
      </c>
      <c r="G8206" s="1" t="s">
        <v>4003</v>
      </c>
      <c r="H8206" s="1" t="s">
        <v>4004</v>
      </c>
      <c r="J8206" s="1" t="s">
        <v>3109</v>
      </c>
      <c r="L8206" s="1" t="s">
        <v>3116</v>
      </c>
      <c r="N8206" s="1" t="s">
        <v>664</v>
      </c>
      <c r="P8206" s="1" t="s">
        <v>5589</v>
      </c>
      <c r="Q8206" s="30" t="s">
        <v>2821</v>
      </c>
      <c r="R8206" s="33" t="s">
        <v>3472</v>
      </c>
      <c r="S8206">
        <v>35</v>
      </c>
      <c r="T8206" s="1" t="s">
        <v>5525</v>
      </c>
      <c r="U8206" s="1" t="str">
        <f>HYPERLINK("http://ictvonline.org/taxonomy/p/taxonomy-history?taxnode_id=202107590","ICTVonline=202107590")</f>
        <v>ICTVonline=202107590</v>
      </c>
    </row>
    <row r="8207" spans="1:21" x14ac:dyDescent="0.2">
      <c r="A8207" s="3">
        <v>8206</v>
      </c>
      <c r="B8207" s="1" t="s">
        <v>4226</v>
      </c>
      <c r="D8207" s="1" t="s">
        <v>5412</v>
      </c>
      <c r="F8207" s="1" t="s">
        <v>3981</v>
      </c>
      <c r="G8207" s="1" t="s">
        <v>4003</v>
      </c>
      <c r="H8207" s="1" t="s">
        <v>4004</v>
      </c>
      <c r="J8207" s="1" t="s">
        <v>3109</v>
      </c>
      <c r="L8207" s="1" t="s">
        <v>3116</v>
      </c>
      <c r="N8207" s="1" t="s">
        <v>664</v>
      </c>
      <c r="P8207" s="1" t="s">
        <v>5590</v>
      </c>
      <c r="Q8207" s="30" t="s">
        <v>2821</v>
      </c>
      <c r="R8207" s="33" t="s">
        <v>3472</v>
      </c>
      <c r="S8207">
        <v>35</v>
      </c>
      <c r="T8207" s="1" t="s">
        <v>5525</v>
      </c>
      <c r="U8207" s="1" t="str">
        <f>HYPERLINK("http://ictvonline.org/taxonomy/p/taxonomy-history?taxnode_id=202107628","ICTVonline=202107628")</f>
        <v>ICTVonline=202107628</v>
      </c>
    </row>
    <row r="8208" spans="1:21" x14ac:dyDescent="0.2">
      <c r="A8208" s="3">
        <v>8207</v>
      </c>
      <c r="B8208" s="1" t="s">
        <v>4226</v>
      </c>
      <c r="D8208" s="1" t="s">
        <v>5412</v>
      </c>
      <c r="F8208" s="1" t="s">
        <v>3981</v>
      </c>
      <c r="G8208" s="1" t="s">
        <v>4003</v>
      </c>
      <c r="H8208" s="1" t="s">
        <v>4004</v>
      </c>
      <c r="J8208" s="1" t="s">
        <v>3109</v>
      </c>
      <c r="L8208" s="1" t="s">
        <v>3116</v>
      </c>
      <c r="N8208" s="1" t="s">
        <v>664</v>
      </c>
      <c r="P8208" s="1" t="s">
        <v>5591</v>
      </c>
      <c r="Q8208" s="30" t="s">
        <v>2821</v>
      </c>
      <c r="R8208" s="33" t="s">
        <v>3472</v>
      </c>
      <c r="S8208">
        <v>35</v>
      </c>
      <c r="T8208" s="1" t="s">
        <v>5525</v>
      </c>
      <c r="U8208" s="1" t="str">
        <f>HYPERLINK("http://ictvonline.org/taxonomy/p/taxonomy-history?taxnode_id=202107601","ICTVonline=202107601")</f>
        <v>ICTVonline=202107601</v>
      </c>
    </row>
    <row r="8209" spans="1:21" x14ac:dyDescent="0.2">
      <c r="A8209" s="3">
        <v>8208</v>
      </c>
      <c r="B8209" s="1" t="s">
        <v>4226</v>
      </c>
      <c r="D8209" s="1" t="s">
        <v>5412</v>
      </c>
      <c r="F8209" s="1" t="s">
        <v>3981</v>
      </c>
      <c r="G8209" s="1" t="s">
        <v>4003</v>
      </c>
      <c r="H8209" s="1" t="s">
        <v>4004</v>
      </c>
      <c r="J8209" s="1" t="s">
        <v>3109</v>
      </c>
      <c r="L8209" s="1" t="s">
        <v>3116</v>
      </c>
      <c r="N8209" s="1" t="s">
        <v>664</v>
      </c>
      <c r="P8209" s="1" t="s">
        <v>5592</v>
      </c>
      <c r="Q8209" s="30" t="s">
        <v>2821</v>
      </c>
      <c r="R8209" s="33" t="s">
        <v>3472</v>
      </c>
      <c r="S8209">
        <v>35</v>
      </c>
      <c r="T8209" s="1" t="s">
        <v>5525</v>
      </c>
      <c r="U8209" s="1" t="str">
        <f>HYPERLINK("http://ictvonline.org/taxonomy/p/taxonomy-history?taxnode_id=202107603","ICTVonline=202107603")</f>
        <v>ICTVonline=202107603</v>
      </c>
    </row>
    <row r="8210" spans="1:21" x14ac:dyDescent="0.2">
      <c r="A8210" s="3">
        <v>8209</v>
      </c>
      <c r="B8210" s="1" t="s">
        <v>4226</v>
      </c>
      <c r="D8210" s="1" t="s">
        <v>5412</v>
      </c>
      <c r="F8210" s="1" t="s">
        <v>3981</v>
      </c>
      <c r="G8210" s="1" t="s">
        <v>4003</v>
      </c>
      <c r="H8210" s="1" t="s">
        <v>4004</v>
      </c>
      <c r="J8210" s="1" t="s">
        <v>3109</v>
      </c>
      <c r="L8210" s="1" t="s">
        <v>3116</v>
      </c>
      <c r="N8210" s="1" t="s">
        <v>664</v>
      </c>
      <c r="P8210" s="1" t="s">
        <v>5593</v>
      </c>
      <c r="Q8210" s="30" t="s">
        <v>2821</v>
      </c>
      <c r="R8210" s="33" t="s">
        <v>3472</v>
      </c>
      <c r="S8210">
        <v>35</v>
      </c>
      <c r="T8210" s="1" t="s">
        <v>5525</v>
      </c>
      <c r="U8210" s="1" t="str">
        <f>HYPERLINK("http://ictvonline.org/taxonomy/p/taxonomy-history?taxnode_id=202107604","ICTVonline=202107604")</f>
        <v>ICTVonline=202107604</v>
      </c>
    </row>
    <row r="8211" spans="1:21" x14ac:dyDescent="0.2">
      <c r="A8211" s="3">
        <v>8210</v>
      </c>
      <c r="B8211" s="1" t="s">
        <v>4226</v>
      </c>
      <c r="D8211" s="1" t="s">
        <v>5412</v>
      </c>
      <c r="F8211" s="1" t="s">
        <v>3981</v>
      </c>
      <c r="G8211" s="1" t="s">
        <v>4003</v>
      </c>
      <c r="H8211" s="1" t="s">
        <v>4004</v>
      </c>
      <c r="J8211" s="1" t="s">
        <v>3109</v>
      </c>
      <c r="L8211" s="1" t="s">
        <v>3116</v>
      </c>
      <c r="N8211" s="1" t="s">
        <v>664</v>
      </c>
      <c r="P8211" s="1" t="s">
        <v>5594</v>
      </c>
      <c r="Q8211" s="30" t="s">
        <v>2821</v>
      </c>
      <c r="R8211" s="33" t="s">
        <v>3472</v>
      </c>
      <c r="S8211">
        <v>35</v>
      </c>
      <c r="T8211" s="1" t="s">
        <v>5525</v>
      </c>
      <c r="U8211" s="1" t="str">
        <f>HYPERLINK("http://ictvonline.org/taxonomy/p/taxonomy-history?taxnode_id=202107617","ICTVonline=202107617")</f>
        <v>ICTVonline=202107617</v>
      </c>
    </row>
    <row r="8212" spans="1:21" x14ac:dyDescent="0.2">
      <c r="A8212" s="3">
        <v>8211</v>
      </c>
      <c r="B8212" s="1" t="s">
        <v>4226</v>
      </c>
      <c r="D8212" s="1" t="s">
        <v>5412</v>
      </c>
      <c r="F8212" s="1" t="s">
        <v>3981</v>
      </c>
      <c r="G8212" s="1" t="s">
        <v>4003</v>
      </c>
      <c r="H8212" s="1" t="s">
        <v>4004</v>
      </c>
      <c r="J8212" s="1" t="s">
        <v>3109</v>
      </c>
      <c r="L8212" s="1" t="s">
        <v>3116</v>
      </c>
      <c r="N8212" s="1" t="s">
        <v>4039</v>
      </c>
      <c r="P8212" s="1" t="s">
        <v>8298</v>
      </c>
      <c r="Q8212" s="30" t="s">
        <v>2566</v>
      </c>
      <c r="R8212" s="33" t="s">
        <v>3472</v>
      </c>
      <c r="S8212">
        <v>36</v>
      </c>
      <c r="T8212" s="1" t="s">
        <v>8280</v>
      </c>
      <c r="U8212" s="1" t="str">
        <f>HYPERLINK("http://ictvonline.org/taxonomy/p/taxonomy-history?taxnode_id=202109829","ICTVonline=202109829")</f>
        <v>ICTVonline=202109829</v>
      </c>
    </row>
    <row r="8213" spans="1:21" x14ac:dyDescent="0.2">
      <c r="A8213" s="3">
        <v>8212</v>
      </c>
      <c r="B8213" s="1" t="s">
        <v>4226</v>
      </c>
      <c r="D8213" s="1" t="s">
        <v>5412</v>
      </c>
      <c r="F8213" s="1" t="s">
        <v>3981</v>
      </c>
      <c r="G8213" s="1" t="s">
        <v>4003</v>
      </c>
      <c r="H8213" s="1" t="s">
        <v>4004</v>
      </c>
      <c r="J8213" s="1" t="s">
        <v>3109</v>
      </c>
      <c r="L8213" s="1" t="s">
        <v>3116</v>
      </c>
      <c r="N8213" s="1" t="s">
        <v>4039</v>
      </c>
      <c r="P8213" s="1" t="s">
        <v>4040</v>
      </c>
      <c r="Q8213" s="30" t="s">
        <v>2566</v>
      </c>
      <c r="R8213" s="33" t="s">
        <v>8665</v>
      </c>
      <c r="S8213">
        <v>36</v>
      </c>
      <c r="T8213" s="1" t="s">
        <v>8661</v>
      </c>
      <c r="U8213" s="1" t="str">
        <f>HYPERLINK("http://ictvonline.org/taxonomy/p/taxonomy-history?taxnode_id=202106236","ICTVonline=202106236")</f>
        <v>ICTVonline=202106236</v>
      </c>
    </row>
    <row r="8214" spans="1:21" x14ac:dyDescent="0.2">
      <c r="A8214" s="3">
        <v>8213</v>
      </c>
      <c r="B8214" s="1" t="s">
        <v>4226</v>
      </c>
      <c r="D8214" s="1" t="s">
        <v>5412</v>
      </c>
      <c r="F8214" s="1" t="s">
        <v>3981</v>
      </c>
      <c r="G8214" s="1" t="s">
        <v>4003</v>
      </c>
      <c r="H8214" s="1" t="s">
        <v>4004</v>
      </c>
      <c r="J8214" s="1" t="s">
        <v>3109</v>
      </c>
      <c r="L8214" s="1" t="s">
        <v>3116</v>
      </c>
      <c r="N8214" s="1" t="s">
        <v>5595</v>
      </c>
      <c r="P8214" s="1" t="s">
        <v>5596</v>
      </c>
      <c r="Q8214" s="30" t="s">
        <v>2821</v>
      </c>
      <c r="R8214" s="33" t="s">
        <v>8665</v>
      </c>
      <c r="S8214">
        <v>36</v>
      </c>
      <c r="T8214" s="1" t="s">
        <v>8661</v>
      </c>
      <c r="U8214" s="1" t="str">
        <f>HYPERLINK("http://ictvonline.org/taxonomy/p/taxonomy-history?taxnode_id=202107648","ICTVonline=202107648")</f>
        <v>ICTVonline=202107648</v>
      </c>
    </row>
    <row r="8215" spans="1:21" x14ac:dyDescent="0.2">
      <c r="A8215" s="3">
        <v>8214</v>
      </c>
      <c r="B8215" s="1" t="s">
        <v>4226</v>
      </c>
      <c r="D8215" s="1" t="s">
        <v>5412</v>
      </c>
      <c r="F8215" s="1" t="s">
        <v>3981</v>
      </c>
      <c r="G8215" s="1" t="s">
        <v>4003</v>
      </c>
      <c r="H8215" s="1" t="s">
        <v>4004</v>
      </c>
      <c r="J8215" s="1" t="s">
        <v>3109</v>
      </c>
      <c r="L8215" s="1" t="s">
        <v>3116</v>
      </c>
      <c r="N8215" s="1" t="s">
        <v>5595</v>
      </c>
      <c r="P8215" s="1" t="s">
        <v>5597</v>
      </c>
      <c r="Q8215" s="30" t="s">
        <v>2821</v>
      </c>
      <c r="R8215" s="33" t="s">
        <v>3472</v>
      </c>
      <c r="S8215">
        <v>35</v>
      </c>
      <c r="T8215" s="1" t="s">
        <v>5525</v>
      </c>
      <c r="U8215" s="1" t="str">
        <f>HYPERLINK("http://ictvonline.org/taxonomy/p/taxonomy-history?taxnode_id=202107649","ICTVonline=202107649")</f>
        <v>ICTVonline=202107649</v>
      </c>
    </row>
    <row r="8216" spans="1:21" x14ac:dyDescent="0.2">
      <c r="A8216" s="3">
        <v>8215</v>
      </c>
      <c r="B8216" s="1" t="s">
        <v>4226</v>
      </c>
      <c r="D8216" s="1" t="s">
        <v>5412</v>
      </c>
      <c r="F8216" s="1" t="s">
        <v>3981</v>
      </c>
      <c r="G8216" s="1" t="s">
        <v>4003</v>
      </c>
      <c r="H8216" s="1" t="s">
        <v>4004</v>
      </c>
      <c r="J8216" s="1" t="s">
        <v>3109</v>
      </c>
      <c r="L8216" s="1" t="s">
        <v>3116</v>
      </c>
      <c r="N8216" s="1" t="s">
        <v>5595</v>
      </c>
      <c r="P8216" s="1" t="s">
        <v>8299</v>
      </c>
      <c r="Q8216" s="30" t="s">
        <v>2566</v>
      </c>
      <c r="R8216" s="33" t="s">
        <v>3472</v>
      </c>
      <c r="S8216">
        <v>36</v>
      </c>
      <c r="T8216" s="1" t="s">
        <v>8280</v>
      </c>
      <c r="U8216" s="1" t="str">
        <f>HYPERLINK("http://ictvonline.org/taxonomy/p/taxonomy-history?taxnode_id=202109836","ICTVonline=202109836")</f>
        <v>ICTVonline=202109836</v>
      </c>
    </row>
    <row r="8217" spans="1:21" x14ac:dyDescent="0.2">
      <c r="A8217" s="3">
        <v>8216</v>
      </c>
      <c r="B8217" s="1" t="s">
        <v>4226</v>
      </c>
      <c r="D8217" s="1" t="s">
        <v>5412</v>
      </c>
      <c r="F8217" s="1" t="s">
        <v>3981</v>
      </c>
      <c r="G8217" s="1" t="s">
        <v>4003</v>
      </c>
      <c r="H8217" s="1" t="s">
        <v>4004</v>
      </c>
      <c r="J8217" s="1" t="s">
        <v>3109</v>
      </c>
      <c r="L8217" s="1" t="s">
        <v>3116</v>
      </c>
      <c r="N8217" s="1" t="s">
        <v>5595</v>
      </c>
      <c r="P8217" s="1" t="s">
        <v>8300</v>
      </c>
      <c r="Q8217" s="30" t="s">
        <v>2566</v>
      </c>
      <c r="R8217" s="33" t="s">
        <v>3472</v>
      </c>
      <c r="S8217">
        <v>36</v>
      </c>
      <c r="T8217" s="1" t="s">
        <v>8280</v>
      </c>
      <c r="U8217" s="1" t="str">
        <f>HYPERLINK("http://ictvonline.org/taxonomy/p/taxonomy-history?taxnode_id=202109837","ICTVonline=202109837")</f>
        <v>ICTVonline=202109837</v>
      </c>
    </row>
    <row r="8218" spans="1:21" x14ac:dyDescent="0.2">
      <c r="A8218" s="3">
        <v>8217</v>
      </c>
      <c r="B8218" s="1" t="s">
        <v>4226</v>
      </c>
      <c r="D8218" s="1" t="s">
        <v>5412</v>
      </c>
      <c r="F8218" s="1" t="s">
        <v>3981</v>
      </c>
      <c r="G8218" s="1" t="s">
        <v>4003</v>
      </c>
      <c r="H8218" s="1" t="s">
        <v>4004</v>
      </c>
      <c r="J8218" s="1" t="s">
        <v>3109</v>
      </c>
      <c r="L8218" s="1" t="s">
        <v>3116</v>
      </c>
      <c r="N8218" s="1" t="s">
        <v>8301</v>
      </c>
      <c r="P8218" s="1" t="s">
        <v>8302</v>
      </c>
      <c r="Q8218" s="30" t="s">
        <v>2566</v>
      </c>
      <c r="R8218" s="33" t="s">
        <v>3472</v>
      </c>
      <c r="S8218">
        <v>36</v>
      </c>
      <c r="T8218" s="1" t="s">
        <v>8280</v>
      </c>
      <c r="U8218" s="1" t="str">
        <f>HYPERLINK("http://ictvonline.org/taxonomy/p/taxonomy-history?taxnode_id=202109842","ICTVonline=202109842")</f>
        <v>ICTVonline=202109842</v>
      </c>
    </row>
    <row r="8219" spans="1:21" x14ac:dyDescent="0.2">
      <c r="A8219" s="3">
        <v>8218</v>
      </c>
      <c r="B8219" s="1" t="s">
        <v>4226</v>
      </c>
      <c r="D8219" s="1" t="s">
        <v>5412</v>
      </c>
      <c r="F8219" s="1" t="s">
        <v>3981</v>
      </c>
      <c r="G8219" s="1" t="s">
        <v>4003</v>
      </c>
      <c r="H8219" s="1" t="s">
        <v>4004</v>
      </c>
      <c r="J8219" s="1" t="s">
        <v>3109</v>
      </c>
      <c r="L8219" s="1" t="s">
        <v>3116</v>
      </c>
      <c r="N8219" s="1" t="s">
        <v>993</v>
      </c>
      <c r="P8219" s="1" t="s">
        <v>3090</v>
      </c>
      <c r="Q8219" s="30" t="s">
        <v>2566</v>
      </c>
      <c r="R8219" s="33" t="s">
        <v>3474</v>
      </c>
      <c r="S8219">
        <v>35</v>
      </c>
      <c r="T8219" s="1" t="s">
        <v>5416</v>
      </c>
      <c r="U8219" s="1" t="str">
        <f>HYPERLINK("http://ictvonline.org/taxonomy/p/taxonomy-history?taxnode_id=202100169","ICTVonline=202100169")</f>
        <v>ICTVonline=202100169</v>
      </c>
    </row>
    <row r="8220" spans="1:21" x14ac:dyDescent="0.2">
      <c r="A8220" s="3">
        <v>8219</v>
      </c>
      <c r="B8220" s="1" t="s">
        <v>4226</v>
      </c>
      <c r="D8220" s="1" t="s">
        <v>5412</v>
      </c>
      <c r="F8220" s="1" t="s">
        <v>3981</v>
      </c>
      <c r="G8220" s="1" t="s">
        <v>4003</v>
      </c>
      <c r="H8220" s="1" t="s">
        <v>4004</v>
      </c>
      <c r="J8220" s="1" t="s">
        <v>3109</v>
      </c>
      <c r="L8220" s="1" t="s">
        <v>3116</v>
      </c>
      <c r="N8220" s="1" t="s">
        <v>993</v>
      </c>
      <c r="P8220" s="1" t="s">
        <v>8303</v>
      </c>
      <c r="Q8220" s="30" t="s">
        <v>2566</v>
      </c>
      <c r="R8220" s="33" t="s">
        <v>3472</v>
      </c>
      <c r="S8220">
        <v>36</v>
      </c>
      <c r="T8220" s="1" t="s">
        <v>8280</v>
      </c>
      <c r="U8220" s="1" t="str">
        <f>HYPERLINK("http://ictvonline.org/taxonomy/p/taxonomy-history?taxnode_id=202109830","ICTVonline=202109830")</f>
        <v>ICTVonline=202109830</v>
      </c>
    </row>
    <row r="8221" spans="1:21" x14ac:dyDescent="0.2">
      <c r="A8221" s="3">
        <v>8220</v>
      </c>
      <c r="B8221" s="1" t="s">
        <v>4226</v>
      </c>
      <c r="D8221" s="1" t="s">
        <v>5412</v>
      </c>
      <c r="F8221" s="1" t="s">
        <v>3981</v>
      </c>
      <c r="G8221" s="1" t="s">
        <v>4003</v>
      </c>
      <c r="H8221" s="1" t="s">
        <v>4004</v>
      </c>
      <c r="J8221" s="1" t="s">
        <v>3109</v>
      </c>
      <c r="L8221" s="1" t="s">
        <v>3116</v>
      </c>
      <c r="N8221" s="1" t="s">
        <v>993</v>
      </c>
      <c r="P8221" s="1" t="s">
        <v>3091</v>
      </c>
      <c r="Q8221" s="30" t="s">
        <v>2566</v>
      </c>
      <c r="R8221" s="33" t="s">
        <v>3474</v>
      </c>
      <c r="S8221">
        <v>35</v>
      </c>
      <c r="T8221" s="1" t="s">
        <v>5416</v>
      </c>
      <c r="U8221" s="1" t="str">
        <f>HYPERLINK("http://ictvonline.org/taxonomy/p/taxonomy-history?taxnode_id=202100170","ICTVonline=202100170")</f>
        <v>ICTVonline=202100170</v>
      </c>
    </row>
    <row r="8222" spans="1:21" x14ac:dyDescent="0.2">
      <c r="A8222" s="3">
        <v>8221</v>
      </c>
      <c r="B8222" s="1" t="s">
        <v>4226</v>
      </c>
      <c r="D8222" s="1" t="s">
        <v>5412</v>
      </c>
      <c r="F8222" s="1" t="s">
        <v>3981</v>
      </c>
      <c r="G8222" s="1" t="s">
        <v>4003</v>
      </c>
      <c r="H8222" s="1" t="s">
        <v>4004</v>
      </c>
      <c r="J8222" s="1" t="s">
        <v>3109</v>
      </c>
      <c r="L8222" s="1" t="s">
        <v>3116</v>
      </c>
      <c r="N8222" s="1" t="s">
        <v>993</v>
      </c>
      <c r="P8222" s="1" t="s">
        <v>3092</v>
      </c>
      <c r="Q8222" s="30" t="s">
        <v>2566</v>
      </c>
      <c r="R8222" s="33" t="s">
        <v>3474</v>
      </c>
      <c r="S8222">
        <v>35</v>
      </c>
      <c r="T8222" s="1" t="s">
        <v>5416</v>
      </c>
      <c r="U8222" s="1" t="str">
        <f>HYPERLINK("http://ictvonline.org/taxonomy/p/taxonomy-history?taxnode_id=202100171","ICTVonline=202100171")</f>
        <v>ICTVonline=202100171</v>
      </c>
    </row>
    <row r="8223" spans="1:21" x14ac:dyDescent="0.2">
      <c r="A8223" s="3">
        <v>8222</v>
      </c>
      <c r="B8223" s="1" t="s">
        <v>4226</v>
      </c>
      <c r="D8223" s="1" t="s">
        <v>5412</v>
      </c>
      <c r="F8223" s="1" t="s">
        <v>3981</v>
      </c>
      <c r="G8223" s="1" t="s">
        <v>4003</v>
      </c>
      <c r="H8223" s="1" t="s">
        <v>4004</v>
      </c>
      <c r="J8223" s="1" t="s">
        <v>3109</v>
      </c>
      <c r="L8223" s="1" t="s">
        <v>3116</v>
      </c>
      <c r="N8223" s="1" t="s">
        <v>993</v>
      </c>
      <c r="P8223" s="1" t="s">
        <v>5598</v>
      </c>
      <c r="Q8223" s="30" t="s">
        <v>2821</v>
      </c>
      <c r="R8223" s="33" t="s">
        <v>3472</v>
      </c>
      <c r="S8223">
        <v>35</v>
      </c>
      <c r="T8223" s="1" t="s">
        <v>5525</v>
      </c>
      <c r="U8223" s="1" t="str">
        <f>HYPERLINK("http://ictvonline.org/taxonomy/p/taxonomy-history?taxnode_id=202107650","ICTVonline=202107650")</f>
        <v>ICTVonline=202107650</v>
      </c>
    </row>
    <row r="8224" spans="1:21" x14ac:dyDescent="0.2">
      <c r="A8224" s="3">
        <v>8223</v>
      </c>
      <c r="B8224" s="1" t="s">
        <v>4226</v>
      </c>
      <c r="D8224" s="1" t="s">
        <v>5412</v>
      </c>
      <c r="F8224" s="1" t="s">
        <v>3981</v>
      </c>
      <c r="G8224" s="1" t="s">
        <v>4003</v>
      </c>
      <c r="H8224" s="1" t="s">
        <v>4004</v>
      </c>
      <c r="J8224" s="1" t="s">
        <v>3109</v>
      </c>
      <c r="L8224" s="1" t="s">
        <v>3116</v>
      </c>
      <c r="N8224" s="1" t="s">
        <v>993</v>
      </c>
      <c r="P8224" s="1" t="s">
        <v>3093</v>
      </c>
      <c r="Q8224" s="30" t="s">
        <v>2566</v>
      </c>
      <c r="R8224" s="33" t="s">
        <v>3474</v>
      </c>
      <c r="S8224">
        <v>35</v>
      </c>
      <c r="T8224" s="1" t="s">
        <v>5416</v>
      </c>
      <c r="U8224" s="1" t="str">
        <f>HYPERLINK("http://ictvonline.org/taxonomy/p/taxonomy-history?taxnode_id=202100172","ICTVonline=202100172")</f>
        <v>ICTVonline=202100172</v>
      </c>
    </row>
    <row r="8225" spans="1:21" x14ac:dyDescent="0.2">
      <c r="A8225" s="3">
        <v>8224</v>
      </c>
      <c r="B8225" s="1" t="s">
        <v>4226</v>
      </c>
      <c r="D8225" s="1" t="s">
        <v>5412</v>
      </c>
      <c r="F8225" s="1" t="s">
        <v>3981</v>
      </c>
      <c r="G8225" s="1" t="s">
        <v>4003</v>
      </c>
      <c r="H8225" s="1" t="s">
        <v>4004</v>
      </c>
      <c r="J8225" s="1" t="s">
        <v>3109</v>
      </c>
      <c r="L8225" s="1" t="s">
        <v>3116</v>
      </c>
      <c r="N8225" s="1" t="s">
        <v>993</v>
      </c>
      <c r="P8225" s="1" t="s">
        <v>3094</v>
      </c>
      <c r="Q8225" s="30" t="s">
        <v>2566</v>
      </c>
      <c r="R8225" s="33" t="s">
        <v>3474</v>
      </c>
      <c r="S8225">
        <v>35</v>
      </c>
      <c r="T8225" s="1" t="s">
        <v>5416</v>
      </c>
      <c r="U8225" s="1" t="str">
        <f>HYPERLINK("http://ictvonline.org/taxonomy/p/taxonomy-history?taxnode_id=202100173","ICTVonline=202100173")</f>
        <v>ICTVonline=202100173</v>
      </c>
    </row>
    <row r="8226" spans="1:21" x14ac:dyDescent="0.2">
      <c r="A8226" s="3">
        <v>8225</v>
      </c>
      <c r="B8226" s="1" t="s">
        <v>4226</v>
      </c>
      <c r="D8226" s="1" t="s">
        <v>5412</v>
      </c>
      <c r="F8226" s="1" t="s">
        <v>3981</v>
      </c>
      <c r="G8226" s="1" t="s">
        <v>4003</v>
      </c>
      <c r="H8226" s="1" t="s">
        <v>4004</v>
      </c>
      <c r="J8226" s="1" t="s">
        <v>3109</v>
      </c>
      <c r="L8226" s="1" t="s">
        <v>3116</v>
      </c>
      <c r="N8226" s="1" t="s">
        <v>993</v>
      </c>
      <c r="P8226" s="1" t="s">
        <v>3095</v>
      </c>
      <c r="Q8226" s="30" t="s">
        <v>2566</v>
      </c>
      <c r="R8226" s="33" t="s">
        <v>8665</v>
      </c>
      <c r="S8226">
        <v>36</v>
      </c>
      <c r="T8226" s="1" t="s">
        <v>8661</v>
      </c>
      <c r="U8226" s="1" t="str">
        <f>HYPERLINK("http://ictvonline.org/taxonomy/p/taxonomy-history?taxnode_id=202100174","ICTVonline=202100174")</f>
        <v>ICTVonline=202100174</v>
      </c>
    </row>
    <row r="8227" spans="1:21" x14ac:dyDescent="0.2">
      <c r="A8227" s="3">
        <v>8226</v>
      </c>
      <c r="B8227" s="1" t="s">
        <v>4226</v>
      </c>
      <c r="D8227" s="1" t="s">
        <v>5412</v>
      </c>
      <c r="F8227" s="1" t="s">
        <v>3981</v>
      </c>
      <c r="G8227" s="1" t="s">
        <v>4003</v>
      </c>
      <c r="H8227" s="1" t="s">
        <v>4004</v>
      </c>
      <c r="J8227" s="1" t="s">
        <v>3109</v>
      </c>
      <c r="L8227" s="1" t="s">
        <v>3116</v>
      </c>
      <c r="N8227" s="1" t="s">
        <v>993</v>
      </c>
      <c r="P8227" s="1" t="s">
        <v>3096</v>
      </c>
      <c r="Q8227" s="30" t="s">
        <v>2566</v>
      </c>
      <c r="R8227" s="33" t="s">
        <v>3474</v>
      </c>
      <c r="S8227">
        <v>35</v>
      </c>
      <c r="T8227" s="1" t="s">
        <v>5416</v>
      </c>
      <c r="U8227" s="1" t="str">
        <f>HYPERLINK("http://ictvonline.org/taxonomy/p/taxonomy-history?taxnode_id=202100175","ICTVonline=202100175")</f>
        <v>ICTVonline=202100175</v>
      </c>
    </row>
    <row r="8228" spans="1:21" x14ac:dyDescent="0.2">
      <c r="A8228" s="3">
        <v>8227</v>
      </c>
      <c r="B8228" s="1" t="s">
        <v>4226</v>
      </c>
      <c r="D8228" s="1" t="s">
        <v>5412</v>
      </c>
      <c r="F8228" s="1" t="s">
        <v>3981</v>
      </c>
      <c r="G8228" s="1" t="s">
        <v>4003</v>
      </c>
      <c r="H8228" s="1" t="s">
        <v>4004</v>
      </c>
      <c r="J8228" s="1" t="s">
        <v>3109</v>
      </c>
      <c r="L8228" s="1" t="s">
        <v>3116</v>
      </c>
      <c r="N8228" s="1" t="s">
        <v>5599</v>
      </c>
      <c r="P8228" s="1" t="s">
        <v>5600</v>
      </c>
      <c r="Q8228" s="30" t="s">
        <v>2821</v>
      </c>
      <c r="R8228" s="33" t="s">
        <v>3472</v>
      </c>
      <c r="S8228">
        <v>35</v>
      </c>
      <c r="T8228" s="1" t="s">
        <v>5525</v>
      </c>
      <c r="U8228" s="1" t="str">
        <f>HYPERLINK("http://ictvonline.org/taxonomy/p/taxonomy-history?taxnode_id=202107569","ICTVonline=202107569")</f>
        <v>ICTVonline=202107569</v>
      </c>
    </row>
    <row r="8229" spans="1:21" x14ac:dyDescent="0.2">
      <c r="A8229" s="3">
        <v>8228</v>
      </c>
      <c r="B8229" s="1" t="s">
        <v>4226</v>
      </c>
      <c r="D8229" s="1" t="s">
        <v>5412</v>
      </c>
      <c r="F8229" s="1" t="s">
        <v>3981</v>
      </c>
      <c r="G8229" s="1" t="s">
        <v>4003</v>
      </c>
      <c r="H8229" s="1" t="s">
        <v>4004</v>
      </c>
      <c r="J8229" s="1" t="s">
        <v>3109</v>
      </c>
      <c r="L8229" s="1" t="s">
        <v>3116</v>
      </c>
      <c r="N8229" s="1" t="s">
        <v>5599</v>
      </c>
      <c r="P8229" s="1" t="s">
        <v>5601</v>
      </c>
      <c r="Q8229" s="30" t="s">
        <v>2821</v>
      </c>
      <c r="R8229" s="33" t="s">
        <v>3472</v>
      </c>
      <c r="S8229">
        <v>35</v>
      </c>
      <c r="T8229" s="1" t="s">
        <v>5525</v>
      </c>
      <c r="U8229" s="1" t="str">
        <f>HYPERLINK("http://ictvonline.org/taxonomy/p/taxonomy-history?taxnode_id=202107581","ICTVonline=202107581")</f>
        <v>ICTVonline=202107581</v>
      </c>
    </row>
    <row r="8230" spans="1:21" x14ac:dyDescent="0.2">
      <c r="A8230" s="3">
        <v>8229</v>
      </c>
      <c r="B8230" s="1" t="s">
        <v>4226</v>
      </c>
      <c r="D8230" s="1" t="s">
        <v>5412</v>
      </c>
      <c r="F8230" s="1" t="s">
        <v>3981</v>
      </c>
      <c r="G8230" s="1" t="s">
        <v>4003</v>
      </c>
      <c r="H8230" s="1" t="s">
        <v>4004</v>
      </c>
      <c r="J8230" s="1" t="s">
        <v>3109</v>
      </c>
      <c r="L8230" s="1" t="s">
        <v>3116</v>
      </c>
      <c r="N8230" s="1" t="s">
        <v>5599</v>
      </c>
      <c r="P8230" s="1" t="s">
        <v>5602</v>
      </c>
      <c r="Q8230" s="30" t="s">
        <v>2821</v>
      </c>
      <c r="R8230" s="33" t="s">
        <v>3472</v>
      </c>
      <c r="S8230">
        <v>35</v>
      </c>
      <c r="T8230" s="1" t="s">
        <v>5525</v>
      </c>
      <c r="U8230" s="1" t="str">
        <f>HYPERLINK("http://ictvonline.org/taxonomy/p/taxonomy-history?taxnode_id=202107575","ICTVonline=202107575")</f>
        <v>ICTVonline=202107575</v>
      </c>
    </row>
    <row r="8231" spans="1:21" x14ac:dyDescent="0.2">
      <c r="A8231" s="3">
        <v>8230</v>
      </c>
      <c r="B8231" s="1" t="s">
        <v>4226</v>
      </c>
      <c r="D8231" s="1" t="s">
        <v>5412</v>
      </c>
      <c r="F8231" s="1" t="s">
        <v>3981</v>
      </c>
      <c r="G8231" s="1" t="s">
        <v>4003</v>
      </c>
      <c r="H8231" s="1" t="s">
        <v>4004</v>
      </c>
      <c r="J8231" s="1" t="s">
        <v>3109</v>
      </c>
      <c r="L8231" s="1" t="s">
        <v>3116</v>
      </c>
      <c r="N8231" s="1" t="s">
        <v>5599</v>
      </c>
      <c r="P8231" s="1" t="s">
        <v>5603</v>
      </c>
      <c r="Q8231" s="30" t="s">
        <v>2566</v>
      </c>
      <c r="R8231" s="33" t="s">
        <v>8662</v>
      </c>
      <c r="S8231">
        <v>35</v>
      </c>
      <c r="T8231" s="1" t="s">
        <v>5525</v>
      </c>
      <c r="U8231" s="1" t="str">
        <f>HYPERLINK("http://ictvonline.org/taxonomy/p/taxonomy-history?taxnode_id=202106613","ICTVonline=202106613")</f>
        <v>ICTVonline=202106613</v>
      </c>
    </row>
    <row r="8232" spans="1:21" x14ac:dyDescent="0.2">
      <c r="A8232" s="3">
        <v>8231</v>
      </c>
      <c r="B8232" s="1" t="s">
        <v>4226</v>
      </c>
      <c r="D8232" s="1" t="s">
        <v>5412</v>
      </c>
      <c r="F8232" s="1" t="s">
        <v>3981</v>
      </c>
      <c r="G8232" s="1" t="s">
        <v>4003</v>
      </c>
      <c r="H8232" s="1" t="s">
        <v>4004</v>
      </c>
      <c r="J8232" s="1" t="s">
        <v>3109</v>
      </c>
      <c r="L8232" s="1" t="s">
        <v>3116</v>
      </c>
      <c r="N8232" s="1" t="s">
        <v>5599</v>
      </c>
      <c r="P8232" s="1" t="s">
        <v>5604</v>
      </c>
      <c r="Q8232" s="30" t="s">
        <v>2566</v>
      </c>
      <c r="R8232" s="33" t="s">
        <v>3473</v>
      </c>
      <c r="S8232">
        <v>35</v>
      </c>
      <c r="T8232" s="1" t="s">
        <v>5525</v>
      </c>
      <c r="U8232" s="1" t="str">
        <f>HYPERLINK("http://ictvonline.org/taxonomy/p/taxonomy-history?taxnode_id=202106614","ICTVonline=202106614")</f>
        <v>ICTVonline=202106614</v>
      </c>
    </row>
    <row r="8233" spans="1:21" x14ac:dyDescent="0.2">
      <c r="A8233" s="3">
        <v>8232</v>
      </c>
      <c r="B8233" s="1" t="s">
        <v>4226</v>
      </c>
      <c r="D8233" s="1" t="s">
        <v>5412</v>
      </c>
      <c r="F8233" s="1" t="s">
        <v>3981</v>
      </c>
      <c r="G8233" s="1" t="s">
        <v>4003</v>
      </c>
      <c r="H8233" s="1" t="s">
        <v>4004</v>
      </c>
      <c r="J8233" s="1" t="s">
        <v>3109</v>
      </c>
      <c r="L8233" s="1" t="s">
        <v>3116</v>
      </c>
      <c r="N8233" s="1" t="s">
        <v>5599</v>
      </c>
      <c r="P8233" s="1" t="s">
        <v>5605</v>
      </c>
      <c r="Q8233" s="30" t="s">
        <v>2821</v>
      </c>
      <c r="R8233" s="33" t="s">
        <v>3472</v>
      </c>
      <c r="S8233">
        <v>35</v>
      </c>
      <c r="T8233" s="1" t="s">
        <v>5525</v>
      </c>
      <c r="U8233" s="1" t="str">
        <f>HYPERLINK("http://ictvonline.org/taxonomy/p/taxonomy-history?taxnode_id=202107579","ICTVonline=202107579")</f>
        <v>ICTVonline=202107579</v>
      </c>
    </row>
    <row r="8234" spans="1:21" x14ac:dyDescent="0.2">
      <c r="A8234" s="3">
        <v>8233</v>
      </c>
      <c r="B8234" s="1" t="s">
        <v>4226</v>
      </c>
      <c r="D8234" s="1" t="s">
        <v>5412</v>
      </c>
      <c r="F8234" s="1" t="s">
        <v>3981</v>
      </c>
      <c r="G8234" s="1" t="s">
        <v>4003</v>
      </c>
      <c r="H8234" s="1" t="s">
        <v>4004</v>
      </c>
      <c r="J8234" s="1" t="s">
        <v>3109</v>
      </c>
      <c r="L8234" s="1" t="s">
        <v>3116</v>
      </c>
      <c r="N8234" s="1" t="s">
        <v>5599</v>
      </c>
      <c r="P8234" s="1" t="s">
        <v>5606</v>
      </c>
      <c r="Q8234" s="30" t="s">
        <v>2821</v>
      </c>
      <c r="R8234" s="33" t="s">
        <v>3472</v>
      </c>
      <c r="S8234">
        <v>35</v>
      </c>
      <c r="T8234" s="1" t="s">
        <v>5525</v>
      </c>
      <c r="U8234" s="1" t="str">
        <f>HYPERLINK("http://ictvonline.org/taxonomy/p/taxonomy-history?taxnode_id=202107572","ICTVonline=202107572")</f>
        <v>ICTVonline=202107572</v>
      </c>
    </row>
    <row r="8235" spans="1:21" x14ac:dyDescent="0.2">
      <c r="A8235" s="3">
        <v>8234</v>
      </c>
      <c r="B8235" s="1" t="s">
        <v>4226</v>
      </c>
      <c r="D8235" s="1" t="s">
        <v>5412</v>
      </c>
      <c r="F8235" s="1" t="s">
        <v>3981</v>
      </c>
      <c r="G8235" s="1" t="s">
        <v>4003</v>
      </c>
      <c r="H8235" s="1" t="s">
        <v>4004</v>
      </c>
      <c r="J8235" s="1" t="s">
        <v>3109</v>
      </c>
      <c r="L8235" s="1" t="s">
        <v>3116</v>
      </c>
      <c r="N8235" s="1" t="s">
        <v>5599</v>
      </c>
      <c r="P8235" s="1" t="s">
        <v>5607</v>
      </c>
      <c r="Q8235" s="30" t="s">
        <v>2821</v>
      </c>
      <c r="R8235" s="33" t="s">
        <v>3472</v>
      </c>
      <c r="S8235">
        <v>35</v>
      </c>
      <c r="T8235" s="1" t="s">
        <v>5525</v>
      </c>
      <c r="U8235" s="1" t="str">
        <f>HYPERLINK("http://ictvonline.org/taxonomy/p/taxonomy-history?taxnode_id=202107576","ICTVonline=202107576")</f>
        <v>ICTVonline=202107576</v>
      </c>
    </row>
    <row r="8236" spans="1:21" x14ac:dyDescent="0.2">
      <c r="A8236" s="3">
        <v>8235</v>
      </c>
      <c r="B8236" s="1" t="s">
        <v>4226</v>
      </c>
      <c r="D8236" s="1" t="s">
        <v>5412</v>
      </c>
      <c r="F8236" s="1" t="s">
        <v>3981</v>
      </c>
      <c r="G8236" s="1" t="s">
        <v>4003</v>
      </c>
      <c r="H8236" s="1" t="s">
        <v>4004</v>
      </c>
      <c r="J8236" s="1" t="s">
        <v>3109</v>
      </c>
      <c r="L8236" s="1" t="s">
        <v>3116</v>
      </c>
      <c r="N8236" s="1" t="s">
        <v>5599</v>
      </c>
      <c r="P8236" s="1" t="s">
        <v>5608</v>
      </c>
      <c r="Q8236" s="30" t="s">
        <v>2821</v>
      </c>
      <c r="R8236" s="33" t="s">
        <v>3472</v>
      </c>
      <c r="S8236">
        <v>35</v>
      </c>
      <c r="T8236" s="1" t="s">
        <v>5525</v>
      </c>
      <c r="U8236" s="1" t="str">
        <f>HYPERLINK("http://ictvonline.org/taxonomy/p/taxonomy-history?taxnode_id=202107570","ICTVonline=202107570")</f>
        <v>ICTVonline=202107570</v>
      </c>
    </row>
    <row r="8237" spans="1:21" x14ac:dyDescent="0.2">
      <c r="A8237" s="3">
        <v>8236</v>
      </c>
      <c r="B8237" s="1" t="s">
        <v>4226</v>
      </c>
      <c r="D8237" s="1" t="s">
        <v>5412</v>
      </c>
      <c r="F8237" s="1" t="s">
        <v>3981</v>
      </c>
      <c r="G8237" s="1" t="s">
        <v>4003</v>
      </c>
      <c r="H8237" s="1" t="s">
        <v>4004</v>
      </c>
      <c r="J8237" s="1" t="s">
        <v>3109</v>
      </c>
      <c r="L8237" s="1" t="s">
        <v>3116</v>
      </c>
      <c r="N8237" s="1" t="s">
        <v>5599</v>
      </c>
      <c r="P8237" s="1" t="s">
        <v>5609</v>
      </c>
      <c r="Q8237" s="30" t="s">
        <v>2821</v>
      </c>
      <c r="R8237" s="33" t="s">
        <v>3472</v>
      </c>
      <c r="S8237">
        <v>35</v>
      </c>
      <c r="T8237" s="1" t="s">
        <v>5525</v>
      </c>
      <c r="U8237" s="1" t="str">
        <f>HYPERLINK("http://ictvonline.org/taxonomy/p/taxonomy-history?taxnode_id=202107577","ICTVonline=202107577")</f>
        <v>ICTVonline=202107577</v>
      </c>
    </row>
    <row r="8238" spans="1:21" x14ac:dyDescent="0.2">
      <c r="A8238" s="3">
        <v>8237</v>
      </c>
      <c r="B8238" s="1" t="s">
        <v>4226</v>
      </c>
      <c r="D8238" s="1" t="s">
        <v>5412</v>
      </c>
      <c r="F8238" s="1" t="s">
        <v>3981</v>
      </c>
      <c r="G8238" s="1" t="s">
        <v>4003</v>
      </c>
      <c r="H8238" s="1" t="s">
        <v>4004</v>
      </c>
      <c r="J8238" s="1" t="s">
        <v>3109</v>
      </c>
      <c r="L8238" s="1" t="s">
        <v>3116</v>
      </c>
      <c r="N8238" s="1" t="s">
        <v>5599</v>
      </c>
      <c r="P8238" s="1" t="s">
        <v>5610</v>
      </c>
      <c r="Q8238" s="30" t="s">
        <v>2821</v>
      </c>
      <c r="R8238" s="33" t="s">
        <v>3472</v>
      </c>
      <c r="S8238">
        <v>35</v>
      </c>
      <c r="T8238" s="1" t="s">
        <v>5525</v>
      </c>
      <c r="U8238" s="1" t="str">
        <f>HYPERLINK("http://ictvonline.org/taxonomy/p/taxonomy-history?taxnode_id=202107578","ICTVonline=202107578")</f>
        <v>ICTVonline=202107578</v>
      </c>
    </row>
    <row r="8239" spans="1:21" x14ac:dyDescent="0.2">
      <c r="A8239" s="3">
        <v>8238</v>
      </c>
      <c r="B8239" s="1" t="s">
        <v>4226</v>
      </c>
      <c r="D8239" s="1" t="s">
        <v>5412</v>
      </c>
      <c r="F8239" s="1" t="s">
        <v>3981</v>
      </c>
      <c r="G8239" s="1" t="s">
        <v>4003</v>
      </c>
      <c r="H8239" s="1" t="s">
        <v>4004</v>
      </c>
      <c r="J8239" s="1" t="s">
        <v>3109</v>
      </c>
      <c r="L8239" s="1" t="s">
        <v>3116</v>
      </c>
      <c r="N8239" s="1" t="s">
        <v>5599</v>
      </c>
      <c r="P8239" s="1" t="s">
        <v>5611</v>
      </c>
      <c r="Q8239" s="30" t="s">
        <v>2821</v>
      </c>
      <c r="R8239" s="33" t="s">
        <v>3472</v>
      </c>
      <c r="S8239">
        <v>35</v>
      </c>
      <c r="T8239" s="1" t="s">
        <v>5525</v>
      </c>
      <c r="U8239" s="1" t="str">
        <f>HYPERLINK("http://ictvonline.org/taxonomy/p/taxonomy-history?taxnode_id=202107573","ICTVonline=202107573")</f>
        <v>ICTVonline=202107573</v>
      </c>
    </row>
    <row r="8240" spans="1:21" x14ac:dyDescent="0.2">
      <c r="A8240" s="3">
        <v>8239</v>
      </c>
      <c r="B8240" s="1" t="s">
        <v>4226</v>
      </c>
      <c r="D8240" s="1" t="s">
        <v>5412</v>
      </c>
      <c r="F8240" s="1" t="s">
        <v>3981</v>
      </c>
      <c r="G8240" s="1" t="s">
        <v>4003</v>
      </c>
      <c r="H8240" s="1" t="s">
        <v>4004</v>
      </c>
      <c r="J8240" s="1" t="s">
        <v>3109</v>
      </c>
      <c r="L8240" s="1" t="s">
        <v>3116</v>
      </c>
      <c r="N8240" s="1" t="s">
        <v>5599</v>
      </c>
      <c r="P8240" s="1" t="s">
        <v>5612</v>
      </c>
      <c r="Q8240" s="30" t="s">
        <v>2821</v>
      </c>
      <c r="R8240" s="33" t="s">
        <v>3472</v>
      </c>
      <c r="S8240">
        <v>35</v>
      </c>
      <c r="T8240" s="1" t="s">
        <v>5525</v>
      </c>
      <c r="U8240" s="1" t="str">
        <f>HYPERLINK("http://ictvonline.org/taxonomy/p/taxonomy-history?taxnode_id=202107580","ICTVonline=202107580")</f>
        <v>ICTVonline=202107580</v>
      </c>
    </row>
    <row r="8241" spans="1:21" x14ac:dyDescent="0.2">
      <c r="A8241" s="3">
        <v>8240</v>
      </c>
      <c r="B8241" s="1" t="s">
        <v>4226</v>
      </c>
      <c r="D8241" s="1" t="s">
        <v>5412</v>
      </c>
      <c r="F8241" s="1" t="s">
        <v>3981</v>
      </c>
      <c r="G8241" s="1" t="s">
        <v>4003</v>
      </c>
      <c r="H8241" s="1" t="s">
        <v>4004</v>
      </c>
      <c r="J8241" s="1" t="s">
        <v>3109</v>
      </c>
      <c r="L8241" s="1" t="s">
        <v>3116</v>
      </c>
      <c r="N8241" s="1" t="s">
        <v>5599</v>
      </c>
      <c r="P8241" s="1" t="s">
        <v>5613</v>
      </c>
      <c r="Q8241" s="30" t="s">
        <v>2821</v>
      </c>
      <c r="R8241" s="33" t="s">
        <v>3472</v>
      </c>
      <c r="S8241">
        <v>35</v>
      </c>
      <c r="T8241" s="1" t="s">
        <v>5525</v>
      </c>
      <c r="U8241" s="1" t="str">
        <f>HYPERLINK("http://ictvonline.org/taxonomy/p/taxonomy-history?taxnode_id=202107571","ICTVonline=202107571")</f>
        <v>ICTVonline=202107571</v>
      </c>
    </row>
    <row r="8242" spans="1:21" x14ac:dyDescent="0.2">
      <c r="A8242" s="3">
        <v>8241</v>
      </c>
      <c r="B8242" s="1" t="s">
        <v>4226</v>
      </c>
      <c r="D8242" s="1" t="s">
        <v>5412</v>
      </c>
      <c r="F8242" s="1" t="s">
        <v>3981</v>
      </c>
      <c r="G8242" s="1" t="s">
        <v>4003</v>
      </c>
      <c r="H8242" s="1" t="s">
        <v>4004</v>
      </c>
      <c r="J8242" s="1" t="s">
        <v>3109</v>
      </c>
      <c r="L8242" s="1" t="s">
        <v>3116</v>
      </c>
      <c r="N8242" s="1" t="s">
        <v>5599</v>
      </c>
      <c r="P8242" s="1" t="s">
        <v>5614</v>
      </c>
      <c r="Q8242" s="30" t="s">
        <v>2566</v>
      </c>
      <c r="R8242" s="33" t="s">
        <v>8665</v>
      </c>
      <c r="S8242">
        <v>36</v>
      </c>
      <c r="T8242" s="1" t="s">
        <v>8661</v>
      </c>
      <c r="U8242" s="1" t="str">
        <f>HYPERLINK("http://ictvonline.org/taxonomy/p/taxonomy-history?taxnode_id=202100167","ICTVonline=202100167")</f>
        <v>ICTVonline=202100167</v>
      </c>
    </row>
    <row r="8243" spans="1:21" x14ac:dyDescent="0.2">
      <c r="A8243" s="3">
        <v>8242</v>
      </c>
      <c r="B8243" s="1" t="s">
        <v>4226</v>
      </c>
      <c r="D8243" s="1" t="s">
        <v>5412</v>
      </c>
      <c r="F8243" s="1" t="s">
        <v>3981</v>
      </c>
      <c r="G8243" s="1" t="s">
        <v>4003</v>
      </c>
      <c r="H8243" s="1" t="s">
        <v>4004</v>
      </c>
      <c r="J8243" s="1" t="s">
        <v>3109</v>
      </c>
      <c r="L8243" s="1" t="s">
        <v>3116</v>
      </c>
      <c r="N8243" s="1" t="s">
        <v>5599</v>
      </c>
      <c r="P8243" s="1" t="s">
        <v>5615</v>
      </c>
      <c r="Q8243" s="30" t="s">
        <v>2821</v>
      </c>
      <c r="R8243" s="33" t="s">
        <v>3472</v>
      </c>
      <c r="S8243">
        <v>35</v>
      </c>
      <c r="T8243" s="1" t="s">
        <v>5525</v>
      </c>
      <c r="U8243" s="1" t="str">
        <f>HYPERLINK("http://ictvonline.org/taxonomy/p/taxonomy-history?taxnode_id=202107582","ICTVonline=202107582")</f>
        <v>ICTVonline=202107582</v>
      </c>
    </row>
    <row r="8244" spans="1:21" x14ac:dyDescent="0.2">
      <c r="A8244" s="3">
        <v>8243</v>
      </c>
      <c r="B8244" s="1" t="s">
        <v>4226</v>
      </c>
      <c r="D8244" s="1" t="s">
        <v>5412</v>
      </c>
      <c r="F8244" s="1" t="s">
        <v>3981</v>
      </c>
      <c r="G8244" s="1" t="s">
        <v>4003</v>
      </c>
      <c r="H8244" s="1" t="s">
        <v>4004</v>
      </c>
      <c r="J8244" s="1" t="s">
        <v>3109</v>
      </c>
      <c r="L8244" s="1" t="s">
        <v>3116</v>
      </c>
      <c r="N8244" s="1" t="s">
        <v>5599</v>
      </c>
      <c r="P8244" s="1" t="s">
        <v>5616</v>
      </c>
      <c r="Q8244" s="30" t="s">
        <v>2821</v>
      </c>
      <c r="R8244" s="33" t="s">
        <v>3472</v>
      </c>
      <c r="S8244">
        <v>35</v>
      </c>
      <c r="T8244" s="1" t="s">
        <v>5525</v>
      </c>
      <c r="U8244" s="1" t="str">
        <f>HYPERLINK("http://ictvonline.org/taxonomy/p/taxonomy-history?taxnode_id=202107574","ICTVonline=202107574")</f>
        <v>ICTVonline=202107574</v>
      </c>
    </row>
    <row r="8245" spans="1:21" x14ac:dyDescent="0.2">
      <c r="A8245" s="3">
        <v>8244</v>
      </c>
      <c r="B8245" s="1" t="s">
        <v>4226</v>
      </c>
      <c r="D8245" s="1" t="s">
        <v>5412</v>
      </c>
      <c r="F8245" s="1" t="s">
        <v>3981</v>
      </c>
      <c r="G8245" s="1" t="s">
        <v>4003</v>
      </c>
      <c r="H8245" s="1" t="s">
        <v>4004</v>
      </c>
      <c r="J8245" s="1" t="s">
        <v>3109</v>
      </c>
      <c r="L8245" s="1" t="s">
        <v>3116</v>
      </c>
      <c r="N8245" s="1" t="s">
        <v>4369</v>
      </c>
      <c r="P8245" s="1" t="s">
        <v>4370</v>
      </c>
      <c r="Q8245" s="30" t="s">
        <v>2566</v>
      </c>
      <c r="R8245" s="33" t="s">
        <v>8665</v>
      </c>
      <c r="S8245">
        <v>36</v>
      </c>
      <c r="T8245" s="1" t="s">
        <v>8661</v>
      </c>
      <c r="U8245" s="1" t="str">
        <f>HYPERLINK("http://ictvonline.org/taxonomy/p/taxonomy-history?taxnode_id=202106611","ICTVonline=202106611")</f>
        <v>ICTVonline=202106611</v>
      </c>
    </row>
    <row r="8246" spans="1:21" x14ac:dyDescent="0.2">
      <c r="A8246" s="3">
        <v>8245</v>
      </c>
      <c r="B8246" s="1" t="s">
        <v>4226</v>
      </c>
      <c r="D8246" s="1" t="s">
        <v>5412</v>
      </c>
      <c r="F8246" s="1" t="s">
        <v>3981</v>
      </c>
      <c r="G8246" s="1" t="s">
        <v>4003</v>
      </c>
      <c r="H8246" s="1" t="s">
        <v>4004</v>
      </c>
      <c r="J8246" s="1" t="s">
        <v>3109</v>
      </c>
      <c r="L8246" s="1" t="s">
        <v>4371</v>
      </c>
      <c r="N8246" s="1" t="s">
        <v>4372</v>
      </c>
      <c r="P8246" s="1" t="s">
        <v>5617</v>
      </c>
      <c r="Q8246" s="30" t="s">
        <v>2821</v>
      </c>
      <c r="R8246" s="33" t="s">
        <v>3472</v>
      </c>
      <c r="S8246">
        <v>35</v>
      </c>
      <c r="T8246" s="1" t="s">
        <v>5618</v>
      </c>
      <c r="U8246" s="1" t="str">
        <f>HYPERLINK("http://ictvonline.org/taxonomy/p/taxonomy-history?taxnode_id=202107245","ICTVonline=202107245")</f>
        <v>ICTVonline=202107245</v>
      </c>
    </row>
    <row r="8247" spans="1:21" x14ac:dyDescent="0.2">
      <c r="A8247" s="3">
        <v>8246</v>
      </c>
      <c r="B8247" s="1" t="s">
        <v>4226</v>
      </c>
      <c r="D8247" s="1" t="s">
        <v>5412</v>
      </c>
      <c r="F8247" s="1" t="s">
        <v>3981</v>
      </c>
      <c r="G8247" s="1" t="s">
        <v>4003</v>
      </c>
      <c r="H8247" s="1" t="s">
        <v>4004</v>
      </c>
      <c r="J8247" s="1" t="s">
        <v>3109</v>
      </c>
      <c r="L8247" s="1" t="s">
        <v>4371</v>
      </c>
      <c r="N8247" s="1" t="s">
        <v>4372</v>
      </c>
      <c r="P8247" s="1" t="s">
        <v>5619</v>
      </c>
      <c r="Q8247" s="30" t="s">
        <v>2821</v>
      </c>
      <c r="R8247" s="33" t="s">
        <v>3472</v>
      </c>
      <c r="S8247">
        <v>35</v>
      </c>
      <c r="T8247" s="1" t="s">
        <v>5618</v>
      </c>
      <c r="U8247" s="1" t="str">
        <f>HYPERLINK("http://ictvonline.org/taxonomy/p/taxonomy-history?taxnode_id=202107246","ICTVonline=202107246")</f>
        <v>ICTVonline=202107246</v>
      </c>
    </row>
    <row r="8248" spans="1:21" x14ac:dyDescent="0.2">
      <c r="A8248" s="3">
        <v>8247</v>
      </c>
      <c r="B8248" s="1" t="s">
        <v>4226</v>
      </c>
      <c r="D8248" s="1" t="s">
        <v>5412</v>
      </c>
      <c r="F8248" s="1" t="s">
        <v>3981</v>
      </c>
      <c r="G8248" s="1" t="s">
        <v>4003</v>
      </c>
      <c r="H8248" s="1" t="s">
        <v>4004</v>
      </c>
      <c r="J8248" s="1" t="s">
        <v>3109</v>
      </c>
      <c r="L8248" s="1" t="s">
        <v>4371</v>
      </c>
      <c r="N8248" s="1" t="s">
        <v>4372</v>
      </c>
      <c r="P8248" s="1" t="s">
        <v>4373</v>
      </c>
      <c r="Q8248" s="30" t="s">
        <v>2821</v>
      </c>
      <c r="R8248" s="33" t="s">
        <v>3474</v>
      </c>
      <c r="S8248">
        <v>35</v>
      </c>
      <c r="T8248" s="1" t="s">
        <v>5416</v>
      </c>
      <c r="U8248" s="1" t="str">
        <f>HYPERLINK("http://ictvonline.org/taxonomy/p/taxonomy-history?taxnode_id=202106661","ICTVonline=202106661")</f>
        <v>ICTVonline=202106661</v>
      </c>
    </row>
    <row r="8249" spans="1:21" x14ac:dyDescent="0.2">
      <c r="A8249" s="3">
        <v>8248</v>
      </c>
      <c r="B8249" s="1" t="s">
        <v>4226</v>
      </c>
      <c r="D8249" s="1" t="s">
        <v>5412</v>
      </c>
      <c r="F8249" s="1" t="s">
        <v>3981</v>
      </c>
      <c r="G8249" s="1" t="s">
        <v>4003</v>
      </c>
      <c r="H8249" s="1" t="s">
        <v>4004</v>
      </c>
      <c r="J8249" s="1" t="s">
        <v>3109</v>
      </c>
      <c r="L8249" s="1" t="s">
        <v>4371</v>
      </c>
      <c r="N8249" s="1" t="s">
        <v>4372</v>
      </c>
      <c r="P8249" s="1" t="s">
        <v>4374</v>
      </c>
      <c r="Q8249" s="30" t="s">
        <v>2821</v>
      </c>
      <c r="R8249" s="33" t="s">
        <v>3474</v>
      </c>
      <c r="S8249">
        <v>35</v>
      </c>
      <c r="T8249" s="1" t="s">
        <v>5416</v>
      </c>
      <c r="U8249" s="1" t="str">
        <f>HYPERLINK("http://ictvonline.org/taxonomy/p/taxonomy-history?taxnode_id=202106662","ICTVonline=202106662")</f>
        <v>ICTVonline=202106662</v>
      </c>
    </row>
    <row r="8250" spans="1:21" x14ac:dyDescent="0.2">
      <c r="A8250" s="3">
        <v>8249</v>
      </c>
      <c r="B8250" s="1" t="s">
        <v>4226</v>
      </c>
      <c r="D8250" s="1" t="s">
        <v>5412</v>
      </c>
      <c r="F8250" s="1" t="s">
        <v>3981</v>
      </c>
      <c r="G8250" s="1" t="s">
        <v>4003</v>
      </c>
      <c r="H8250" s="1" t="s">
        <v>4004</v>
      </c>
      <c r="J8250" s="1" t="s">
        <v>3109</v>
      </c>
      <c r="L8250" s="1" t="s">
        <v>4371</v>
      </c>
      <c r="N8250" s="1" t="s">
        <v>4372</v>
      </c>
      <c r="P8250" s="1" t="s">
        <v>4375</v>
      </c>
      <c r="Q8250" s="30" t="s">
        <v>2821</v>
      </c>
      <c r="R8250" s="33" t="s">
        <v>3474</v>
      </c>
      <c r="S8250">
        <v>35</v>
      </c>
      <c r="T8250" s="1" t="s">
        <v>5416</v>
      </c>
      <c r="U8250" s="1" t="str">
        <f>HYPERLINK("http://ictvonline.org/taxonomy/p/taxonomy-history?taxnode_id=202106663","ICTVonline=202106663")</f>
        <v>ICTVonline=202106663</v>
      </c>
    </row>
    <row r="8251" spans="1:21" x14ac:dyDescent="0.2">
      <c r="A8251" s="3">
        <v>8250</v>
      </c>
      <c r="B8251" s="1" t="s">
        <v>4226</v>
      </c>
      <c r="D8251" s="1" t="s">
        <v>5412</v>
      </c>
      <c r="F8251" s="1" t="s">
        <v>3981</v>
      </c>
      <c r="G8251" s="1" t="s">
        <v>4003</v>
      </c>
      <c r="H8251" s="1" t="s">
        <v>4004</v>
      </c>
      <c r="J8251" s="1" t="s">
        <v>3109</v>
      </c>
      <c r="L8251" s="1" t="s">
        <v>4371</v>
      </c>
      <c r="N8251" s="1" t="s">
        <v>4372</v>
      </c>
      <c r="P8251" s="1" t="s">
        <v>4376</v>
      </c>
      <c r="Q8251" s="30" t="s">
        <v>2821</v>
      </c>
      <c r="R8251" s="33" t="s">
        <v>3474</v>
      </c>
      <c r="S8251">
        <v>35</v>
      </c>
      <c r="T8251" s="1" t="s">
        <v>5416</v>
      </c>
      <c r="U8251" s="1" t="str">
        <f>HYPERLINK("http://ictvonline.org/taxonomy/p/taxonomy-history?taxnode_id=202106664","ICTVonline=202106664")</f>
        <v>ICTVonline=202106664</v>
      </c>
    </row>
    <row r="8252" spans="1:21" x14ac:dyDescent="0.2">
      <c r="A8252" s="3">
        <v>8251</v>
      </c>
      <c r="B8252" s="1" t="s">
        <v>4226</v>
      </c>
      <c r="D8252" s="1" t="s">
        <v>5412</v>
      </c>
      <c r="F8252" s="1" t="s">
        <v>3981</v>
      </c>
      <c r="G8252" s="1" t="s">
        <v>4003</v>
      </c>
      <c r="H8252" s="1" t="s">
        <v>4004</v>
      </c>
      <c r="J8252" s="1" t="s">
        <v>3109</v>
      </c>
      <c r="L8252" s="1" t="s">
        <v>4371</v>
      </c>
      <c r="N8252" s="1" t="s">
        <v>4372</v>
      </c>
      <c r="P8252" s="1" t="s">
        <v>5620</v>
      </c>
      <c r="Q8252" s="30" t="s">
        <v>2821</v>
      </c>
      <c r="R8252" s="33" t="s">
        <v>3473</v>
      </c>
      <c r="S8252">
        <v>35</v>
      </c>
      <c r="T8252" s="1" t="s">
        <v>5482</v>
      </c>
      <c r="U8252" s="1" t="str">
        <f>HYPERLINK("http://ictvonline.org/taxonomy/p/taxonomy-history?taxnode_id=202100179","ICTVonline=202100179")</f>
        <v>ICTVonline=202100179</v>
      </c>
    </row>
    <row r="8253" spans="1:21" x14ac:dyDescent="0.2">
      <c r="A8253" s="3">
        <v>8252</v>
      </c>
      <c r="B8253" s="1" t="s">
        <v>4226</v>
      </c>
      <c r="D8253" s="1" t="s">
        <v>5412</v>
      </c>
      <c r="F8253" s="1" t="s">
        <v>3981</v>
      </c>
      <c r="G8253" s="1" t="s">
        <v>4003</v>
      </c>
      <c r="H8253" s="1" t="s">
        <v>4004</v>
      </c>
      <c r="J8253" s="1" t="s">
        <v>3109</v>
      </c>
      <c r="L8253" s="1" t="s">
        <v>4371</v>
      </c>
      <c r="N8253" s="1" t="s">
        <v>4372</v>
      </c>
      <c r="P8253" s="1" t="s">
        <v>5621</v>
      </c>
      <c r="Q8253" s="30" t="s">
        <v>2821</v>
      </c>
      <c r="R8253" s="33" t="s">
        <v>3472</v>
      </c>
      <c r="S8253">
        <v>35</v>
      </c>
      <c r="T8253" s="1" t="s">
        <v>5618</v>
      </c>
      <c r="U8253" s="1" t="str">
        <f>HYPERLINK("http://ictvonline.org/taxonomy/p/taxonomy-history?taxnode_id=202107247","ICTVonline=202107247")</f>
        <v>ICTVonline=202107247</v>
      </c>
    </row>
    <row r="8254" spans="1:21" x14ac:dyDescent="0.2">
      <c r="A8254" s="3">
        <v>8253</v>
      </c>
      <c r="B8254" s="1" t="s">
        <v>4226</v>
      </c>
      <c r="D8254" s="1" t="s">
        <v>5412</v>
      </c>
      <c r="F8254" s="1" t="s">
        <v>3981</v>
      </c>
      <c r="G8254" s="1" t="s">
        <v>4003</v>
      </c>
      <c r="H8254" s="1" t="s">
        <v>4004</v>
      </c>
      <c r="J8254" s="1" t="s">
        <v>3109</v>
      </c>
      <c r="L8254" s="1" t="s">
        <v>4371</v>
      </c>
      <c r="N8254" s="1" t="s">
        <v>4372</v>
      </c>
      <c r="P8254" s="1" t="s">
        <v>5622</v>
      </c>
      <c r="Q8254" s="30" t="s">
        <v>2821</v>
      </c>
      <c r="R8254" s="33" t="s">
        <v>3473</v>
      </c>
      <c r="S8254">
        <v>35</v>
      </c>
      <c r="T8254" s="1" t="s">
        <v>5482</v>
      </c>
      <c r="U8254" s="1" t="str">
        <f>HYPERLINK("http://ictvonline.org/taxonomy/p/taxonomy-history?taxnode_id=202100180","ICTVonline=202100180")</f>
        <v>ICTVonline=202100180</v>
      </c>
    </row>
    <row r="8255" spans="1:21" x14ac:dyDescent="0.2">
      <c r="A8255" s="3">
        <v>8254</v>
      </c>
      <c r="B8255" s="1" t="s">
        <v>4226</v>
      </c>
      <c r="D8255" s="1" t="s">
        <v>5412</v>
      </c>
      <c r="F8255" s="1" t="s">
        <v>3981</v>
      </c>
      <c r="G8255" s="1" t="s">
        <v>4003</v>
      </c>
      <c r="H8255" s="1" t="s">
        <v>4004</v>
      </c>
      <c r="J8255" s="1" t="s">
        <v>3109</v>
      </c>
      <c r="L8255" s="1" t="s">
        <v>4371</v>
      </c>
      <c r="N8255" s="1" t="s">
        <v>4372</v>
      </c>
      <c r="P8255" s="1" t="s">
        <v>5623</v>
      </c>
      <c r="Q8255" s="30" t="s">
        <v>2821</v>
      </c>
      <c r="R8255" s="33" t="s">
        <v>3473</v>
      </c>
      <c r="S8255">
        <v>35</v>
      </c>
      <c r="T8255" s="1" t="s">
        <v>5482</v>
      </c>
      <c r="U8255" s="1" t="str">
        <f>HYPERLINK("http://ictvonline.org/taxonomy/p/taxonomy-history?taxnode_id=202100181","ICTVonline=202100181")</f>
        <v>ICTVonline=202100181</v>
      </c>
    </row>
    <row r="8256" spans="1:21" x14ac:dyDescent="0.2">
      <c r="A8256" s="3">
        <v>8255</v>
      </c>
      <c r="B8256" s="1" t="s">
        <v>4226</v>
      </c>
      <c r="D8256" s="1" t="s">
        <v>5412</v>
      </c>
      <c r="F8256" s="1" t="s">
        <v>3981</v>
      </c>
      <c r="G8256" s="1" t="s">
        <v>4003</v>
      </c>
      <c r="H8256" s="1" t="s">
        <v>4004</v>
      </c>
      <c r="J8256" s="1" t="s">
        <v>3109</v>
      </c>
      <c r="L8256" s="1" t="s">
        <v>4371</v>
      </c>
      <c r="N8256" s="1" t="s">
        <v>4372</v>
      </c>
      <c r="P8256" s="1" t="s">
        <v>5624</v>
      </c>
      <c r="Q8256" s="30" t="s">
        <v>2821</v>
      </c>
      <c r="R8256" s="33" t="s">
        <v>3472</v>
      </c>
      <c r="S8256">
        <v>35</v>
      </c>
      <c r="T8256" s="1" t="s">
        <v>5618</v>
      </c>
      <c r="U8256" s="1" t="str">
        <f>HYPERLINK("http://ictvonline.org/taxonomy/p/taxonomy-history?taxnode_id=202107248","ICTVonline=202107248")</f>
        <v>ICTVonline=202107248</v>
      </c>
    </row>
    <row r="8257" spans="1:21" x14ac:dyDescent="0.2">
      <c r="A8257" s="3">
        <v>8256</v>
      </c>
      <c r="B8257" s="1" t="s">
        <v>4226</v>
      </c>
      <c r="D8257" s="1" t="s">
        <v>5412</v>
      </c>
      <c r="F8257" s="1" t="s">
        <v>3981</v>
      </c>
      <c r="G8257" s="1" t="s">
        <v>4003</v>
      </c>
      <c r="H8257" s="1" t="s">
        <v>4004</v>
      </c>
      <c r="J8257" s="1" t="s">
        <v>3109</v>
      </c>
      <c r="L8257" s="1" t="s">
        <v>4371</v>
      </c>
      <c r="N8257" s="1" t="s">
        <v>4372</v>
      </c>
      <c r="P8257" s="1" t="s">
        <v>5625</v>
      </c>
      <c r="Q8257" s="30" t="s">
        <v>2821</v>
      </c>
      <c r="R8257" s="33" t="s">
        <v>3473</v>
      </c>
      <c r="S8257">
        <v>35</v>
      </c>
      <c r="T8257" s="1" t="s">
        <v>5482</v>
      </c>
      <c r="U8257" s="1" t="str">
        <f>HYPERLINK("http://ictvonline.org/taxonomy/p/taxonomy-history?taxnode_id=202100182","ICTVonline=202100182")</f>
        <v>ICTVonline=202100182</v>
      </c>
    </row>
    <row r="8258" spans="1:21" x14ac:dyDescent="0.2">
      <c r="A8258" s="3">
        <v>8257</v>
      </c>
      <c r="B8258" s="1" t="s">
        <v>4226</v>
      </c>
      <c r="D8258" s="1" t="s">
        <v>5412</v>
      </c>
      <c r="F8258" s="1" t="s">
        <v>3981</v>
      </c>
      <c r="G8258" s="1" t="s">
        <v>4003</v>
      </c>
      <c r="H8258" s="1" t="s">
        <v>4004</v>
      </c>
      <c r="J8258" s="1" t="s">
        <v>3109</v>
      </c>
      <c r="L8258" s="1" t="s">
        <v>4371</v>
      </c>
      <c r="N8258" s="1" t="s">
        <v>4372</v>
      </c>
      <c r="P8258" s="1" t="s">
        <v>5626</v>
      </c>
      <c r="Q8258" s="30" t="s">
        <v>2821</v>
      </c>
      <c r="R8258" s="33" t="s">
        <v>3473</v>
      </c>
      <c r="S8258">
        <v>35</v>
      </c>
      <c r="T8258" s="1" t="s">
        <v>5482</v>
      </c>
      <c r="U8258" s="1" t="str">
        <f>HYPERLINK("http://ictvonline.org/taxonomy/p/taxonomy-history?taxnode_id=202100183","ICTVonline=202100183")</f>
        <v>ICTVonline=202100183</v>
      </c>
    </row>
    <row r="8259" spans="1:21" x14ac:dyDescent="0.2">
      <c r="A8259" s="3">
        <v>8258</v>
      </c>
      <c r="B8259" s="1" t="s">
        <v>4226</v>
      </c>
      <c r="D8259" s="1" t="s">
        <v>5412</v>
      </c>
      <c r="F8259" s="1" t="s">
        <v>3981</v>
      </c>
      <c r="G8259" s="1" t="s">
        <v>4003</v>
      </c>
      <c r="H8259" s="1" t="s">
        <v>4004</v>
      </c>
      <c r="J8259" s="1" t="s">
        <v>3109</v>
      </c>
      <c r="L8259" s="1" t="s">
        <v>4371</v>
      </c>
      <c r="N8259" s="1" t="s">
        <v>4372</v>
      </c>
      <c r="P8259" s="1" t="s">
        <v>4377</v>
      </c>
      <c r="Q8259" s="30" t="s">
        <v>2821</v>
      </c>
      <c r="R8259" s="33" t="s">
        <v>3474</v>
      </c>
      <c r="S8259">
        <v>35</v>
      </c>
      <c r="T8259" s="1" t="s">
        <v>5416</v>
      </c>
      <c r="U8259" s="1" t="str">
        <f>HYPERLINK("http://ictvonline.org/taxonomy/p/taxonomy-history?taxnode_id=202106665","ICTVonline=202106665")</f>
        <v>ICTVonline=202106665</v>
      </c>
    </row>
    <row r="8260" spans="1:21" x14ac:dyDescent="0.2">
      <c r="A8260" s="3">
        <v>8259</v>
      </c>
      <c r="B8260" s="1" t="s">
        <v>4226</v>
      </c>
      <c r="D8260" s="1" t="s">
        <v>5412</v>
      </c>
      <c r="F8260" s="1" t="s">
        <v>3981</v>
      </c>
      <c r="G8260" s="1" t="s">
        <v>4003</v>
      </c>
      <c r="H8260" s="1" t="s">
        <v>4004</v>
      </c>
      <c r="J8260" s="1" t="s">
        <v>3109</v>
      </c>
      <c r="L8260" s="1" t="s">
        <v>4371</v>
      </c>
      <c r="N8260" s="1" t="s">
        <v>4372</v>
      </c>
      <c r="P8260" s="1" t="s">
        <v>4378</v>
      </c>
      <c r="Q8260" s="30" t="s">
        <v>2821</v>
      </c>
      <c r="R8260" s="33" t="s">
        <v>3474</v>
      </c>
      <c r="S8260">
        <v>35</v>
      </c>
      <c r="T8260" s="1" t="s">
        <v>5416</v>
      </c>
      <c r="U8260" s="1" t="str">
        <f>HYPERLINK("http://ictvonline.org/taxonomy/p/taxonomy-history?taxnode_id=202106666","ICTVonline=202106666")</f>
        <v>ICTVonline=202106666</v>
      </c>
    </row>
    <row r="8261" spans="1:21" x14ac:dyDescent="0.2">
      <c r="A8261" s="3">
        <v>8260</v>
      </c>
      <c r="B8261" s="1" t="s">
        <v>4226</v>
      </c>
      <c r="D8261" s="1" t="s">
        <v>5412</v>
      </c>
      <c r="F8261" s="1" t="s">
        <v>3981</v>
      </c>
      <c r="G8261" s="1" t="s">
        <v>4003</v>
      </c>
      <c r="H8261" s="1" t="s">
        <v>4004</v>
      </c>
      <c r="J8261" s="1" t="s">
        <v>3109</v>
      </c>
      <c r="L8261" s="1" t="s">
        <v>4371</v>
      </c>
      <c r="N8261" s="1" t="s">
        <v>4372</v>
      </c>
      <c r="P8261" s="1" t="s">
        <v>5627</v>
      </c>
      <c r="Q8261" s="30" t="s">
        <v>2821</v>
      </c>
      <c r="R8261" s="33" t="s">
        <v>3472</v>
      </c>
      <c r="S8261">
        <v>35</v>
      </c>
      <c r="T8261" s="1" t="s">
        <v>5618</v>
      </c>
      <c r="U8261" s="1" t="str">
        <f>HYPERLINK("http://ictvonline.org/taxonomy/p/taxonomy-history?taxnode_id=202107249","ICTVonline=202107249")</f>
        <v>ICTVonline=202107249</v>
      </c>
    </row>
    <row r="8262" spans="1:21" x14ac:dyDescent="0.2">
      <c r="A8262" s="3">
        <v>8261</v>
      </c>
      <c r="B8262" s="1" t="s">
        <v>4226</v>
      </c>
      <c r="D8262" s="1" t="s">
        <v>5412</v>
      </c>
      <c r="F8262" s="1" t="s">
        <v>3981</v>
      </c>
      <c r="G8262" s="1" t="s">
        <v>4003</v>
      </c>
      <c r="H8262" s="1" t="s">
        <v>4004</v>
      </c>
      <c r="J8262" s="1" t="s">
        <v>3109</v>
      </c>
      <c r="L8262" s="1" t="s">
        <v>4371</v>
      </c>
      <c r="N8262" s="1" t="s">
        <v>4372</v>
      </c>
      <c r="P8262" s="1" t="s">
        <v>5628</v>
      </c>
      <c r="Q8262" s="30" t="s">
        <v>2821</v>
      </c>
      <c r="R8262" s="33" t="s">
        <v>3472</v>
      </c>
      <c r="S8262">
        <v>35</v>
      </c>
      <c r="T8262" s="1" t="s">
        <v>5618</v>
      </c>
      <c r="U8262" s="1" t="str">
        <f>HYPERLINK("http://ictvonline.org/taxonomy/p/taxonomy-history?taxnode_id=202107250","ICTVonline=202107250")</f>
        <v>ICTVonline=202107250</v>
      </c>
    </row>
    <row r="8263" spans="1:21" x14ac:dyDescent="0.2">
      <c r="A8263" s="3">
        <v>8262</v>
      </c>
      <c r="B8263" s="1" t="s">
        <v>4226</v>
      </c>
      <c r="D8263" s="1" t="s">
        <v>5412</v>
      </c>
      <c r="F8263" s="1" t="s">
        <v>3981</v>
      </c>
      <c r="G8263" s="1" t="s">
        <v>4003</v>
      </c>
      <c r="H8263" s="1" t="s">
        <v>4004</v>
      </c>
      <c r="J8263" s="1" t="s">
        <v>3109</v>
      </c>
      <c r="L8263" s="1" t="s">
        <v>4371</v>
      </c>
      <c r="N8263" s="1" t="s">
        <v>4372</v>
      </c>
      <c r="P8263" s="1" t="s">
        <v>5629</v>
      </c>
      <c r="Q8263" s="30" t="s">
        <v>2821</v>
      </c>
      <c r="R8263" s="33" t="s">
        <v>3473</v>
      </c>
      <c r="S8263">
        <v>35</v>
      </c>
      <c r="T8263" s="1" t="s">
        <v>5482</v>
      </c>
      <c r="U8263" s="1" t="str">
        <f>HYPERLINK("http://ictvonline.org/taxonomy/p/taxonomy-history?taxnode_id=202100184","ICTVonline=202100184")</f>
        <v>ICTVonline=202100184</v>
      </c>
    </row>
    <row r="8264" spans="1:21" x14ac:dyDescent="0.2">
      <c r="A8264" s="3">
        <v>8263</v>
      </c>
      <c r="B8264" s="1" t="s">
        <v>4226</v>
      </c>
      <c r="D8264" s="1" t="s">
        <v>5412</v>
      </c>
      <c r="F8264" s="1" t="s">
        <v>3981</v>
      </c>
      <c r="G8264" s="1" t="s">
        <v>4003</v>
      </c>
      <c r="H8264" s="1" t="s">
        <v>4004</v>
      </c>
      <c r="J8264" s="1" t="s">
        <v>3109</v>
      </c>
      <c r="L8264" s="1" t="s">
        <v>4371</v>
      </c>
      <c r="N8264" s="1" t="s">
        <v>4372</v>
      </c>
      <c r="P8264" s="1" t="s">
        <v>4379</v>
      </c>
      <c r="Q8264" s="30" t="s">
        <v>2821</v>
      </c>
      <c r="R8264" s="33" t="s">
        <v>3474</v>
      </c>
      <c r="S8264">
        <v>35</v>
      </c>
      <c r="T8264" s="1" t="s">
        <v>5416</v>
      </c>
      <c r="U8264" s="1" t="str">
        <f>HYPERLINK("http://ictvonline.org/taxonomy/p/taxonomy-history?taxnode_id=202106667","ICTVonline=202106667")</f>
        <v>ICTVonline=202106667</v>
      </c>
    </row>
    <row r="8265" spans="1:21" x14ac:dyDescent="0.2">
      <c r="A8265" s="3">
        <v>8264</v>
      </c>
      <c r="B8265" s="1" t="s">
        <v>4226</v>
      </c>
      <c r="D8265" s="1" t="s">
        <v>5412</v>
      </c>
      <c r="F8265" s="1" t="s">
        <v>3981</v>
      </c>
      <c r="G8265" s="1" t="s">
        <v>4003</v>
      </c>
      <c r="H8265" s="1" t="s">
        <v>4004</v>
      </c>
      <c r="J8265" s="1" t="s">
        <v>3109</v>
      </c>
      <c r="L8265" s="1" t="s">
        <v>4371</v>
      </c>
      <c r="N8265" s="1" t="s">
        <v>4372</v>
      </c>
      <c r="P8265" s="1" t="s">
        <v>5630</v>
      </c>
      <c r="Q8265" s="30" t="s">
        <v>2821</v>
      </c>
      <c r="R8265" s="33" t="s">
        <v>3473</v>
      </c>
      <c r="S8265">
        <v>35</v>
      </c>
      <c r="T8265" s="1" t="s">
        <v>5482</v>
      </c>
      <c r="U8265" s="1" t="str">
        <f>HYPERLINK("http://ictvonline.org/taxonomy/p/taxonomy-history?taxnode_id=202100185","ICTVonline=202100185")</f>
        <v>ICTVonline=202100185</v>
      </c>
    </row>
    <row r="8266" spans="1:21" x14ac:dyDescent="0.2">
      <c r="A8266" s="3">
        <v>8265</v>
      </c>
      <c r="B8266" s="1" t="s">
        <v>4226</v>
      </c>
      <c r="D8266" s="1" t="s">
        <v>5412</v>
      </c>
      <c r="F8266" s="1" t="s">
        <v>3981</v>
      </c>
      <c r="G8266" s="1" t="s">
        <v>4003</v>
      </c>
      <c r="H8266" s="1" t="s">
        <v>4004</v>
      </c>
      <c r="J8266" s="1" t="s">
        <v>3109</v>
      </c>
      <c r="L8266" s="1" t="s">
        <v>4371</v>
      </c>
      <c r="N8266" s="1" t="s">
        <v>4372</v>
      </c>
      <c r="P8266" s="1" t="s">
        <v>5631</v>
      </c>
      <c r="Q8266" s="30" t="s">
        <v>2821</v>
      </c>
      <c r="R8266" s="33" t="s">
        <v>8665</v>
      </c>
      <c r="S8266">
        <v>36</v>
      </c>
      <c r="T8266" s="1" t="s">
        <v>8661</v>
      </c>
      <c r="U8266" s="1" t="str">
        <f>HYPERLINK("http://ictvonline.org/taxonomy/p/taxonomy-history?taxnode_id=202100186","ICTVonline=202100186")</f>
        <v>ICTVonline=202100186</v>
      </c>
    </row>
    <row r="8267" spans="1:21" x14ac:dyDescent="0.2">
      <c r="A8267" s="3">
        <v>8266</v>
      </c>
      <c r="B8267" s="1" t="s">
        <v>4226</v>
      </c>
      <c r="D8267" s="1" t="s">
        <v>5412</v>
      </c>
      <c r="F8267" s="1" t="s">
        <v>3981</v>
      </c>
      <c r="G8267" s="1" t="s">
        <v>4003</v>
      </c>
      <c r="H8267" s="1" t="s">
        <v>4004</v>
      </c>
      <c r="J8267" s="1" t="s">
        <v>3109</v>
      </c>
      <c r="L8267" s="1" t="s">
        <v>4371</v>
      </c>
      <c r="N8267" s="1" t="s">
        <v>4372</v>
      </c>
      <c r="P8267" s="1" t="s">
        <v>5632</v>
      </c>
      <c r="Q8267" s="30" t="s">
        <v>2821</v>
      </c>
      <c r="R8267" s="33" t="s">
        <v>3472</v>
      </c>
      <c r="S8267">
        <v>35</v>
      </c>
      <c r="T8267" s="1" t="s">
        <v>5618</v>
      </c>
      <c r="U8267" s="1" t="str">
        <f>HYPERLINK("http://ictvonline.org/taxonomy/p/taxonomy-history?taxnode_id=202107251","ICTVonline=202107251")</f>
        <v>ICTVonline=202107251</v>
      </c>
    </row>
    <row r="8268" spans="1:21" x14ac:dyDescent="0.2">
      <c r="A8268" s="3">
        <v>8267</v>
      </c>
      <c r="B8268" s="1" t="s">
        <v>4226</v>
      </c>
      <c r="D8268" s="1" t="s">
        <v>5412</v>
      </c>
      <c r="F8268" s="1" t="s">
        <v>3981</v>
      </c>
      <c r="G8268" s="1" t="s">
        <v>4003</v>
      </c>
      <c r="H8268" s="1" t="s">
        <v>4004</v>
      </c>
      <c r="J8268" s="1" t="s">
        <v>3109</v>
      </c>
      <c r="L8268" s="1" t="s">
        <v>4371</v>
      </c>
      <c r="N8268" s="1" t="s">
        <v>4372</v>
      </c>
      <c r="P8268" s="1" t="s">
        <v>5633</v>
      </c>
      <c r="Q8268" s="30" t="s">
        <v>2821</v>
      </c>
      <c r="R8268" s="33" t="s">
        <v>3472</v>
      </c>
      <c r="S8268">
        <v>35</v>
      </c>
      <c r="T8268" s="1" t="s">
        <v>5618</v>
      </c>
      <c r="U8268" s="1" t="str">
        <f>HYPERLINK("http://ictvonline.org/taxonomy/p/taxonomy-history?taxnode_id=202107252","ICTVonline=202107252")</f>
        <v>ICTVonline=202107252</v>
      </c>
    </row>
    <row r="8269" spans="1:21" x14ac:dyDescent="0.2">
      <c r="A8269" s="3">
        <v>8268</v>
      </c>
      <c r="B8269" s="1" t="s">
        <v>4226</v>
      </c>
      <c r="D8269" s="1" t="s">
        <v>5412</v>
      </c>
      <c r="F8269" s="1" t="s">
        <v>3981</v>
      </c>
      <c r="G8269" s="1" t="s">
        <v>4003</v>
      </c>
      <c r="H8269" s="1" t="s">
        <v>4004</v>
      </c>
      <c r="J8269" s="1" t="s">
        <v>3109</v>
      </c>
      <c r="L8269" s="1" t="s">
        <v>4371</v>
      </c>
      <c r="N8269" s="1" t="s">
        <v>4372</v>
      </c>
      <c r="P8269" s="1" t="s">
        <v>5634</v>
      </c>
      <c r="Q8269" s="30" t="s">
        <v>2821</v>
      </c>
      <c r="R8269" s="33" t="s">
        <v>3473</v>
      </c>
      <c r="S8269">
        <v>35</v>
      </c>
      <c r="T8269" s="1" t="s">
        <v>5482</v>
      </c>
      <c r="U8269" s="1" t="str">
        <f>HYPERLINK("http://ictvonline.org/taxonomy/p/taxonomy-history?taxnode_id=202100187","ICTVonline=202100187")</f>
        <v>ICTVonline=202100187</v>
      </c>
    </row>
    <row r="8270" spans="1:21" x14ac:dyDescent="0.2">
      <c r="A8270" s="3">
        <v>8269</v>
      </c>
      <c r="B8270" s="1" t="s">
        <v>4226</v>
      </c>
      <c r="D8270" s="1" t="s">
        <v>5412</v>
      </c>
      <c r="F8270" s="1" t="s">
        <v>3981</v>
      </c>
      <c r="G8270" s="1" t="s">
        <v>4003</v>
      </c>
      <c r="H8270" s="1" t="s">
        <v>4004</v>
      </c>
      <c r="J8270" s="1" t="s">
        <v>3109</v>
      </c>
      <c r="L8270" s="1" t="s">
        <v>4371</v>
      </c>
      <c r="N8270" s="1" t="s">
        <v>4372</v>
      </c>
      <c r="P8270" s="1" t="s">
        <v>5635</v>
      </c>
      <c r="Q8270" s="30" t="s">
        <v>2821</v>
      </c>
      <c r="R8270" s="33" t="s">
        <v>3473</v>
      </c>
      <c r="S8270">
        <v>35</v>
      </c>
      <c r="T8270" s="1" t="s">
        <v>5482</v>
      </c>
      <c r="U8270" s="1" t="str">
        <f>HYPERLINK("http://ictvonline.org/taxonomy/p/taxonomy-history?taxnode_id=202100188","ICTVonline=202100188")</f>
        <v>ICTVonline=202100188</v>
      </c>
    </row>
    <row r="8271" spans="1:21" x14ac:dyDescent="0.2">
      <c r="A8271" s="3">
        <v>8270</v>
      </c>
      <c r="B8271" s="1" t="s">
        <v>4226</v>
      </c>
      <c r="D8271" s="1" t="s">
        <v>5412</v>
      </c>
      <c r="F8271" s="1" t="s">
        <v>3981</v>
      </c>
      <c r="G8271" s="1" t="s">
        <v>4003</v>
      </c>
      <c r="H8271" s="1" t="s">
        <v>4004</v>
      </c>
      <c r="J8271" s="1" t="s">
        <v>3109</v>
      </c>
      <c r="L8271" s="1" t="s">
        <v>4371</v>
      </c>
      <c r="N8271" s="1" t="s">
        <v>4372</v>
      </c>
      <c r="P8271" s="1" t="s">
        <v>5636</v>
      </c>
      <c r="Q8271" s="30" t="s">
        <v>2821</v>
      </c>
      <c r="R8271" s="33" t="s">
        <v>3473</v>
      </c>
      <c r="S8271">
        <v>35</v>
      </c>
      <c r="T8271" s="1" t="s">
        <v>5482</v>
      </c>
      <c r="U8271" s="1" t="str">
        <f>HYPERLINK("http://ictvonline.org/taxonomy/p/taxonomy-history?taxnode_id=202100189","ICTVonline=202100189")</f>
        <v>ICTVonline=202100189</v>
      </c>
    </row>
    <row r="8272" spans="1:21" x14ac:dyDescent="0.2">
      <c r="A8272" s="3">
        <v>8271</v>
      </c>
      <c r="B8272" s="1" t="s">
        <v>4226</v>
      </c>
      <c r="D8272" s="1" t="s">
        <v>5412</v>
      </c>
      <c r="F8272" s="1" t="s">
        <v>3981</v>
      </c>
      <c r="G8272" s="1" t="s">
        <v>4003</v>
      </c>
      <c r="H8272" s="1" t="s">
        <v>4004</v>
      </c>
      <c r="J8272" s="1" t="s">
        <v>3109</v>
      </c>
      <c r="L8272" s="1" t="s">
        <v>13553</v>
      </c>
      <c r="N8272" s="1" t="s">
        <v>13554</v>
      </c>
      <c r="P8272" s="1" t="s">
        <v>13555</v>
      </c>
      <c r="Q8272" s="30" t="s">
        <v>2566</v>
      </c>
      <c r="R8272" s="33" t="s">
        <v>3472</v>
      </c>
      <c r="S8272">
        <v>37</v>
      </c>
      <c r="T8272" s="1" t="s">
        <v>14036</v>
      </c>
      <c r="U8272" s="1" t="str">
        <f>HYPERLINK("http://ictvonline.org/taxonomy/p/taxonomy-history?taxnode_id=202112961","ICTVonline=202112961")</f>
        <v>ICTVonline=202112961</v>
      </c>
    </row>
    <row r="8273" spans="1:21" x14ac:dyDescent="0.2">
      <c r="A8273" s="3">
        <v>8272</v>
      </c>
      <c r="B8273" s="1" t="s">
        <v>4226</v>
      </c>
      <c r="D8273" s="1" t="s">
        <v>5412</v>
      </c>
      <c r="F8273" s="1" t="s">
        <v>3981</v>
      </c>
      <c r="G8273" s="1" t="s">
        <v>4003</v>
      </c>
      <c r="H8273" s="1" t="s">
        <v>4004</v>
      </c>
      <c r="J8273" s="1" t="s">
        <v>3109</v>
      </c>
      <c r="L8273" s="1" t="s">
        <v>4041</v>
      </c>
      <c r="N8273" s="1" t="s">
        <v>4042</v>
      </c>
      <c r="P8273" s="1" t="s">
        <v>13556</v>
      </c>
      <c r="Q8273" s="30" t="s">
        <v>2566</v>
      </c>
      <c r="R8273" s="33" t="s">
        <v>3475</v>
      </c>
      <c r="S8273">
        <v>37</v>
      </c>
      <c r="T8273" s="1" t="s">
        <v>14005</v>
      </c>
      <c r="U8273" s="1" t="str">
        <f>HYPERLINK("http://ictvonline.org/taxonomy/p/taxonomy-history?taxnode_id=202106242","ICTVonline=202106242")</f>
        <v>ICTVonline=202106242</v>
      </c>
    </row>
    <row r="8274" spans="1:21" x14ac:dyDescent="0.2">
      <c r="A8274" s="3">
        <v>8273</v>
      </c>
      <c r="B8274" s="1" t="s">
        <v>4226</v>
      </c>
      <c r="D8274" s="1" t="s">
        <v>5412</v>
      </c>
      <c r="F8274" s="1" t="s">
        <v>3981</v>
      </c>
      <c r="G8274" s="1" t="s">
        <v>4003</v>
      </c>
      <c r="H8274" s="1" t="s">
        <v>4043</v>
      </c>
      <c r="J8274" s="1" t="s">
        <v>4044</v>
      </c>
      <c r="L8274" s="1" t="s">
        <v>4045</v>
      </c>
      <c r="N8274" s="1" t="s">
        <v>3468</v>
      </c>
      <c r="P8274" s="1" t="s">
        <v>13557</v>
      </c>
      <c r="Q8274" s="30" t="s">
        <v>2566</v>
      </c>
      <c r="R8274" s="33" t="s">
        <v>3475</v>
      </c>
      <c r="S8274">
        <v>37</v>
      </c>
      <c r="T8274" s="1" t="s">
        <v>14005</v>
      </c>
      <c r="U8274" s="1" t="str">
        <f>HYPERLINK("http://ictvonline.org/taxonomy/p/taxonomy-history?taxnode_id=202105391","ICTVonline=202105391")</f>
        <v>ICTVonline=202105391</v>
      </c>
    </row>
    <row r="8275" spans="1:21" x14ac:dyDescent="0.2">
      <c r="A8275" s="3">
        <v>8274</v>
      </c>
      <c r="B8275" s="1" t="s">
        <v>4226</v>
      </c>
      <c r="D8275" s="1" t="s">
        <v>5412</v>
      </c>
      <c r="F8275" s="1" t="s">
        <v>3981</v>
      </c>
      <c r="G8275" s="1" t="s">
        <v>4003</v>
      </c>
      <c r="H8275" s="1" t="s">
        <v>4043</v>
      </c>
      <c r="J8275" s="1" t="s">
        <v>4044</v>
      </c>
      <c r="L8275" s="1" t="s">
        <v>1511</v>
      </c>
      <c r="N8275" s="1" t="s">
        <v>3891</v>
      </c>
      <c r="P8275" s="1" t="s">
        <v>13558</v>
      </c>
      <c r="Q8275" s="30" t="s">
        <v>2566</v>
      </c>
      <c r="R8275" s="33" t="s">
        <v>3475</v>
      </c>
      <c r="S8275">
        <v>37</v>
      </c>
      <c r="T8275" s="1" t="s">
        <v>14050</v>
      </c>
      <c r="U8275" s="1" t="str">
        <f>HYPERLINK("http://ictvonline.org/taxonomy/p/taxonomy-history?taxnode_id=202103956","ICTVonline=202103956")</f>
        <v>ICTVonline=202103956</v>
      </c>
    </row>
    <row r="8276" spans="1:21" x14ac:dyDescent="0.2">
      <c r="A8276" s="3">
        <v>8275</v>
      </c>
      <c r="B8276" s="1" t="s">
        <v>4226</v>
      </c>
      <c r="D8276" s="1" t="s">
        <v>5412</v>
      </c>
      <c r="F8276" s="1" t="s">
        <v>3981</v>
      </c>
      <c r="G8276" s="1" t="s">
        <v>4003</v>
      </c>
      <c r="H8276" s="1" t="s">
        <v>4043</v>
      </c>
      <c r="J8276" s="1" t="s">
        <v>4044</v>
      </c>
      <c r="L8276" s="1" t="s">
        <v>1511</v>
      </c>
      <c r="N8276" s="1" t="s">
        <v>3892</v>
      </c>
      <c r="P8276" s="1" t="s">
        <v>13559</v>
      </c>
      <c r="Q8276" s="30" t="s">
        <v>2566</v>
      </c>
      <c r="R8276" s="33" t="s">
        <v>3475</v>
      </c>
      <c r="S8276">
        <v>37</v>
      </c>
      <c r="T8276" s="1" t="s">
        <v>14050</v>
      </c>
      <c r="U8276" s="1" t="str">
        <f>HYPERLINK("http://ictvonline.org/taxonomy/p/taxonomy-history?taxnode_id=202103958","ICTVonline=202103958")</f>
        <v>ICTVonline=202103958</v>
      </c>
    </row>
    <row r="8277" spans="1:21" x14ac:dyDescent="0.2">
      <c r="A8277" s="3">
        <v>8276</v>
      </c>
      <c r="B8277" s="1" t="s">
        <v>4226</v>
      </c>
      <c r="D8277" s="1" t="s">
        <v>5412</v>
      </c>
      <c r="F8277" s="1" t="s">
        <v>3981</v>
      </c>
      <c r="G8277" s="1" t="s">
        <v>4003</v>
      </c>
      <c r="H8277" s="1" t="s">
        <v>4043</v>
      </c>
      <c r="J8277" s="1" t="s">
        <v>4044</v>
      </c>
      <c r="L8277" s="1" t="s">
        <v>1511</v>
      </c>
      <c r="N8277" s="1" t="s">
        <v>3893</v>
      </c>
      <c r="P8277" s="1" t="s">
        <v>13560</v>
      </c>
      <c r="Q8277" s="30" t="s">
        <v>2566</v>
      </c>
      <c r="R8277" s="33" t="s">
        <v>3475</v>
      </c>
      <c r="S8277">
        <v>37</v>
      </c>
      <c r="T8277" s="1" t="s">
        <v>14050</v>
      </c>
      <c r="U8277" s="1" t="str">
        <f>HYPERLINK("http://ictvonline.org/taxonomy/p/taxonomy-history?taxnode_id=202103962","ICTVonline=202103962")</f>
        <v>ICTVonline=202103962</v>
      </c>
    </row>
    <row r="8278" spans="1:21" x14ac:dyDescent="0.2">
      <c r="A8278" s="3">
        <v>8277</v>
      </c>
      <c r="B8278" s="1" t="s">
        <v>4226</v>
      </c>
      <c r="D8278" s="1" t="s">
        <v>5412</v>
      </c>
      <c r="F8278" s="1" t="s">
        <v>3981</v>
      </c>
      <c r="G8278" s="1" t="s">
        <v>4003</v>
      </c>
      <c r="H8278" s="1" t="s">
        <v>4043</v>
      </c>
      <c r="J8278" s="1" t="s">
        <v>4044</v>
      </c>
      <c r="L8278" s="1" t="s">
        <v>1511</v>
      </c>
      <c r="N8278" s="1" t="s">
        <v>3894</v>
      </c>
      <c r="P8278" s="1" t="s">
        <v>13561</v>
      </c>
      <c r="Q8278" s="30" t="s">
        <v>2566</v>
      </c>
      <c r="R8278" s="33" t="s">
        <v>3475</v>
      </c>
      <c r="S8278">
        <v>37</v>
      </c>
      <c r="T8278" s="1" t="s">
        <v>14050</v>
      </c>
      <c r="U8278" s="1" t="str">
        <f>HYPERLINK("http://ictvonline.org/taxonomy/p/taxonomy-history?taxnode_id=202103960","ICTVonline=202103960")</f>
        <v>ICTVonline=202103960</v>
      </c>
    </row>
    <row r="8279" spans="1:21" x14ac:dyDescent="0.2">
      <c r="A8279" s="3">
        <v>8278</v>
      </c>
      <c r="B8279" s="1" t="s">
        <v>4226</v>
      </c>
      <c r="D8279" s="1" t="s">
        <v>5412</v>
      </c>
      <c r="F8279" s="1" t="s">
        <v>3981</v>
      </c>
      <c r="G8279" s="1" t="s">
        <v>4003</v>
      </c>
      <c r="H8279" s="1" t="s">
        <v>4043</v>
      </c>
      <c r="J8279" s="1" t="s">
        <v>4044</v>
      </c>
      <c r="L8279" s="1" t="s">
        <v>1511</v>
      </c>
      <c r="N8279" s="1" t="s">
        <v>783</v>
      </c>
      <c r="P8279" s="1" t="s">
        <v>13562</v>
      </c>
      <c r="Q8279" s="30" t="s">
        <v>2566</v>
      </c>
      <c r="R8279" s="33" t="s">
        <v>3475</v>
      </c>
      <c r="S8279">
        <v>37</v>
      </c>
      <c r="T8279" s="1" t="s">
        <v>14050</v>
      </c>
      <c r="U8279" s="1" t="str">
        <f>HYPERLINK("http://ictvonline.org/taxonomy/p/taxonomy-history?taxnode_id=202103964","ICTVonline=202103964")</f>
        <v>ICTVonline=202103964</v>
      </c>
    </row>
    <row r="8280" spans="1:21" x14ac:dyDescent="0.2">
      <c r="A8280" s="3">
        <v>8279</v>
      </c>
      <c r="B8280" s="1" t="s">
        <v>4226</v>
      </c>
      <c r="D8280" s="1" t="s">
        <v>5412</v>
      </c>
      <c r="F8280" s="1" t="s">
        <v>3981</v>
      </c>
      <c r="G8280" s="1" t="s">
        <v>4003</v>
      </c>
      <c r="H8280" s="1" t="s">
        <v>4043</v>
      </c>
      <c r="J8280" s="1" t="s">
        <v>4044</v>
      </c>
      <c r="L8280" s="1" t="s">
        <v>1511</v>
      </c>
      <c r="N8280" s="1" t="s">
        <v>13563</v>
      </c>
      <c r="P8280" s="1" t="s">
        <v>13564</v>
      </c>
      <c r="Q8280" s="30" t="s">
        <v>2566</v>
      </c>
      <c r="R8280" s="33" t="s">
        <v>3472</v>
      </c>
      <c r="S8280">
        <v>37</v>
      </c>
      <c r="T8280" s="1" t="s">
        <v>14051</v>
      </c>
      <c r="U8280" s="1" t="str">
        <f>HYPERLINK("http://ictvonline.org/taxonomy/p/taxonomy-history?taxnode_id=202112228","ICTVonline=202112228")</f>
        <v>ICTVonline=202112228</v>
      </c>
    </row>
    <row r="8281" spans="1:21" x14ac:dyDescent="0.2">
      <c r="A8281" s="3">
        <v>8280</v>
      </c>
      <c r="B8281" s="1" t="s">
        <v>4226</v>
      </c>
      <c r="D8281" s="1" t="s">
        <v>5412</v>
      </c>
      <c r="F8281" s="1" t="s">
        <v>3981</v>
      </c>
      <c r="G8281" s="1" t="s">
        <v>4003</v>
      </c>
      <c r="H8281" s="1" t="s">
        <v>4043</v>
      </c>
      <c r="J8281" s="1" t="s">
        <v>4044</v>
      </c>
      <c r="L8281" s="1" t="s">
        <v>1511</v>
      </c>
      <c r="N8281" s="1" t="s">
        <v>2119</v>
      </c>
      <c r="P8281" s="1" t="s">
        <v>13565</v>
      </c>
      <c r="Q8281" s="30" t="s">
        <v>2566</v>
      </c>
      <c r="R8281" s="33" t="s">
        <v>3472</v>
      </c>
      <c r="S8281">
        <v>37</v>
      </c>
      <c r="T8281" s="1" t="s">
        <v>14052</v>
      </c>
      <c r="U8281" s="1" t="str">
        <f>HYPERLINK("http://ictvonline.org/taxonomy/p/taxonomy-history?taxnode_id=202112244","ICTVonline=202112244")</f>
        <v>ICTVonline=202112244</v>
      </c>
    </row>
    <row r="8282" spans="1:21" x14ac:dyDescent="0.2">
      <c r="A8282" s="3">
        <v>8281</v>
      </c>
      <c r="B8282" s="1" t="s">
        <v>4226</v>
      </c>
      <c r="D8282" s="1" t="s">
        <v>5412</v>
      </c>
      <c r="F8282" s="1" t="s">
        <v>3981</v>
      </c>
      <c r="G8282" s="1" t="s">
        <v>4003</v>
      </c>
      <c r="H8282" s="1" t="s">
        <v>4043</v>
      </c>
      <c r="J8282" s="1" t="s">
        <v>4044</v>
      </c>
      <c r="L8282" s="1" t="s">
        <v>1511</v>
      </c>
      <c r="N8282" s="1" t="s">
        <v>2119</v>
      </c>
      <c r="P8282" s="1" t="s">
        <v>13566</v>
      </c>
      <c r="Q8282" s="30" t="s">
        <v>2566</v>
      </c>
      <c r="R8282" s="33" t="s">
        <v>3472</v>
      </c>
      <c r="S8282">
        <v>37</v>
      </c>
      <c r="T8282" s="1" t="s">
        <v>14052</v>
      </c>
      <c r="U8282" s="1" t="str">
        <f>HYPERLINK("http://ictvonline.org/taxonomy/p/taxonomy-history?taxnode_id=202112245","ICTVonline=202112245")</f>
        <v>ICTVonline=202112245</v>
      </c>
    </row>
    <row r="8283" spans="1:21" x14ac:dyDescent="0.2">
      <c r="A8283" s="3">
        <v>8282</v>
      </c>
      <c r="B8283" s="1" t="s">
        <v>4226</v>
      </c>
      <c r="D8283" s="1" t="s">
        <v>5412</v>
      </c>
      <c r="F8283" s="1" t="s">
        <v>3981</v>
      </c>
      <c r="G8283" s="1" t="s">
        <v>4003</v>
      </c>
      <c r="H8283" s="1" t="s">
        <v>4043</v>
      </c>
      <c r="J8283" s="1" t="s">
        <v>4044</v>
      </c>
      <c r="L8283" s="1" t="s">
        <v>1511</v>
      </c>
      <c r="N8283" s="1" t="s">
        <v>2119</v>
      </c>
      <c r="P8283" s="1" t="s">
        <v>13567</v>
      </c>
      <c r="Q8283" s="30" t="s">
        <v>2566</v>
      </c>
      <c r="R8283" s="33" t="s">
        <v>3475</v>
      </c>
      <c r="S8283">
        <v>37</v>
      </c>
      <c r="T8283" s="1" t="s">
        <v>14050</v>
      </c>
      <c r="U8283" s="1" t="str">
        <f>HYPERLINK("http://ictvonline.org/taxonomy/p/taxonomy-history?taxnode_id=202103966","ICTVonline=202103966")</f>
        <v>ICTVonline=202103966</v>
      </c>
    </row>
    <row r="8284" spans="1:21" x14ac:dyDescent="0.2">
      <c r="A8284" s="3">
        <v>8283</v>
      </c>
      <c r="B8284" s="1" t="s">
        <v>4226</v>
      </c>
      <c r="D8284" s="1" t="s">
        <v>5412</v>
      </c>
      <c r="F8284" s="1" t="s">
        <v>3981</v>
      </c>
      <c r="G8284" s="1" t="s">
        <v>4003</v>
      </c>
      <c r="H8284" s="1" t="s">
        <v>4043</v>
      </c>
      <c r="J8284" s="1" t="s">
        <v>4044</v>
      </c>
      <c r="L8284" s="1" t="s">
        <v>1511</v>
      </c>
      <c r="N8284" s="1" t="s">
        <v>2119</v>
      </c>
      <c r="P8284" s="1" t="s">
        <v>13568</v>
      </c>
      <c r="Q8284" s="30" t="s">
        <v>2566</v>
      </c>
      <c r="R8284" s="33" t="s">
        <v>3475</v>
      </c>
      <c r="S8284">
        <v>37</v>
      </c>
      <c r="T8284" s="1" t="s">
        <v>14050</v>
      </c>
      <c r="U8284" s="1" t="str">
        <f>HYPERLINK("http://ictvonline.org/taxonomy/p/taxonomy-history?taxnode_id=202103967","ICTVonline=202103967")</f>
        <v>ICTVonline=202103967</v>
      </c>
    </row>
    <row r="8285" spans="1:21" x14ac:dyDescent="0.2">
      <c r="A8285" s="3">
        <v>8284</v>
      </c>
      <c r="B8285" s="1" t="s">
        <v>4226</v>
      </c>
      <c r="D8285" s="1" t="s">
        <v>5412</v>
      </c>
      <c r="F8285" s="1" t="s">
        <v>3981</v>
      </c>
      <c r="G8285" s="1" t="s">
        <v>4003</v>
      </c>
      <c r="H8285" s="1" t="s">
        <v>4043</v>
      </c>
      <c r="J8285" s="1" t="s">
        <v>4044</v>
      </c>
      <c r="L8285" s="1" t="s">
        <v>1511</v>
      </c>
      <c r="N8285" s="1" t="s">
        <v>2119</v>
      </c>
      <c r="P8285" s="1" t="s">
        <v>13569</v>
      </c>
      <c r="Q8285" s="30" t="s">
        <v>2566</v>
      </c>
      <c r="R8285" s="33" t="s">
        <v>3472</v>
      </c>
      <c r="S8285">
        <v>37</v>
      </c>
      <c r="T8285" s="1" t="s">
        <v>14052</v>
      </c>
      <c r="U8285" s="1" t="str">
        <f>HYPERLINK("http://ictvonline.org/taxonomy/p/taxonomy-history?taxnode_id=202112246","ICTVonline=202112246")</f>
        <v>ICTVonline=202112246</v>
      </c>
    </row>
    <row r="8286" spans="1:21" x14ac:dyDescent="0.2">
      <c r="A8286" s="3">
        <v>8285</v>
      </c>
      <c r="B8286" s="1" t="s">
        <v>4226</v>
      </c>
      <c r="D8286" s="1" t="s">
        <v>5412</v>
      </c>
      <c r="F8286" s="1" t="s">
        <v>3981</v>
      </c>
      <c r="G8286" s="1" t="s">
        <v>4003</v>
      </c>
      <c r="H8286" s="1" t="s">
        <v>4043</v>
      </c>
      <c r="J8286" s="1" t="s">
        <v>4044</v>
      </c>
      <c r="L8286" s="1" t="s">
        <v>1511</v>
      </c>
      <c r="N8286" s="1" t="s">
        <v>2119</v>
      </c>
      <c r="P8286" s="1" t="s">
        <v>13570</v>
      </c>
      <c r="Q8286" s="30" t="s">
        <v>2566</v>
      </c>
      <c r="R8286" s="33" t="s">
        <v>3472</v>
      </c>
      <c r="S8286">
        <v>37</v>
      </c>
      <c r="T8286" s="1" t="s">
        <v>14052</v>
      </c>
      <c r="U8286" s="1" t="str">
        <f>HYPERLINK("http://ictvonline.org/taxonomy/p/taxonomy-history?taxnode_id=202112247","ICTVonline=202112247")</f>
        <v>ICTVonline=202112247</v>
      </c>
    </row>
    <row r="8287" spans="1:21" x14ac:dyDescent="0.2">
      <c r="A8287" s="3">
        <v>8286</v>
      </c>
      <c r="B8287" s="1" t="s">
        <v>4226</v>
      </c>
      <c r="D8287" s="1" t="s">
        <v>5412</v>
      </c>
      <c r="F8287" s="1" t="s">
        <v>3981</v>
      </c>
      <c r="G8287" s="1" t="s">
        <v>4003</v>
      </c>
      <c r="H8287" s="1" t="s">
        <v>4043</v>
      </c>
      <c r="J8287" s="1" t="s">
        <v>4044</v>
      </c>
      <c r="L8287" s="1" t="s">
        <v>1511</v>
      </c>
      <c r="N8287" s="1" t="s">
        <v>13571</v>
      </c>
      <c r="P8287" s="1" t="s">
        <v>13572</v>
      </c>
      <c r="Q8287" s="30" t="s">
        <v>2566</v>
      </c>
      <c r="R8287" s="33" t="s">
        <v>3472</v>
      </c>
      <c r="S8287">
        <v>37</v>
      </c>
      <c r="T8287" s="1" t="s">
        <v>14053</v>
      </c>
      <c r="U8287" s="1" t="str">
        <f>HYPERLINK("http://ictvonline.org/taxonomy/p/taxonomy-history?taxnode_id=202112230","ICTVonline=202112230")</f>
        <v>ICTVonline=202112230</v>
      </c>
    </row>
    <row r="8288" spans="1:21" x14ac:dyDescent="0.2">
      <c r="A8288" s="3">
        <v>8287</v>
      </c>
      <c r="B8288" s="1" t="s">
        <v>4226</v>
      </c>
      <c r="D8288" s="1" t="s">
        <v>5412</v>
      </c>
      <c r="F8288" s="1" t="s">
        <v>3981</v>
      </c>
      <c r="G8288" s="1" t="s">
        <v>4003</v>
      </c>
      <c r="H8288" s="1" t="s">
        <v>4043</v>
      </c>
      <c r="J8288" s="1" t="s">
        <v>4044</v>
      </c>
      <c r="L8288" s="1" t="s">
        <v>1511</v>
      </c>
      <c r="N8288" s="1" t="s">
        <v>784</v>
      </c>
      <c r="P8288" s="1" t="s">
        <v>13573</v>
      </c>
      <c r="Q8288" s="30" t="s">
        <v>2566</v>
      </c>
      <c r="R8288" s="33" t="s">
        <v>3472</v>
      </c>
      <c r="S8288">
        <v>37</v>
      </c>
      <c r="T8288" s="1" t="s">
        <v>14054</v>
      </c>
      <c r="U8288" s="1" t="str">
        <f>HYPERLINK("http://ictvonline.org/taxonomy/p/taxonomy-history?taxnode_id=202112930","ICTVonline=202112930")</f>
        <v>ICTVonline=202112930</v>
      </c>
    </row>
    <row r="8289" spans="1:21" x14ac:dyDescent="0.2">
      <c r="A8289" s="3">
        <v>8288</v>
      </c>
      <c r="B8289" s="1" t="s">
        <v>4226</v>
      </c>
      <c r="D8289" s="1" t="s">
        <v>5412</v>
      </c>
      <c r="F8289" s="1" t="s">
        <v>3981</v>
      </c>
      <c r="G8289" s="1" t="s">
        <v>4003</v>
      </c>
      <c r="H8289" s="1" t="s">
        <v>4043</v>
      </c>
      <c r="J8289" s="1" t="s">
        <v>4044</v>
      </c>
      <c r="L8289" s="1" t="s">
        <v>1511</v>
      </c>
      <c r="N8289" s="1" t="s">
        <v>784</v>
      </c>
      <c r="P8289" s="1" t="s">
        <v>13574</v>
      </c>
      <c r="Q8289" s="30" t="s">
        <v>2566</v>
      </c>
      <c r="R8289" s="33" t="s">
        <v>3475</v>
      </c>
      <c r="S8289">
        <v>37</v>
      </c>
      <c r="T8289" s="1" t="s">
        <v>14050</v>
      </c>
      <c r="U8289" s="1" t="str">
        <f>HYPERLINK("http://ictvonline.org/taxonomy/p/taxonomy-history?taxnode_id=202103969","ICTVonline=202103969")</f>
        <v>ICTVonline=202103969</v>
      </c>
    </row>
    <row r="8290" spans="1:21" x14ac:dyDescent="0.2">
      <c r="A8290" s="3">
        <v>8289</v>
      </c>
      <c r="B8290" s="1" t="s">
        <v>4226</v>
      </c>
      <c r="D8290" s="1" t="s">
        <v>5412</v>
      </c>
      <c r="F8290" s="1" t="s">
        <v>3981</v>
      </c>
      <c r="G8290" s="1" t="s">
        <v>4003</v>
      </c>
      <c r="H8290" s="1" t="s">
        <v>4043</v>
      </c>
      <c r="J8290" s="1" t="s">
        <v>4044</v>
      </c>
      <c r="L8290" s="1" t="s">
        <v>1511</v>
      </c>
      <c r="N8290" s="1" t="s">
        <v>784</v>
      </c>
      <c r="P8290" s="1" t="s">
        <v>13575</v>
      </c>
      <c r="Q8290" s="30" t="s">
        <v>2566</v>
      </c>
      <c r="R8290" s="33" t="s">
        <v>3472</v>
      </c>
      <c r="S8290">
        <v>37</v>
      </c>
      <c r="T8290" s="1" t="s">
        <v>14054</v>
      </c>
      <c r="U8290" s="1" t="str">
        <f>HYPERLINK("http://ictvonline.org/taxonomy/p/taxonomy-history?taxnode_id=202112928","ICTVonline=202112928")</f>
        <v>ICTVonline=202112928</v>
      </c>
    </row>
    <row r="8291" spans="1:21" x14ac:dyDescent="0.2">
      <c r="A8291" s="3">
        <v>8290</v>
      </c>
      <c r="B8291" s="1" t="s">
        <v>4226</v>
      </c>
      <c r="D8291" s="1" t="s">
        <v>5412</v>
      </c>
      <c r="F8291" s="1" t="s">
        <v>3981</v>
      </c>
      <c r="G8291" s="1" t="s">
        <v>4003</v>
      </c>
      <c r="H8291" s="1" t="s">
        <v>4043</v>
      </c>
      <c r="J8291" s="1" t="s">
        <v>4044</v>
      </c>
      <c r="L8291" s="1" t="s">
        <v>1511</v>
      </c>
      <c r="N8291" s="1" t="s">
        <v>784</v>
      </c>
      <c r="P8291" s="1" t="s">
        <v>13576</v>
      </c>
      <c r="Q8291" s="30" t="s">
        <v>2566</v>
      </c>
      <c r="R8291" s="33" t="s">
        <v>3472</v>
      </c>
      <c r="S8291">
        <v>37</v>
      </c>
      <c r="T8291" s="1" t="s">
        <v>14054</v>
      </c>
      <c r="U8291" s="1" t="str">
        <f>HYPERLINK("http://ictvonline.org/taxonomy/p/taxonomy-history?taxnode_id=202112931","ICTVonline=202112931")</f>
        <v>ICTVonline=202112931</v>
      </c>
    </row>
    <row r="8292" spans="1:21" x14ac:dyDescent="0.2">
      <c r="A8292" s="3">
        <v>8291</v>
      </c>
      <c r="B8292" s="1" t="s">
        <v>4226</v>
      </c>
      <c r="D8292" s="1" t="s">
        <v>5412</v>
      </c>
      <c r="F8292" s="1" t="s">
        <v>3981</v>
      </c>
      <c r="G8292" s="1" t="s">
        <v>4003</v>
      </c>
      <c r="H8292" s="1" t="s">
        <v>4043</v>
      </c>
      <c r="J8292" s="1" t="s">
        <v>4044</v>
      </c>
      <c r="L8292" s="1" t="s">
        <v>1511</v>
      </c>
      <c r="N8292" s="1" t="s">
        <v>784</v>
      </c>
      <c r="P8292" s="1" t="s">
        <v>13577</v>
      </c>
      <c r="Q8292" s="30" t="s">
        <v>2566</v>
      </c>
      <c r="R8292" s="33" t="s">
        <v>3472</v>
      </c>
      <c r="S8292">
        <v>37</v>
      </c>
      <c r="T8292" s="1" t="s">
        <v>14054</v>
      </c>
      <c r="U8292" s="1" t="str">
        <f>HYPERLINK("http://ictvonline.org/taxonomy/p/taxonomy-history?taxnode_id=202112933","ICTVonline=202112933")</f>
        <v>ICTVonline=202112933</v>
      </c>
    </row>
    <row r="8293" spans="1:21" x14ac:dyDescent="0.2">
      <c r="A8293" s="3">
        <v>8292</v>
      </c>
      <c r="B8293" s="1" t="s">
        <v>4226</v>
      </c>
      <c r="D8293" s="1" t="s">
        <v>5412</v>
      </c>
      <c r="F8293" s="1" t="s">
        <v>3981</v>
      </c>
      <c r="G8293" s="1" t="s">
        <v>4003</v>
      </c>
      <c r="H8293" s="1" t="s">
        <v>4043</v>
      </c>
      <c r="J8293" s="1" t="s">
        <v>4044</v>
      </c>
      <c r="L8293" s="1" t="s">
        <v>1511</v>
      </c>
      <c r="N8293" s="1" t="s">
        <v>784</v>
      </c>
      <c r="P8293" s="1" t="s">
        <v>13578</v>
      </c>
      <c r="Q8293" s="30" t="s">
        <v>2566</v>
      </c>
      <c r="R8293" s="33" t="s">
        <v>3472</v>
      </c>
      <c r="S8293">
        <v>37</v>
      </c>
      <c r="T8293" s="1" t="s">
        <v>14054</v>
      </c>
      <c r="U8293" s="1" t="str">
        <f>HYPERLINK("http://ictvonline.org/taxonomy/p/taxonomy-history?taxnode_id=202112932","ICTVonline=202112932")</f>
        <v>ICTVonline=202112932</v>
      </c>
    </row>
    <row r="8294" spans="1:21" x14ac:dyDescent="0.2">
      <c r="A8294" s="3">
        <v>8293</v>
      </c>
      <c r="B8294" s="1" t="s">
        <v>4226</v>
      </c>
      <c r="D8294" s="1" t="s">
        <v>5412</v>
      </c>
      <c r="F8294" s="1" t="s">
        <v>3981</v>
      </c>
      <c r="G8294" s="1" t="s">
        <v>4003</v>
      </c>
      <c r="H8294" s="1" t="s">
        <v>4043</v>
      </c>
      <c r="J8294" s="1" t="s">
        <v>4044</v>
      </c>
      <c r="L8294" s="1" t="s">
        <v>1511</v>
      </c>
      <c r="N8294" s="1" t="s">
        <v>784</v>
      </c>
      <c r="P8294" s="1" t="s">
        <v>13579</v>
      </c>
      <c r="Q8294" s="30" t="s">
        <v>2566</v>
      </c>
      <c r="R8294" s="33" t="s">
        <v>3475</v>
      </c>
      <c r="S8294">
        <v>37</v>
      </c>
      <c r="T8294" s="1" t="s">
        <v>14050</v>
      </c>
      <c r="U8294" s="1" t="str">
        <f>HYPERLINK("http://ictvonline.org/taxonomy/p/taxonomy-history?taxnode_id=202103970","ICTVonline=202103970")</f>
        <v>ICTVonline=202103970</v>
      </c>
    </row>
    <row r="8295" spans="1:21" x14ac:dyDescent="0.2">
      <c r="A8295" s="3">
        <v>8294</v>
      </c>
      <c r="B8295" s="1" t="s">
        <v>4226</v>
      </c>
      <c r="D8295" s="1" t="s">
        <v>5412</v>
      </c>
      <c r="F8295" s="1" t="s">
        <v>3981</v>
      </c>
      <c r="G8295" s="1" t="s">
        <v>4003</v>
      </c>
      <c r="H8295" s="1" t="s">
        <v>4043</v>
      </c>
      <c r="J8295" s="1" t="s">
        <v>4044</v>
      </c>
      <c r="L8295" s="1" t="s">
        <v>1511</v>
      </c>
      <c r="N8295" s="1" t="s">
        <v>784</v>
      </c>
      <c r="P8295" s="1" t="s">
        <v>13580</v>
      </c>
      <c r="Q8295" s="30" t="s">
        <v>2566</v>
      </c>
      <c r="R8295" s="33" t="s">
        <v>3472</v>
      </c>
      <c r="S8295">
        <v>37</v>
      </c>
      <c r="T8295" s="1" t="s">
        <v>14054</v>
      </c>
      <c r="U8295" s="1" t="str">
        <f>HYPERLINK("http://ictvonline.org/taxonomy/p/taxonomy-history?taxnode_id=202112929","ICTVonline=202112929")</f>
        <v>ICTVonline=202112929</v>
      </c>
    </row>
    <row r="8296" spans="1:21" x14ac:dyDescent="0.2">
      <c r="A8296" s="3">
        <v>8295</v>
      </c>
      <c r="B8296" s="1" t="s">
        <v>4226</v>
      </c>
      <c r="D8296" s="1" t="s">
        <v>5412</v>
      </c>
      <c r="F8296" s="1" t="s">
        <v>5637</v>
      </c>
      <c r="H8296" s="1" t="s">
        <v>5638</v>
      </c>
      <c r="J8296" s="1" t="s">
        <v>5639</v>
      </c>
      <c r="L8296" s="1" t="s">
        <v>2217</v>
      </c>
      <c r="N8296" s="1" t="s">
        <v>2218</v>
      </c>
      <c r="P8296" s="1" t="s">
        <v>4436</v>
      </c>
      <c r="Q8296" s="30" t="s">
        <v>2569</v>
      </c>
      <c r="R8296" s="33" t="s">
        <v>3474</v>
      </c>
      <c r="S8296">
        <v>35</v>
      </c>
      <c r="T8296" s="1" t="s">
        <v>5416</v>
      </c>
      <c r="U8296" s="1" t="str">
        <f>HYPERLINK("http://ictvonline.org/taxonomy/p/taxonomy-history?taxnode_id=202106725","ICTVonline=202106725")</f>
        <v>ICTVonline=202106725</v>
      </c>
    </row>
    <row r="8297" spans="1:21" x14ac:dyDescent="0.2">
      <c r="A8297" s="3">
        <v>8296</v>
      </c>
      <c r="B8297" s="1" t="s">
        <v>4226</v>
      </c>
      <c r="D8297" s="1" t="s">
        <v>5412</v>
      </c>
      <c r="F8297" s="1" t="s">
        <v>5637</v>
      </c>
      <c r="H8297" s="1" t="s">
        <v>5638</v>
      </c>
      <c r="J8297" s="1" t="s">
        <v>5639</v>
      </c>
      <c r="L8297" s="1" t="s">
        <v>2217</v>
      </c>
      <c r="N8297" s="1" t="s">
        <v>2218</v>
      </c>
      <c r="P8297" s="1" t="s">
        <v>4437</v>
      </c>
      <c r="Q8297" s="30" t="s">
        <v>2569</v>
      </c>
      <c r="R8297" s="33" t="s">
        <v>3474</v>
      </c>
      <c r="S8297">
        <v>35</v>
      </c>
      <c r="T8297" s="1" t="s">
        <v>5416</v>
      </c>
      <c r="U8297" s="1" t="str">
        <f>HYPERLINK("http://ictvonline.org/taxonomy/p/taxonomy-history?taxnode_id=202106726","ICTVonline=202106726")</f>
        <v>ICTVonline=202106726</v>
      </c>
    </row>
    <row r="8298" spans="1:21" x14ac:dyDescent="0.2">
      <c r="A8298" s="3">
        <v>8297</v>
      </c>
      <c r="B8298" s="1" t="s">
        <v>4226</v>
      </c>
      <c r="D8298" s="1" t="s">
        <v>5412</v>
      </c>
      <c r="F8298" s="1" t="s">
        <v>5637</v>
      </c>
      <c r="H8298" s="1" t="s">
        <v>5638</v>
      </c>
      <c r="J8298" s="1" t="s">
        <v>5639</v>
      </c>
      <c r="L8298" s="1" t="s">
        <v>2217</v>
      </c>
      <c r="N8298" s="1" t="s">
        <v>2218</v>
      </c>
      <c r="P8298" s="1" t="s">
        <v>2219</v>
      </c>
      <c r="Q8298" s="30" t="s">
        <v>2569</v>
      </c>
      <c r="R8298" s="33" t="s">
        <v>3474</v>
      </c>
      <c r="S8298">
        <v>35</v>
      </c>
      <c r="T8298" s="1" t="s">
        <v>5416</v>
      </c>
      <c r="U8298" s="1" t="str">
        <f>HYPERLINK("http://ictvonline.org/taxonomy/p/taxonomy-history?taxnode_id=202102477","ICTVonline=202102477")</f>
        <v>ICTVonline=202102477</v>
      </c>
    </row>
    <row r="8299" spans="1:21" x14ac:dyDescent="0.2">
      <c r="A8299" s="3">
        <v>8298</v>
      </c>
      <c r="B8299" s="1" t="s">
        <v>4226</v>
      </c>
      <c r="D8299" s="1" t="s">
        <v>5412</v>
      </c>
      <c r="F8299" s="1" t="s">
        <v>5637</v>
      </c>
      <c r="H8299" s="1" t="s">
        <v>5638</v>
      </c>
      <c r="J8299" s="1" t="s">
        <v>5639</v>
      </c>
      <c r="L8299" s="1" t="s">
        <v>2217</v>
      </c>
      <c r="N8299" s="1" t="s">
        <v>2218</v>
      </c>
      <c r="P8299" s="1" t="s">
        <v>2220</v>
      </c>
      <c r="Q8299" s="30" t="s">
        <v>2569</v>
      </c>
      <c r="R8299" s="33" t="s">
        <v>3474</v>
      </c>
      <c r="S8299">
        <v>35</v>
      </c>
      <c r="T8299" s="1" t="s">
        <v>5416</v>
      </c>
      <c r="U8299" s="1" t="str">
        <f>HYPERLINK("http://ictvonline.org/taxonomy/p/taxonomy-history?taxnode_id=202102478","ICTVonline=202102478")</f>
        <v>ICTVonline=202102478</v>
      </c>
    </row>
    <row r="8300" spans="1:21" x14ac:dyDescent="0.2">
      <c r="A8300" s="3">
        <v>8299</v>
      </c>
      <c r="B8300" s="1" t="s">
        <v>4226</v>
      </c>
      <c r="D8300" s="1" t="s">
        <v>5412</v>
      </c>
      <c r="F8300" s="1" t="s">
        <v>5637</v>
      </c>
      <c r="H8300" s="1" t="s">
        <v>5638</v>
      </c>
      <c r="J8300" s="1" t="s">
        <v>5639</v>
      </c>
      <c r="L8300" s="1" t="s">
        <v>2217</v>
      </c>
      <c r="N8300" s="1" t="s">
        <v>2218</v>
      </c>
      <c r="P8300" s="1" t="s">
        <v>2221</v>
      </c>
      <c r="Q8300" s="30" t="s">
        <v>2569</v>
      </c>
      <c r="R8300" s="33" t="s">
        <v>8665</v>
      </c>
      <c r="S8300">
        <v>36</v>
      </c>
      <c r="T8300" s="1" t="s">
        <v>8661</v>
      </c>
      <c r="U8300" s="1" t="str">
        <f>HYPERLINK("http://ictvonline.org/taxonomy/p/taxonomy-history?taxnode_id=202102479","ICTVonline=202102479")</f>
        <v>ICTVonline=202102479</v>
      </c>
    </row>
    <row r="8301" spans="1:21" x14ac:dyDescent="0.2">
      <c r="A8301" s="3">
        <v>8300</v>
      </c>
      <c r="B8301" s="1" t="s">
        <v>4226</v>
      </c>
      <c r="D8301" s="1" t="s">
        <v>5412</v>
      </c>
      <c r="F8301" s="1" t="s">
        <v>5637</v>
      </c>
      <c r="H8301" s="1" t="s">
        <v>5638</v>
      </c>
      <c r="J8301" s="1" t="s">
        <v>5639</v>
      </c>
      <c r="L8301" s="1" t="s">
        <v>2217</v>
      </c>
      <c r="N8301" s="1" t="s">
        <v>2218</v>
      </c>
      <c r="P8301" s="1" t="s">
        <v>4438</v>
      </c>
      <c r="Q8301" s="30" t="s">
        <v>2569</v>
      </c>
      <c r="R8301" s="33" t="s">
        <v>3474</v>
      </c>
      <c r="S8301">
        <v>35</v>
      </c>
      <c r="T8301" s="1" t="s">
        <v>5416</v>
      </c>
      <c r="U8301" s="1" t="str">
        <f>HYPERLINK("http://ictvonline.org/taxonomy/p/taxonomy-history?taxnode_id=202106727","ICTVonline=202106727")</f>
        <v>ICTVonline=202106727</v>
      </c>
    </row>
    <row r="8302" spans="1:21" x14ac:dyDescent="0.2">
      <c r="A8302" s="3">
        <v>8301</v>
      </c>
      <c r="B8302" s="1" t="s">
        <v>4226</v>
      </c>
      <c r="D8302" s="1" t="s">
        <v>5412</v>
      </c>
      <c r="F8302" s="1" t="s">
        <v>5637</v>
      </c>
      <c r="H8302" s="1" t="s">
        <v>5638</v>
      </c>
      <c r="J8302" s="1" t="s">
        <v>5639</v>
      </c>
      <c r="L8302" s="1" t="s">
        <v>2217</v>
      </c>
      <c r="N8302" s="1" t="s">
        <v>2218</v>
      </c>
      <c r="P8302" s="1" t="s">
        <v>2222</v>
      </c>
      <c r="Q8302" s="30" t="s">
        <v>2569</v>
      </c>
      <c r="R8302" s="33" t="s">
        <v>3474</v>
      </c>
      <c r="S8302">
        <v>35</v>
      </c>
      <c r="T8302" s="1" t="s">
        <v>5416</v>
      </c>
      <c r="U8302" s="1" t="str">
        <f>HYPERLINK("http://ictvonline.org/taxonomy/p/taxonomy-history?taxnode_id=202102480","ICTVonline=202102480")</f>
        <v>ICTVonline=202102480</v>
      </c>
    </row>
    <row r="8303" spans="1:21" x14ac:dyDescent="0.2">
      <c r="A8303" s="3">
        <v>8302</v>
      </c>
      <c r="B8303" s="1" t="s">
        <v>4226</v>
      </c>
      <c r="D8303" s="1" t="s">
        <v>5412</v>
      </c>
      <c r="F8303" s="1" t="s">
        <v>5637</v>
      </c>
      <c r="H8303" s="1" t="s">
        <v>5638</v>
      </c>
      <c r="J8303" s="1" t="s">
        <v>5639</v>
      </c>
      <c r="L8303" s="1" t="s">
        <v>2217</v>
      </c>
      <c r="N8303" s="1" t="s">
        <v>2218</v>
      </c>
      <c r="P8303" s="1" t="s">
        <v>4439</v>
      </c>
      <c r="Q8303" s="30" t="s">
        <v>2569</v>
      </c>
      <c r="R8303" s="33" t="s">
        <v>3474</v>
      </c>
      <c r="S8303">
        <v>35</v>
      </c>
      <c r="T8303" s="1" t="s">
        <v>5416</v>
      </c>
      <c r="U8303" s="1" t="str">
        <f>HYPERLINK("http://ictvonline.org/taxonomy/p/taxonomy-history?taxnode_id=202106728","ICTVonline=202106728")</f>
        <v>ICTVonline=202106728</v>
      </c>
    </row>
    <row r="8304" spans="1:21" x14ac:dyDescent="0.2">
      <c r="A8304" s="3">
        <v>8303</v>
      </c>
      <c r="B8304" s="1" t="s">
        <v>4226</v>
      </c>
      <c r="D8304" s="1" t="s">
        <v>5412</v>
      </c>
      <c r="F8304" s="1" t="s">
        <v>5637</v>
      </c>
      <c r="H8304" s="1" t="s">
        <v>5638</v>
      </c>
      <c r="J8304" s="1" t="s">
        <v>5639</v>
      </c>
      <c r="L8304" s="1" t="s">
        <v>2217</v>
      </c>
      <c r="N8304" s="1" t="s">
        <v>2218</v>
      </c>
      <c r="P8304" s="1" t="s">
        <v>4440</v>
      </c>
      <c r="Q8304" s="30" t="s">
        <v>2569</v>
      </c>
      <c r="R8304" s="33" t="s">
        <v>3474</v>
      </c>
      <c r="S8304">
        <v>35</v>
      </c>
      <c r="T8304" s="1" t="s">
        <v>5416</v>
      </c>
      <c r="U8304" s="1" t="str">
        <f>HYPERLINK("http://ictvonline.org/taxonomy/p/taxonomy-history?taxnode_id=202106729","ICTVonline=202106729")</f>
        <v>ICTVonline=202106729</v>
      </c>
    </row>
    <row r="8305" spans="1:21" x14ac:dyDescent="0.2">
      <c r="A8305" s="3">
        <v>8304</v>
      </c>
      <c r="B8305" s="1" t="s">
        <v>4226</v>
      </c>
      <c r="D8305" s="1" t="s">
        <v>5412</v>
      </c>
      <c r="F8305" s="1" t="s">
        <v>5637</v>
      </c>
      <c r="H8305" s="1" t="s">
        <v>5638</v>
      </c>
      <c r="J8305" s="1" t="s">
        <v>5639</v>
      </c>
      <c r="L8305" s="1" t="s">
        <v>2217</v>
      </c>
      <c r="N8305" s="1" t="s">
        <v>4441</v>
      </c>
      <c r="P8305" s="1" t="s">
        <v>4442</v>
      </c>
      <c r="Q8305" s="30" t="s">
        <v>2569</v>
      </c>
      <c r="R8305" s="33" t="s">
        <v>8665</v>
      </c>
      <c r="S8305">
        <v>36</v>
      </c>
      <c r="T8305" s="1" t="s">
        <v>8661</v>
      </c>
      <c r="U8305" s="1" t="str">
        <f>HYPERLINK("http://ictvonline.org/taxonomy/p/taxonomy-history?taxnode_id=202106731","ICTVonline=202106731")</f>
        <v>ICTVonline=202106731</v>
      </c>
    </row>
    <row r="8306" spans="1:21" x14ac:dyDescent="0.2">
      <c r="A8306" s="3">
        <v>8305</v>
      </c>
      <c r="B8306" s="1" t="s">
        <v>4226</v>
      </c>
      <c r="D8306" s="1" t="s">
        <v>5412</v>
      </c>
      <c r="F8306" s="1" t="s">
        <v>5637</v>
      </c>
      <c r="H8306" s="1" t="s">
        <v>5638</v>
      </c>
      <c r="J8306" s="1" t="s">
        <v>5639</v>
      </c>
      <c r="L8306" s="1" t="s">
        <v>8304</v>
      </c>
      <c r="N8306" s="1" t="s">
        <v>8305</v>
      </c>
      <c r="P8306" s="1" t="s">
        <v>8306</v>
      </c>
      <c r="Q8306" s="30" t="s">
        <v>2569</v>
      </c>
      <c r="R8306" s="33" t="s">
        <v>3472</v>
      </c>
      <c r="S8306">
        <v>36</v>
      </c>
      <c r="T8306" s="1" t="s">
        <v>8307</v>
      </c>
      <c r="U8306" s="1" t="str">
        <f>HYPERLINK("http://ictvonline.org/taxonomy/p/taxonomy-history?taxnode_id=202108783","ICTVonline=202108783")</f>
        <v>ICTVonline=202108783</v>
      </c>
    </row>
    <row r="8307" spans="1:21" x14ac:dyDescent="0.2">
      <c r="A8307" s="3">
        <v>8306</v>
      </c>
      <c r="B8307" s="1" t="s">
        <v>4226</v>
      </c>
      <c r="D8307" s="1" t="s">
        <v>5412</v>
      </c>
      <c r="F8307" s="1" t="s">
        <v>5637</v>
      </c>
      <c r="H8307" s="1" t="s">
        <v>5638</v>
      </c>
      <c r="J8307" s="1" t="s">
        <v>5639</v>
      </c>
      <c r="L8307" s="1" t="s">
        <v>8304</v>
      </c>
      <c r="N8307" s="1" t="s">
        <v>8305</v>
      </c>
      <c r="P8307" s="1" t="s">
        <v>8308</v>
      </c>
      <c r="Q8307" s="30" t="s">
        <v>2569</v>
      </c>
      <c r="R8307" s="33" t="s">
        <v>3472</v>
      </c>
      <c r="S8307">
        <v>36</v>
      </c>
      <c r="T8307" s="1" t="s">
        <v>8307</v>
      </c>
      <c r="U8307" s="1" t="str">
        <f>HYPERLINK("http://ictvonline.org/taxonomy/p/taxonomy-history?taxnode_id=202108784","ICTVonline=202108784")</f>
        <v>ICTVonline=202108784</v>
      </c>
    </row>
    <row r="8308" spans="1:21" x14ac:dyDescent="0.2">
      <c r="A8308" s="3">
        <v>8307</v>
      </c>
      <c r="B8308" s="1" t="s">
        <v>4226</v>
      </c>
      <c r="D8308" s="1" t="s">
        <v>5412</v>
      </c>
      <c r="F8308" s="1" t="s">
        <v>5637</v>
      </c>
      <c r="H8308" s="1" t="s">
        <v>5638</v>
      </c>
      <c r="J8308" s="1" t="s">
        <v>5639</v>
      </c>
      <c r="L8308" s="1" t="s">
        <v>8304</v>
      </c>
      <c r="N8308" s="1" t="s">
        <v>8305</v>
      </c>
      <c r="P8308" s="1" t="s">
        <v>8309</v>
      </c>
      <c r="Q8308" s="30" t="s">
        <v>2569</v>
      </c>
      <c r="R8308" s="33" t="s">
        <v>3472</v>
      </c>
      <c r="S8308">
        <v>36</v>
      </c>
      <c r="T8308" s="1" t="s">
        <v>8307</v>
      </c>
      <c r="U8308" s="1" t="str">
        <f>HYPERLINK("http://ictvonline.org/taxonomy/p/taxonomy-history?taxnode_id=202108785","ICTVonline=202108785")</f>
        <v>ICTVonline=202108785</v>
      </c>
    </row>
    <row r="8309" spans="1:21" x14ac:dyDescent="0.2">
      <c r="A8309" s="3">
        <v>8308</v>
      </c>
      <c r="B8309" s="1" t="s">
        <v>4226</v>
      </c>
      <c r="D8309" s="1" t="s">
        <v>5412</v>
      </c>
      <c r="F8309" s="1" t="s">
        <v>5637</v>
      </c>
      <c r="H8309" s="1" t="s">
        <v>5638</v>
      </c>
      <c r="J8309" s="1" t="s">
        <v>5639</v>
      </c>
      <c r="L8309" s="1" t="s">
        <v>8304</v>
      </c>
      <c r="N8309" s="1" t="s">
        <v>8305</v>
      </c>
      <c r="P8309" s="1" t="s">
        <v>8310</v>
      </c>
      <c r="Q8309" s="30" t="s">
        <v>2569</v>
      </c>
      <c r="R8309" s="33" t="s">
        <v>3472</v>
      </c>
      <c r="S8309">
        <v>36</v>
      </c>
      <c r="T8309" s="1" t="s">
        <v>8307</v>
      </c>
      <c r="U8309" s="1" t="str">
        <f>HYPERLINK("http://ictvonline.org/taxonomy/p/taxonomy-history?taxnode_id=202108786","ICTVonline=202108786")</f>
        <v>ICTVonline=202108786</v>
      </c>
    </row>
    <row r="8310" spans="1:21" x14ac:dyDescent="0.2">
      <c r="A8310" s="3">
        <v>8309</v>
      </c>
      <c r="B8310" s="1" t="s">
        <v>4226</v>
      </c>
      <c r="D8310" s="1" t="s">
        <v>5412</v>
      </c>
      <c r="F8310" s="1" t="s">
        <v>5637</v>
      </c>
      <c r="H8310" s="1" t="s">
        <v>5638</v>
      </c>
      <c r="J8310" s="1" t="s">
        <v>5639</v>
      </c>
      <c r="L8310" s="1" t="s">
        <v>8304</v>
      </c>
      <c r="N8310" s="1" t="s">
        <v>8305</v>
      </c>
      <c r="P8310" s="1" t="s">
        <v>8311</v>
      </c>
      <c r="Q8310" s="30" t="s">
        <v>2569</v>
      </c>
      <c r="R8310" s="33" t="s">
        <v>3472</v>
      </c>
      <c r="S8310">
        <v>36</v>
      </c>
      <c r="T8310" s="1" t="s">
        <v>8307</v>
      </c>
      <c r="U8310" s="1" t="str">
        <f>HYPERLINK("http://ictvonline.org/taxonomy/p/taxonomy-history?taxnode_id=202108787","ICTVonline=202108787")</f>
        <v>ICTVonline=202108787</v>
      </c>
    </row>
    <row r="8311" spans="1:21" x14ac:dyDescent="0.2">
      <c r="A8311" s="3">
        <v>8310</v>
      </c>
      <c r="B8311" s="1" t="s">
        <v>4226</v>
      </c>
      <c r="D8311" s="1" t="s">
        <v>5412</v>
      </c>
      <c r="F8311" s="1" t="s">
        <v>5637</v>
      </c>
      <c r="H8311" s="1" t="s">
        <v>5638</v>
      </c>
      <c r="J8311" s="1" t="s">
        <v>5639</v>
      </c>
      <c r="L8311" s="1" t="s">
        <v>8304</v>
      </c>
      <c r="N8311" s="1" t="s">
        <v>8305</v>
      </c>
      <c r="P8311" s="1" t="s">
        <v>8312</v>
      </c>
      <c r="Q8311" s="30" t="s">
        <v>2569</v>
      </c>
      <c r="R8311" s="33" t="s">
        <v>3472</v>
      </c>
      <c r="S8311">
        <v>36</v>
      </c>
      <c r="T8311" s="1" t="s">
        <v>8307</v>
      </c>
      <c r="U8311" s="1" t="str">
        <f>HYPERLINK("http://ictvonline.org/taxonomy/p/taxonomy-history?taxnode_id=202108788","ICTVonline=202108788")</f>
        <v>ICTVonline=202108788</v>
      </c>
    </row>
    <row r="8312" spans="1:21" x14ac:dyDescent="0.2">
      <c r="A8312" s="3">
        <v>8311</v>
      </c>
      <c r="B8312" s="1" t="s">
        <v>4226</v>
      </c>
      <c r="D8312" s="1" t="s">
        <v>5412</v>
      </c>
      <c r="F8312" s="1" t="s">
        <v>5637</v>
      </c>
      <c r="H8312" s="1" t="s">
        <v>5638</v>
      </c>
      <c r="J8312" s="1" t="s">
        <v>5639</v>
      </c>
      <c r="L8312" s="1" t="s">
        <v>8304</v>
      </c>
      <c r="N8312" s="1" t="s">
        <v>8305</v>
      </c>
      <c r="P8312" s="1" t="s">
        <v>8313</v>
      </c>
      <c r="Q8312" s="30" t="s">
        <v>2569</v>
      </c>
      <c r="R8312" s="33" t="s">
        <v>3472</v>
      </c>
      <c r="S8312">
        <v>36</v>
      </c>
      <c r="T8312" s="1" t="s">
        <v>8307</v>
      </c>
      <c r="U8312" s="1" t="str">
        <f>HYPERLINK("http://ictvonline.org/taxonomy/p/taxonomy-history?taxnode_id=202108789","ICTVonline=202108789")</f>
        <v>ICTVonline=202108789</v>
      </c>
    </row>
    <row r="8313" spans="1:21" x14ac:dyDescent="0.2">
      <c r="A8313" s="3">
        <v>8312</v>
      </c>
      <c r="B8313" s="1" t="s">
        <v>4226</v>
      </c>
      <c r="D8313" s="1" t="s">
        <v>5412</v>
      </c>
      <c r="F8313" s="1" t="s">
        <v>5637</v>
      </c>
      <c r="H8313" s="1" t="s">
        <v>5638</v>
      </c>
      <c r="J8313" s="1" t="s">
        <v>5639</v>
      </c>
      <c r="L8313" s="1" t="s">
        <v>8304</v>
      </c>
      <c r="N8313" s="1" t="s">
        <v>8305</v>
      </c>
      <c r="P8313" s="1" t="s">
        <v>8314</v>
      </c>
      <c r="Q8313" s="30" t="s">
        <v>2569</v>
      </c>
      <c r="R8313" s="33" t="s">
        <v>3472</v>
      </c>
      <c r="S8313">
        <v>36</v>
      </c>
      <c r="T8313" s="1" t="s">
        <v>8307</v>
      </c>
      <c r="U8313" s="1" t="str">
        <f>HYPERLINK("http://ictvonline.org/taxonomy/p/taxonomy-history?taxnode_id=202108790","ICTVonline=202108790")</f>
        <v>ICTVonline=202108790</v>
      </c>
    </row>
    <row r="8314" spans="1:21" x14ac:dyDescent="0.2">
      <c r="A8314" s="3">
        <v>8313</v>
      </c>
      <c r="B8314" s="1" t="s">
        <v>4226</v>
      </c>
      <c r="D8314" s="1" t="s">
        <v>5412</v>
      </c>
      <c r="F8314" s="1" t="s">
        <v>5637</v>
      </c>
      <c r="H8314" s="1" t="s">
        <v>5638</v>
      </c>
      <c r="J8314" s="1" t="s">
        <v>5639</v>
      </c>
      <c r="L8314" s="1" t="s">
        <v>13581</v>
      </c>
      <c r="N8314" s="1" t="s">
        <v>13582</v>
      </c>
      <c r="P8314" s="1" t="s">
        <v>13583</v>
      </c>
      <c r="Q8314" s="30" t="s">
        <v>2567</v>
      </c>
      <c r="R8314" s="33" t="s">
        <v>3472</v>
      </c>
      <c r="S8314">
        <v>37</v>
      </c>
      <c r="T8314" s="1" t="s">
        <v>14055</v>
      </c>
      <c r="U8314" s="1" t="str">
        <f>HYPERLINK("http://ictvonline.org/taxonomy/p/taxonomy-history?taxnode_id=202113713","ICTVonline=202113713")</f>
        <v>ICTVonline=202113713</v>
      </c>
    </row>
    <row r="8315" spans="1:21" x14ac:dyDescent="0.2">
      <c r="A8315" s="3">
        <v>8314</v>
      </c>
      <c r="B8315" s="1" t="s">
        <v>4226</v>
      </c>
      <c r="D8315" s="1" t="s">
        <v>5412</v>
      </c>
      <c r="F8315" s="1" t="s">
        <v>5637</v>
      </c>
      <c r="H8315" s="1" t="s">
        <v>5638</v>
      </c>
      <c r="J8315" s="1" t="s">
        <v>5639</v>
      </c>
      <c r="L8315" s="1" t="s">
        <v>13581</v>
      </c>
      <c r="N8315" s="1" t="s">
        <v>13582</v>
      </c>
      <c r="P8315" s="1" t="s">
        <v>13584</v>
      </c>
      <c r="Q8315" s="30" t="s">
        <v>2567</v>
      </c>
      <c r="R8315" s="33" t="s">
        <v>3472</v>
      </c>
      <c r="S8315">
        <v>37</v>
      </c>
      <c r="T8315" s="1" t="s">
        <v>14055</v>
      </c>
      <c r="U8315" s="1" t="str">
        <f>HYPERLINK("http://ictvonline.org/taxonomy/p/taxonomy-history?taxnode_id=202113715","ICTVonline=202113715")</f>
        <v>ICTVonline=202113715</v>
      </c>
    </row>
    <row r="8316" spans="1:21" x14ac:dyDescent="0.2">
      <c r="A8316" s="3">
        <v>8315</v>
      </c>
      <c r="B8316" s="1" t="s">
        <v>4226</v>
      </c>
      <c r="D8316" s="1" t="s">
        <v>5412</v>
      </c>
      <c r="F8316" s="1" t="s">
        <v>5637</v>
      </c>
      <c r="H8316" s="1" t="s">
        <v>5638</v>
      </c>
      <c r="J8316" s="1" t="s">
        <v>5639</v>
      </c>
      <c r="L8316" s="1" t="s">
        <v>13581</v>
      </c>
      <c r="N8316" s="1" t="s">
        <v>13582</v>
      </c>
      <c r="P8316" s="1" t="s">
        <v>13585</v>
      </c>
      <c r="Q8316" s="30" t="s">
        <v>2567</v>
      </c>
      <c r="R8316" s="33" t="s">
        <v>3472</v>
      </c>
      <c r="S8316">
        <v>37</v>
      </c>
      <c r="T8316" s="1" t="s">
        <v>14055</v>
      </c>
      <c r="U8316" s="1" t="str">
        <f>HYPERLINK("http://ictvonline.org/taxonomy/p/taxonomy-history?taxnode_id=202113716","ICTVonline=202113716")</f>
        <v>ICTVonline=202113716</v>
      </c>
    </row>
    <row r="8317" spans="1:21" x14ac:dyDescent="0.2">
      <c r="A8317" s="3">
        <v>8316</v>
      </c>
      <c r="B8317" s="1" t="s">
        <v>4226</v>
      </c>
      <c r="D8317" s="1" t="s">
        <v>5412</v>
      </c>
      <c r="F8317" s="1" t="s">
        <v>5637</v>
      </c>
      <c r="H8317" s="1" t="s">
        <v>5638</v>
      </c>
      <c r="J8317" s="1" t="s">
        <v>5639</v>
      </c>
      <c r="L8317" s="1" t="s">
        <v>13581</v>
      </c>
      <c r="N8317" s="1" t="s">
        <v>13582</v>
      </c>
      <c r="P8317" s="1" t="s">
        <v>13586</v>
      </c>
      <c r="Q8317" s="30" t="s">
        <v>2567</v>
      </c>
      <c r="R8317" s="33" t="s">
        <v>3472</v>
      </c>
      <c r="S8317">
        <v>37</v>
      </c>
      <c r="T8317" s="1" t="s">
        <v>14055</v>
      </c>
      <c r="U8317" s="1" t="str">
        <f>HYPERLINK("http://ictvonline.org/taxonomy/p/taxonomy-history?taxnode_id=202113717","ICTVonline=202113717")</f>
        <v>ICTVonline=202113717</v>
      </c>
    </row>
    <row r="8318" spans="1:21" x14ac:dyDescent="0.2">
      <c r="A8318" s="3">
        <v>8317</v>
      </c>
      <c r="B8318" s="1" t="s">
        <v>4226</v>
      </c>
      <c r="D8318" s="1" t="s">
        <v>5412</v>
      </c>
      <c r="F8318" s="1" t="s">
        <v>5637</v>
      </c>
      <c r="H8318" s="1" t="s">
        <v>5638</v>
      </c>
      <c r="J8318" s="1" t="s">
        <v>5639</v>
      </c>
      <c r="L8318" s="1" t="s">
        <v>13581</v>
      </c>
      <c r="N8318" s="1" t="s">
        <v>13582</v>
      </c>
      <c r="P8318" s="1" t="s">
        <v>13587</v>
      </c>
      <c r="Q8318" s="30" t="s">
        <v>2567</v>
      </c>
      <c r="R8318" s="33" t="s">
        <v>3472</v>
      </c>
      <c r="S8318">
        <v>37</v>
      </c>
      <c r="T8318" s="1" t="s">
        <v>14055</v>
      </c>
      <c r="U8318" s="1" t="str">
        <f>HYPERLINK("http://ictvonline.org/taxonomy/p/taxonomy-history?taxnode_id=202113718","ICTVonline=202113718")</f>
        <v>ICTVonline=202113718</v>
      </c>
    </row>
    <row r="8319" spans="1:21" x14ac:dyDescent="0.2">
      <c r="A8319" s="3">
        <v>8318</v>
      </c>
      <c r="B8319" s="1" t="s">
        <v>4226</v>
      </c>
      <c r="D8319" s="1" t="s">
        <v>5412</v>
      </c>
      <c r="F8319" s="1" t="s">
        <v>5637</v>
      </c>
      <c r="H8319" s="1" t="s">
        <v>5638</v>
      </c>
      <c r="J8319" s="1" t="s">
        <v>5639</v>
      </c>
      <c r="L8319" s="1" t="s">
        <v>13581</v>
      </c>
      <c r="N8319" s="1" t="s">
        <v>13582</v>
      </c>
      <c r="P8319" s="1" t="s">
        <v>13588</v>
      </c>
      <c r="Q8319" s="30" t="s">
        <v>2567</v>
      </c>
      <c r="R8319" s="33" t="s">
        <v>3472</v>
      </c>
      <c r="S8319">
        <v>37</v>
      </c>
      <c r="T8319" s="1" t="s">
        <v>14055</v>
      </c>
      <c r="U8319" s="1" t="str">
        <f>HYPERLINK("http://ictvonline.org/taxonomy/p/taxonomy-history?taxnode_id=202113719","ICTVonline=202113719")</f>
        <v>ICTVonline=202113719</v>
      </c>
    </row>
    <row r="8320" spans="1:21" x14ac:dyDescent="0.2">
      <c r="A8320" s="3">
        <v>8319</v>
      </c>
      <c r="B8320" s="1" t="s">
        <v>4226</v>
      </c>
      <c r="D8320" s="1" t="s">
        <v>5412</v>
      </c>
      <c r="F8320" s="1" t="s">
        <v>5637</v>
      </c>
      <c r="H8320" s="1" t="s">
        <v>5638</v>
      </c>
      <c r="J8320" s="1" t="s">
        <v>5639</v>
      </c>
      <c r="L8320" s="1" t="s">
        <v>13581</v>
      </c>
      <c r="N8320" s="1" t="s">
        <v>13582</v>
      </c>
      <c r="P8320" s="1" t="s">
        <v>13589</v>
      </c>
      <c r="Q8320" s="30" t="s">
        <v>2567</v>
      </c>
      <c r="R8320" s="33" t="s">
        <v>3472</v>
      </c>
      <c r="S8320">
        <v>37</v>
      </c>
      <c r="T8320" s="1" t="s">
        <v>14055</v>
      </c>
      <c r="U8320" s="1" t="str">
        <f>HYPERLINK("http://ictvonline.org/taxonomy/p/taxonomy-history?taxnode_id=202113720","ICTVonline=202113720")</f>
        <v>ICTVonline=202113720</v>
      </c>
    </row>
    <row r="8321" spans="1:21" x14ac:dyDescent="0.2">
      <c r="A8321" s="3">
        <v>8320</v>
      </c>
      <c r="B8321" s="1" t="s">
        <v>4226</v>
      </c>
      <c r="D8321" s="1" t="s">
        <v>5412</v>
      </c>
      <c r="F8321" s="1" t="s">
        <v>5637</v>
      </c>
      <c r="H8321" s="1" t="s">
        <v>5638</v>
      </c>
      <c r="J8321" s="1" t="s">
        <v>5639</v>
      </c>
      <c r="L8321" s="1" t="s">
        <v>13581</v>
      </c>
      <c r="N8321" s="1" t="s">
        <v>13582</v>
      </c>
      <c r="P8321" s="1" t="s">
        <v>13590</v>
      </c>
      <c r="Q8321" s="30" t="s">
        <v>2567</v>
      </c>
      <c r="R8321" s="33" t="s">
        <v>3472</v>
      </c>
      <c r="S8321">
        <v>37</v>
      </c>
      <c r="T8321" s="1" t="s">
        <v>14055</v>
      </c>
      <c r="U8321" s="1" t="str">
        <f>HYPERLINK("http://ictvonline.org/taxonomy/p/taxonomy-history?taxnode_id=202113727","ICTVonline=202113727")</f>
        <v>ICTVonline=202113727</v>
      </c>
    </row>
    <row r="8322" spans="1:21" x14ac:dyDescent="0.2">
      <c r="A8322" s="3">
        <v>8321</v>
      </c>
      <c r="B8322" s="1" t="s">
        <v>4226</v>
      </c>
      <c r="D8322" s="1" t="s">
        <v>5412</v>
      </c>
      <c r="F8322" s="1" t="s">
        <v>5637</v>
      </c>
      <c r="H8322" s="1" t="s">
        <v>5638</v>
      </c>
      <c r="J8322" s="1" t="s">
        <v>5639</v>
      </c>
      <c r="L8322" s="1" t="s">
        <v>13581</v>
      </c>
      <c r="N8322" s="1" t="s">
        <v>13582</v>
      </c>
      <c r="P8322" s="1" t="s">
        <v>13591</v>
      </c>
      <c r="Q8322" s="30" t="s">
        <v>2567</v>
      </c>
      <c r="R8322" s="33" t="s">
        <v>3472</v>
      </c>
      <c r="S8322">
        <v>37</v>
      </c>
      <c r="T8322" s="1" t="s">
        <v>14055</v>
      </c>
      <c r="U8322" s="1" t="str">
        <f>HYPERLINK("http://ictvonline.org/taxonomy/p/taxonomy-history?taxnode_id=202113721","ICTVonline=202113721")</f>
        <v>ICTVonline=202113721</v>
      </c>
    </row>
    <row r="8323" spans="1:21" x14ac:dyDescent="0.2">
      <c r="A8323" s="3">
        <v>8322</v>
      </c>
      <c r="B8323" s="1" t="s">
        <v>4226</v>
      </c>
      <c r="D8323" s="1" t="s">
        <v>5412</v>
      </c>
      <c r="F8323" s="1" t="s">
        <v>5637</v>
      </c>
      <c r="H8323" s="1" t="s">
        <v>5638</v>
      </c>
      <c r="J8323" s="1" t="s">
        <v>5639</v>
      </c>
      <c r="L8323" s="1" t="s">
        <v>13581</v>
      </c>
      <c r="N8323" s="1" t="s">
        <v>13582</v>
      </c>
      <c r="P8323" s="1" t="s">
        <v>13592</v>
      </c>
      <c r="Q8323" s="30" t="s">
        <v>2567</v>
      </c>
      <c r="R8323" s="33" t="s">
        <v>3472</v>
      </c>
      <c r="S8323">
        <v>37</v>
      </c>
      <c r="T8323" s="1" t="s">
        <v>14055</v>
      </c>
      <c r="U8323" s="1" t="str">
        <f>HYPERLINK("http://ictvonline.org/taxonomy/p/taxonomy-history?taxnode_id=202113722","ICTVonline=202113722")</f>
        <v>ICTVonline=202113722</v>
      </c>
    </row>
    <row r="8324" spans="1:21" x14ac:dyDescent="0.2">
      <c r="A8324" s="3">
        <v>8323</v>
      </c>
      <c r="B8324" s="1" t="s">
        <v>4226</v>
      </c>
      <c r="D8324" s="1" t="s">
        <v>5412</v>
      </c>
      <c r="F8324" s="1" t="s">
        <v>5637</v>
      </c>
      <c r="H8324" s="1" t="s">
        <v>5638</v>
      </c>
      <c r="J8324" s="1" t="s">
        <v>5639</v>
      </c>
      <c r="L8324" s="1" t="s">
        <v>13581</v>
      </c>
      <c r="N8324" s="1" t="s">
        <v>13582</v>
      </c>
      <c r="P8324" s="1" t="s">
        <v>13593</v>
      </c>
      <c r="Q8324" s="30" t="s">
        <v>2567</v>
      </c>
      <c r="R8324" s="33" t="s">
        <v>3472</v>
      </c>
      <c r="S8324">
        <v>37</v>
      </c>
      <c r="T8324" s="1" t="s">
        <v>14055</v>
      </c>
      <c r="U8324" s="1" t="str">
        <f>HYPERLINK("http://ictvonline.org/taxonomy/p/taxonomy-history?taxnode_id=202113723","ICTVonline=202113723")</f>
        <v>ICTVonline=202113723</v>
      </c>
    </row>
    <row r="8325" spans="1:21" x14ac:dyDescent="0.2">
      <c r="A8325" s="3">
        <v>8324</v>
      </c>
      <c r="B8325" s="1" t="s">
        <v>4226</v>
      </c>
      <c r="D8325" s="1" t="s">
        <v>5412</v>
      </c>
      <c r="F8325" s="1" t="s">
        <v>5637</v>
      </c>
      <c r="H8325" s="1" t="s">
        <v>5638</v>
      </c>
      <c r="J8325" s="1" t="s">
        <v>5639</v>
      </c>
      <c r="L8325" s="1" t="s">
        <v>13581</v>
      </c>
      <c r="N8325" s="1" t="s">
        <v>13582</v>
      </c>
      <c r="P8325" s="1" t="s">
        <v>13594</v>
      </c>
      <c r="Q8325" s="30" t="s">
        <v>2567</v>
      </c>
      <c r="R8325" s="33" t="s">
        <v>3472</v>
      </c>
      <c r="S8325">
        <v>37</v>
      </c>
      <c r="T8325" s="1" t="s">
        <v>14055</v>
      </c>
      <c r="U8325" s="1" t="str">
        <f>HYPERLINK("http://ictvonline.org/taxonomy/p/taxonomy-history?taxnode_id=202113724","ICTVonline=202113724")</f>
        <v>ICTVonline=202113724</v>
      </c>
    </row>
    <row r="8326" spans="1:21" x14ac:dyDescent="0.2">
      <c r="A8326" s="3">
        <v>8325</v>
      </c>
      <c r="B8326" s="1" t="s">
        <v>4226</v>
      </c>
      <c r="D8326" s="1" t="s">
        <v>5412</v>
      </c>
      <c r="F8326" s="1" t="s">
        <v>5637</v>
      </c>
      <c r="H8326" s="1" t="s">
        <v>5638</v>
      </c>
      <c r="J8326" s="1" t="s">
        <v>5639</v>
      </c>
      <c r="L8326" s="1" t="s">
        <v>13581</v>
      </c>
      <c r="N8326" s="1" t="s">
        <v>13582</v>
      </c>
      <c r="P8326" s="1" t="s">
        <v>13595</v>
      </c>
      <c r="Q8326" s="30" t="s">
        <v>2567</v>
      </c>
      <c r="R8326" s="33" t="s">
        <v>3472</v>
      </c>
      <c r="S8326">
        <v>37</v>
      </c>
      <c r="T8326" s="1" t="s">
        <v>14055</v>
      </c>
      <c r="U8326" s="1" t="str">
        <f>HYPERLINK("http://ictvonline.org/taxonomy/p/taxonomy-history?taxnode_id=202113726","ICTVonline=202113726")</f>
        <v>ICTVonline=202113726</v>
      </c>
    </row>
    <row r="8327" spans="1:21" x14ac:dyDescent="0.2">
      <c r="A8327" s="3">
        <v>8326</v>
      </c>
      <c r="B8327" s="1" t="s">
        <v>4226</v>
      </c>
      <c r="D8327" s="1" t="s">
        <v>5412</v>
      </c>
      <c r="F8327" s="1" t="s">
        <v>5637</v>
      </c>
      <c r="H8327" s="1" t="s">
        <v>5638</v>
      </c>
      <c r="J8327" s="1" t="s">
        <v>5639</v>
      </c>
      <c r="L8327" s="1" t="s">
        <v>13581</v>
      </c>
      <c r="N8327" s="1" t="s">
        <v>13582</v>
      </c>
      <c r="P8327" s="1" t="s">
        <v>13596</v>
      </c>
      <c r="Q8327" s="30" t="s">
        <v>2567</v>
      </c>
      <c r="R8327" s="33" t="s">
        <v>3472</v>
      </c>
      <c r="S8327">
        <v>37</v>
      </c>
      <c r="T8327" s="1" t="s">
        <v>14055</v>
      </c>
      <c r="U8327" s="1" t="str">
        <f>HYPERLINK("http://ictvonline.org/taxonomy/p/taxonomy-history?taxnode_id=202113728","ICTVonline=202113728")</f>
        <v>ICTVonline=202113728</v>
      </c>
    </row>
    <row r="8328" spans="1:21" x14ac:dyDescent="0.2">
      <c r="A8328" s="3">
        <v>8327</v>
      </c>
      <c r="B8328" s="1" t="s">
        <v>4226</v>
      </c>
      <c r="D8328" s="1" t="s">
        <v>5412</v>
      </c>
      <c r="F8328" s="1" t="s">
        <v>5637</v>
      </c>
      <c r="H8328" s="1" t="s">
        <v>5638</v>
      </c>
      <c r="J8328" s="1" t="s">
        <v>5639</v>
      </c>
      <c r="L8328" s="1" t="s">
        <v>13581</v>
      </c>
      <c r="N8328" s="1" t="s">
        <v>13582</v>
      </c>
      <c r="P8328" s="1" t="s">
        <v>13597</v>
      </c>
      <c r="Q8328" s="30" t="s">
        <v>2567</v>
      </c>
      <c r="R8328" s="33" t="s">
        <v>3472</v>
      </c>
      <c r="S8328">
        <v>37</v>
      </c>
      <c r="T8328" s="1" t="s">
        <v>14055</v>
      </c>
      <c r="U8328" s="1" t="str">
        <f>HYPERLINK("http://ictvonline.org/taxonomy/p/taxonomy-history?taxnode_id=202113714","ICTVonline=202113714")</f>
        <v>ICTVonline=202113714</v>
      </c>
    </row>
    <row r="8329" spans="1:21" x14ac:dyDescent="0.2">
      <c r="A8329" s="3">
        <v>8328</v>
      </c>
      <c r="B8329" s="1" t="s">
        <v>4226</v>
      </c>
      <c r="D8329" s="1" t="s">
        <v>5412</v>
      </c>
      <c r="F8329" s="1" t="s">
        <v>5637</v>
      </c>
      <c r="H8329" s="1" t="s">
        <v>5638</v>
      </c>
      <c r="J8329" s="1" t="s">
        <v>5639</v>
      </c>
      <c r="L8329" s="1" t="s">
        <v>13581</v>
      </c>
      <c r="N8329" s="1" t="s">
        <v>13582</v>
      </c>
      <c r="P8329" s="1" t="s">
        <v>13598</v>
      </c>
      <c r="Q8329" s="30" t="s">
        <v>2567</v>
      </c>
      <c r="R8329" s="33" t="s">
        <v>3472</v>
      </c>
      <c r="S8329">
        <v>37</v>
      </c>
      <c r="T8329" s="1" t="s">
        <v>14055</v>
      </c>
      <c r="U8329" s="1" t="str">
        <f>HYPERLINK("http://ictvonline.org/taxonomy/p/taxonomy-history?taxnode_id=202113729","ICTVonline=202113729")</f>
        <v>ICTVonline=202113729</v>
      </c>
    </row>
    <row r="8330" spans="1:21" x14ac:dyDescent="0.2">
      <c r="A8330" s="3">
        <v>8329</v>
      </c>
      <c r="B8330" s="1" t="s">
        <v>4226</v>
      </c>
      <c r="D8330" s="1" t="s">
        <v>5412</v>
      </c>
      <c r="F8330" s="1" t="s">
        <v>5637</v>
      </c>
      <c r="H8330" s="1" t="s">
        <v>5638</v>
      </c>
      <c r="J8330" s="1" t="s">
        <v>5639</v>
      </c>
      <c r="L8330" s="1" t="s">
        <v>13581</v>
      </c>
      <c r="N8330" s="1" t="s">
        <v>13582</v>
      </c>
      <c r="P8330" s="1" t="s">
        <v>13599</v>
      </c>
      <c r="Q8330" s="30" t="s">
        <v>2567</v>
      </c>
      <c r="R8330" s="33" t="s">
        <v>3472</v>
      </c>
      <c r="S8330">
        <v>37</v>
      </c>
      <c r="T8330" s="1" t="s">
        <v>14055</v>
      </c>
      <c r="U8330" s="1" t="str">
        <f>HYPERLINK("http://ictvonline.org/taxonomy/p/taxonomy-history?taxnode_id=202113733","ICTVonline=202113733")</f>
        <v>ICTVonline=202113733</v>
      </c>
    </row>
    <row r="8331" spans="1:21" x14ac:dyDescent="0.2">
      <c r="A8331" s="3">
        <v>8330</v>
      </c>
      <c r="B8331" s="1" t="s">
        <v>4226</v>
      </c>
      <c r="D8331" s="1" t="s">
        <v>5412</v>
      </c>
      <c r="F8331" s="1" t="s">
        <v>5637</v>
      </c>
      <c r="H8331" s="1" t="s">
        <v>5638</v>
      </c>
      <c r="J8331" s="1" t="s">
        <v>5639</v>
      </c>
      <c r="L8331" s="1" t="s">
        <v>13581</v>
      </c>
      <c r="N8331" s="1" t="s">
        <v>13582</v>
      </c>
      <c r="P8331" s="1" t="s">
        <v>13600</v>
      </c>
      <c r="Q8331" s="30" t="s">
        <v>2567</v>
      </c>
      <c r="R8331" s="33" t="s">
        <v>3472</v>
      </c>
      <c r="S8331">
        <v>37</v>
      </c>
      <c r="T8331" s="1" t="s">
        <v>14055</v>
      </c>
      <c r="U8331" s="1" t="str">
        <f>HYPERLINK("http://ictvonline.org/taxonomy/p/taxonomy-history?taxnode_id=202113725","ICTVonline=202113725")</f>
        <v>ICTVonline=202113725</v>
      </c>
    </row>
    <row r="8332" spans="1:21" x14ac:dyDescent="0.2">
      <c r="A8332" s="3">
        <v>8331</v>
      </c>
      <c r="B8332" s="1" t="s">
        <v>4226</v>
      </c>
      <c r="D8332" s="1" t="s">
        <v>5412</v>
      </c>
      <c r="F8332" s="1" t="s">
        <v>5637</v>
      </c>
      <c r="H8332" s="1" t="s">
        <v>5638</v>
      </c>
      <c r="J8332" s="1" t="s">
        <v>5639</v>
      </c>
      <c r="L8332" s="1" t="s">
        <v>13581</v>
      </c>
      <c r="N8332" s="1" t="s">
        <v>13582</v>
      </c>
      <c r="P8332" s="1" t="s">
        <v>13601</v>
      </c>
      <c r="Q8332" s="30" t="s">
        <v>2567</v>
      </c>
      <c r="R8332" s="33" t="s">
        <v>3472</v>
      </c>
      <c r="S8332">
        <v>37</v>
      </c>
      <c r="T8332" s="1" t="s">
        <v>14055</v>
      </c>
      <c r="U8332" s="1" t="str">
        <f>HYPERLINK("http://ictvonline.org/taxonomy/p/taxonomy-history?taxnode_id=202113730","ICTVonline=202113730")</f>
        <v>ICTVonline=202113730</v>
      </c>
    </row>
    <row r="8333" spans="1:21" x14ac:dyDescent="0.2">
      <c r="A8333" s="3">
        <v>8332</v>
      </c>
      <c r="B8333" s="1" t="s">
        <v>4226</v>
      </c>
      <c r="D8333" s="1" t="s">
        <v>5412</v>
      </c>
      <c r="F8333" s="1" t="s">
        <v>5637</v>
      </c>
      <c r="H8333" s="1" t="s">
        <v>5638</v>
      </c>
      <c r="J8333" s="1" t="s">
        <v>5639</v>
      </c>
      <c r="L8333" s="1" t="s">
        <v>13581</v>
      </c>
      <c r="N8333" s="1" t="s">
        <v>13582</v>
      </c>
      <c r="P8333" s="1" t="s">
        <v>13602</v>
      </c>
      <c r="Q8333" s="30" t="s">
        <v>2567</v>
      </c>
      <c r="R8333" s="33" t="s">
        <v>3472</v>
      </c>
      <c r="S8333">
        <v>37</v>
      </c>
      <c r="T8333" s="1" t="s">
        <v>14055</v>
      </c>
      <c r="U8333" s="1" t="str">
        <f>HYPERLINK("http://ictvonline.org/taxonomy/p/taxonomy-history?taxnode_id=202113731","ICTVonline=202113731")</f>
        <v>ICTVonline=202113731</v>
      </c>
    </row>
    <row r="8334" spans="1:21" x14ac:dyDescent="0.2">
      <c r="A8334" s="3">
        <v>8333</v>
      </c>
      <c r="B8334" s="1" t="s">
        <v>4226</v>
      </c>
      <c r="D8334" s="1" t="s">
        <v>5412</v>
      </c>
      <c r="F8334" s="1" t="s">
        <v>5637</v>
      </c>
      <c r="H8334" s="1" t="s">
        <v>5638</v>
      </c>
      <c r="J8334" s="1" t="s">
        <v>5639</v>
      </c>
      <c r="L8334" s="1" t="s">
        <v>13581</v>
      </c>
      <c r="N8334" s="1" t="s">
        <v>13582</v>
      </c>
      <c r="P8334" s="1" t="s">
        <v>13603</v>
      </c>
      <c r="Q8334" s="30" t="s">
        <v>2567</v>
      </c>
      <c r="R8334" s="33" t="s">
        <v>3472</v>
      </c>
      <c r="S8334">
        <v>37</v>
      </c>
      <c r="T8334" s="1" t="s">
        <v>14055</v>
      </c>
      <c r="U8334" s="1" t="str">
        <f>HYPERLINK("http://ictvonline.org/taxonomy/p/taxonomy-history?taxnode_id=202113732","ICTVonline=202113732")</f>
        <v>ICTVonline=202113732</v>
      </c>
    </row>
    <row r="8335" spans="1:21" x14ac:dyDescent="0.2">
      <c r="A8335" s="3">
        <v>8334</v>
      </c>
      <c r="B8335" s="1" t="s">
        <v>4226</v>
      </c>
      <c r="D8335" s="1" t="s">
        <v>5412</v>
      </c>
      <c r="F8335" s="1" t="s">
        <v>5637</v>
      </c>
      <c r="H8335" s="1" t="s">
        <v>5638</v>
      </c>
      <c r="J8335" s="1" t="s">
        <v>5639</v>
      </c>
      <c r="L8335" s="1" t="s">
        <v>13581</v>
      </c>
      <c r="N8335" s="1" t="s">
        <v>13582</v>
      </c>
      <c r="P8335" s="1" t="s">
        <v>13604</v>
      </c>
      <c r="Q8335" s="30" t="s">
        <v>2567</v>
      </c>
      <c r="R8335" s="33" t="s">
        <v>3472</v>
      </c>
      <c r="S8335">
        <v>37</v>
      </c>
      <c r="T8335" s="1" t="s">
        <v>14055</v>
      </c>
      <c r="U8335" s="1" t="str">
        <f>HYPERLINK("http://ictvonline.org/taxonomy/p/taxonomy-history?taxnode_id=202113734","ICTVonline=202113734")</f>
        <v>ICTVonline=202113734</v>
      </c>
    </row>
    <row r="8336" spans="1:21" x14ac:dyDescent="0.2">
      <c r="A8336" s="3">
        <v>8335</v>
      </c>
      <c r="B8336" s="1" t="s">
        <v>4226</v>
      </c>
      <c r="D8336" s="1" t="s">
        <v>5412</v>
      </c>
      <c r="F8336" s="1" t="s">
        <v>5637</v>
      </c>
      <c r="H8336" s="1" t="s">
        <v>5638</v>
      </c>
      <c r="J8336" s="1" t="s">
        <v>5639</v>
      </c>
      <c r="L8336" s="1" t="s">
        <v>13581</v>
      </c>
      <c r="N8336" s="1" t="s">
        <v>13605</v>
      </c>
      <c r="P8336" s="1" t="s">
        <v>13606</v>
      </c>
      <c r="Q8336" s="30" t="s">
        <v>2567</v>
      </c>
      <c r="R8336" s="33" t="s">
        <v>3472</v>
      </c>
      <c r="S8336">
        <v>37</v>
      </c>
      <c r="T8336" s="1" t="s">
        <v>14055</v>
      </c>
      <c r="U8336" s="1" t="str">
        <f>HYPERLINK("http://ictvonline.org/taxonomy/p/taxonomy-history?taxnode_id=202113736","ICTVonline=202113736")</f>
        <v>ICTVonline=202113736</v>
      </c>
    </row>
    <row r="8337" spans="1:21" x14ac:dyDescent="0.2">
      <c r="A8337" s="3">
        <v>8336</v>
      </c>
      <c r="B8337" s="1" t="s">
        <v>4226</v>
      </c>
      <c r="D8337" s="1" t="s">
        <v>5412</v>
      </c>
      <c r="F8337" s="1" t="s">
        <v>5637</v>
      </c>
      <c r="H8337" s="1" t="s">
        <v>5638</v>
      </c>
      <c r="J8337" s="1" t="s">
        <v>5639</v>
      </c>
      <c r="L8337" s="1" t="s">
        <v>13581</v>
      </c>
      <c r="N8337" s="1" t="s">
        <v>13605</v>
      </c>
      <c r="P8337" s="1" t="s">
        <v>13607</v>
      </c>
      <c r="Q8337" s="30" t="s">
        <v>2567</v>
      </c>
      <c r="R8337" s="33" t="s">
        <v>3472</v>
      </c>
      <c r="S8337">
        <v>37</v>
      </c>
      <c r="T8337" s="1" t="s">
        <v>14055</v>
      </c>
      <c r="U8337" s="1" t="str">
        <f>HYPERLINK("http://ictvonline.org/taxonomy/p/taxonomy-history?taxnode_id=202113740","ICTVonline=202113740")</f>
        <v>ICTVonline=202113740</v>
      </c>
    </row>
    <row r="8338" spans="1:21" x14ac:dyDescent="0.2">
      <c r="A8338" s="3">
        <v>8337</v>
      </c>
      <c r="B8338" s="1" t="s">
        <v>4226</v>
      </c>
      <c r="D8338" s="1" t="s">
        <v>5412</v>
      </c>
      <c r="F8338" s="1" t="s">
        <v>5637</v>
      </c>
      <c r="H8338" s="1" t="s">
        <v>5638</v>
      </c>
      <c r="J8338" s="1" t="s">
        <v>5639</v>
      </c>
      <c r="L8338" s="1" t="s">
        <v>13581</v>
      </c>
      <c r="N8338" s="1" t="s">
        <v>13605</v>
      </c>
      <c r="P8338" s="1" t="s">
        <v>13608</v>
      </c>
      <c r="Q8338" s="30" t="s">
        <v>2567</v>
      </c>
      <c r="R8338" s="33" t="s">
        <v>3472</v>
      </c>
      <c r="S8338">
        <v>37</v>
      </c>
      <c r="T8338" s="1" t="s">
        <v>14055</v>
      </c>
      <c r="U8338" s="1" t="str">
        <f>HYPERLINK("http://ictvonline.org/taxonomy/p/taxonomy-history?taxnode_id=202113744","ICTVonline=202113744")</f>
        <v>ICTVonline=202113744</v>
      </c>
    </row>
    <row r="8339" spans="1:21" x14ac:dyDescent="0.2">
      <c r="A8339" s="3">
        <v>8338</v>
      </c>
      <c r="B8339" s="1" t="s">
        <v>4226</v>
      </c>
      <c r="D8339" s="1" t="s">
        <v>5412</v>
      </c>
      <c r="F8339" s="1" t="s">
        <v>5637</v>
      </c>
      <c r="H8339" s="1" t="s">
        <v>5638</v>
      </c>
      <c r="J8339" s="1" t="s">
        <v>5639</v>
      </c>
      <c r="L8339" s="1" t="s">
        <v>13581</v>
      </c>
      <c r="N8339" s="1" t="s">
        <v>13605</v>
      </c>
      <c r="P8339" s="1" t="s">
        <v>13609</v>
      </c>
      <c r="Q8339" s="30" t="s">
        <v>2567</v>
      </c>
      <c r="R8339" s="33" t="s">
        <v>3472</v>
      </c>
      <c r="S8339">
        <v>37</v>
      </c>
      <c r="T8339" s="1" t="s">
        <v>14055</v>
      </c>
      <c r="U8339" s="1" t="str">
        <f>HYPERLINK("http://ictvonline.org/taxonomy/p/taxonomy-history?taxnode_id=202113741","ICTVonline=202113741")</f>
        <v>ICTVonline=202113741</v>
      </c>
    </row>
    <row r="8340" spans="1:21" x14ac:dyDescent="0.2">
      <c r="A8340" s="3">
        <v>8339</v>
      </c>
      <c r="B8340" s="1" t="s">
        <v>4226</v>
      </c>
      <c r="D8340" s="1" t="s">
        <v>5412</v>
      </c>
      <c r="F8340" s="1" t="s">
        <v>5637</v>
      </c>
      <c r="H8340" s="1" t="s">
        <v>5638</v>
      </c>
      <c r="J8340" s="1" t="s">
        <v>5639</v>
      </c>
      <c r="L8340" s="1" t="s">
        <v>13581</v>
      </c>
      <c r="N8340" s="1" t="s">
        <v>13605</v>
      </c>
      <c r="P8340" s="1" t="s">
        <v>13610</v>
      </c>
      <c r="Q8340" s="30" t="s">
        <v>2567</v>
      </c>
      <c r="R8340" s="33" t="s">
        <v>3472</v>
      </c>
      <c r="S8340">
        <v>37</v>
      </c>
      <c r="T8340" s="1" t="s">
        <v>14055</v>
      </c>
      <c r="U8340" s="1" t="str">
        <f>HYPERLINK("http://ictvonline.org/taxonomy/p/taxonomy-history?taxnode_id=202113738","ICTVonline=202113738")</f>
        <v>ICTVonline=202113738</v>
      </c>
    </row>
    <row r="8341" spans="1:21" x14ac:dyDescent="0.2">
      <c r="A8341" s="3">
        <v>8340</v>
      </c>
      <c r="B8341" s="1" t="s">
        <v>4226</v>
      </c>
      <c r="D8341" s="1" t="s">
        <v>5412</v>
      </c>
      <c r="F8341" s="1" t="s">
        <v>5637</v>
      </c>
      <c r="H8341" s="1" t="s">
        <v>5638</v>
      </c>
      <c r="J8341" s="1" t="s">
        <v>5639</v>
      </c>
      <c r="L8341" s="1" t="s">
        <v>13581</v>
      </c>
      <c r="N8341" s="1" t="s">
        <v>13605</v>
      </c>
      <c r="P8341" s="1" t="s">
        <v>13611</v>
      </c>
      <c r="Q8341" s="30" t="s">
        <v>2567</v>
      </c>
      <c r="R8341" s="33" t="s">
        <v>3472</v>
      </c>
      <c r="S8341">
        <v>37</v>
      </c>
      <c r="T8341" s="1" t="s">
        <v>14055</v>
      </c>
      <c r="U8341" s="1" t="str">
        <f>HYPERLINK("http://ictvonline.org/taxonomy/p/taxonomy-history?taxnode_id=202113745","ICTVonline=202113745")</f>
        <v>ICTVonline=202113745</v>
      </c>
    </row>
    <row r="8342" spans="1:21" x14ac:dyDescent="0.2">
      <c r="A8342" s="3">
        <v>8341</v>
      </c>
      <c r="B8342" s="1" t="s">
        <v>4226</v>
      </c>
      <c r="D8342" s="1" t="s">
        <v>5412</v>
      </c>
      <c r="F8342" s="1" t="s">
        <v>5637</v>
      </c>
      <c r="H8342" s="1" t="s">
        <v>5638</v>
      </c>
      <c r="J8342" s="1" t="s">
        <v>5639</v>
      </c>
      <c r="L8342" s="1" t="s">
        <v>13581</v>
      </c>
      <c r="N8342" s="1" t="s">
        <v>13605</v>
      </c>
      <c r="P8342" s="1" t="s">
        <v>13612</v>
      </c>
      <c r="Q8342" s="30" t="s">
        <v>2567</v>
      </c>
      <c r="R8342" s="33" t="s">
        <v>3472</v>
      </c>
      <c r="S8342">
        <v>37</v>
      </c>
      <c r="T8342" s="1" t="s">
        <v>14055</v>
      </c>
      <c r="U8342" s="1" t="str">
        <f>HYPERLINK("http://ictvonline.org/taxonomy/p/taxonomy-history?taxnode_id=202113739","ICTVonline=202113739")</f>
        <v>ICTVonline=202113739</v>
      </c>
    </row>
    <row r="8343" spans="1:21" x14ac:dyDescent="0.2">
      <c r="A8343" s="3">
        <v>8342</v>
      </c>
      <c r="B8343" s="1" t="s">
        <v>4226</v>
      </c>
      <c r="D8343" s="1" t="s">
        <v>5412</v>
      </c>
      <c r="F8343" s="1" t="s">
        <v>5637</v>
      </c>
      <c r="H8343" s="1" t="s">
        <v>5638</v>
      </c>
      <c r="J8343" s="1" t="s">
        <v>5639</v>
      </c>
      <c r="L8343" s="1" t="s">
        <v>13581</v>
      </c>
      <c r="N8343" s="1" t="s">
        <v>13605</v>
      </c>
      <c r="P8343" s="1" t="s">
        <v>13613</v>
      </c>
      <c r="Q8343" s="30" t="s">
        <v>2567</v>
      </c>
      <c r="R8343" s="33" t="s">
        <v>3472</v>
      </c>
      <c r="S8343">
        <v>37</v>
      </c>
      <c r="T8343" s="1" t="s">
        <v>14055</v>
      </c>
      <c r="U8343" s="1" t="str">
        <f>HYPERLINK("http://ictvonline.org/taxonomy/p/taxonomy-history?taxnode_id=202113742","ICTVonline=202113742")</f>
        <v>ICTVonline=202113742</v>
      </c>
    </row>
    <row r="8344" spans="1:21" x14ac:dyDescent="0.2">
      <c r="A8344" s="3">
        <v>8343</v>
      </c>
      <c r="B8344" s="1" t="s">
        <v>4226</v>
      </c>
      <c r="D8344" s="1" t="s">
        <v>5412</v>
      </c>
      <c r="F8344" s="1" t="s">
        <v>5637</v>
      </c>
      <c r="H8344" s="1" t="s">
        <v>5638</v>
      </c>
      <c r="J8344" s="1" t="s">
        <v>5639</v>
      </c>
      <c r="L8344" s="1" t="s">
        <v>13581</v>
      </c>
      <c r="N8344" s="1" t="s">
        <v>13605</v>
      </c>
      <c r="P8344" s="1" t="s">
        <v>13614</v>
      </c>
      <c r="Q8344" s="30" t="s">
        <v>2567</v>
      </c>
      <c r="R8344" s="33" t="s">
        <v>3472</v>
      </c>
      <c r="S8344">
        <v>37</v>
      </c>
      <c r="T8344" s="1" t="s">
        <v>14055</v>
      </c>
      <c r="U8344" s="1" t="str">
        <f>HYPERLINK("http://ictvonline.org/taxonomy/p/taxonomy-history?taxnode_id=202113743","ICTVonline=202113743")</f>
        <v>ICTVonline=202113743</v>
      </c>
    </row>
    <row r="8345" spans="1:21" x14ac:dyDescent="0.2">
      <c r="A8345" s="3">
        <v>8344</v>
      </c>
      <c r="B8345" s="1" t="s">
        <v>4226</v>
      </c>
      <c r="D8345" s="1" t="s">
        <v>5412</v>
      </c>
      <c r="F8345" s="1" t="s">
        <v>5637</v>
      </c>
      <c r="H8345" s="1" t="s">
        <v>5638</v>
      </c>
      <c r="J8345" s="1" t="s">
        <v>5639</v>
      </c>
      <c r="L8345" s="1" t="s">
        <v>13581</v>
      </c>
      <c r="N8345" s="1" t="s">
        <v>13605</v>
      </c>
      <c r="P8345" s="1" t="s">
        <v>13615</v>
      </c>
      <c r="Q8345" s="30" t="s">
        <v>2567</v>
      </c>
      <c r="R8345" s="33" t="s">
        <v>3472</v>
      </c>
      <c r="S8345">
        <v>37</v>
      </c>
      <c r="T8345" s="1" t="s">
        <v>14055</v>
      </c>
      <c r="U8345" s="1" t="str">
        <f>HYPERLINK("http://ictvonline.org/taxonomy/p/taxonomy-history?taxnode_id=202113746","ICTVonline=202113746")</f>
        <v>ICTVonline=202113746</v>
      </c>
    </row>
    <row r="8346" spans="1:21" x14ac:dyDescent="0.2">
      <c r="A8346" s="3">
        <v>8345</v>
      </c>
      <c r="B8346" s="1" t="s">
        <v>4226</v>
      </c>
      <c r="D8346" s="1" t="s">
        <v>5412</v>
      </c>
      <c r="F8346" s="1" t="s">
        <v>5637</v>
      </c>
      <c r="H8346" s="1" t="s">
        <v>5638</v>
      </c>
      <c r="J8346" s="1" t="s">
        <v>5639</v>
      </c>
      <c r="L8346" s="1" t="s">
        <v>13581</v>
      </c>
      <c r="N8346" s="1" t="s">
        <v>13605</v>
      </c>
      <c r="P8346" s="1" t="s">
        <v>13616</v>
      </c>
      <c r="Q8346" s="30" t="s">
        <v>2567</v>
      </c>
      <c r="R8346" s="33" t="s">
        <v>3472</v>
      </c>
      <c r="S8346">
        <v>37</v>
      </c>
      <c r="T8346" s="1" t="s">
        <v>14055</v>
      </c>
      <c r="U8346" s="1" t="str">
        <f>HYPERLINK("http://ictvonline.org/taxonomy/p/taxonomy-history?taxnode_id=202113737","ICTVonline=202113737")</f>
        <v>ICTVonline=202113737</v>
      </c>
    </row>
    <row r="8347" spans="1:21" x14ac:dyDescent="0.2">
      <c r="A8347" s="3">
        <v>8346</v>
      </c>
      <c r="B8347" s="1" t="s">
        <v>4226</v>
      </c>
      <c r="D8347" s="1" t="s">
        <v>5412</v>
      </c>
      <c r="F8347" s="1" t="s">
        <v>5637</v>
      </c>
      <c r="H8347" s="1" t="s">
        <v>5638</v>
      </c>
      <c r="J8347" s="1" t="s">
        <v>5639</v>
      </c>
      <c r="L8347" s="1" t="s">
        <v>13581</v>
      </c>
      <c r="N8347" s="1" t="s">
        <v>13617</v>
      </c>
      <c r="P8347" s="1" t="s">
        <v>13618</v>
      </c>
      <c r="Q8347" s="30" t="s">
        <v>2567</v>
      </c>
      <c r="R8347" s="33" t="s">
        <v>3472</v>
      </c>
      <c r="S8347">
        <v>37</v>
      </c>
      <c r="T8347" s="1" t="s">
        <v>14055</v>
      </c>
      <c r="U8347" s="1" t="str">
        <f>HYPERLINK("http://ictvonline.org/taxonomy/p/taxonomy-history?taxnode_id=202113748","ICTVonline=202113748")</f>
        <v>ICTVonline=202113748</v>
      </c>
    </row>
    <row r="8348" spans="1:21" x14ac:dyDescent="0.2">
      <c r="A8348" s="3">
        <v>8347</v>
      </c>
      <c r="B8348" s="1" t="s">
        <v>4226</v>
      </c>
      <c r="D8348" s="1" t="s">
        <v>5412</v>
      </c>
      <c r="F8348" s="1" t="s">
        <v>5637</v>
      </c>
      <c r="H8348" s="1" t="s">
        <v>5638</v>
      </c>
      <c r="J8348" s="1" t="s">
        <v>5639</v>
      </c>
      <c r="L8348" s="1" t="s">
        <v>249</v>
      </c>
      <c r="N8348" s="1" t="s">
        <v>13619</v>
      </c>
      <c r="P8348" s="1" t="s">
        <v>13620</v>
      </c>
      <c r="Q8348" s="30" t="s">
        <v>4207</v>
      </c>
      <c r="R8348" s="33" t="s">
        <v>3472</v>
      </c>
      <c r="S8348">
        <v>37</v>
      </c>
      <c r="T8348" s="1" t="s">
        <v>14056</v>
      </c>
      <c r="U8348" s="1" t="str">
        <f>HYPERLINK("http://ictvonline.org/taxonomy/p/taxonomy-history?taxnode_id=202112488","ICTVonline=202112488")</f>
        <v>ICTVonline=202112488</v>
      </c>
    </row>
    <row r="8349" spans="1:21" x14ac:dyDescent="0.2">
      <c r="A8349" s="3">
        <v>8348</v>
      </c>
      <c r="B8349" s="1" t="s">
        <v>4226</v>
      </c>
      <c r="D8349" s="1" t="s">
        <v>5412</v>
      </c>
      <c r="F8349" s="1" t="s">
        <v>5637</v>
      </c>
      <c r="H8349" s="1" t="s">
        <v>5638</v>
      </c>
      <c r="J8349" s="1" t="s">
        <v>5639</v>
      </c>
      <c r="L8349" s="1" t="s">
        <v>249</v>
      </c>
      <c r="N8349" s="1" t="s">
        <v>13619</v>
      </c>
      <c r="P8349" s="1" t="s">
        <v>13621</v>
      </c>
      <c r="Q8349" s="30" t="s">
        <v>4207</v>
      </c>
      <c r="R8349" s="33" t="s">
        <v>3473</v>
      </c>
      <c r="S8349">
        <v>37</v>
      </c>
      <c r="T8349" s="1" t="s">
        <v>14056</v>
      </c>
      <c r="U8349" s="1" t="str">
        <f>HYPERLINK("http://ictvonline.org/taxonomy/p/taxonomy-history?taxnode_id=202103675","ICTVonline=202103675")</f>
        <v>ICTVonline=202103675</v>
      </c>
    </row>
    <row r="8350" spans="1:21" x14ac:dyDescent="0.2">
      <c r="A8350" s="3">
        <v>8349</v>
      </c>
      <c r="B8350" s="1" t="s">
        <v>4226</v>
      </c>
      <c r="D8350" s="1" t="s">
        <v>5412</v>
      </c>
      <c r="F8350" s="1" t="s">
        <v>5637</v>
      </c>
      <c r="H8350" s="1" t="s">
        <v>5638</v>
      </c>
      <c r="J8350" s="1" t="s">
        <v>5639</v>
      </c>
      <c r="L8350" s="1" t="s">
        <v>249</v>
      </c>
      <c r="N8350" s="1" t="s">
        <v>13619</v>
      </c>
      <c r="P8350" s="1" t="s">
        <v>13622</v>
      </c>
      <c r="Q8350" s="30" t="s">
        <v>4207</v>
      </c>
      <c r="R8350" s="33" t="s">
        <v>3472</v>
      </c>
      <c r="S8350">
        <v>37</v>
      </c>
      <c r="T8350" s="1" t="s">
        <v>14056</v>
      </c>
      <c r="U8350" s="1" t="str">
        <f>HYPERLINK("http://ictvonline.org/taxonomy/p/taxonomy-history?taxnode_id=202112485","ICTVonline=202112485")</f>
        <v>ICTVonline=202112485</v>
      </c>
    </row>
    <row r="8351" spans="1:21" x14ac:dyDescent="0.2">
      <c r="A8351" s="3">
        <v>8350</v>
      </c>
      <c r="B8351" s="1" t="s">
        <v>4226</v>
      </c>
      <c r="D8351" s="1" t="s">
        <v>5412</v>
      </c>
      <c r="F8351" s="1" t="s">
        <v>5637</v>
      </c>
      <c r="H8351" s="1" t="s">
        <v>5638</v>
      </c>
      <c r="J8351" s="1" t="s">
        <v>5639</v>
      </c>
      <c r="L8351" s="1" t="s">
        <v>249</v>
      </c>
      <c r="N8351" s="1" t="s">
        <v>13619</v>
      </c>
      <c r="P8351" s="1" t="s">
        <v>13623</v>
      </c>
      <c r="Q8351" s="30" t="s">
        <v>4207</v>
      </c>
      <c r="R8351" s="33" t="s">
        <v>3472</v>
      </c>
      <c r="S8351">
        <v>37</v>
      </c>
      <c r="T8351" s="1" t="s">
        <v>14056</v>
      </c>
      <c r="U8351" s="1" t="str">
        <f>HYPERLINK("http://ictvonline.org/taxonomy/p/taxonomy-history?taxnode_id=202112487","ICTVonline=202112487")</f>
        <v>ICTVonline=202112487</v>
      </c>
    </row>
    <row r="8352" spans="1:21" x14ac:dyDescent="0.2">
      <c r="A8352" s="3">
        <v>8351</v>
      </c>
      <c r="B8352" s="1" t="s">
        <v>4226</v>
      </c>
      <c r="D8352" s="1" t="s">
        <v>5412</v>
      </c>
      <c r="F8352" s="1" t="s">
        <v>5637</v>
      </c>
      <c r="H8352" s="1" t="s">
        <v>5638</v>
      </c>
      <c r="J8352" s="1" t="s">
        <v>5639</v>
      </c>
      <c r="L8352" s="1" t="s">
        <v>249</v>
      </c>
      <c r="N8352" s="1" t="s">
        <v>13619</v>
      </c>
      <c r="P8352" s="1" t="s">
        <v>13624</v>
      </c>
      <c r="Q8352" s="30" t="s">
        <v>4207</v>
      </c>
      <c r="R8352" s="33" t="s">
        <v>3473</v>
      </c>
      <c r="S8352">
        <v>37</v>
      </c>
      <c r="T8352" s="1" t="s">
        <v>14056</v>
      </c>
      <c r="U8352" s="1" t="str">
        <f>HYPERLINK("http://ictvonline.org/taxonomy/p/taxonomy-history?taxnode_id=202103674","ICTVonline=202103674")</f>
        <v>ICTVonline=202103674</v>
      </c>
    </row>
    <row r="8353" spans="1:21" x14ac:dyDescent="0.2">
      <c r="A8353" s="3">
        <v>8352</v>
      </c>
      <c r="B8353" s="1" t="s">
        <v>4226</v>
      </c>
      <c r="D8353" s="1" t="s">
        <v>5412</v>
      </c>
      <c r="F8353" s="1" t="s">
        <v>5637</v>
      </c>
      <c r="H8353" s="1" t="s">
        <v>5638</v>
      </c>
      <c r="J8353" s="1" t="s">
        <v>5639</v>
      </c>
      <c r="L8353" s="1" t="s">
        <v>249</v>
      </c>
      <c r="N8353" s="1" t="s">
        <v>13619</v>
      </c>
      <c r="P8353" s="1" t="s">
        <v>13625</v>
      </c>
      <c r="Q8353" s="30" t="s">
        <v>4207</v>
      </c>
      <c r="R8353" s="33" t="s">
        <v>3472</v>
      </c>
      <c r="S8353">
        <v>37</v>
      </c>
      <c r="T8353" s="1" t="s">
        <v>14056</v>
      </c>
      <c r="U8353" s="1" t="str">
        <f>HYPERLINK("http://ictvonline.org/taxonomy/p/taxonomy-history?taxnode_id=202112482","ICTVonline=202112482")</f>
        <v>ICTVonline=202112482</v>
      </c>
    </row>
    <row r="8354" spans="1:21" x14ac:dyDescent="0.2">
      <c r="A8354" s="3">
        <v>8353</v>
      </c>
      <c r="B8354" s="1" t="s">
        <v>4226</v>
      </c>
      <c r="D8354" s="1" t="s">
        <v>5412</v>
      </c>
      <c r="F8354" s="1" t="s">
        <v>5637</v>
      </c>
      <c r="H8354" s="1" t="s">
        <v>5638</v>
      </c>
      <c r="J8354" s="1" t="s">
        <v>5639</v>
      </c>
      <c r="L8354" s="1" t="s">
        <v>249</v>
      </c>
      <c r="N8354" s="1" t="s">
        <v>13619</v>
      </c>
      <c r="P8354" s="1" t="s">
        <v>13626</v>
      </c>
      <c r="Q8354" s="30" t="s">
        <v>4207</v>
      </c>
      <c r="R8354" s="33" t="s">
        <v>3472</v>
      </c>
      <c r="S8354">
        <v>37</v>
      </c>
      <c r="T8354" s="1" t="s">
        <v>14056</v>
      </c>
      <c r="U8354" s="1" t="str">
        <f>HYPERLINK("http://ictvonline.org/taxonomy/p/taxonomy-history?taxnode_id=202112489","ICTVonline=202112489")</f>
        <v>ICTVonline=202112489</v>
      </c>
    </row>
    <row r="8355" spans="1:21" x14ac:dyDescent="0.2">
      <c r="A8355" s="3">
        <v>8354</v>
      </c>
      <c r="B8355" s="1" t="s">
        <v>4226</v>
      </c>
      <c r="D8355" s="1" t="s">
        <v>5412</v>
      </c>
      <c r="F8355" s="1" t="s">
        <v>5637</v>
      </c>
      <c r="H8355" s="1" t="s">
        <v>5638</v>
      </c>
      <c r="J8355" s="1" t="s">
        <v>5639</v>
      </c>
      <c r="L8355" s="1" t="s">
        <v>249</v>
      </c>
      <c r="N8355" s="1" t="s">
        <v>13619</v>
      </c>
      <c r="P8355" s="1" t="s">
        <v>13627</v>
      </c>
      <c r="Q8355" s="30" t="s">
        <v>4207</v>
      </c>
      <c r="R8355" s="33" t="s">
        <v>3472</v>
      </c>
      <c r="S8355">
        <v>37</v>
      </c>
      <c r="T8355" s="1" t="s">
        <v>14056</v>
      </c>
      <c r="U8355" s="1" t="str">
        <f>HYPERLINK("http://ictvonline.org/taxonomy/p/taxonomy-history?taxnode_id=202112484","ICTVonline=202112484")</f>
        <v>ICTVonline=202112484</v>
      </c>
    </row>
    <row r="8356" spans="1:21" x14ac:dyDescent="0.2">
      <c r="A8356" s="3">
        <v>8355</v>
      </c>
      <c r="B8356" s="1" t="s">
        <v>4226</v>
      </c>
      <c r="D8356" s="1" t="s">
        <v>5412</v>
      </c>
      <c r="F8356" s="1" t="s">
        <v>5637</v>
      </c>
      <c r="H8356" s="1" t="s">
        <v>5638</v>
      </c>
      <c r="J8356" s="1" t="s">
        <v>5639</v>
      </c>
      <c r="L8356" s="1" t="s">
        <v>249</v>
      </c>
      <c r="N8356" s="1" t="s">
        <v>13619</v>
      </c>
      <c r="P8356" s="1" t="s">
        <v>13628</v>
      </c>
      <c r="Q8356" s="30" t="s">
        <v>4207</v>
      </c>
      <c r="R8356" s="33" t="s">
        <v>3472</v>
      </c>
      <c r="S8356">
        <v>37</v>
      </c>
      <c r="T8356" s="1" t="s">
        <v>14056</v>
      </c>
      <c r="U8356" s="1" t="str">
        <f>HYPERLINK("http://ictvonline.org/taxonomy/p/taxonomy-history?taxnode_id=202112481","ICTVonline=202112481")</f>
        <v>ICTVonline=202112481</v>
      </c>
    </row>
    <row r="8357" spans="1:21" x14ac:dyDescent="0.2">
      <c r="A8357" s="3">
        <v>8356</v>
      </c>
      <c r="B8357" s="1" t="s">
        <v>4226</v>
      </c>
      <c r="D8357" s="1" t="s">
        <v>5412</v>
      </c>
      <c r="F8357" s="1" t="s">
        <v>5637</v>
      </c>
      <c r="H8357" s="1" t="s">
        <v>5638</v>
      </c>
      <c r="J8357" s="1" t="s">
        <v>5639</v>
      </c>
      <c r="L8357" s="1" t="s">
        <v>249</v>
      </c>
      <c r="N8357" s="1" t="s">
        <v>13619</v>
      </c>
      <c r="P8357" s="1" t="s">
        <v>13629</v>
      </c>
      <c r="Q8357" s="30" t="s">
        <v>4207</v>
      </c>
      <c r="R8357" s="33" t="s">
        <v>3472</v>
      </c>
      <c r="S8357">
        <v>37</v>
      </c>
      <c r="T8357" s="1" t="s">
        <v>14056</v>
      </c>
      <c r="U8357" s="1" t="str">
        <f>HYPERLINK("http://ictvonline.org/taxonomy/p/taxonomy-history?taxnode_id=202112486","ICTVonline=202112486")</f>
        <v>ICTVonline=202112486</v>
      </c>
    </row>
    <row r="8358" spans="1:21" x14ac:dyDescent="0.2">
      <c r="A8358" s="3">
        <v>8357</v>
      </c>
      <c r="B8358" s="1" t="s">
        <v>4226</v>
      </c>
      <c r="D8358" s="1" t="s">
        <v>5412</v>
      </c>
      <c r="F8358" s="1" t="s">
        <v>5637</v>
      </c>
      <c r="H8358" s="1" t="s">
        <v>5638</v>
      </c>
      <c r="J8358" s="1" t="s">
        <v>5639</v>
      </c>
      <c r="L8358" s="1" t="s">
        <v>249</v>
      </c>
      <c r="N8358" s="1" t="s">
        <v>13619</v>
      </c>
      <c r="P8358" s="1" t="s">
        <v>13630</v>
      </c>
      <c r="Q8358" s="30" t="s">
        <v>4207</v>
      </c>
      <c r="R8358" s="33" t="s">
        <v>3472</v>
      </c>
      <c r="S8358">
        <v>37</v>
      </c>
      <c r="T8358" s="1" t="s">
        <v>14056</v>
      </c>
      <c r="U8358" s="1" t="str">
        <f>HYPERLINK("http://ictvonline.org/taxonomy/p/taxonomy-history?taxnode_id=202112483","ICTVonline=202112483")</f>
        <v>ICTVonline=202112483</v>
      </c>
    </row>
    <row r="8359" spans="1:21" x14ac:dyDescent="0.2">
      <c r="A8359" s="3">
        <v>8358</v>
      </c>
      <c r="B8359" s="1" t="s">
        <v>4226</v>
      </c>
      <c r="D8359" s="1" t="s">
        <v>5412</v>
      </c>
      <c r="F8359" s="1" t="s">
        <v>5637</v>
      </c>
      <c r="H8359" s="1" t="s">
        <v>5638</v>
      </c>
      <c r="J8359" s="1" t="s">
        <v>5639</v>
      </c>
      <c r="L8359" s="1" t="s">
        <v>249</v>
      </c>
      <c r="N8359" s="1" t="s">
        <v>13631</v>
      </c>
      <c r="P8359" s="1" t="s">
        <v>13632</v>
      </c>
      <c r="Q8359" s="30" t="s">
        <v>4207</v>
      </c>
      <c r="R8359" s="33" t="s">
        <v>3473</v>
      </c>
      <c r="S8359">
        <v>37</v>
      </c>
      <c r="T8359" s="1" t="s">
        <v>14056</v>
      </c>
      <c r="U8359" s="1" t="str">
        <f>HYPERLINK("http://ictvonline.org/taxonomy/p/taxonomy-history?taxnode_id=202103677","ICTVonline=202103677")</f>
        <v>ICTVonline=202103677</v>
      </c>
    </row>
    <row r="8360" spans="1:21" x14ac:dyDescent="0.2">
      <c r="A8360" s="3">
        <v>8359</v>
      </c>
      <c r="B8360" s="1" t="s">
        <v>4226</v>
      </c>
      <c r="D8360" s="1" t="s">
        <v>5412</v>
      </c>
      <c r="F8360" s="1" t="s">
        <v>5637</v>
      </c>
      <c r="H8360" s="1" t="s">
        <v>5638</v>
      </c>
      <c r="J8360" s="1" t="s">
        <v>5639</v>
      </c>
      <c r="L8360" s="1" t="s">
        <v>249</v>
      </c>
      <c r="N8360" s="1" t="s">
        <v>13631</v>
      </c>
      <c r="P8360" s="1" t="s">
        <v>13633</v>
      </c>
      <c r="Q8360" s="30" t="s">
        <v>4207</v>
      </c>
      <c r="R8360" s="33" t="s">
        <v>3473</v>
      </c>
      <c r="S8360">
        <v>37</v>
      </c>
      <c r="T8360" s="1" t="s">
        <v>14056</v>
      </c>
      <c r="U8360" s="1" t="str">
        <f>HYPERLINK("http://ictvonline.org/taxonomy/p/taxonomy-history?taxnode_id=202103676","ICTVonline=202103676")</f>
        <v>ICTVonline=202103676</v>
      </c>
    </row>
    <row r="8361" spans="1:21" x14ac:dyDescent="0.2">
      <c r="A8361" s="3">
        <v>8360</v>
      </c>
      <c r="B8361" s="1" t="s">
        <v>4226</v>
      </c>
      <c r="D8361" s="1" t="s">
        <v>5412</v>
      </c>
      <c r="F8361" s="1" t="s">
        <v>5637</v>
      </c>
      <c r="H8361" s="1" t="s">
        <v>5638</v>
      </c>
      <c r="J8361" s="1" t="s">
        <v>5639</v>
      </c>
      <c r="L8361" s="1" t="s">
        <v>249</v>
      </c>
      <c r="N8361" s="1" t="s">
        <v>13631</v>
      </c>
      <c r="P8361" s="1" t="s">
        <v>13634</v>
      </c>
      <c r="Q8361" s="30" t="s">
        <v>4207</v>
      </c>
      <c r="R8361" s="33" t="s">
        <v>3472</v>
      </c>
      <c r="S8361">
        <v>37</v>
      </c>
      <c r="T8361" s="1" t="s">
        <v>14056</v>
      </c>
      <c r="U8361" s="1" t="str">
        <f>HYPERLINK("http://ictvonline.org/taxonomy/p/taxonomy-history?taxnode_id=202112494","ICTVonline=202112494")</f>
        <v>ICTVonline=202112494</v>
      </c>
    </row>
    <row r="8362" spans="1:21" x14ac:dyDescent="0.2">
      <c r="A8362" s="3">
        <v>8361</v>
      </c>
      <c r="B8362" s="1" t="s">
        <v>4226</v>
      </c>
      <c r="D8362" s="1" t="s">
        <v>5412</v>
      </c>
      <c r="F8362" s="1" t="s">
        <v>5637</v>
      </c>
      <c r="H8362" s="1" t="s">
        <v>5638</v>
      </c>
      <c r="J8362" s="1" t="s">
        <v>5639</v>
      </c>
      <c r="L8362" s="1" t="s">
        <v>249</v>
      </c>
      <c r="N8362" s="1" t="s">
        <v>13631</v>
      </c>
      <c r="P8362" s="1" t="s">
        <v>13635</v>
      </c>
      <c r="Q8362" s="30" t="s">
        <v>4207</v>
      </c>
      <c r="R8362" s="33" t="s">
        <v>3472</v>
      </c>
      <c r="S8362">
        <v>37</v>
      </c>
      <c r="T8362" s="1" t="s">
        <v>14056</v>
      </c>
      <c r="U8362" s="1" t="str">
        <f>HYPERLINK("http://ictvonline.org/taxonomy/p/taxonomy-history?taxnode_id=202112496","ICTVonline=202112496")</f>
        <v>ICTVonline=202112496</v>
      </c>
    </row>
    <row r="8363" spans="1:21" x14ac:dyDescent="0.2">
      <c r="A8363" s="3">
        <v>8362</v>
      </c>
      <c r="B8363" s="1" t="s">
        <v>4226</v>
      </c>
      <c r="D8363" s="1" t="s">
        <v>5412</v>
      </c>
      <c r="F8363" s="1" t="s">
        <v>5637</v>
      </c>
      <c r="H8363" s="1" t="s">
        <v>5638</v>
      </c>
      <c r="J8363" s="1" t="s">
        <v>5639</v>
      </c>
      <c r="L8363" s="1" t="s">
        <v>249</v>
      </c>
      <c r="N8363" s="1" t="s">
        <v>13631</v>
      </c>
      <c r="P8363" s="1" t="s">
        <v>13636</v>
      </c>
      <c r="Q8363" s="30" t="s">
        <v>4207</v>
      </c>
      <c r="R8363" s="33" t="s">
        <v>3472</v>
      </c>
      <c r="S8363">
        <v>37</v>
      </c>
      <c r="T8363" s="1" t="s">
        <v>14056</v>
      </c>
      <c r="U8363" s="1" t="str">
        <f>HYPERLINK("http://ictvonline.org/taxonomy/p/taxonomy-history?taxnode_id=202112491","ICTVonline=202112491")</f>
        <v>ICTVonline=202112491</v>
      </c>
    </row>
    <row r="8364" spans="1:21" x14ac:dyDescent="0.2">
      <c r="A8364" s="3">
        <v>8363</v>
      </c>
      <c r="B8364" s="1" t="s">
        <v>4226</v>
      </c>
      <c r="D8364" s="1" t="s">
        <v>5412</v>
      </c>
      <c r="F8364" s="1" t="s">
        <v>5637</v>
      </c>
      <c r="H8364" s="1" t="s">
        <v>5638</v>
      </c>
      <c r="J8364" s="1" t="s">
        <v>5639</v>
      </c>
      <c r="L8364" s="1" t="s">
        <v>249</v>
      </c>
      <c r="N8364" s="1" t="s">
        <v>13631</v>
      </c>
      <c r="P8364" s="1" t="s">
        <v>13637</v>
      </c>
      <c r="Q8364" s="30" t="s">
        <v>4207</v>
      </c>
      <c r="R8364" s="33" t="s">
        <v>3472</v>
      </c>
      <c r="S8364">
        <v>37</v>
      </c>
      <c r="T8364" s="1" t="s">
        <v>14056</v>
      </c>
      <c r="U8364" s="1" t="str">
        <f>HYPERLINK("http://ictvonline.org/taxonomy/p/taxonomy-history?taxnode_id=202112492","ICTVonline=202112492")</f>
        <v>ICTVonline=202112492</v>
      </c>
    </row>
    <row r="8365" spans="1:21" x14ac:dyDescent="0.2">
      <c r="A8365" s="3">
        <v>8364</v>
      </c>
      <c r="B8365" s="1" t="s">
        <v>4226</v>
      </c>
      <c r="D8365" s="1" t="s">
        <v>5412</v>
      </c>
      <c r="F8365" s="1" t="s">
        <v>5637</v>
      </c>
      <c r="H8365" s="1" t="s">
        <v>5638</v>
      </c>
      <c r="J8365" s="1" t="s">
        <v>5639</v>
      </c>
      <c r="L8365" s="1" t="s">
        <v>249</v>
      </c>
      <c r="N8365" s="1" t="s">
        <v>13631</v>
      </c>
      <c r="P8365" s="1" t="s">
        <v>13638</v>
      </c>
      <c r="Q8365" s="30" t="s">
        <v>4207</v>
      </c>
      <c r="R8365" s="33" t="s">
        <v>3472</v>
      </c>
      <c r="S8365">
        <v>37</v>
      </c>
      <c r="T8365" s="1" t="s">
        <v>14056</v>
      </c>
      <c r="U8365" s="1" t="str">
        <f>HYPERLINK("http://ictvonline.org/taxonomy/p/taxonomy-history?taxnode_id=202112497","ICTVonline=202112497")</f>
        <v>ICTVonline=202112497</v>
      </c>
    </row>
    <row r="8366" spans="1:21" x14ac:dyDescent="0.2">
      <c r="A8366" s="3">
        <v>8365</v>
      </c>
      <c r="B8366" s="1" t="s">
        <v>4226</v>
      </c>
      <c r="D8366" s="1" t="s">
        <v>5412</v>
      </c>
      <c r="F8366" s="1" t="s">
        <v>5637</v>
      </c>
      <c r="H8366" s="1" t="s">
        <v>5638</v>
      </c>
      <c r="J8366" s="1" t="s">
        <v>5639</v>
      </c>
      <c r="L8366" s="1" t="s">
        <v>249</v>
      </c>
      <c r="N8366" s="1" t="s">
        <v>13631</v>
      </c>
      <c r="P8366" s="1" t="s">
        <v>13639</v>
      </c>
      <c r="Q8366" s="30" t="s">
        <v>4207</v>
      </c>
      <c r="R8366" s="33" t="s">
        <v>3472</v>
      </c>
      <c r="S8366">
        <v>37</v>
      </c>
      <c r="T8366" s="1" t="s">
        <v>14056</v>
      </c>
      <c r="U8366" s="1" t="str">
        <f>HYPERLINK("http://ictvonline.org/taxonomy/p/taxonomy-history?taxnode_id=202112493","ICTVonline=202112493")</f>
        <v>ICTVonline=202112493</v>
      </c>
    </row>
    <row r="8367" spans="1:21" x14ac:dyDescent="0.2">
      <c r="A8367" s="3">
        <v>8366</v>
      </c>
      <c r="B8367" s="1" t="s">
        <v>4226</v>
      </c>
      <c r="D8367" s="1" t="s">
        <v>5412</v>
      </c>
      <c r="F8367" s="1" t="s">
        <v>5637</v>
      </c>
      <c r="H8367" s="1" t="s">
        <v>5638</v>
      </c>
      <c r="J8367" s="1" t="s">
        <v>5639</v>
      </c>
      <c r="L8367" s="1" t="s">
        <v>249</v>
      </c>
      <c r="N8367" s="1" t="s">
        <v>13631</v>
      </c>
      <c r="P8367" s="1" t="s">
        <v>13640</v>
      </c>
      <c r="Q8367" s="30" t="s">
        <v>4207</v>
      </c>
      <c r="R8367" s="33" t="s">
        <v>3472</v>
      </c>
      <c r="S8367">
        <v>37</v>
      </c>
      <c r="T8367" s="1" t="s">
        <v>14056</v>
      </c>
      <c r="U8367" s="1" t="str">
        <f>HYPERLINK("http://ictvonline.org/taxonomy/p/taxonomy-history?taxnode_id=202112495","ICTVonline=202112495")</f>
        <v>ICTVonline=202112495</v>
      </c>
    </row>
    <row r="8368" spans="1:21" x14ac:dyDescent="0.2">
      <c r="A8368" s="3">
        <v>8367</v>
      </c>
      <c r="B8368" s="1" t="s">
        <v>4226</v>
      </c>
      <c r="D8368" s="1" t="s">
        <v>5412</v>
      </c>
      <c r="F8368" s="1" t="s">
        <v>5637</v>
      </c>
      <c r="H8368" s="1" t="s">
        <v>5638</v>
      </c>
      <c r="J8368" s="1" t="s">
        <v>5639</v>
      </c>
      <c r="L8368" s="1" t="s">
        <v>249</v>
      </c>
      <c r="N8368" s="1" t="s">
        <v>13641</v>
      </c>
      <c r="P8368" s="1" t="s">
        <v>13642</v>
      </c>
      <c r="Q8368" s="30" t="s">
        <v>4207</v>
      </c>
      <c r="R8368" s="33" t="s">
        <v>3472</v>
      </c>
      <c r="S8368">
        <v>37</v>
      </c>
      <c r="T8368" s="1" t="s">
        <v>14056</v>
      </c>
      <c r="U8368" s="1" t="str">
        <f>HYPERLINK("http://ictvonline.org/taxonomy/p/taxonomy-history?taxnode_id=202112505","ICTVonline=202112505")</f>
        <v>ICTVonline=202112505</v>
      </c>
    </row>
    <row r="8369" spans="1:21" x14ac:dyDescent="0.2">
      <c r="A8369" s="3">
        <v>8368</v>
      </c>
      <c r="B8369" s="1" t="s">
        <v>4226</v>
      </c>
      <c r="D8369" s="1" t="s">
        <v>5412</v>
      </c>
      <c r="F8369" s="1" t="s">
        <v>5637</v>
      </c>
      <c r="H8369" s="1" t="s">
        <v>5638</v>
      </c>
      <c r="J8369" s="1" t="s">
        <v>5639</v>
      </c>
      <c r="L8369" s="1" t="s">
        <v>249</v>
      </c>
      <c r="N8369" s="1" t="s">
        <v>13641</v>
      </c>
      <c r="P8369" s="1" t="s">
        <v>13643</v>
      </c>
      <c r="Q8369" s="30" t="s">
        <v>4207</v>
      </c>
      <c r="R8369" s="33" t="s">
        <v>3472</v>
      </c>
      <c r="S8369">
        <v>37</v>
      </c>
      <c r="T8369" s="1" t="s">
        <v>14056</v>
      </c>
      <c r="U8369" s="1" t="str">
        <f>HYPERLINK("http://ictvonline.org/taxonomy/p/taxonomy-history?taxnode_id=202112506","ICTVonline=202112506")</f>
        <v>ICTVonline=202112506</v>
      </c>
    </row>
    <row r="8370" spans="1:21" x14ac:dyDescent="0.2">
      <c r="A8370" s="3">
        <v>8369</v>
      </c>
      <c r="B8370" s="1" t="s">
        <v>4226</v>
      </c>
      <c r="D8370" s="1" t="s">
        <v>5412</v>
      </c>
      <c r="F8370" s="1" t="s">
        <v>5637</v>
      </c>
      <c r="H8370" s="1" t="s">
        <v>5638</v>
      </c>
      <c r="J8370" s="1" t="s">
        <v>5639</v>
      </c>
      <c r="L8370" s="1" t="s">
        <v>249</v>
      </c>
      <c r="N8370" s="1" t="s">
        <v>13644</v>
      </c>
      <c r="P8370" s="1" t="s">
        <v>13645</v>
      </c>
      <c r="Q8370" s="30" t="s">
        <v>4207</v>
      </c>
      <c r="R8370" s="33" t="s">
        <v>3472</v>
      </c>
      <c r="S8370">
        <v>37</v>
      </c>
      <c r="T8370" s="1" t="s">
        <v>14056</v>
      </c>
      <c r="U8370" s="1" t="str">
        <f>HYPERLINK("http://ictvonline.org/taxonomy/p/taxonomy-history?taxnode_id=202112508","ICTVonline=202112508")</f>
        <v>ICTVonline=202112508</v>
      </c>
    </row>
    <row r="8371" spans="1:21" x14ac:dyDescent="0.2">
      <c r="A8371" s="3">
        <v>8370</v>
      </c>
      <c r="B8371" s="1" t="s">
        <v>4226</v>
      </c>
      <c r="D8371" s="1" t="s">
        <v>5412</v>
      </c>
      <c r="F8371" s="1" t="s">
        <v>5637</v>
      </c>
      <c r="H8371" s="1" t="s">
        <v>5638</v>
      </c>
      <c r="J8371" s="1" t="s">
        <v>5639</v>
      </c>
      <c r="L8371" s="1" t="s">
        <v>249</v>
      </c>
      <c r="N8371" s="1" t="s">
        <v>13644</v>
      </c>
      <c r="P8371" s="1" t="s">
        <v>13646</v>
      </c>
      <c r="Q8371" s="30" t="s">
        <v>4207</v>
      </c>
      <c r="R8371" s="33" t="s">
        <v>3472</v>
      </c>
      <c r="S8371">
        <v>37</v>
      </c>
      <c r="T8371" s="1" t="s">
        <v>14056</v>
      </c>
      <c r="U8371" s="1" t="str">
        <f>HYPERLINK("http://ictvonline.org/taxonomy/p/taxonomy-history?taxnode_id=202112509","ICTVonline=202112509")</f>
        <v>ICTVonline=202112509</v>
      </c>
    </row>
    <row r="8372" spans="1:21" x14ac:dyDescent="0.2">
      <c r="A8372" s="3">
        <v>8371</v>
      </c>
      <c r="B8372" s="1" t="s">
        <v>4226</v>
      </c>
      <c r="D8372" s="1" t="s">
        <v>5412</v>
      </c>
      <c r="F8372" s="1" t="s">
        <v>5637</v>
      </c>
      <c r="H8372" s="1" t="s">
        <v>5638</v>
      </c>
      <c r="J8372" s="1" t="s">
        <v>5639</v>
      </c>
      <c r="L8372" s="1" t="s">
        <v>249</v>
      </c>
      <c r="N8372" s="1" t="s">
        <v>13644</v>
      </c>
      <c r="P8372" s="1" t="s">
        <v>13647</v>
      </c>
      <c r="Q8372" s="30" t="s">
        <v>4207</v>
      </c>
      <c r="R8372" s="33" t="s">
        <v>3472</v>
      </c>
      <c r="S8372">
        <v>37</v>
      </c>
      <c r="T8372" s="1" t="s">
        <v>14056</v>
      </c>
      <c r="U8372" s="1" t="str">
        <f>HYPERLINK("http://ictvonline.org/taxonomy/p/taxonomy-history?taxnode_id=202112511","ICTVonline=202112511")</f>
        <v>ICTVonline=202112511</v>
      </c>
    </row>
    <row r="8373" spans="1:21" x14ac:dyDescent="0.2">
      <c r="A8373" s="3">
        <v>8372</v>
      </c>
      <c r="B8373" s="1" t="s">
        <v>4226</v>
      </c>
      <c r="D8373" s="1" t="s">
        <v>5412</v>
      </c>
      <c r="F8373" s="1" t="s">
        <v>5637</v>
      </c>
      <c r="H8373" s="1" t="s">
        <v>5638</v>
      </c>
      <c r="J8373" s="1" t="s">
        <v>5639</v>
      </c>
      <c r="L8373" s="1" t="s">
        <v>249</v>
      </c>
      <c r="N8373" s="1" t="s">
        <v>13644</v>
      </c>
      <c r="P8373" s="1" t="s">
        <v>13648</v>
      </c>
      <c r="Q8373" s="30" t="s">
        <v>4207</v>
      </c>
      <c r="R8373" s="33" t="s">
        <v>3472</v>
      </c>
      <c r="S8373">
        <v>37</v>
      </c>
      <c r="T8373" s="1" t="s">
        <v>14056</v>
      </c>
      <c r="U8373" s="1" t="str">
        <f>HYPERLINK("http://ictvonline.org/taxonomy/p/taxonomy-history?taxnode_id=202112513","ICTVonline=202112513")</f>
        <v>ICTVonline=202112513</v>
      </c>
    </row>
    <row r="8374" spans="1:21" x14ac:dyDescent="0.2">
      <c r="A8374" s="3">
        <v>8373</v>
      </c>
      <c r="B8374" s="1" t="s">
        <v>4226</v>
      </c>
      <c r="D8374" s="1" t="s">
        <v>5412</v>
      </c>
      <c r="F8374" s="1" t="s">
        <v>5637</v>
      </c>
      <c r="H8374" s="1" t="s">
        <v>5638</v>
      </c>
      <c r="J8374" s="1" t="s">
        <v>5639</v>
      </c>
      <c r="L8374" s="1" t="s">
        <v>249</v>
      </c>
      <c r="N8374" s="1" t="s">
        <v>13644</v>
      </c>
      <c r="P8374" s="1" t="s">
        <v>13649</v>
      </c>
      <c r="Q8374" s="30" t="s">
        <v>4207</v>
      </c>
      <c r="R8374" s="33" t="s">
        <v>3472</v>
      </c>
      <c r="S8374">
        <v>37</v>
      </c>
      <c r="T8374" s="1" t="s">
        <v>14056</v>
      </c>
      <c r="U8374" s="1" t="str">
        <f>HYPERLINK("http://ictvonline.org/taxonomy/p/taxonomy-history?taxnode_id=202112510","ICTVonline=202112510")</f>
        <v>ICTVonline=202112510</v>
      </c>
    </row>
    <row r="8375" spans="1:21" x14ac:dyDescent="0.2">
      <c r="A8375" s="3">
        <v>8374</v>
      </c>
      <c r="B8375" s="1" t="s">
        <v>4226</v>
      </c>
      <c r="D8375" s="1" t="s">
        <v>5412</v>
      </c>
      <c r="F8375" s="1" t="s">
        <v>5637</v>
      </c>
      <c r="H8375" s="1" t="s">
        <v>5638</v>
      </c>
      <c r="J8375" s="1" t="s">
        <v>5639</v>
      </c>
      <c r="L8375" s="1" t="s">
        <v>249</v>
      </c>
      <c r="N8375" s="1" t="s">
        <v>13644</v>
      </c>
      <c r="P8375" s="1" t="s">
        <v>13650</v>
      </c>
      <c r="Q8375" s="30" t="s">
        <v>4207</v>
      </c>
      <c r="R8375" s="33" t="s">
        <v>3472</v>
      </c>
      <c r="S8375">
        <v>37</v>
      </c>
      <c r="T8375" s="1" t="s">
        <v>14056</v>
      </c>
      <c r="U8375" s="1" t="str">
        <f>HYPERLINK("http://ictvonline.org/taxonomy/p/taxonomy-history?taxnode_id=202112512","ICTVonline=202112512")</f>
        <v>ICTVonline=202112512</v>
      </c>
    </row>
    <row r="8376" spans="1:21" x14ac:dyDescent="0.2">
      <c r="A8376" s="3">
        <v>8375</v>
      </c>
      <c r="B8376" s="1" t="s">
        <v>4226</v>
      </c>
      <c r="D8376" s="1" t="s">
        <v>5412</v>
      </c>
      <c r="F8376" s="1" t="s">
        <v>5637</v>
      </c>
      <c r="H8376" s="1" t="s">
        <v>5638</v>
      </c>
      <c r="J8376" s="1" t="s">
        <v>5639</v>
      </c>
      <c r="L8376" s="1" t="s">
        <v>249</v>
      </c>
      <c r="N8376" s="1" t="s">
        <v>13651</v>
      </c>
      <c r="P8376" s="1" t="s">
        <v>13652</v>
      </c>
      <c r="Q8376" s="30" t="s">
        <v>4207</v>
      </c>
      <c r="R8376" s="33" t="s">
        <v>3472</v>
      </c>
      <c r="S8376">
        <v>37</v>
      </c>
      <c r="T8376" s="1" t="s">
        <v>14056</v>
      </c>
      <c r="U8376" s="1" t="str">
        <f>HYPERLINK("http://ictvonline.org/taxonomy/p/taxonomy-history?taxnode_id=202112517","ICTVonline=202112517")</f>
        <v>ICTVonline=202112517</v>
      </c>
    </row>
    <row r="8377" spans="1:21" x14ac:dyDescent="0.2">
      <c r="A8377" s="3">
        <v>8376</v>
      </c>
      <c r="B8377" s="1" t="s">
        <v>4226</v>
      </c>
      <c r="D8377" s="1" t="s">
        <v>5412</v>
      </c>
      <c r="F8377" s="1" t="s">
        <v>5637</v>
      </c>
      <c r="H8377" s="1" t="s">
        <v>5638</v>
      </c>
      <c r="J8377" s="1" t="s">
        <v>5639</v>
      </c>
      <c r="L8377" s="1" t="s">
        <v>249</v>
      </c>
      <c r="N8377" s="1" t="s">
        <v>13653</v>
      </c>
      <c r="P8377" s="1" t="s">
        <v>13654</v>
      </c>
      <c r="Q8377" s="30" t="s">
        <v>4207</v>
      </c>
      <c r="R8377" s="33" t="s">
        <v>3472</v>
      </c>
      <c r="S8377">
        <v>37</v>
      </c>
      <c r="T8377" s="1" t="s">
        <v>14056</v>
      </c>
      <c r="U8377" s="1" t="str">
        <f>HYPERLINK("http://ictvonline.org/taxonomy/p/taxonomy-history?taxnode_id=202112501","ICTVonline=202112501")</f>
        <v>ICTVonline=202112501</v>
      </c>
    </row>
    <row r="8378" spans="1:21" x14ac:dyDescent="0.2">
      <c r="A8378" s="3">
        <v>8377</v>
      </c>
      <c r="B8378" s="1" t="s">
        <v>4226</v>
      </c>
      <c r="D8378" s="1" t="s">
        <v>5412</v>
      </c>
      <c r="F8378" s="1" t="s">
        <v>5637</v>
      </c>
      <c r="H8378" s="1" t="s">
        <v>5638</v>
      </c>
      <c r="J8378" s="1" t="s">
        <v>5639</v>
      </c>
      <c r="L8378" s="1" t="s">
        <v>249</v>
      </c>
      <c r="N8378" s="1" t="s">
        <v>13653</v>
      </c>
      <c r="P8378" s="1" t="s">
        <v>13655</v>
      </c>
      <c r="Q8378" s="30" t="s">
        <v>4207</v>
      </c>
      <c r="R8378" s="33" t="s">
        <v>3472</v>
      </c>
      <c r="S8378">
        <v>37</v>
      </c>
      <c r="T8378" s="1" t="s">
        <v>14056</v>
      </c>
      <c r="U8378" s="1" t="str">
        <f>HYPERLINK("http://ictvonline.org/taxonomy/p/taxonomy-history?taxnode_id=202112502","ICTVonline=202112502")</f>
        <v>ICTVonline=202112502</v>
      </c>
    </row>
    <row r="8379" spans="1:21" x14ac:dyDescent="0.2">
      <c r="A8379" s="3">
        <v>8378</v>
      </c>
      <c r="B8379" s="1" t="s">
        <v>4226</v>
      </c>
      <c r="D8379" s="1" t="s">
        <v>5412</v>
      </c>
      <c r="F8379" s="1" t="s">
        <v>5637</v>
      </c>
      <c r="H8379" s="1" t="s">
        <v>5638</v>
      </c>
      <c r="J8379" s="1" t="s">
        <v>5639</v>
      </c>
      <c r="L8379" s="1" t="s">
        <v>249</v>
      </c>
      <c r="N8379" s="1" t="s">
        <v>13653</v>
      </c>
      <c r="P8379" s="1" t="s">
        <v>13656</v>
      </c>
      <c r="Q8379" s="30" t="s">
        <v>4207</v>
      </c>
      <c r="R8379" s="33" t="s">
        <v>3472</v>
      </c>
      <c r="S8379">
        <v>37</v>
      </c>
      <c r="T8379" s="1" t="s">
        <v>14056</v>
      </c>
      <c r="U8379" s="1" t="str">
        <f>HYPERLINK("http://ictvonline.org/taxonomy/p/taxonomy-history?taxnode_id=202112499","ICTVonline=202112499")</f>
        <v>ICTVonline=202112499</v>
      </c>
    </row>
    <row r="8380" spans="1:21" x14ac:dyDescent="0.2">
      <c r="A8380" s="3">
        <v>8379</v>
      </c>
      <c r="B8380" s="1" t="s">
        <v>4226</v>
      </c>
      <c r="D8380" s="1" t="s">
        <v>5412</v>
      </c>
      <c r="F8380" s="1" t="s">
        <v>5637</v>
      </c>
      <c r="H8380" s="1" t="s">
        <v>5638</v>
      </c>
      <c r="J8380" s="1" t="s">
        <v>5639</v>
      </c>
      <c r="L8380" s="1" t="s">
        <v>249</v>
      </c>
      <c r="N8380" s="1" t="s">
        <v>13653</v>
      </c>
      <c r="P8380" s="1" t="s">
        <v>13657</v>
      </c>
      <c r="Q8380" s="30" t="s">
        <v>4207</v>
      </c>
      <c r="R8380" s="33" t="s">
        <v>3472</v>
      </c>
      <c r="S8380">
        <v>37</v>
      </c>
      <c r="T8380" s="1" t="s">
        <v>14056</v>
      </c>
      <c r="U8380" s="1" t="str">
        <f>HYPERLINK("http://ictvonline.org/taxonomy/p/taxonomy-history?taxnode_id=202112500","ICTVonline=202112500")</f>
        <v>ICTVonline=202112500</v>
      </c>
    </row>
    <row r="8381" spans="1:21" x14ac:dyDescent="0.2">
      <c r="A8381" s="3">
        <v>8380</v>
      </c>
      <c r="B8381" s="1" t="s">
        <v>4226</v>
      </c>
      <c r="D8381" s="1" t="s">
        <v>5412</v>
      </c>
      <c r="F8381" s="1" t="s">
        <v>5637</v>
      </c>
      <c r="H8381" s="1" t="s">
        <v>5638</v>
      </c>
      <c r="J8381" s="1" t="s">
        <v>5639</v>
      </c>
      <c r="L8381" s="1" t="s">
        <v>249</v>
      </c>
      <c r="N8381" s="1" t="s">
        <v>13653</v>
      </c>
      <c r="P8381" s="1" t="s">
        <v>13658</v>
      </c>
      <c r="Q8381" s="30" t="s">
        <v>4207</v>
      </c>
      <c r="R8381" s="33" t="s">
        <v>3472</v>
      </c>
      <c r="S8381">
        <v>37</v>
      </c>
      <c r="T8381" s="1" t="s">
        <v>14056</v>
      </c>
      <c r="U8381" s="1" t="str">
        <f>HYPERLINK("http://ictvonline.org/taxonomy/p/taxonomy-history?taxnode_id=202112503","ICTVonline=202112503")</f>
        <v>ICTVonline=202112503</v>
      </c>
    </row>
    <row r="8382" spans="1:21" x14ac:dyDescent="0.2">
      <c r="A8382" s="3">
        <v>8381</v>
      </c>
      <c r="B8382" s="1" t="s">
        <v>4226</v>
      </c>
      <c r="D8382" s="1" t="s">
        <v>5412</v>
      </c>
      <c r="F8382" s="1" t="s">
        <v>5637</v>
      </c>
      <c r="H8382" s="1" t="s">
        <v>5638</v>
      </c>
      <c r="J8382" s="1" t="s">
        <v>5639</v>
      </c>
      <c r="L8382" s="1" t="s">
        <v>249</v>
      </c>
      <c r="N8382" s="1" t="s">
        <v>13659</v>
      </c>
      <c r="P8382" s="1" t="s">
        <v>13660</v>
      </c>
      <c r="Q8382" s="30" t="s">
        <v>4207</v>
      </c>
      <c r="R8382" s="33" t="s">
        <v>3472</v>
      </c>
      <c r="S8382">
        <v>37</v>
      </c>
      <c r="T8382" s="1" t="s">
        <v>14056</v>
      </c>
      <c r="U8382" s="1" t="str">
        <f>HYPERLINK("http://ictvonline.org/taxonomy/p/taxonomy-history?taxnode_id=202112522","ICTVonline=202112522")</f>
        <v>ICTVonline=202112522</v>
      </c>
    </row>
    <row r="8383" spans="1:21" x14ac:dyDescent="0.2">
      <c r="A8383" s="3">
        <v>8382</v>
      </c>
      <c r="B8383" s="1" t="s">
        <v>4226</v>
      </c>
      <c r="D8383" s="1" t="s">
        <v>5412</v>
      </c>
      <c r="F8383" s="1" t="s">
        <v>5637</v>
      </c>
      <c r="H8383" s="1" t="s">
        <v>5638</v>
      </c>
      <c r="J8383" s="1" t="s">
        <v>5639</v>
      </c>
      <c r="L8383" s="1" t="s">
        <v>249</v>
      </c>
      <c r="N8383" s="1" t="s">
        <v>13659</v>
      </c>
      <c r="P8383" s="1" t="s">
        <v>13661</v>
      </c>
      <c r="Q8383" s="30" t="s">
        <v>4207</v>
      </c>
      <c r="R8383" s="33" t="s">
        <v>3472</v>
      </c>
      <c r="S8383">
        <v>37</v>
      </c>
      <c r="T8383" s="1" t="s">
        <v>14056</v>
      </c>
      <c r="U8383" s="1" t="str">
        <f>HYPERLINK("http://ictvonline.org/taxonomy/p/taxonomy-history?taxnode_id=202112521","ICTVonline=202112521")</f>
        <v>ICTVonline=202112521</v>
      </c>
    </row>
    <row r="8384" spans="1:21" x14ac:dyDescent="0.2">
      <c r="A8384" s="3">
        <v>8383</v>
      </c>
      <c r="B8384" s="1" t="s">
        <v>4226</v>
      </c>
      <c r="D8384" s="1" t="s">
        <v>5412</v>
      </c>
      <c r="F8384" s="1" t="s">
        <v>5637</v>
      </c>
      <c r="H8384" s="1" t="s">
        <v>5638</v>
      </c>
      <c r="J8384" s="1" t="s">
        <v>5639</v>
      </c>
      <c r="L8384" s="1" t="s">
        <v>249</v>
      </c>
      <c r="N8384" s="1" t="s">
        <v>13659</v>
      </c>
      <c r="P8384" s="1" t="s">
        <v>13662</v>
      </c>
      <c r="Q8384" s="30" t="s">
        <v>4207</v>
      </c>
      <c r="R8384" s="33" t="s">
        <v>3472</v>
      </c>
      <c r="S8384">
        <v>37</v>
      </c>
      <c r="T8384" s="1" t="s">
        <v>14056</v>
      </c>
      <c r="U8384" s="1" t="str">
        <f>HYPERLINK("http://ictvonline.org/taxonomy/p/taxonomy-history?taxnode_id=202112519","ICTVonline=202112519")</f>
        <v>ICTVonline=202112519</v>
      </c>
    </row>
    <row r="8385" spans="1:21" x14ac:dyDescent="0.2">
      <c r="A8385" s="3">
        <v>8384</v>
      </c>
      <c r="B8385" s="1" t="s">
        <v>4226</v>
      </c>
      <c r="D8385" s="1" t="s">
        <v>5412</v>
      </c>
      <c r="F8385" s="1" t="s">
        <v>5637</v>
      </c>
      <c r="H8385" s="1" t="s">
        <v>5638</v>
      </c>
      <c r="J8385" s="1" t="s">
        <v>5639</v>
      </c>
      <c r="L8385" s="1" t="s">
        <v>249</v>
      </c>
      <c r="N8385" s="1" t="s">
        <v>13659</v>
      </c>
      <c r="P8385" s="1" t="s">
        <v>13663</v>
      </c>
      <c r="Q8385" s="30" t="s">
        <v>4207</v>
      </c>
      <c r="R8385" s="33" t="s">
        <v>3472</v>
      </c>
      <c r="S8385">
        <v>37</v>
      </c>
      <c r="T8385" s="1" t="s">
        <v>14056</v>
      </c>
      <c r="U8385" s="1" t="str">
        <f>HYPERLINK("http://ictvonline.org/taxonomy/p/taxonomy-history?taxnode_id=202112520","ICTVonline=202112520")</f>
        <v>ICTVonline=202112520</v>
      </c>
    </row>
    <row r="8386" spans="1:21" x14ac:dyDescent="0.2">
      <c r="A8386" s="3">
        <v>8385</v>
      </c>
      <c r="B8386" s="1" t="s">
        <v>4226</v>
      </c>
      <c r="D8386" s="1" t="s">
        <v>5412</v>
      </c>
      <c r="F8386" s="1" t="s">
        <v>5637</v>
      </c>
      <c r="H8386" s="1" t="s">
        <v>5638</v>
      </c>
      <c r="J8386" s="1" t="s">
        <v>5639</v>
      </c>
      <c r="L8386" s="1" t="s">
        <v>249</v>
      </c>
      <c r="N8386" s="1" t="s">
        <v>13664</v>
      </c>
      <c r="P8386" s="1" t="s">
        <v>13665</v>
      </c>
      <c r="Q8386" s="30" t="s">
        <v>4207</v>
      </c>
      <c r="R8386" s="33" t="s">
        <v>3472</v>
      </c>
      <c r="S8386">
        <v>37</v>
      </c>
      <c r="T8386" s="1" t="s">
        <v>14056</v>
      </c>
      <c r="U8386" s="1" t="str">
        <f>HYPERLINK("http://ictvonline.org/taxonomy/p/taxonomy-history?taxnode_id=202112515","ICTVonline=202112515")</f>
        <v>ICTVonline=202112515</v>
      </c>
    </row>
    <row r="8387" spans="1:21" x14ac:dyDescent="0.2">
      <c r="A8387" s="3">
        <v>8386</v>
      </c>
      <c r="B8387" s="1" t="s">
        <v>4226</v>
      </c>
      <c r="D8387" s="1" t="s">
        <v>5412</v>
      </c>
      <c r="F8387" s="1" t="s">
        <v>5637</v>
      </c>
      <c r="H8387" s="1" t="s">
        <v>5638</v>
      </c>
      <c r="J8387" s="1" t="s">
        <v>5639</v>
      </c>
      <c r="L8387" s="1" t="s">
        <v>1554</v>
      </c>
      <c r="N8387" s="1" t="s">
        <v>2363</v>
      </c>
      <c r="P8387" s="1" t="s">
        <v>891</v>
      </c>
      <c r="Q8387" s="30" t="s">
        <v>2569</v>
      </c>
      <c r="R8387" s="33" t="s">
        <v>3474</v>
      </c>
      <c r="S8387">
        <v>35</v>
      </c>
      <c r="T8387" s="1" t="s">
        <v>5416</v>
      </c>
      <c r="U8387" s="1" t="str">
        <f>HYPERLINK("http://ictvonline.org/taxonomy/p/taxonomy-history?taxnode_id=202104141","ICTVonline=202104141")</f>
        <v>ICTVonline=202104141</v>
      </c>
    </row>
    <row r="8388" spans="1:21" x14ac:dyDescent="0.2">
      <c r="A8388" s="3">
        <v>8387</v>
      </c>
      <c r="B8388" s="1" t="s">
        <v>4226</v>
      </c>
      <c r="D8388" s="1" t="s">
        <v>5412</v>
      </c>
      <c r="F8388" s="1" t="s">
        <v>5637</v>
      </c>
      <c r="H8388" s="1" t="s">
        <v>5638</v>
      </c>
      <c r="J8388" s="1" t="s">
        <v>5639</v>
      </c>
      <c r="L8388" s="1" t="s">
        <v>1554</v>
      </c>
      <c r="N8388" s="1" t="s">
        <v>2363</v>
      </c>
      <c r="P8388" s="1" t="s">
        <v>2364</v>
      </c>
      <c r="Q8388" s="30" t="s">
        <v>2569</v>
      </c>
      <c r="R8388" s="33" t="s">
        <v>3474</v>
      </c>
      <c r="S8388">
        <v>35</v>
      </c>
      <c r="T8388" s="1" t="s">
        <v>5416</v>
      </c>
      <c r="U8388" s="1" t="str">
        <f>HYPERLINK("http://ictvonline.org/taxonomy/p/taxonomy-history?taxnode_id=202104142","ICTVonline=202104142")</f>
        <v>ICTVonline=202104142</v>
      </c>
    </row>
    <row r="8389" spans="1:21" x14ac:dyDescent="0.2">
      <c r="A8389" s="3">
        <v>8388</v>
      </c>
      <c r="B8389" s="1" t="s">
        <v>4226</v>
      </c>
      <c r="D8389" s="1" t="s">
        <v>5412</v>
      </c>
      <c r="F8389" s="1" t="s">
        <v>5637</v>
      </c>
      <c r="H8389" s="1" t="s">
        <v>5638</v>
      </c>
      <c r="J8389" s="1" t="s">
        <v>5639</v>
      </c>
      <c r="L8389" s="1" t="s">
        <v>1554</v>
      </c>
      <c r="N8389" s="1" t="s">
        <v>2363</v>
      </c>
      <c r="P8389" s="1" t="s">
        <v>2365</v>
      </c>
      <c r="Q8389" s="30" t="s">
        <v>2569</v>
      </c>
      <c r="R8389" s="33" t="s">
        <v>3474</v>
      </c>
      <c r="S8389">
        <v>35</v>
      </c>
      <c r="T8389" s="1" t="s">
        <v>5416</v>
      </c>
      <c r="U8389" s="1" t="str">
        <f>HYPERLINK("http://ictvonline.org/taxonomy/p/taxonomy-history?taxnode_id=202104143","ICTVonline=202104143")</f>
        <v>ICTVonline=202104143</v>
      </c>
    </row>
    <row r="8390" spans="1:21" x14ac:dyDescent="0.2">
      <c r="A8390" s="3">
        <v>8389</v>
      </c>
      <c r="B8390" s="1" t="s">
        <v>4226</v>
      </c>
      <c r="D8390" s="1" t="s">
        <v>5412</v>
      </c>
      <c r="F8390" s="1" t="s">
        <v>5637</v>
      </c>
      <c r="H8390" s="1" t="s">
        <v>5638</v>
      </c>
      <c r="J8390" s="1" t="s">
        <v>5639</v>
      </c>
      <c r="L8390" s="1" t="s">
        <v>1554</v>
      </c>
      <c r="N8390" s="1" t="s">
        <v>2363</v>
      </c>
      <c r="P8390" s="1" t="s">
        <v>2366</v>
      </c>
      <c r="Q8390" s="30" t="s">
        <v>2569</v>
      </c>
      <c r="R8390" s="33" t="s">
        <v>3474</v>
      </c>
      <c r="S8390">
        <v>35</v>
      </c>
      <c r="T8390" s="1" t="s">
        <v>5416</v>
      </c>
      <c r="U8390" s="1" t="str">
        <f>HYPERLINK("http://ictvonline.org/taxonomy/p/taxonomy-history?taxnode_id=202104144","ICTVonline=202104144")</f>
        <v>ICTVonline=202104144</v>
      </c>
    </row>
    <row r="8391" spans="1:21" x14ac:dyDescent="0.2">
      <c r="A8391" s="3">
        <v>8390</v>
      </c>
      <c r="B8391" s="1" t="s">
        <v>4226</v>
      </c>
      <c r="D8391" s="1" t="s">
        <v>5412</v>
      </c>
      <c r="F8391" s="1" t="s">
        <v>5637</v>
      </c>
      <c r="H8391" s="1" t="s">
        <v>5638</v>
      </c>
      <c r="J8391" s="1" t="s">
        <v>5639</v>
      </c>
      <c r="L8391" s="1" t="s">
        <v>1554</v>
      </c>
      <c r="N8391" s="1" t="s">
        <v>2363</v>
      </c>
      <c r="P8391" s="1" t="s">
        <v>2367</v>
      </c>
      <c r="Q8391" s="30" t="s">
        <v>2569</v>
      </c>
      <c r="R8391" s="33" t="s">
        <v>3474</v>
      </c>
      <c r="S8391">
        <v>35</v>
      </c>
      <c r="T8391" s="1" t="s">
        <v>5416</v>
      </c>
      <c r="U8391" s="1" t="str">
        <f>HYPERLINK("http://ictvonline.org/taxonomy/p/taxonomy-history?taxnode_id=202104145","ICTVonline=202104145")</f>
        <v>ICTVonline=202104145</v>
      </c>
    </row>
    <row r="8392" spans="1:21" x14ac:dyDescent="0.2">
      <c r="A8392" s="3">
        <v>8391</v>
      </c>
      <c r="B8392" s="1" t="s">
        <v>4226</v>
      </c>
      <c r="D8392" s="1" t="s">
        <v>5412</v>
      </c>
      <c r="F8392" s="1" t="s">
        <v>5637</v>
      </c>
      <c r="H8392" s="1" t="s">
        <v>5638</v>
      </c>
      <c r="J8392" s="1" t="s">
        <v>5639</v>
      </c>
      <c r="L8392" s="1" t="s">
        <v>1554</v>
      </c>
      <c r="N8392" s="1" t="s">
        <v>2363</v>
      </c>
      <c r="P8392" s="1" t="s">
        <v>2514</v>
      </c>
      <c r="Q8392" s="30" t="s">
        <v>2569</v>
      </c>
      <c r="R8392" s="33" t="s">
        <v>3474</v>
      </c>
      <c r="S8392">
        <v>35</v>
      </c>
      <c r="T8392" s="1" t="s">
        <v>5416</v>
      </c>
      <c r="U8392" s="1" t="str">
        <f>HYPERLINK("http://ictvonline.org/taxonomy/p/taxonomy-history?taxnode_id=202104146","ICTVonline=202104146")</f>
        <v>ICTVonline=202104146</v>
      </c>
    </row>
    <row r="8393" spans="1:21" x14ac:dyDescent="0.2">
      <c r="A8393" s="3">
        <v>8392</v>
      </c>
      <c r="B8393" s="1" t="s">
        <v>4226</v>
      </c>
      <c r="D8393" s="1" t="s">
        <v>5412</v>
      </c>
      <c r="F8393" s="1" t="s">
        <v>5637</v>
      </c>
      <c r="H8393" s="1" t="s">
        <v>5638</v>
      </c>
      <c r="J8393" s="1" t="s">
        <v>5639</v>
      </c>
      <c r="L8393" s="1" t="s">
        <v>1554</v>
      </c>
      <c r="N8393" s="1" t="s">
        <v>2363</v>
      </c>
      <c r="P8393" s="1" t="s">
        <v>2515</v>
      </c>
      <c r="Q8393" s="30" t="s">
        <v>2569</v>
      </c>
      <c r="R8393" s="33" t="s">
        <v>3474</v>
      </c>
      <c r="S8393">
        <v>35</v>
      </c>
      <c r="T8393" s="1" t="s">
        <v>5416</v>
      </c>
      <c r="U8393" s="1" t="str">
        <f>HYPERLINK("http://ictvonline.org/taxonomy/p/taxonomy-history?taxnode_id=202104147","ICTVonline=202104147")</f>
        <v>ICTVonline=202104147</v>
      </c>
    </row>
    <row r="8394" spans="1:21" x14ac:dyDescent="0.2">
      <c r="A8394" s="3">
        <v>8393</v>
      </c>
      <c r="B8394" s="1" t="s">
        <v>4226</v>
      </c>
      <c r="D8394" s="1" t="s">
        <v>5412</v>
      </c>
      <c r="F8394" s="1" t="s">
        <v>5637</v>
      </c>
      <c r="H8394" s="1" t="s">
        <v>5638</v>
      </c>
      <c r="J8394" s="1" t="s">
        <v>5639</v>
      </c>
      <c r="L8394" s="1" t="s">
        <v>1554</v>
      </c>
      <c r="N8394" s="1" t="s">
        <v>2363</v>
      </c>
      <c r="P8394" s="1" t="s">
        <v>2516</v>
      </c>
      <c r="Q8394" s="30" t="s">
        <v>2569</v>
      </c>
      <c r="R8394" s="33" t="s">
        <v>3474</v>
      </c>
      <c r="S8394">
        <v>35</v>
      </c>
      <c r="T8394" s="1" t="s">
        <v>5416</v>
      </c>
      <c r="U8394" s="1" t="str">
        <f>HYPERLINK("http://ictvonline.org/taxonomy/p/taxonomy-history?taxnode_id=202104148","ICTVonline=202104148")</f>
        <v>ICTVonline=202104148</v>
      </c>
    </row>
    <row r="8395" spans="1:21" x14ac:dyDescent="0.2">
      <c r="A8395" s="3">
        <v>8394</v>
      </c>
      <c r="B8395" s="1" t="s">
        <v>4226</v>
      </c>
      <c r="D8395" s="1" t="s">
        <v>5412</v>
      </c>
      <c r="F8395" s="1" t="s">
        <v>5637</v>
      </c>
      <c r="H8395" s="1" t="s">
        <v>5638</v>
      </c>
      <c r="J8395" s="1" t="s">
        <v>5639</v>
      </c>
      <c r="L8395" s="1" t="s">
        <v>1554</v>
      </c>
      <c r="N8395" s="1" t="s">
        <v>2363</v>
      </c>
      <c r="P8395" s="1" t="s">
        <v>3010</v>
      </c>
      <c r="Q8395" s="30" t="s">
        <v>2569</v>
      </c>
      <c r="R8395" s="33" t="s">
        <v>3474</v>
      </c>
      <c r="S8395">
        <v>35</v>
      </c>
      <c r="T8395" s="1" t="s">
        <v>5416</v>
      </c>
      <c r="U8395" s="1" t="str">
        <f>HYPERLINK("http://ictvonline.org/taxonomy/p/taxonomy-history?taxnode_id=202104149","ICTVonline=202104149")</f>
        <v>ICTVonline=202104149</v>
      </c>
    </row>
    <row r="8396" spans="1:21" x14ac:dyDescent="0.2">
      <c r="A8396" s="3">
        <v>8395</v>
      </c>
      <c r="B8396" s="1" t="s">
        <v>4226</v>
      </c>
      <c r="D8396" s="1" t="s">
        <v>5412</v>
      </c>
      <c r="F8396" s="1" t="s">
        <v>5637</v>
      </c>
      <c r="H8396" s="1" t="s">
        <v>5638</v>
      </c>
      <c r="J8396" s="1" t="s">
        <v>5639</v>
      </c>
      <c r="L8396" s="1" t="s">
        <v>1554</v>
      </c>
      <c r="N8396" s="1" t="s">
        <v>2363</v>
      </c>
      <c r="P8396" s="1" t="s">
        <v>3011</v>
      </c>
      <c r="Q8396" s="30" t="s">
        <v>2569</v>
      </c>
      <c r="R8396" s="33" t="s">
        <v>3474</v>
      </c>
      <c r="S8396">
        <v>35</v>
      </c>
      <c r="T8396" s="1" t="s">
        <v>5416</v>
      </c>
      <c r="U8396" s="1" t="str">
        <f>HYPERLINK("http://ictvonline.org/taxonomy/p/taxonomy-history?taxnode_id=202104150","ICTVonline=202104150")</f>
        <v>ICTVonline=202104150</v>
      </c>
    </row>
    <row r="8397" spans="1:21" x14ac:dyDescent="0.2">
      <c r="A8397" s="3">
        <v>8396</v>
      </c>
      <c r="B8397" s="1" t="s">
        <v>4226</v>
      </c>
      <c r="D8397" s="1" t="s">
        <v>5412</v>
      </c>
      <c r="F8397" s="1" t="s">
        <v>5637</v>
      </c>
      <c r="H8397" s="1" t="s">
        <v>5638</v>
      </c>
      <c r="J8397" s="1" t="s">
        <v>5639</v>
      </c>
      <c r="L8397" s="1" t="s">
        <v>1554</v>
      </c>
      <c r="N8397" s="1" t="s">
        <v>2363</v>
      </c>
      <c r="P8397" s="1" t="s">
        <v>3012</v>
      </c>
      <c r="Q8397" s="30" t="s">
        <v>2569</v>
      </c>
      <c r="R8397" s="33" t="s">
        <v>3474</v>
      </c>
      <c r="S8397">
        <v>35</v>
      </c>
      <c r="T8397" s="1" t="s">
        <v>5416</v>
      </c>
      <c r="U8397" s="1" t="str">
        <f>HYPERLINK("http://ictvonline.org/taxonomy/p/taxonomy-history?taxnode_id=202104151","ICTVonline=202104151")</f>
        <v>ICTVonline=202104151</v>
      </c>
    </row>
    <row r="8398" spans="1:21" x14ac:dyDescent="0.2">
      <c r="A8398" s="3">
        <v>8397</v>
      </c>
      <c r="B8398" s="1" t="s">
        <v>4226</v>
      </c>
      <c r="D8398" s="1" t="s">
        <v>5412</v>
      </c>
      <c r="F8398" s="1" t="s">
        <v>5637</v>
      </c>
      <c r="H8398" s="1" t="s">
        <v>5638</v>
      </c>
      <c r="J8398" s="1" t="s">
        <v>5639</v>
      </c>
      <c r="L8398" s="1" t="s">
        <v>1554</v>
      </c>
      <c r="N8398" s="1" t="s">
        <v>2363</v>
      </c>
      <c r="P8398" s="1" t="s">
        <v>2368</v>
      </c>
      <c r="Q8398" s="30" t="s">
        <v>2569</v>
      </c>
      <c r="R8398" s="33" t="s">
        <v>3474</v>
      </c>
      <c r="S8398">
        <v>35</v>
      </c>
      <c r="T8398" s="1" t="s">
        <v>5416</v>
      </c>
      <c r="U8398" s="1" t="str">
        <f>HYPERLINK("http://ictvonline.org/taxonomy/p/taxonomy-history?taxnode_id=202104152","ICTVonline=202104152")</f>
        <v>ICTVonline=202104152</v>
      </c>
    </row>
    <row r="8399" spans="1:21" x14ac:dyDescent="0.2">
      <c r="A8399" s="3">
        <v>8398</v>
      </c>
      <c r="B8399" s="1" t="s">
        <v>4226</v>
      </c>
      <c r="D8399" s="1" t="s">
        <v>5412</v>
      </c>
      <c r="F8399" s="1" t="s">
        <v>5637</v>
      </c>
      <c r="H8399" s="1" t="s">
        <v>5638</v>
      </c>
      <c r="J8399" s="1" t="s">
        <v>5639</v>
      </c>
      <c r="L8399" s="1" t="s">
        <v>1554</v>
      </c>
      <c r="N8399" s="1" t="s">
        <v>2363</v>
      </c>
      <c r="P8399" s="1" t="s">
        <v>834</v>
      </c>
      <c r="Q8399" s="30" t="s">
        <v>2569</v>
      </c>
      <c r="R8399" s="33" t="s">
        <v>3474</v>
      </c>
      <c r="S8399">
        <v>35</v>
      </c>
      <c r="T8399" s="1" t="s">
        <v>5416</v>
      </c>
      <c r="U8399" s="1" t="str">
        <f>HYPERLINK("http://ictvonline.org/taxonomy/p/taxonomy-history?taxnode_id=202104153","ICTVonline=202104153")</f>
        <v>ICTVonline=202104153</v>
      </c>
    </row>
    <row r="8400" spans="1:21" x14ac:dyDescent="0.2">
      <c r="A8400" s="3">
        <v>8399</v>
      </c>
      <c r="B8400" s="1" t="s">
        <v>4226</v>
      </c>
      <c r="D8400" s="1" t="s">
        <v>5412</v>
      </c>
      <c r="F8400" s="1" t="s">
        <v>5637</v>
      </c>
      <c r="H8400" s="1" t="s">
        <v>5638</v>
      </c>
      <c r="J8400" s="1" t="s">
        <v>5639</v>
      </c>
      <c r="L8400" s="1" t="s">
        <v>1554</v>
      </c>
      <c r="N8400" s="1" t="s">
        <v>2363</v>
      </c>
      <c r="P8400" s="1" t="s">
        <v>835</v>
      </c>
      <c r="Q8400" s="30" t="s">
        <v>2569</v>
      </c>
      <c r="R8400" s="33" t="s">
        <v>8665</v>
      </c>
      <c r="S8400">
        <v>36</v>
      </c>
      <c r="T8400" s="1" t="s">
        <v>8661</v>
      </c>
      <c r="U8400" s="1" t="str">
        <f>HYPERLINK("http://ictvonline.org/taxonomy/p/taxonomy-history?taxnode_id=202104154","ICTVonline=202104154")</f>
        <v>ICTVonline=202104154</v>
      </c>
    </row>
    <row r="8401" spans="1:21" x14ac:dyDescent="0.2">
      <c r="A8401" s="3">
        <v>8400</v>
      </c>
      <c r="B8401" s="1" t="s">
        <v>4226</v>
      </c>
      <c r="D8401" s="1" t="s">
        <v>5412</v>
      </c>
      <c r="F8401" s="1" t="s">
        <v>5637</v>
      </c>
      <c r="H8401" s="1" t="s">
        <v>5638</v>
      </c>
      <c r="J8401" s="1" t="s">
        <v>5639</v>
      </c>
      <c r="L8401" s="1" t="s">
        <v>1554</v>
      </c>
      <c r="N8401" s="1" t="s">
        <v>2369</v>
      </c>
      <c r="P8401" s="1" t="s">
        <v>1491</v>
      </c>
      <c r="Q8401" s="30" t="s">
        <v>2569</v>
      </c>
      <c r="R8401" s="33" t="s">
        <v>8665</v>
      </c>
      <c r="S8401">
        <v>36</v>
      </c>
      <c r="T8401" s="1" t="s">
        <v>8661</v>
      </c>
      <c r="U8401" s="1" t="str">
        <f>HYPERLINK("http://ictvonline.org/taxonomy/p/taxonomy-history?taxnode_id=202104156","ICTVonline=202104156")</f>
        <v>ICTVonline=202104156</v>
      </c>
    </row>
    <row r="8402" spans="1:21" x14ac:dyDescent="0.2">
      <c r="A8402" s="3">
        <v>8401</v>
      </c>
      <c r="B8402" s="1" t="s">
        <v>4226</v>
      </c>
      <c r="D8402" s="1" t="s">
        <v>5412</v>
      </c>
      <c r="F8402" s="1" t="s">
        <v>5637</v>
      </c>
      <c r="H8402" s="1" t="s">
        <v>5638</v>
      </c>
      <c r="J8402" s="1" t="s">
        <v>5639</v>
      </c>
      <c r="L8402" s="1" t="s">
        <v>1554</v>
      </c>
      <c r="N8402" s="1" t="s">
        <v>2369</v>
      </c>
      <c r="P8402" s="1" t="s">
        <v>2370</v>
      </c>
      <c r="Q8402" s="30" t="s">
        <v>2569</v>
      </c>
      <c r="R8402" s="33" t="s">
        <v>3474</v>
      </c>
      <c r="S8402">
        <v>35</v>
      </c>
      <c r="T8402" s="1" t="s">
        <v>5416</v>
      </c>
      <c r="U8402" s="1" t="str">
        <f>HYPERLINK("http://ictvonline.org/taxonomy/p/taxonomy-history?taxnode_id=202104157","ICTVonline=202104157")</f>
        <v>ICTVonline=202104157</v>
      </c>
    </row>
    <row r="8403" spans="1:21" x14ac:dyDescent="0.2">
      <c r="A8403" s="3">
        <v>8402</v>
      </c>
      <c r="B8403" s="1" t="s">
        <v>4226</v>
      </c>
      <c r="D8403" s="1" t="s">
        <v>5412</v>
      </c>
      <c r="F8403" s="1" t="s">
        <v>5637</v>
      </c>
      <c r="H8403" s="1" t="s">
        <v>5638</v>
      </c>
      <c r="J8403" s="1" t="s">
        <v>5639</v>
      </c>
      <c r="L8403" s="1" t="s">
        <v>1554</v>
      </c>
      <c r="N8403" s="1" t="s">
        <v>2369</v>
      </c>
      <c r="P8403" s="1" t="s">
        <v>738</v>
      </c>
      <c r="Q8403" s="30" t="s">
        <v>2569</v>
      </c>
      <c r="R8403" s="33" t="s">
        <v>3474</v>
      </c>
      <c r="S8403">
        <v>35</v>
      </c>
      <c r="T8403" s="1" t="s">
        <v>5416</v>
      </c>
      <c r="U8403" s="1" t="str">
        <f>HYPERLINK("http://ictvonline.org/taxonomy/p/taxonomy-history?taxnode_id=202104158","ICTVonline=202104158")</f>
        <v>ICTVonline=202104158</v>
      </c>
    </row>
    <row r="8404" spans="1:21" x14ac:dyDescent="0.2">
      <c r="A8404" s="3">
        <v>8403</v>
      </c>
      <c r="B8404" s="1" t="s">
        <v>4226</v>
      </c>
      <c r="D8404" s="1" t="s">
        <v>5412</v>
      </c>
      <c r="F8404" s="1" t="s">
        <v>5637</v>
      </c>
      <c r="H8404" s="1" t="s">
        <v>5638</v>
      </c>
      <c r="J8404" s="1" t="s">
        <v>5639</v>
      </c>
      <c r="L8404" s="1" t="s">
        <v>1554</v>
      </c>
      <c r="N8404" s="1" t="s">
        <v>2369</v>
      </c>
      <c r="P8404" s="1" t="s">
        <v>2371</v>
      </c>
      <c r="Q8404" s="30" t="s">
        <v>2569</v>
      </c>
      <c r="R8404" s="33" t="s">
        <v>3474</v>
      </c>
      <c r="S8404">
        <v>35</v>
      </c>
      <c r="T8404" s="1" t="s">
        <v>5416</v>
      </c>
      <c r="U8404" s="1" t="str">
        <f>HYPERLINK("http://ictvonline.org/taxonomy/p/taxonomy-history?taxnode_id=202104159","ICTVonline=202104159")</f>
        <v>ICTVonline=202104159</v>
      </c>
    </row>
    <row r="8405" spans="1:21" x14ac:dyDescent="0.2">
      <c r="A8405" s="3">
        <v>8404</v>
      </c>
      <c r="B8405" s="1" t="s">
        <v>4226</v>
      </c>
      <c r="D8405" s="1" t="s">
        <v>5412</v>
      </c>
      <c r="F8405" s="1" t="s">
        <v>5637</v>
      </c>
      <c r="H8405" s="1" t="s">
        <v>5638</v>
      </c>
      <c r="J8405" s="1" t="s">
        <v>5639</v>
      </c>
      <c r="L8405" s="1" t="s">
        <v>1554</v>
      </c>
      <c r="N8405" s="1" t="s">
        <v>2369</v>
      </c>
      <c r="P8405" s="1" t="s">
        <v>2372</v>
      </c>
      <c r="Q8405" s="30" t="s">
        <v>2569</v>
      </c>
      <c r="R8405" s="33" t="s">
        <v>3474</v>
      </c>
      <c r="S8405">
        <v>35</v>
      </c>
      <c r="T8405" s="1" t="s">
        <v>5416</v>
      </c>
      <c r="U8405" s="1" t="str">
        <f>HYPERLINK("http://ictvonline.org/taxonomy/p/taxonomy-history?taxnode_id=202104160","ICTVonline=202104160")</f>
        <v>ICTVonline=202104160</v>
      </c>
    </row>
    <row r="8406" spans="1:21" x14ac:dyDescent="0.2">
      <c r="A8406" s="3">
        <v>8405</v>
      </c>
      <c r="B8406" s="1" t="s">
        <v>4226</v>
      </c>
      <c r="D8406" s="1" t="s">
        <v>5412</v>
      </c>
      <c r="F8406" s="1" t="s">
        <v>5637</v>
      </c>
      <c r="H8406" s="1" t="s">
        <v>5638</v>
      </c>
      <c r="J8406" s="1" t="s">
        <v>5639</v>
      </c>
      <c r="L8406" s="1" t="s">
        <v>1554</v>
      </c>
      <c r="N8406" s="1" t="s">
        <v>2369</v>
      </c>
      <c r="P8406" s="1" t="s">
        <v>1786</v>
      </c>
      <c r="Q8406" s="30" t="s">
        <v>2569</v>
      </c>
      <c r="R8406" s="33" t="s">
        <v>3474</v>
      </c>
      <c r="S8406">
        <v>35</v>
      </c>
      <c r="T8406" s="1" t="s">
        <v>5416</v>
      </c>
      <c r="U8406" s="1" t="str">
        <f>HYPERLINK("http://ictvonline.org/taxonomy/p/taxonomy-history?taxnode_id=202104161","ICTVonline=202104161")</f>
        <v>ICTVonline=202104161</v>
      </c>
    </row>
    <row r="8407" spans="1:21" x14ac:dyDescent="0.2">
      <c r="A8407" s="3">
        <v>8406</v>
      </c>
      <c r="B8407" s="1" t="s">
        <v>4226</v>
      </c>
      <c r="D8407" s="1" t="s">
        <v>5412</v>
      </c>
      <c r="F8407" s="1" t="s">
        <v>5637</v>
      </c>
      <c r="H8407" s="1" t="s">
        <v>5638</v>
      </c>
      <c r="J8407" s="1" t="s">
        <v>5639</v>
      </c>
      <c r="L8407" s="1" t="s">
        <v>1554</v>
      </c>
      <c r="N8407" s="1" t="s">
        <v>2369</v>
      </c>
      <c r="P8407" s="1" t="s">
        <v>2517</v>
      </c>
      <c r="Q8407" s="30" t="s">
        <v>2569</v>
      </c>
      <c r="R8407" s="33" t="s">
        <v>3474</v>
      </c>
      <c r="S8407">
        <v>35</v>
      </c>
      <c r="T8407" s="1" t="s">
        <v>5416</v>
      </c>
      <c r="U8407" s="1" t="str">
        <f>HYPERLINK("http://ictvonline.org/taxonomy/p/taxonomy-history?taxnode_id=202104162","ICTVonline=202104162")</f>
        <v>ICTVonline=202104162</v>
      </c>
    </row>
    <row r="8408" spans="1:21" x14ac:dyDescent="0.2">
      <c r="A8408" s="3">
        <v>8407</v>
      </c>
      <c r="B8408" s="1" t="s">
        <v>4226</v>
      </c>
      <c r="D8408" s="1" t="s">
        <v>5412</v>
      </c>
      <c r="F8408" s="1" t="s">
        <v>5637</v>
      </c>
      <c r="H8408" s="1" t="s">
        <v>5638</v>
      </c>
      <c r="J8408" s="1" t="s">
        <v>5639</v>
      </c>
      <c r="L8408" s="1" t="s">
        <v>1554</v>
      </c>
      <c r="N8408" s="1" t="s">
        <v>2369</v>
      </c>
      <c r="P8408" s="1" t="s">
        <v>3013</v>
      </c>
      <c r="Q8408" s="30" t="s">
        <v>2569</v>
      </c>
      <c r="R8408" s="33" t="s">
        <v>3474</v>
      </c>
      <c r="S8408">
        <v>35</v>
      </c>
      <c r="T8408" s="1" t="s">
        <v>5416</v>
      </c>
      <c r="U8408" s="1" t="str">
        <f>HYPERLINK("http://ictvonline.org/taxonomy/p/taxonomy-history?taxnode_id=202104163","ICTVonline=202104163")</f>
        <v>ICTVonline=202104163</v>
      </c>
    </row>
    <row r="8409" spans="1:21" x14ac:dyDescent="0.2">
      <c r="A8409" s="3">
        <v>8408</v>
      </c>
      <c r="B8409" s="1" t="s">
        <v>4226</v>
      </c>
      <c r="D8409" s="1" t="s">
        <v>5412</v>
      </c>
      <c r="F8409" s="1" t="s">
        <v>5637</v>
      </c>
      <c r="H8409" s="1" t="s">
        <v>5638</v>
      </c>
      <c r="J8409" s="1" t="s">
        <v>5639</v>
      </c>
      <c r="L8409" s="1" t="s">
        <v>1554</v>
      </c>
      <c r="N8409" s="1" t="s">
        <v>2369</v>
      </c>
      <c r="P8409" s="1" t="s">
        <v>2518</v>
      </c>
      <c r="Q8409" s="30" t="s">
        <v>2569</v>
      </c>
      <c r="R8409" s="33" t="s">
        <v>3474</v>
      </c>
      <c r="S8409">
        <v>35</v>
      </c>
      <c r="T8409" s="1" t="s">
        <v>5416</v>
      </c>
      <c r="U8409" s="1" t="str">
        <f>HYPERLINK("http://ictvonline.org/taxonomy/p/taxonomy-history?taxnode_id=202104164","ICTVonline=202104164")</f>
        <v>ICTVonline=202104164</v>
      </c>
    </row>
    <row r="8410" spans="1:21" x14ac:dyDescent="0.2">
      <c r="A8410" s="3">
        <v>8409</v>
      </c>
      <c r="B8410" s="1" t="s">
        <v>4226</v>
      </c>
      <c r="D8410" s="1" t="s">
        <v>5412</v>
      </c>
      <c r="F8410" s="1" t="s">
        <v>5637</v>
      </c>
      <c r="H8410" s="1" t="s">
        <v>5638</v>
      </c>
      <c r="J8410" s="1" t="s">
        <v>5639</v>
      </c>
      <c r="L8410" s="1" t="s">
        <v>1554</v>
      </c>
      <c r="N8410" s="1" t="s">
        <v>2369</v>
      </c>
      <c r="P8410" s="1" t="s">
        <v>2519</v>
      </c>
      <c r="Q8410" s="30" t="s">
        <v>2569</v>
      </c>
      <c r="R8410" s="33" t="s">
        <v>3474</v>
      </c>
      <c r="S8410">
        <v>35</v>
      </c>
      <c r="T8410" s="1" t="s">
        <v>5416</v>
      </c>
      <c r="U8410" s="1" t="str">
        <f>HYPERLINK("http://ictvonline.org/taxonomy/p/taxonomy-history?taxnode_id=202104165","ICTVonline=202104165")</f>
        <v>ICTVonline=202104165</v>
      </c>
    </row>
    <row r="8411" spans="1:21" x14ac:dyDescent="0.2">
      <c r="A8411" s="3">
        <v>8410</v>
      </c>
      <c r="B8411" s="1" t="s">
        <v>4226</v>
      </c>
      <c r="D8411" s="1" t="s">
        <v>5412</v>
      </c>
      <c r="F8411" s="1" t="s">
        <v>5637</v>
      </c>
      <c r="H8411" s="1" t="s">
        <v>5638</v>
      </c>
      <c r="J8411" s="1" t="s">
        <v>5639</v>
      </c>
      <c r="L8411" s="1" t="s">
        <v>1554</v>
      </c>
      <c r="N8411" s="1" t="s">
        <v>2369</v>
      </c>
      <c r="P8411" s="1" t="s">
        <v>583</v>
      </c>
      <c r="Q8411" s="30" t="s">
        <v>2569</v>
      </c>
      <c r="R8411" s="33" t="s">
        <v>3474</v>
      </c>
      <c r="S8411">
        <v>35</v>
      </c>
      <c r="T8411" s="1" t="s">
        <v>5416</v>
      </c>
      <c r="U8411" s="1" t="str">
        <f>HYPERLINK("http://ictvonline.org/taxonomy/p/taxonomy-history?taxnode_id=202104166","ICTVonline=202104166")</f>
        <v>ICTVonline=202104166</v>
      </c>
    </row>
    <row r="8412" spans="1:21" x14ac:dyDescent="0.2">
      <c r="A8412" s="3">
        <v>8411</v>
      </c>
      <c r="B8412" s="1" t="s">
        <v>4226</v>
      </c>
      <c r="D8412" s="1" t="s">
        <v>5412</v>
      </c>
      <c r="F8412" s="1" t="s">
        <v>5637</v>
      </c>
      <c r="H8412" s="1" t="s">
        <v>5638</v>
      </c>
      <c r="J8412" s="1" t="s">
        <v>5639</v>
      </c>
      <c r="L8412" s="1" t="s">
        <v>1554</v>
      </c>
      <c r="N8412" s="1" t="s">
        <v>2369</v>
      </c>
      <c r="P8412" s="1" t="s">
        <v>1152</v>
      </c>
      <c r="Q8412" s="30" t="s">
        <v>2569</v>
      </c>
      <c r="R8412" s="33" t="s">
        <v>3474</v>
      </c>
      <c r="S8412">
        <v>35</v>
      </c>
      <c r="T8412" s="1" t="s">
        <v>5416</v>
      </c>
      <c r="U8412" s="1" t="str">
        <f>HYPERLINK("http://ictvonline.org/taxonomy/p/taxonomy-history?taxnode_id=202104167","ICTVonline=202104167")</f>
        <v>ICTVonline=202104167</v>
      </c>
    </row>
    <row r="8413" spans="1:21" x14ac:dyDescent="0.2">
      <c r="A8413" s="3">
        <v>8412</v>
      </c>
      <c r="B8413" s="1" t="s">
        <v>4226</v>
      </c>
      <c r="D8413" s="1" t="s">
        <v>5412</v>
      </c>
      <c r="F8413" s="1" t="s">
        <v>5637</v>
      </c>
      <c r="H8413" s="1" t="s">
        <v>5638</v>
      </c>
      <c r="J8413" s="1" t="s">
        <v>5639</v>
      </c>
      <c r="L8413" s="1" t="s">
        <v>1554</v>
      </c>
      <c r="N8413" s="1" t="s">
        <v>2369</v>
      </c>
      <c r="P8413" s="1" t="s">
        <v>2373</v>
      </c>
      <c r="Q8413" s="30" t="s">
        <v>2569</v>
      </c>
      <c r="R8413" s="33" t="s">
        <v>3474</v>
      </c>
      <c r="S8413">
        <v>35</v>
      </c>
      <c r="T8413" s="1" t="s">
        <v>5416</v>
      </c>
      <c r="U8413" s="1" t="str">
        <f>HYPERLINK("http://ictvonline.org/taxonomy/p/taxonomy-history?taxnode_id=202104168","ICTVonline=202104168")</f>
        <v>ICTVonline=202104168</v>
      </c>
    </row>
    <row r="8414" spans="1:21" x14ac:dyDescent="0.2">
      <c r="A8414" s="3">
        <v>8413</v>
      </c>
      <c r="B8414" s="1" t="s">
        <v>4226</v>
      </c>
      <c r="D8414" s="1" t="s">
        <v>5412</v>
      </c>
      <c r="F8414" s="1" t="s">
        <v>5637</v>
      </c>
      <c r="H8414" s="1" t="s">
        <v>5638</v>
      </c>
      <c r="J8414" s="1" t="s">
        <v>5639</v>
      </c>
      <c r="L8414" s="1" t="s">
        <v>1554</v>
      </c>
      <c r="N8414" s="1" t="s">
        <v>2369</v>
      </c>
      <c r="P8414" s="1" t="s">
        <v>584</v>
      </c>
      <c r="Q8414" s="30" t="s">
        <v>2569</v>
      </c>
      <c r="R8414" s="33" t="s">
        <v>3474</v>
      </c>
      <c r="S8414">
        <v>35</v>
      </c>
      <c r="T8414" s="1" t="s">
        <v>5416</v>
      </c>
      <c r="U8414" s="1" t="str">
        <f>HYPERLINK("http://ictvonline.org/taxonomy/p/taxonomy-history?taxnode_id=202104169","ICTVonline=202104169")</f>
        <v>ICTVonline=202104169</v>
      </c>
    </row>
    <row r="8415" spans="1:21" x14ac:dyDescent="0.2">
      <c r="A8415" s="3">
        <v>8414</v>
      </c>
      <c r="B8415" s="1" t="s">
        <v>4226</v>
      </c>
      <c r="D8415" s="1" t="s">
        <v>5412</v>
      </c>
      <c r="F8415" s="1" t="s">
        <v>5637</v>
      </c>
      <c r="H8415" s="1" t="s">
        <v>5638</v>
      </c>
      <c r="J8415" s="1" t="s">
        <v>5639</v>
      </c>
      <c r="L8415" s="1" t="s">
        <v>1554</v>
      </c>
      <c r="N8415" s="1" t="s">
        <v>2369</v>
      </c>
      <c r="P8415" s="1" t="s">
        <v>842</v>
      </c>
      <c r="Q8415" s="30" t="s">
        <v>2569</v>
      </c>
      <c r="R8415" s="33" t="s">
        <v>3474</v>
      </c>
      <c r="S8415">
        <v>35</v>
      </c>
      <c r="T8415" s="1" t="s">
        <v>5416</v>
      </c>
      <c r="U8415" s="1" t="str">
        <f>HYPERLINK("http://ictvonline.org/taxonomy/p/taxonomy-history?taxnode_id=202104170","ICTVonline=202104170")</f>
        <v>ICTVonline=202104170</v>
      </c>
    </row>
    <row r="8416" spans="1:21" x14ac:dyDescent="0.2">
      <c r="A8416" s="3">
        <v>8415</v>
      </c>
      <c r="B8416" s="1" t="s">
        <v>4226</v>
      </c>
      <c r="D8416" s="1" t="s">
        <v>5412</v>
      </c>
      <c r="F8416" s="1" t="s">
        <v>5637</v>
      </c>
      <c r="H8416" s="1" t="s">
        <v>5638</v>
      </c>
      <c r="J8416" s="1" t="s">
        <v>5639</v>
      </c>
      <c r="L8416" s="1" t="s">
        <v>1554</v>
      </c>
      <c r="N8416" s="1" t="s">
        <v>2369</v>
      </c>
      <c r="P8416" s="1" t="s">
        <v>1406</v>
      </c>
      <c r="Q8416" s="30" t="s">
        <v>2569</v>
      </c>
      <c r="R8416" s="33" t="s">
        <v>3474</v>
      </c>
      <c r="S8416">
        <v>35</v>
      </c>
      <c r="T8416" s="1" t="s">
        <v>5416</v>
      </c>
      <c r="U8416" s="1" t="str">
        <f>HYPERLINK("http://ictvonline.org/taxonomy/p/taxonomy-history?taxnode_id=202104171","ICTVonline=202104171")</f>
        <v>ICTVonline=202104171</v>
      </c>
    </row>
    <row r="8417" spans="1:21" x14ac:dyDescent="0.2">
      <c r="A8417" s="3">
        <v>8416</v>
      </c>
      <c r="B8417" s="1" t="s">
        <v>4226</v>
      </c>
      <c r="D8417" s="1" t="s">
        <v>5412</v>
      </c>
      <c r="F8417" s="1" t="s">
        <v>5637</v>
      </c>
      <c r="H8417" s="1" t="s">
        <v>5638</v>
      </c>
      <c r="J8417" s="1" t="s">
        <v>5639</v>
      </c>
      <c r="L8417" s="1" t="s">
        <v>1554</v>
      </c>
      <c r="N8417" s="1" t="s">
        <v>2369</v>
      </c>
      <c r="P8417" s="1" t="s">
        <v>585</v>
      </c>
      <c r="Q8417" s="30" t="s">
        <v>2569</v>
      </c>
      <c r="R8417" s="33" t="s">
        <v>3474</v>
      </c>
      <c r="S8417">
        <v>35</v>
      </c>
      <c r="T8417" s="1" t="s">
        <v>5416</v>
      </c>
      <c r="U8417" s="1" t="str">
        <f>HYPERLINK("http://ictvonline.org/taxonomy/p/taxonomy-history?taxnode_id=202104172","ICTVonline=202104172")</f>
        <v>ICTVonline=202104172</v>
      </c>
    </row>
    <row r="8418" spans="1:21" x14ac:dyDescent="0.2">
      <c r="A8418" s="3">
        <v>8417</v>
      </c>
      <c r="B8418" s="1" t="s">
        <v>4226</v>
      </c>
      <c r="D8418" s="1" t="s">
        <v>5412</v>
      </c>
      <c r="F8418" s="1" t="s">
        <v>5637</v>
      </c>
      <c r="H8418" s="1" t="s">
        <v>5638</v>
      </c>
      <c r="J8418" s="1" t="s">
        <v>5639</v>
      </c>
      <c r="L8418" s="1" t="s">
        <v>1554</v>
      </c>
      <c r="N8418" s="1" t="s">
        <v>1153</v>
      </c>
      <c r="P8418" s="1" t="s">
        <v>282</v>
      </c>
      <c r="Q8418" s="30" t="s">
        <v>2569</v>
      </c>
      <c r="R8418" s="33" t="s">
        <v>8665</v>
      </c>
      <c r="S8418">
        <v>36</v>
      </c>
      <c r="T8418" s="1" t="s">
        <v>8661</v>
      </c>
      <c r="U8418" s="1" t="str">
        <f>HYPERLINK("http://ictvonline.org/taxonomy/p/taxonomy-history?taxnode_id=202104174","ICTVonline=202104174")</f>
        <v>ICTVonline=202104174</v>
      </c>
    </row>
    <row r="8419" spans="1:21" x14ac:dyDescent="0.2">
      <c r="A8419" s="3">
        <v>8418</v>
      </c>
      <c r="B8419" s="1" t="s">
        <v>4226</v>
      </c>
      <c r="D8419" s="1" t="s">
        <v>5412</v>
      </c>
      <c r="F8419" s="1" t="s">
        <v>5637</v>
      </c>
      <c r="H8419" s="1" t="s">
        <v>5638</v>
      </c>
      <c r="J8419" s="1" t="s">
        <v>5639</v>
      </c>
      <c r="L8419" s="1" t="s">
        <v>1554</v>
      </c>
      <c r="N8419" s="1" t="s">
        <v>2374</v>
      </c>
      <c r="P8419" s="1" t="s">
        <v>892</v>
      </c>
      <c r="Q8419" s="30" t="s">
        <v>2569</v>
      </c>
      <c r="R8419" s="33" t="s">
        <v>3474</v>
      </c>
      <c r="S8419">
        <v>35</v>
      </c>
      <c r="T8419" s="1" t="s">
        <v>5416</v>
      </c>
      <c r="U8419" s="1" t="str">
        <f>HYPERLINK("http://ictvonline.org/taxonomy/p/taxonomy-history?taxnode_id=202104176","ICTVonline=202104176")</f>
        <v>ICTVonline=202104176</v>
      </c>
    </row>
    <row r="8420" spans="1:21" x14ac:dyDescent="0.2">
      <c r="A8420" s="3">
        <v>8419</v>
      </c>
      <c r="B8420" s="1" t="s">
        <v>4226</v>
      </c>
      <c r="D8420" s="1" t="s">
        <v>5412</v>
      </c>
      <c r="F8420" s="1" t="s">
        <v>5637</v>
      </c>
      <c r="H8420" s="1" t="s">
        <v>5638</v>
      </c>
      <c r="J8420" s="1" t="s">
        <v>5639</v>
      </c>
      <c r="L8420" s="1" t="s">
        <v>1554</v>
      </c>
      <c r="N8420" s="1" t="s">
        <v>2374</v>
      </c>
      <c r="P8420" s="1" t="s">
        <v>893</v>
      </c>
      <c r="Q8420" s="30" t="s">
        <v>2569</v>
      </c>
      <c r="R8420" s="33" t="s">
        <v>3474</v>
      </c>
      <c r="S8420">
        <v>35</v>
      </c>
      <c r="T8420" s="1" t="s">
        <v>5416</v>
      </c>
      <c r="U8420" s="1" t="str">
        <f>HYPERLINK("http://ictvonline.org/taxonomy/p/taxonomy-history?taxnode_id=202104177","ICTVonline=202104177")</f>
        <v>ICTVonline=202104177</v>
      </c>
    </row>
    <row r="8421" spans="1:21" x14ac:dyDescent="0.2">
      <c r="A8421" s="3">
        <v>8420</v>
      </c>
      <c r="B8421" s="1" t="s">
        <v>4226</v>
      </c>
      <c r="D8421" s="1" t="s">
        <v>5412</v>
      </c>
      <c r="F8421" s="1" t="s">
        <v>5637</v>
      </c>
      <c r="H8421" s="1" t="s">
        <v>5638</v>
      </c>
      <c r="J8421" s="1" t="s">
        <v>5639</v>
      </c>
      <c r="L8421" s="1" t="s">
        <v>1554</v>
      </c>
      <c r="N8421" s="1" t="s">
        <v>2374</v>
      </c>
      <c r="P8421" s="1" t="s">
        <v>2375</v>
      </c>
      <c r="Q8421" s="30" t="s">
        <v>2569</v>
      </c>
      <c r="R8421" s="33" t="s">
        <v>3474</v>
      </c>
      <c r="S8421">
        <v>35</v>
      </c>
      <c r="T8421" s="1" t="s">
        <v>5416</v>
      </c>
      <c r="U8421" s="1" t="str">
        <f>HYPERLINK("http://ictvonline.org/taxonomy/p/taxonomy-history?taxnode_id=202104178","ICTVonline=202104178")</f>
        <v>ICTVonline=202104178</v>
      </c>
    </row>
    <row r="8422" spans="1:21" x14ac:dyDescent="0.2">
      <c r="A8422" s="3">
        <v>8421</v>
      </c>
      <c r="B8422" s="1" t="s">
        <v>4226</v>
      </c>
      <c r="D8422" s="1" t="s">
        <v>5412</v>
      </c>
      <c r="F8422" s="1" t="s">
        <v>5637</v>
      </c>
      <c r="H8422" s="1" t="s">
        <v>5638</v>
      </c>
      <c r="J8422" s="1" t="s">
        <v>5639</v>
      </c>
      <c r="L8422" s="1" t="s">
        <v>1554</v>
      </c>
      <c r="N8422" s="1" t="s">
        <v>2374</v>
      </c>
      <c r="P8422" s="1" t="s">
        <v>2376</v>
      </c>
      <c r="Q8422" s="30" t="s">
        <v>2569</v>
      </c>
      <c r="R8422" s="33" t="s">
        <v>8665</v>
      </c>
      <c r="S8422">
        <v>36</v>
      </c>
      <c r="T8422" s="1" t="s">
        <v>8661</v>
      </c>
      <c r="U8422" s="1" t="str">
        <f>HYPERLINK("http://ictvonline.org/taxonomy/p/taxonomy-history?taxnode_id=202104179","ICTVonline=202104179")</f>
        <v>ICTVonline=202104179</v>
      </c>
    </row>
    <row r="8423" spans="1:21" x14ac:dyDescent="0.2">
      <c r="A8423" s="3">
        <v>8422</v>
      </c>
      <c r="B8423" s="1" t="s">
        <v>4226</v>
      </c>
      <c r="D8423" s="1" t="s">
        <v>5412</v>
      </c>
      <c r="F8423" s="1" t="s">
        <v>5637</v>
      </c>
      <c r="H8423" s="1" t="s">
        <v>5638</v>
      </c>
      <c r="J8423" s="1" t="s">
        <v>5639</v>
      </c>
      <c r="L8423" s="1" t="s">
        <v>1554</v>
      </c>
      <c r="N8423" s="1" t="s">
        <v>2374</v>
      </c>
      <c r="P8423" s="1" t="s">
        <v>2377</v>
      </c>
      <c r="Q8423" s="30" t="s">
        <v>2569</v>
      </c>
      <c r="R8423" s="33" t="s">
        <v>3474</v>
      </c>
      <c r="S8423">
        <v>35</v>
      </c>
      <c r="T8423" s="1" t="s">
        <v>5416</v>
      </c>
      <c r="U8423" s="1" t="str">
        <f>HYPERLINK("http://ictvonline.org/taxonomy/p/taxonomy-history?taxnode_id=202104180","ICTVonline=202104180")</f>
        <v>ICTVonline=202104180</v>
      </c>
    </row>
    <row r="8424" spans="1:21" x14ac:dyDescent="0.2">
      <c r="A8424" s="3">
        <v>8423</v>
      </c>
      <c r="B8424" s="1" t="s">
        <v>4226</v>
      </c>
      <c r="D8424" s="1" t="s">
        <v>5412</v>
      </c>
      <c r="F8424" s="1" t="s">
        <v>5637</v>
      </c>
      <c r="H8424" s="1" t="s">
        <v>5638</v>
      </c>
      <c r="J8424" s="1" t="s">
        <v>5639</v>
      </c>
      <c r="L8424" s="1" t="s">
        <v>1554</v>
      </c>
      <c r="N8424" s="1" t="s">
        <v>2378</v>
      </c>
      <c r="P8424" s="1" t="s">
        <v>587</v>
      </c>
      <c r="Q8424" s="30" t="s">
        <v>2569</v>
      </c>
      <c r="R8424" s="33" t="s">
        <v>3474</v>
      </c>
      <c r="S8424">
        <v>35</v>
      </c>
      <c r="T8424" s="1" t="s">
        <v>5416</v>
      </c>
      <c r="U8424" s="1" t="str">
        <f>HYPERLINK("http://ictvonline.org/taxonomy/p/taxonomy-history?taxnode_id=202104182","ICTVonline=202104182")</f>
        <v>ICTVonline=202104182</v>
      </c>
    </row>
    <row r="8425" spans="1:21" x14ac:dyDescent="0.2">
      <c r="A8425" s="3">
        <v>8424</v>
      </c>
      <c r="B8425" s="1" t="s">
        <v>4226</v>
      </c>
      <c r="D8425" s="1" t="s">
        <v>5412</v>
      </c>
      <c r="F8425" s="1" t="s">
        <v>5637</v>
      </c>
      <c r="H8425" s="1" t="s">
        <v>5638</v>
      </c>
      <c r="J8425" s="1" t="s">
        <v>5639</v>
      </c>
      <c r="L8425" s="1" t="s">
        <v>1554</v>
      </c>
      <c r="N8425" s="1" t="s">
        <v>2378</v>
      </c>
      <c r="P8425" s="1" t="s">
        <v>1492</v>
      </c>
      <c r="Q8425" s="30" t="s">
        <v>2569</v>
      </c>
      <c r="R8425" s="33" t="s">
        <v>3474</v>
      </c>
      <c r="S8425">
        <v>35</v>
      </c>
      <c r="T8425" s="1" t="s">
        <v>5416</v>
      </c>
      <c r="U8425" s="1" t="str">
        <f>HYPERLINK("http://ictvonline.org/taxonomy/p/taxonomy-history?taxnode_id=202104183","ICTVonline=202104183")</f>
        <v>ICTVonline=202104183</v>
      </c>
    </row>
    <row r="8426" spans="1:21" x14ac:dyDescent="0.2">
      <c r="A8426" s="3">
        <v>8425</v>
      </c>
      <c r="B8426" s="1" t="s">
        <v>4226</v>
      </c>
      <c r="D8426" s="1" t="s">
        <v>5412</v>
      </c>
      <c r="F8426" s="1" t="s">
        <v>5637</v>
      </c>
      <c r="H8426" s="1" t="s">
        <v>5638</v>
      </c>
      <c r="J8426" s="1" t="s">
        <v>5639</v>
      </c>
      <c r="L8426" s="1" t="s">
        <v>1554</v>
      </c>
      <c r="N8426" s="1" t="s">
        <v>2378</v>
      </c>
      <c r="P8426" s="1" t="s">
        <v>1785</v>
      </c>
      <c r="Q8426" s="30" t="s">
        <v>2569</v>
      </c>
      <c r="R8426" s="33" t="s">
        <v>3474</v>
      </c>
      <c r="S8426">
        <v>35</v>
      </c>
      <c r="T8426" s="1" t="s">
        <v>5416</v>
      </c>
      <c r="U8426" s="1" t="str">
        <f>HYPERLINK("http://ictvonline.org/taxonomy/p/taxonomy-history?taxnode_id=202104184","ICTVonline=202104184")</f>
        <v>ICTVonline=202104184</v>
      </c>
    </row>
    <row r="8427" spans="1:21" x14ac:dyDescent="0.2">
      <c r="A8427" s="3">
        <v>8426</v>
      </c>
      <c r="B8427" s="1" t="s">
        <v>4226</v>
      </c>
      <c r="D8427" s="1" t="s">
        <v>5412</v>
      </c>
      <c r="F8427" s="1" t="s">
        <v>5637</v>
      </c>
      <c r="H8427" s="1" t="s">
        <v>5638</v>
      </c>
      <c r="J8427" s="1" t="s">
        <v>5639</v>
      </c>
      <c r="L8427" s="1" t="s">
        <v>1554</v>
      </c>
      <c r="N8427" s="1" t="s">
        <v>2378</v>
      </c>
      <c r="P8427" s="1" t="s">
        <v>1787</v>
      </c>
      <c r="Q8427" s="30" t="s">
        <v>2569</v>
      </c>
      <c r="R8427" s="33" t="s">
        <v>3474</v>
      </c>
      <c r="S8427">
        <v>35</v>
      </c>
      <c r="T8427" s="1" t="s">
        <v>5416</v>
      </c>
      <c r="U8427" s="1" t="str">
        <f>HYPERLINK("http://ictvonline.org/taxonomy/p/taxonomy-history?taxnode_id=202104185","ICTVonline=202104185")</f>
        <v>ICTVonline=202104185</v>
      </c>
    </row>
    <row r="8428" spans="1:21" x14ac:dyDescent="0.2">
      <c r="A8428" s="3">
        <v>8427</v>
      </c>
      <c r="B8428" s="1" t="s">
        <v>4226</v>
      </c>
      <c r="D8428" s="1" t="s">
        <v>5412</v>
      </c>
      <c r="F8428" s="1" t="s">
        <v>5637</v>
      </c>
      <c r="H8428" s="1" t="s">
        <v>5638</v>
      </c>
      <c r="J8428" s="1" t="s">
        <v>5639</v>
      </c>
      <c r="L8428" s="1" t="s">
        <v>1554</v>
      </c>
      <c r="N8428" s="1" t="s">
        <v>2378</v>
      </c>
      <c r="P8428" s="1" t="s">
        <v>846</v>
      </c>
      <c r="Q8428" s="30" t="s">
        <v>2569</v>
      </c>
      <c r="R8428" s="33" t="s">
        <v>3474</v>
      </c>
      <c r="S8428">
        <v>35</v>
      </c>
      <c r="T8428" s="1" t="s">
        <v>5416</v>
      </c>
      <c r="U8428" s="1" t="str">
        <f>HYPERLINK("http://ictvonline.org/taxonomy/p/taxonomy-history?taxnode_id=202104186","ICTVonline=202104186")</f>
        <v>ICTVonline=202104186</v>
      </c>
    </row>
    <row r="8429" spans="1:21" x14ac:dyDescent="0.2">
      <c r="A8429" s="3">
        <v>8428</v>
      </c>
      <c r="B8429" s="1" t="s">
        <v>4226</v>
      </c>
      <c r="D8429" s="1" t="s">
        <v>5412</v>
      </c>
      <c r="F8429" s="1" t="s">
        <v>5637</v>
      </c>
      <c r="H8429" s="1" t="s">
        <v>5638</v>
      </c>
      <c r="J8429" s="1" t="s">
        <v>5639</v>
      </c>
      <c r="L8429" s="1" t="s">
        <v>1554</v>
      </c>
      <c r="N8429" s="1" t="s">
        <v>2378</v>
      </c>
      <c r="P8429" s="1" t="s">
        <v>1150</v>
      </c>
      <c r="Q8429" s="30" t="s">
        <v>2569</v>
      </c>
      <c r="R8429" s="33" t="s">
        <v>3474</v>
      </c>
      <c r="S8429">
        <v>35</v>
      </c>
      <c r="T8429" s="1" t="s">
        <v>5416</v>
      </c>
      <c r="U8429" s="1" t="str">
        <f>HYPERLINK("http://ictvonline.org/taxonomy/p/taxonomy-history?taxnode_id=202104187","ICTVonline=202104187")</f>
        <v>ICTVonline=202104187</v>
      </c>
    </row>
    <row r="8430" spans="1:21" x14ac:dyDescent="0.2">
      <c r="A8430" s="3">
        <v>8429</v>
      </c>
      <c r="B8430" s="1" t="s">
        <v>4226</v>
      </c>
      <c r="D8430" s="1" t="s">
        <v>5412</v>
      </c>
      <c r="F8430" s="1" t="s">
        <v>5637</v>
      </c>
      <c r="H8430" s="1" t="s">
        <v>5638</v>
      </c>
      <c r="J8430" s="1" t="s">
        <v>5639</v>
      </c>
      <c r="L8430" s="1" t="s">
        <v>1554</v>
      </c>
      <c r="N8430" s="1" t="s">
        <v>2378</v>
      </c>
      <c r="P8430" s="1" t="s">
        <v>1151</v>
      </c>
      <c r="Q8430" s="30" t="s">
        <v>2569</v>
      </c>
      <c r="R8430" s="33" t="s">
        <v>3474</v>
      </c>
      <c r="S8430">
        <v>35</v>
      </c>
      <c r="T8430" s="1" t="s">
        <v>5416</v>
      </c>
      <c r="U8430" s="1" t="str">
        <f>HYPERLINK("http://ictvonline.org/taxonomy/p/taxonomy-history?taxnode_id=202104188","ICTVonline=202104188")</f>
        <v>ICTVonline=202104188</v>
      </c>
    </row>
    <row r="8431" spans="1:21" x14ac:dyDescent="0.2">
      <c r="A8431" s="3">
        <v>8430</v>
      </c>
      <c r="B8431" s="1" t="s">
        <v>4226</v>
      </c>
      <c r="D8431" s="1" t="s">
        <v>5412</v>
      </c>
      <c r="F8431" s="1" t="s">
        <v>5637</v>
      </c>
      <c r="H8431" s="1" t="s">
        <v>5638</v>
      </c>
      <c r="J8431" s="1" t="s">
        <v>5639</v>
      </c>
      <c r="L8431" s="1" t="s">
        <v>1554</v>
      </c>
      <c r="N8431" s="1" t="s">
        <v>2378</v>
      </c>
      <c r="P8431" s="1" t="s">
        <v>841</v>
      </c>
      <c r="Q8431" s="30" t="s">
        <v>2569</v>
      </c>
      <c r="R8431" s="33" t="s">
        <v>8665</v>
      </c>
      <c r="S8431">
        <v>36</v>
      </c>
      <c r="T8431" s="1" t="s">
        <v>8661</v>
      </c>
      <c r="U8431" s="1" t="str">
        <f>HYPERLINK("http://ictvonline.org/taxonomy/p/taxonomy-history?taxnode_id=202104189","ICTVonline=202104189")</f>
        <v>ICTVonline=202104189</v>
      </c>
    </row>
    <row r="8432" spans="1:21" x14ac:dyDescent="0.2">
      <c r="A8432" s="3">
        <v>8431</v>
      </c>
      <c r="B8432" s="1" t="s">
        <v>4226</v>
      </c>
      <c r="D8432" s="1" t="s">
        <v>5412</v>
      </c>
      <c r="F8432" s="1" t="s">
        <v>5637</v>
      </c>
      <c r="H8432" s="1" t="s">
        <v>5638</v>
      </c>
      <c r="J8432" s="1" t="s">
        <v>5639</v>
      </c>
      <c r="L8432" s="1" t="s">
        <v>1554</v>
      </c>
      <c r="P8432" s="1" t="s">
        <v>586</v>
      </c>
      <c r="Q8432" s="30" t="s">
        <v>2569</v>
      </c>
      <c r="R8432" s="33" t="s">
        <v>3474</v>
      </c>
      <c r="S8432">
        <v>35</v>
      </c>
      <c r="T8432" s="1" t="s">
        <v>5416</v>
      </c>
      <c r="U8432" s="1" t="str">
        <f>HYPERLINK("http://ictvonline.org/taxonomy/p/taxonomy-history?taxnode_id=202104191","ICTVonline=202104191")</f>
        <v>ICTVonline=202104191</v>
      </c>
    </row>
    <row r="8433" spans="1:21" x14ac:dyDescent="0.2">
      <c r="A8433" s="3">
        <v>8432</v>
      </c>
      <c r="B8433" s="1" t="s">
        <v>4226</v>
      </c>
      <c r="D8433" s="1" t="s">
        <v>5412</v>
      </c>
      <c r="F8433" s="1" t="s">
        <v>5637</v>
      </c>
      <c r="H8433" s="1" t="s">
        <v>5638</v>
      </c>
      <c r="J8433" s="1" t="s">
        <v>5639</v>
      </c>
      <c r="L8433" s="1" t="s">
        <v>1554</v>
      </c>
      <c r="P8433" s="1" t="s">
        <v>890</v>
      </c>
      <c r="Q8433" s="30" t="s">
        <v>2569</v>
      </c>
      <c r="R8433" s="33" t="s">
        <v>3474</v>
      </c>
      <c r="S8433">
        <v>35</v>
      </c>
      <c r="T8433" s="1" t="s">
        <v>5416</v>
      </c>
      <c r="U8433" s="1" t="str">
        <f>HYPERLINK("http://ictvonline.org/taxonomy/p/taxonomy-history?taxnode_id=202104192","ICTVonline=202104192")</f>
        <v>ICTVonline=202104192</v>
      </c>
    </row>
    <row r="8434" spans="1:21" x14ac:dyDescent="0.2">
      <c r="A8434" s="3">
        <v>8433</v>
      </c>
      <c r="B8434" s="1" t="s">
        <v>4226</v>
      </c>
      <c r="D8434" s="1" t="s">
        <v>5412</v>
      </c>
      <c r="F8434" s="1" t="s">
        <v>5637</v>
      </c>
      <c r="H8434" s="1" t="s">
        <v>5638</v>
      </c>
      <c r="J8434" s="1" t="s">
        <v>5639</v>
      </c>
      <c r="L8434" s="1" t="s">
        <v>1554</v>
      </c>
      <c r="P8434" s="1" t="s">
        <v>894</v>
      </c>
      <c r="Q8434" s="30" t="s">
        <v>2569</v>
      </c>
      <c r="R8434" s="33" t="s">
        <v>3474</v>
      </c>
      <c r="S8434">
        <v>35</v>
      </c>
      <c r="T8434" s="1" t="s">
        <v>5416</v>
      </c>
      <c r="U8434" s="1" t="str">
        <f>HYPERLINK("http://ictvonline.org/taxonomy/p/taxonomy-history?taxnode_id=202104193","ICTVonline=202104193")</f>
        <v>ICTVonline=202104193</v>
      </c>
    </row>
    <row r="8435" spans="1:21" x14ac:dyDescent="0.2">
      <c r="A8435" s="3">
        <v>8434</v>
      </c>
      <c r="B8435" s="1" t="s">
        <v>4226</v>
      </c>
      <c r="D8435" s="1" t="s">
        <v>5412</v>
      </c>
      <c r="F8435" s="1" t="s">
        <v>5637</v>
      </c>
      <c r="H8435" s="1" t="s">
        <v>5638</v>
      </c>
      <c r="J8435" s="1" t="s">
        <v>5639</v>
      </c>
      <c r="L8435" s="1" t="s">
        <v>1554</v>
      </c>
      <c r="P8435" s="1" t="s">
        <v>895</v>
      </c>
      <c r="Q8435" s="30" t="s">
        <v>2569</v>
      </c>
      <c r="R8435" s="33" t="s">
        <v>3474</v>
      </c>
      <c r="S8435">
        <v>35</v>
      </c>
      <c r="T8435" s="1" t="s">
        <v>5416</v>
      </c>
      <c r="U8435" s="1" t="str">
        <f>HYPERLINK("http://ictvonline.org/taxonomy/p/taxonomy-history?taxnode_id=202104194","ICTVonline=202104194")</f>
        <v>ICTVonline=202104194</v>
      </c>
    </row>
    <row r="8436" spans="1:21" x14ac:dyDescent="0.2">
      <c r="A8436" s="3">
        <v>8435</v>
      </c>
      <c r="B8436" s="1" t="s">
        <v>4226</v>
      </c>
      <c r="D8436" s="1" t="s">
        <v>5412</v>
      </c>
      <c r="F8436" s="1" t="s">
        <v>5637</v>
      </c>
      <c r="H8436" s="1" t="s">
        <v>5638</v>
      </c>
      <c r="J8436" s="1" t="s">
        <v>5639</v>
      </c>
      <c r="L8436" s="1" t="s">
        <v>1554</v>
      </c>
      <c r="P8436" s="1" t="s">
        <v>582</v>
      </c>
      <c r="Q8436" s="30" t="s">
        <v>2569</v>
      </c>
      <c r="R8436" s="33" t="s">
        <v>3474</v>
      </c>
      <c r="S8436">
        <v>35</v>
      </c>
      <c r="T8436" s="1" t="s">
        <v>5416</v>
      </c>
      <c r="U8436" s="1" t="str">
        <f>HYPERLINK("http://ictvonline.org/taxonomy/p/taxonomy-history?taxnode_id=202104195","ICTVonline=202104195")</f>
        <v>ICTVonline=202104195</v>
      </c>
    </row>
    <row r="8437" spans="1:21" x14ac:dyDescent="0.2">
      <c r="A8437" s="3">
        <v>8436</v>
      </c>
      <c r="B8437" s="1" t="s">
        <v>4226</v>
      </c>
      <c r="D8437" s="1" t="s">
        <v>5412</v>
      </c>
      <c r="F8437" s="1" t="s">
        <v>5637</v>
      </c>
      <c r="H8437" s="1" t="s">
        <v>5638</v>
      </c>
      <c r="J8437" s="1" t="s">
        <v>5639</v>
      </c>
      <c r="L8437" s="1" t="s">
        <v>1554</v>
      </c>
      <c r="P8437" s="1" t="s">
        <v>896</v>
      </c>
      <c r="Q8437" s="30" t="s">
        <v>2569</v>
      </c>
      <c r="R8437" s="33" t="s">
        <v>3474</v>
      </c>
      <c r="S8437">
        <v>35</v>
      </c>
      <c r="T8437" s="1" t="s">
        <v>5416</v>
      </c>
      <c r="U8437" s="1" t="str">
        <f>HYPERLINK("http://ictvonline.org/taxonomy/p/taxonomy-history?taxnode_id=202104196","ICTVonline=202104196")</f>
        <v>ICTVonline=202104196</v>
      </c>
    </row>
    <row r="8438" spans="1:21" x14ac:dyDescent="0.2">
      <c r="A8438" s="3">
        <v>8437</v>
      </c>
      <c r="B8438" s="1" t="s">
        <v>4226</v>
      </c>
      <c r="D8438" s="1" t="s">
        <v>5412</v>
      </c>
      <c r="F8438" s="1" t="s">
        <v>5637</v>
      </c>
      <c r="H8438" s="1" t="s">
        <v>5638</v>
      </c>
      <c r="J8438" s="1" t="s">
        <v>5639</v>
      </c>
      <c r="L8438" s="1" t="s">
        <v>1554</v>
      </c>
      <c r="P8438" s="1" t="s">
        <v>897</v>
      </c>
      <c r="Q8438" s="30" t="s">
        <v>2569</v>
      </c>
      <c r="R8438" s="33" t="s">
        <v>3474</v>
      </c>
      <c r="S8438">
        <v>35</v>
      </c>
      <c r="T8438" s="1" t="s">
        <v>5416</v>
      </c>
      <c r="U8438" s="1" t="str">
        <f>HYPERLINK("http://ictvonline.org/taxonomy/p/taxonomy-history?taxnode_id=202104197","ICTVonline=202104197")</f>
        <v>ICTVonline=202104197</v>
      </c>
    </row>
    <row r="8439" spans="1:21" x14ac:dyDescent="0.2">
      <c r="A8439" s="3">
        <v>8438</v>
      </c>
      <c r="B8439" s="1" t="s">
        <v>4226</v>
      </c>
      <c r="D8439" s="1" t="s">
        <v>5412</v>
      </c>
      <c r="F8439" s="1" t="s">
        <v>5637</v>
      </c>
      <c r="H8439" s="1" t="s">
        <v>5638</v>
      </c>
      <c r="J8439" s="1" t="s">
        <v>5639</v>
      </c>
      <c r="L8439" s="1" t="s">
        <v>1554</v>
      </c>
      <c r="P8439" s="1" t="s">
        <v>3918</v>
      </c>
      <c r="Q8439" s="30" t="s">
        <v>2569</v>
      </c>
      <c r="R8439" s="33" t="s">
        <v>3474</v>
      </c>
      <c r="S8439">
        <v>35</v>
      </c>
      <c r="T8439" s="1" t="s">
        <v>5416</v>
      </c>
      <c r="U8439" s="1" t="str">
        <f>HYPERLINK("http://ictvonline.org/taxonomy/p/taxonomy-history?taxnode_id=202104198","ICTVonline=202104198")</f>
        <v>ICTVonline=202104198</v>
      </c>
    </row>
    <row r="8440" spans="1:21" x14ac:dyDescent="0.2">
      <c r="A8440" s="3">
        <v>8439</v>
      </c>
      <c r="B8440" s="1" t="s">
        <v>4226</v>
      </c>
      <c r="D8440" s="1" t="s">
        <v>5412</v>
      </c>
      <c r="F8440" s="1" t="s">
        <v>5637</v>
      </c>
      <c r="H8440" s="1" t="s">
        <v>5638</v>
      </c>
      <c r="J8440" s="1" t="s">
        <v>5639</v>
      </c>
      <c r="L8440" s="1" t="s">
        <v>1554</v>
      </c>
      <c r="P8440" s="1" t="s">
        <v>3919</v>
      </c>
      <c r="Q8440" s="30" t="s">
        <v>2569</v>
      </c>
      <c r="R8440" s="33" t="s">
        <v>3474</v>
      </c>
      <c r="S8440">
        <v>35</v>
      </c>
      <c r="T8440" s="1" t="s">
        <v>5416</v>
      </c>
      <c r="U8440" s="1" t="str">
        <f>HYPERLINK("http://ictvonline.org/taxonomy/p/taxonomy-history?taxnode_id=202104199","ICTVonline=202104199")</f>
        <v>ICTVonline=202104199</v>
      </c>
    </row>
    <row r="8441" spans="1:21" x14ac:dyDescent="0.2">
      <c r="A8441" s="3">
        <v>8440</v>
      </c>
      <c r="B8441" s="1" t="s">
        <v>4226</v>
      </c>
      <c r="D8441" s="1" t="s">
        <v>5412</v>
      </c>
      <c r="F8441" s="1" t="s">
        <v>5637</v>
      </c>
      <c r="H8441" s="1" t="s">
        <v>5638</v>
      </c>
      <c r="J8441" s="1" t="s">
        <v>5639</v>
      </c>
      <c r="L8441" s="1" t="s">
        <v>1554</v>
      </c>
      <c r="P8441" s="1" t="s">
        <v>829</v>
      </c>
      <c r="Q8441" s="30" t="s">
        <v>2569</v>
      </c>
      <c r="R8441" s="33" t="s">
        <v>3474</v>
      </c>
      <c r="S8441">
        <v>35</v>
      </c>
      <c r="T8441" s="1" t="s">
        <v>5416</v>
      </c>
      <c r="U8441" s="1" t="str">
        <f>HYPERLINK("http://ictvonline.org/taxonomy/p/taxonomy-history?taxnode_id=202104200","ICTVonline=202104200")</f>
        <v>ICTVonline=202104200</v>
      </c>
    </row>
    <row r="8442" spans="1:21" x14ac:dyDescent="0.2">
      <c r="A8442" s="3">
        <v>8441</v>
      </c>
      <c r="B8442" s="1" t="s">
        <v>4226</v>
      </c>
      <c r="D8442" s="1" t="s">
        <v>5412</v>
      </c>
      <c r="F8442" s="1" t="s">
        <v>5637</v>
      </c>
      <c r="H8442" s="1" t="s">
        <v>5638</v>
      </c>
      <c r="J8442" s="1" t="s">
        <v>5639</v>
      </c>
      <c r="L8442" s="1" t="s">
        <v>1554</v>
      </c>
      <c r="P8442" s="1" t="s">
        <v>830</v>
      </c>
      <c r="Q8442" s="30" t="s">
        <v>2569</v>
      </c>
      <c r="R8442" s="33" t="s">
        <v>3474</v>
      </c>
      <c r="S8442">
        <v>35</v>
      </c>
      <c r="T8442" s="1" t="s">
        <v>5416</v>
      </c>
      <c r="U8442" s="1" t="str">
        <f>HYPERLINK("http://ictvonline.org/taxonomy/p/taxonomy-history?taxnode_id=202104201","ICTVonline=202104201")</f>
        <v>ICTVonline=202104201</v>
      </c>
    </row>
    <row r="8443" spans="1:21" x14ac:dyDescent="0.2">
      <c r="A8443" s="3">
        <v>8442</v>
      </c>
      <c r="B8443" s="1" t="s">
        <v>4226</v>
      </c>
      <c r="D8443" s="1" t="s">
        <v>5412</v>
      </c>
      <c r="F8443" s="1" t="s">
        <v>5637</v>
      </c>
      <c r="H8443" s="1" t="s">
        <v>5638</v>
      </c>
      <c r="J8443" s="1" t="s">
        <v>5639</v>
      </c>
      <c r="L8443" s="1" t="s">
        <v>1554</v>
      </c>
      <c r="P8443" s="1" t="s">
        <v>831</v>
      </c>
      <c r="Q8443" s="30" t="s">
        <v>2569</v>
      </c>
      <c r="R8443" s="33" t="s">
        <v>3474</v>
      </c>
      <c r="S8443">
        <v>35</v>
      </c>
      <c r="T8443" s="1" t="s">
        <v>5416</v>
      </c>
      <c r="U8443" s="1" t="str">
        <f>HYPERLINK("http://ictvonline.org/taxonomy/p/taxonomy-history?taxnode_id=202104202","ICTVonline=202104202")</f>
        <v>ICTVonline=202104202</v>
      </c>
    </row>
    <row r="8444" spans="1:21" x14ac:dyDescent="0.2">
      <c r="A8444" s="3">
        <v>8443</v>
      </c>
      <c r="B8444" s="1" t="s">
        <v>4226</v>
      </c>
      <c r="D8444" s="1" t="s">
        <v>5412</v>
      </c>
      <c r="F8444" s="1" t="s">
        <v>5637</v>
      </c>
      <c r="H8444" s="1" t="s">
        <v>5638</v>
      </c>
      <c r="J8444" s="1" t="s">
        <v>5639</v>
      </c>
      <c r="L8444" s="1" t="s">
        <v>1554</v>
      </c>
      <c r="P8444" s="1" t="s">
        <v>832</v>
      </c>
      <c r="Q8444" s="30" t="s">
        <v>2569</v>
      </c>
      <c r="R8444" s="33" t="s">
        <v>3474</v>
      </c>
      <c r="S8444">
        <v>35</v>
      </c>
      <c r="T8444" s="1" t="s">
        <v>5416</v>
      </c>
      <c r="U8444" s="1" t="str">
        <f>HYPERLINK("http://ictvonline.org/taxonomy/p/taxonomy-history?taxnode_id=202104203","ICTVonline=202104203")</f>
        <v>ICTVonline=202104203</v>
      </c>
    </row>
    <row r="8445" spans="1:21" x14ac:dyDescent="0.2">
      <c r="A8445" s="3">
        <v>8444</v>
      </c>
      <c r="B8445" s="1" t="s">
        <v>4226</v>
      </c>
      <c r="D8445" s="1" t="s">
        <v>5412</v>
      </c>
      <c r="F8445" s="1" t="s">
        <v>5637</v>
      </c>
      <c r="H8445" s="1" t="s">
        <v>5638</v>
      </c>
      <c r="J8445" s="1" t="s">
        <v>5639</v>
      </c>
      <c r="L8445" s="1" t="s">
        <v>1554</v>
      </c>
      <c r="P8445" s="1" t="s">
        <v>833</v>
      </c>
      <c r="Q8445" s="30" t="s">
        <v>2569</v>
      </c>
      <c r="R8445" s="33" t="s">
        <v>3474</v>
      </c>
      <c r="S8445">
        <v>35</v>
      </c>
      <c r="T8445" s="1" t="s">
        <v>5416</v>
      </c>
      <c r="U8445" s="1" t="str">
        <f>HYPERLINK("http://ictvonline.org/taxonomy/p/taxonomy-history?taxnode_id=202104204","ICTVonline=202104204")</f>
        <v>ICTVonline=202104204</v>
      </c>
    </row>
    <row r="8446" spans="1:21" x14ac:dyDescent="0.2">
      <c r="A8446" s="3">
        <v>8445</v>
      </c>
      <c r="B8446" s="1" t="s">
        <v>4226</v>
      </c>
      <c r="D8446" s="1" t="s">
        <v>5412</v>
      </c>
      <c r="F8446" s="1" t="s">
        <v>5637</v>
      </c>
      <c r="H8446" s="1" t="s">
        <v>5638</v>
      </c>
      <c r="J8446" s="1" t="s">
        <v>5639</v>
      </c>
      <c r="L8446" s="1" t="s">
        <v>1554</v>
      </c>
      <c r="P8446" s="1" t="s">
        <v>836</v>
      </c>
      <c r="Q8446" s="30" t="s">
        <v>2569</v>
      </c>
      <c r="R8446" s="33" t="s">
        <v>3474</v>
      </c>
      <c r="S8446">
        <v>35</v>
      </c>
      <c r="T8446" s="1" t="s">
        <v>5416</v>
      </c>
      <c r="U8446" s="1" t="str">
        <f>HYPERLINK("http://ictvonline.org/taxonomy/p/taxonomy-history?taxnode_id=202104205","ICTVonline=202104205")</f>
        <v>ICTVonline=202104205</v>
      </c>
    </row>
    <row r="8447" spans="1:21" x14ac:dyDescent="0.2">
      <c r="A8447" s="3">
        <v>8446</v>
      </c>
      <c r="B8447" s="1" t="s">
        <v>4226</v>
      </c>
      <c r="D8447" s="1" t="s">
        <v>5412</v>
      </c>
      <c r="F8447" s="1" t="s">
        <v>5637</v>
      </c>
      <c r="H8447" s="1" t="s">
        <v>5638</v>
      </c>
      <c r="J8447" s="1" t="s">
        <v>5639</v>
      </c>
      <c r="L8447" s="1" t="s">
        <v>820</v>
      </c>
      <c r="N8447" s="1" t="s">
        <v>13666</v>
      </c>
      <c r="P8447" s="1" t="s">
        <v>13667</v>
      </c>
      <c r="Q8447" s="30" t="s">
        <v>2569</v>
      </c>
      <c r="R8447" s="33" t="s">
        <v>3473</v>
      </c>
      <c r="S8447">
        <v>37</v>
      </c>
      <c r="T8447" s="1" t="s">
        <v>14057</v>
      </c>
      <c r="U8447" s="1" t="str">
        <f>HYPERLINK("http://ictvonline.org/taxonomy/p/taxonomy-history?taxnode_id=202108648","ICTVonline=202108648")</f>
        <v>ICTVonline=202108648</v>
      </c>
    </row>
    <row r="8448" spans="1:21" x14ac:dyDescent="0.2">
      <c r="A8448" s="3">
        <v>8447</v>
      </c>
      <c r="B8448" s="1" t="s">
        <v>4226</v>
      </c>
      <c r="D8448" s="1" t="s">
        <v>5412</v>
      </c>
      <c r="F8448" s="1" t="s">
        <v>5637</v>
      </c>
      <c r="H8448" s="1" t="s">
        <v>5638</v>
      </c>
      <c r="J8448" s="1" t="s">
        <v>5639</v>
      </c>
      <c r="L8448" s="1" t="s">
        <v>820</v>
      </c>
      <c r="N8448" s="1" t="s">
        <v>13666</v>
      </c>
      <c r="P8448" s="1" t="s">
        <v>13668</v>
      </c>
      <c r="Q8448" s="30" t="s">
        <v>2569</v>
      </c>
      <c r="R8448" s="33" t="s">
        <v>3473</v>
      </c>
      <c r="S8448">
        <v>37</v>
      </c>
      <c r="T8448" s="1" t="s">
        <v>14057</v>
      </c>
      <c r="U8448" s="1" t="str">
        <f>HYPERLINK("http://ictvonline.org/taxonomy/p/taxonomy-history?taxnode_id=202108647","ICTVonline=202108647")</f>
        <v>ICTVonline=202108647</v>
      </c>
    </row>
    <row r="8449" spans="1:21" x14ac:dyDescent="0.2">
      <c r="A8449" s="3">
        <v>8448</v>
      </c>
      <c r="B8449" s="1" t="s">
        <v>4226</v>
      </c>
      <c r="D8449" s="1" t="s">
        <v>5412</v>
      </c>
      <c r="F8449" s="1" t="s">
        <v>5637</v>
      </c>
      <c r="H8449" s="1" t="s">
        <v>5638</v>
      </c>
      <c r="J8449" s="1" t="s">
        <v>5639</v>
      </c>
      <c r="L8449" s="1" t="s">
        <v>820</v>
      </c>
      <c r="N8449" s="1" t="s">
        <v>13666</v>
      </c>
      <c r="P8449" s="1" t="s">
        <v>13669</v>
      </c>
      <c r="Q8449" s="30" t="s">
        <v>2569</v>
      </c>
      <c r="R8449" s="33" t="s">
        <v>3473</v>
      </c>
      <c r="S8449">
        <v>37</v>
      </c>
      <c r="T8449" s="1" t="s">
        <v>14057</v>
      </c>
      <c r="U8449" s="1" t="str">
        <f>HYPERLINK("http://ictvonline.org/taxonomy/p/taxonomy-history?taxnode_id=202104334","ICTVonline=202104334")</f>
        <v>ICTVonline=202104334</v>
      </c>
    </row>
    <row r="8450" spans="1:21" x14ac:dyDescent="0.2">
      <c r="A8450" s="3">
        <v>8449</v>
      </c>
      <c r="B8450" s="1" t="s">
        <v>4226</v>
      </c>
      <c r="D8450" s="1" t="s">
        <v>5412</v>
      </c>
      <c r="F8450" s="1" t="s">
        <v>5637</v>
      </c>
      <c r="H8450" s="1" t="s">
        <v>5640</v>
      </c>
      <c r="J8450" s="1" t="s">
        <v>1332</v>
      </c>
      <c r="K8450" s="1" t="s">
        <v>4046</v>
      </c>
      <c r="L8450" s="1" t="s">
        <v>4047</v>
      </c>
      <c r="M8450" s="1" t="s">
        <v>4048</v>
      </c>
      <c r="N8450" s="1" t="s">
        <v>4049</v>
      </c>
      <c r="O8450" s="1" t="s">
        <v>4050</v>
      </c>
      <c r="P8450" s="1" t="s">
        <v>4051</v>
      </c>
      <c r="Q8450" s="30" t="s">
        <v>2567</v>
      </c>
      <c r="R8450" s="33" t="s">
        <v>8665</v>
      </c>
      <c r="S8450">
        <v>36</v>
      </c>
      <c r="T8450" s="1" t="s">
        <v>8661</v>
      </c>
      <c r="U8450" s="1" t="str">
        <f>HYPERLINK("http://ictvonline.org/taxonomy/p/taxonomy-history?taxnode_id=202106200","ICTVonline=202106200")</f>
        <v>ICTVonline=202106200</v>
      </c>
    </row>
    <row r="8451" spans="1:21" x14ac:dyDescent="0.2">
      <c r="A8451" s="3">
        <v>8450</v>
      </c>
      <c r="B8451" s="1" t="s">
        <v>4226</v>
      </c>
      <c r="D8451" s="1" t="s">
        <v>5412</v>
      </c>
      <c r="F8451" s="1" t="s">
        <v>5637</v>
      </c>
      <c r="H8451" s="1" t="s">
        <v>5640</v>
      </c>
      <c r="J8451" s="1" t="s">
        <v>1332</v>
      </c>
      <c r="K8451" s="1" t="s">
        <v>4052</v>
      </c>
      <c r="L8451" s="1" t="s">
        <v>1333</v>
      </c>
      <c r="M8451" s="1" t="s">
        <v>4053</v>
      </c>
      <c r="N8451" s="1" t="s">
        <v>4054</v>
      </c>
      <c r="P8451" s="1" t="s">
        <v>4055</v>
      </c>
      <c r="Q8451" s="30" t="s">
        <v>2567</v>
      </c>
      <c r="R8451" s="33" t="s">
        <v>8665</v>
      </c>
      <c r="S8451">
        <v>36</v>
      </c>
      <c r="T8451" s="1" t="s">
        <v>8661</v>
      </c>
      <c r="U8451" s="1" t="str">
        <f>HYPERLINK("http://ictvonline.org/taxonomy/p/taxonomy-history?taxnode_id=202106015","ICTVonline=202106015")</f>
        <v>ICTVonline=202106015</v>
      </c>
    </row>
    <row r="8452" spans="1:21" x14ac:dyDescent="0.2">
      <c r="A8452" s="3">
        <v>8451</v>
      </c>
      <c r="B8452" s="1" t="s">
        <v>4226</v>
      </c>
      <c r="D8452" s="1" t="s">
        <v>5412</v>
      </c>
      <c r="F8452" s="1" t="s">
        <v>5637</v>
      </c>
      <c r="H8452" s="1" t="s">
        <v>5640</v>
      </c>
      <c r="J8452" s="1" t="s">
        <v>1332</v>
      </c>
      <c r="K8452" s="1" t="s">
        <v>4052</v>
      </c>
      <c r="L8452" s="1" t="s">
        <v>1333</v>
      </c>
      <c r="M8452" s="1" t="s">
        <v>4056</v>
      </c>
      <c r="N8452" s="1" t="s">
        <v>4057</v>
      </c>
      <c r="P8452" s="1" t="s">
        <v>4058</v>
      </c>
      <c r="Q8452" s="30" t="s">
        <v>2567</v>
      </c>
      <c r="R8452" s="33" t="s">
        <v>8665</v>
      </c>
      <c r="S8452">
        <v>36</v>
      </c>
      <c r="T8452" s="1" t="s">
        <v>8661</v>
      </c>
      <c r="U8452" s="1" t="str">
        <f>HYPERLINK("http://ictvonline.org/taxonomy/p/taxonomy-history?taxnode_id=202101827","ICTVonline=202101827")</f>
        <v>ICTVonline=202101827</v>
      </c>
    </row>
    <row r="8453" spans="1:21" x14ac:dyDescent="0.2">
      <c r="A8453" s="3">
        <v>8452</v>
      </c>
      <c r="B8453" s="1" t="s">
        <v>4226</v>
      </c>
      <c r="D8453" s="1" t="s">
        <v>5412</v>
      </c>
      <c r="F8453" s="1" t="s">
        <v>5637</v>
      </c>
      <c r="H8453" s="1" t="s">
        <v>5640</v>
      </c>
      <c r="J8453" s="1" t="s">
        <v>1332</v>
      </c>
      <c r="K8453" s="1" t="s">
        <v>4052</v>
      </c>
      <c r="L8453" s="1" t="s">
        <v>1333</v>
      </c>
      <c r="M8453" s="1" t="s">
        <v>4059</v>
      </c>
      <c r="N8453" s="1" t="s">
        <v>4060</v>
      </c>
      <c r="P8453" s="1" t="s">
        <v>4061</v>
      </c>
      <c r="Q8453" s="30" t="s">
        <v>2567</v>
      </c>
      <c r="R8453" s="33" t="s">
        <v>8665</v>
      </c>
      <c r="S8453">
        <v>36</v>
      </c>
      <c r="T8453" s="1" t="s">
        <v>8661</v>
      </c>
      <c r="U8453" s="1" t="str">
        <f>HYPERLINK("http://ictvonline.org/taxonomy/p/taxonomy-history?taxnode_id=202101829","ICTVonline=202101829")</f>
        <v>ICTVonline=202101829</v>
      </c>
    </row>
    <row r="8454" spans="1:21" x14ac:dyDescent="0.2">
      <c r="A8454" s="3">
        <v>8453</v>
      </c>
      <c r="B8454" s="1" t="s">
        <v>4226</v>
      </c>
      <c r="D8454" s="1" t="s">
        <v>5412</v>
      </c>
      <c r="F8454" s="1" t="s">
        <v>5637</v>
      </c>
      <c r="H8454" s="1" t="s">
        <v>5640</v>
      </c>
      <c r="J8454" s="1" t="s">
        <v>1332</v>
      </c>
      <c r="K8454" s="1" t="s">
        <v>4052</v>
      </c>
      <c r="L8454" s="1" t="s">
        <v>1333</v>
      </c>
      <c r="M8454" s="1" t="s">
        <v>4062</v>
      </c>
      <c r="N8454" s="1" t="s">
        <v>4063</v>
      </c>
      <c r="O8454" s="1" t="s">
        <v>4064</v>
      </c>
      <c r="P8454" s="1" t="s">
        <v>4065</v>
      </c>
      <c r="Q8454" s="30" t="s">
        <v>2567</v>
      </c>
      <c r="R8454" s="33" t="s">
        <v>8665</v>
      </c>
      <c r="S8454">
        <v>36</v>
      </c>
      <c r="T8454" s="1" t="s">
        <v>8661</v>
      </c>
      <c r="U8454" s="1" t="str">
        <f>HYPERLINK("http://ictvonline.org/taxonomy/p/taxonomy-history?taxnode_id=202101845","ICTVonline=202101845")</f>
        <v>ICTVonline=202101845</v>
      </c>
    </row>
    <row r="8455" spans="1:21" x14ac:dyDescent="0.2">
      <c r="A8455" s="3">
        <v>8454</v>
      </c>
      <c r="B8455" s="1" t="s">
        <v>4226</v>
      </c>
      <c r="D8455" s="1" t="s">
        <v>5412</v>
      </c>
      <c r="F8455" s="1" t="s">
        <v>5637</v>
      </c>
      <c r="H8455" s="1" t="s">
        <v>5640</v>
      </c>
      <c r="J8455" s="1" t="s">
        <v>1332</v>
      </c>
      <c r="K8455" s="1" t="s">
        <v>4052</v>
      </c>
      <c r="L8455" s="1" t="s">
        <v>1333</v>
      </c>
      <c r="M8455" s="1" t="s">
        <v>4062</v>
      </c>
      <c r="N8455" s="1" t="s">
        <v>4066</v>
      </c>
      <c r="O8455" s="1" t="s">
        <v>4067</v>
      </c>
      <c r="P8455" s="1" t="s">
        <v>4068</v>
      </c>
      <c r="Q8455" s="30" t="s">
        <v>2567</v>
      </c>
      <c r="R8455" s="33" t="s">
        <v>8665</v>
      </c>
      <c r="S8455">
        <v>36</v>
      </c>
      <c r="T8455" s="1" t="s">
        <v>8661</v>
      </c>
      <c r="U8455" s="1" t="str">
        <f>HYPERLINK("http://ictvonline.org/taxonomy/p/taxonomy-history?taxnode_id=202101844","ICTVonline=202101844")</f>
        <v>ICTVonline=202101844</v>
      </c>
    </row>
    <row r="8456" spans="1:21" x14ac:dyDescent="0.2">
      <c r="A8456" s="3">
        <v>8455</v>
      </c>
      <c r="B8456" s="1" t="s">
        <v>4226</v>
      </c>
      <c r="D8456" s="1" t="s">
        <v>5412</v>
      </c>
      <c r="F8456" s="1" t="s">
        <v>5637</v>
      </c>
      <c r="H8456" s="1" t="s">
        <v>5640</v>
      </c>
      <c r="J8456" s="1" t="s">
        <v>1332</v>
      </c>
      <c r="K8456" s="1" t="s">
        <v>4052</v>
      </c>
      <c r="L8456" s="1" t="s">
        <v>1333</v>
      </c>
      <c r="M8456" s="1" t="s">
        <v>4062</v>
      </c>
      <c r="N8456" s="1" t="s">
        <v>4066</v>
      </c>
      <c r="O8456" s="1" t="s">
        <v>4067</v>
      </c>
      <c r="P8456" s="1" t="s">
        <v>4069</v>
      </c>
      <c r="Q8456" s="30" t="s">
        <v>2567</v>
      </c>
      <c r="R8456" s="33" t="s">
        <v>3474</v>
      </c>
      <c r="S8456">
        <v>35</v>
      </c>
      <c r="T8456" s="1" t="s">
        <v>5416</v>
      </c>
      <c r="U8456" s="1" t="str">
        <f>HYPERLINK("http://ictvonline.org/taxonomy/p/taxonomy-history?taxnode_id=202101837","ICTVonline=202101837")</f>
        <v>ICTVonline=202101837</v>
      </c>
    </row>
    <row r="8457" spans="1:21" x14ac:dyDescent="0.2">
      <c r="A8457" s="3">
        <v>8456</v>
      </c>
      <c r="B8457" s="1" t="s">
        <v>4226</v>
      </c>
      <c r="D8457" s="1" t="s">
        <v>5412</v>
      </c>
      <c r="F8457" s="1" t="s">
        <v>5637</v>
      </c>
      <c r="H8457" s="1" t="s">
        <v>5640</v>
      </c>
      <c r="J8457" s="1" t="s">
        <v>1332</v>
      </c>
      <c r="K8457" s="1" t="s">
        <v>4052</v>
      </c>
      <c r="L8457" s="1" t="s">
        <v>1333</v>
      </c>
      <c r="M8457" s="1" t="s">
        <v>4062</v>
      </c>
      <c r="N8457" s="1" t="s">
        <v>4066</v>
      </c>
      <c r="O8457" s="1" t="s">
        <v>4067</v>
      </c>
      <c r="P8457" s="1" t="s">
        <v>4070</v>
      </c>
      <c r="Q8457" s="30" t="s">
        <v>2567</v>
      </c>
      <c r="R8457" s="33" t="s">
        <v>3474</v>
      </c>
      <c r="S8457">
        <v>35</v>
      </c>
      <c r="T8457" s="1" t="s">
        <v>5416</v>
      </c>
      <c r="U8457" s="1" t="str">
        <f>HYPERLINK("http://ictvonline.org/taxonomy/p/taxonomy-history?taxnode_id=202106098","ICTVonline=202106098")</f>
        <v>ICTVonline=202106098</v>
      </c>
    </row>
    <row r="8458" spans="1:21" x14ac:dyDescent="0.2">
      <c r="A8458" s="3">
        <v>8457</v>
      </c>
      <c r="B8458" s="1" t="s">
        <v>4226</v>
      </c>
      <c r="D8458" s="1" t="s">
        <v>5412</v>
      </c>
      <c r="F8458" s="1" t="s">
        <v>5637</v>
      </c>
      <c r="H8458" s="1" t="s">
        <v>5640</v>
      </c>
      <c r="J8458" s="1" t="s">
        <v>1332</v>
      </c>
      <c r="K8458" s="1" t="s">
        <v>4052</v>
      </c>
      <c r="L8458" s="1" t="s">
        <v>1333</v>
      </c>
      <c r="M8458" s="1" t="s">
        <v>4062</v>
      </c>
      <c r="N8458" s="1" t="s">
        <v>4071</v>
      </c>
      <c r="P8458" s="1" t="s">
        <v>4072</v>
      </c>
      <c r="Q8458" s="30" t="s">
        <v>2567</v>
      </c>
      <c r="R8458" s="33" t="s">
        <v>8665</v>
      </c>
      <c r="S8458">
        <v>36</v>
      </c>
      <c r="T8458" s="1" t="s">
        <v>8661</v>
      </c>
      <c r="U8458" s="1" t="str">
        <f>HYPERLINK("http://ictvonline.org/taxonomy/p/taxonomy-history?taxnode_id=202101840","ICTVonline=202101840")</f>
        <v>ICTVonline=202101840</v>
      </c>
    </row>
    <row r="8459" spans="1:21" x14ac:dyDescent="0.2">
      <c r="A8459" s="3">
        <v>8458</v>
      </c>
      <c r="B8459" s="1" t="s">
        <v>4226</v>
      </c>
      <c r="D8459" s="1" t="s">
        <v>5412</v>
      </c>
      <c r="F8459" s="1" t="s">
        <v>5637</v>
      </c>
      <c r="H8459" s="1" t="s">
        <v>5640</v>
      </c>
      <c r="J8459" s="1" t="s">
        <v>1332</v>
      </c>
      <c r="K8459" s="1" t="s">
        <v>4052</v>
      </c>
      <c r="L8459" s="1" t="s">
        <v>1333</v>
      </c>
      <c r="M8459" s="1" t="s">
        <v>4062</v>
      </c>
      <c r="N8459" s="1" t="s">
        <v>4073</v>
      </c>
      <c r="O8459" s="1" t="s">
        <v>4083</v>
      </c>
      <c r="P8459" s="1" t="s">
        <v>4084</v>
      </c>
      <c r="Q8459" s="30" t="s">
        <v>2567</v>
      </c>
      <c r="R8459" s="33" t="s">
        <v>3474</v>
      </c>
      <c r="S8459">
        <v>35</v>
      </c>
      <c r="T8459" s="1" t="s">
        <v>5416</v>
      </c>
      <c r="U8459" s="1" t="str">
        <f>HYPERLINK("http://ictvonline.org/taxonomy/p/taxonomy-history?taxnode_id=202101836","ICTVonline=202101836")</f>
        <v>ICTVonline=202101836</v>
      </c>
    </row>
    <row r="8460" spans="1:21" x14ac:dyDescent="0.2">
      <c r="A8460" s="3">
        <v>8459</v>
      </c>
      <c r="B8460" s="1" t="s">
        <v>4226</v>
      </c>
      <c r="D8460" s="1" t="s">
        <v>5412</v>
      </c>
      <c r="F8460" s="1" t="s">
        <v>5637</v>
      </c>
      <c r="H8460" s="1" t="s">
        <v>5640</v>
      </c>
      <c r="J8460" s="1" t="s">
        <v>1332</v>
      </c>
      <c r="K8460" s="1" t="s">
        <v>4052</v>
      </c>
      <c r="L8460" s="1" t="s">
        <v>1333</v>
      </c>
      <c r="M8460" s="1" t="s">
        <v>4062</v>
      </c>
      <c r="N8460" s="1" t="s">
        <v>4073</v>
      </c>
      <c r="O8460" s="1" t="s">
        <v>4074</v>
      </c>
      <c r="P8460" s="1" t="s">
        <v>4075</v>
      </c>
      <c r="Q8460" s="30" t="s">
        <v>2567</v>
      </c>
      <c r="R8460" s="33" t="s">
        <v>8665</v>
      </c>
      <c r="S8460">
        <v>36</v>
      </c>
      <c r="T8460" s="1" t="s">
        <v>8661</v>
      </c>
      <c r="U8460" s="1" t="str">
        <f>HYPERLINK("http://ictvonline.org/taxonomy/p/taxonomy-history?taxnode_id=202101841","ICTVonline=202101841")</f>
        <v>ICTVonline=202101841</v>
      </c>
    </row>
    <row r="8461" spans="1:21" x14ac:dyDescent="0.2">
      <c r="A8461" s="3">
        <v>8460</v>
      </c>
      <c r="B8461" s="1" t="s">
        <v>4226</v>
      </c>
      <c r="D8461" s="1" t="s">
        <v>5412</v>
      </c>
      <c r="F8461" s="1" t="s">
        <v>5637</v>
      </c>
      <c r="H8461" s="1" t="s">
        <v>5640</v>
      </c>
      <c r="J8461" s="1" t="s">
        <v>1332</v>
      </c>
      <c r="K8461" s="1" t="s">
        <v>4052</v>
      </c>
      <c r="L8461" s="1" t="s">
        <v>1333</v>
      </c>
      <c r="M8461" s="1" t="s">
        <v>4062</v>
      </c>
      <c r="N8461" s="1" t="s">
        <v>4073</v>
      </c>
      <c r="O8461" s="1" t="s">
        <v>8315</v>
      </c>
      <c r="P8461" s="1" t="s">
        <v>5641</v>
      </c>
      <c r="Q8461" s="30" t="s">
        <v>2567</v>
      </c>
      <c r="R8461" s="33" t="s">
        <v>3474</v>
      </c>
      <c r="S8461">
        <v>36</v>
      </c>
      <c r="T8461" s="1" t="s">
        <v>8316</v>
      </c>
      <c r="U8461" s="1" t="str">
        <f>HYPERLINK("http://ictvonline.org/taxonomy/p/taxonomy-history?taxnode_id=202101843","ICTVonline=202101843")</f>
        <v>ICTVonline=202101843</v>
      </c>
    </row>
    <row r="8462" spans="1:21" x14ac:dyDescent="0.2">
      <c r="A8462" s="3">
        <v>8461</v>
      </c>
      <c r="B8462" s="1" t="s">
        <v>4226</v>
      </c>
      <c r="D8462" s="1" t="s">
        <v>5412</v>
      </c>
      <c r="F8462" s="1" t="s">
        <v>5637</v>
      </c>
      <c r="H8462" s="1" t="s">
        <v>5640</v>
      </c>
      <c r="J8462" s="1" t="s">
        <v>1332</v>
      </c>
      <c r="K8462" s="1" t="s">
        <v>4052</v>
      </c>
      <c r="L8462" s="1" t="s">
        <v>1333</v>
      </c>
      <c r="M8462" s="1" t="s">
        <v>4062</v>
      </c>
      <c r="N8462" s="1" t="s">
        <v>4076</v>
      </c>
      <c r="O8462" s="1" t="s">
        <v>4085</v>
      </c>
      <c r="P8462" s="1" t="s">
        <v>4086</v>
      </c>
      <c r="Q8462" s="30" t="s">
        <v>2567</v>
      </c>
      <c r="R8462" s="33" t="s">
        <v>3474</v>
      </c>
      <c r="S8462">
        <v>35</v>
      </c>
      <c r="T8462" s="1" t="s">
        <v>5416</v>
      </c>
      <c r="U8462" s="1" t="str">
        <f>HYPERLINK("http://ictvonline.org/taxonomy/p/taxonomy-history?taxnode_id=202101838","ICTVonline=202101838")</f>
        <v>ICTVonline=202101838</v>
      </c>
    </row>
    <row r="8463" spans="1:21" x14ac:dyDescent="0.2">
      <c r="A8463" s="3">
        <v>8462</v>
      </c>
      <c r="B8463" s="1" t="s">
        <v>4226</v>
      </c>
      <c r="D8463" s="1" t="s">
        <v>5412</v>
      </c>
      <c r="F8463" s="1" t="s">
        <v>5637</v>
      </c>
      <c r="H8463" s="1" t="s">
        <v>5640</v>
      </c>
      <c r="J8463" s="1" t="s">
        <v>1332</v>
      </c>
      <c r="K8463" s="1" t="s">
        <v>4052</v>
      </c>
      <c r="L8463" s="1" t="s">
        <v>1333</v>
      </c>
      <c r="M8463" s="1" t="s">
        <v>4062</v>
      </c>
      <c r="N8463" s="1" t="s">
        <v>4076</v>
      </c>
      <c r="O8463" s="1" t="s">
        <v>4077</v>
      </c>
      <c r="P8463" s="1" t="s">
        <v>4078</v>
      </c>
      <c r="Q8463" s="30" t="s">
        <v>2567</v>
      </c>
      <c r="R8463" s="33" t="s">
        <v>8665</v>
      </c>
      <c r="S8463">
        <v>36</v>
      </c>
      <c r="T8463" s="1" t="s">
        <v>8661</v>
      </c>
      <c r="U8463" s="1" t="str">
        <f>HYPERLINK("http://ictvonline.org/taxonomy/p/taxonomy-history?taxnode_id=202101842","ICTVonline=202101842")</f>
        <v>ICTVonline=202101842</v>
      </c>
    </row>
    <row r="8464" spans="1:21" x14ac:dyDescent="0.2">
      <c r="A8464" s="3">
        <v>8463</v>
      </c>
      <c r="B8464" s="1" t="s">
        <v>4226</v>
      </c>
      <c r="D8464" s="1" t="s">
        <v>5412</v>
      </c>
      <c r="F8464" s="1" t="s">
        <v>5637</v>
      </c>
      <c r="H8464" s="1" t="s">
        <v>5640</v>
      </c>
      <c r="J8464" s="1" t="s">
        <v>1332</v>
      </c>
      <c r="K8464" s="1" t="s">
        <v>4052</v>
      </c>
      <c r="L8464" s="1" t="s">
        <v>1333</v>
      </c>
      <c r="M8464" s="1" t="s">
        <v>4062</v>
      </c>
      <c r="N8464" s="1" t="s">
        <v>4092</v>
      </c>
      <c r="P8464" s="1" t="s">
        <v>4093</v>
      </c>
      <c r="Q8464" s="30" t="s">
        <v>2567</v>
      </c>
      <c r="R8464" s="33" t="s">
        <v>8665</v>
      </c>
      <c r="S8464">
        <v>36</v>
      </c>
      <c r="T8464" s="1" t="s">
        <v>8661</v>
      </c>
      <c r="U8464" s="1" t="str">
        <f>HYPERLINK("http://ictvonline.org/taxonomy/p/taxonomy-history?taxnode_id=202101839","ICTVonline=202101839")</f>
        <v>ICTVonline=202101839</v>
      </c>
    </row>
    <row r="8465" spans="1:21" x14ac:dyDescent="0.2">
      <c r="A8465" s="3">
        <v>8464</v>
      </c>
      <c r="B8465" s="1" t="s">
        <v>4226</v>
      </c>
      <c r="D8465" s="1" t="s">
        <v>5412</v>
      </c>
      <c r="F8465" s="1" t="s">
        <v>5637</v>
      </c>
      <c r="H8465" s="1" t="s">
        <v>5640</v>
      </c>
      <c r="J8465" s="1" t="s">
        <v>1332</v>
      </c>
      <c r="K8465" s="1" t="s">
        <v>4052</v>
      </c>
      <c r="L8465" s="1" t="s">
        <v>1333</v>
      </c>
      <c r="M8465" s="1" t="s">
        <v>4079</v>
      </c>
      <c r="N8465" s="1" t="s">
        <v>4080</v>
      </c>
      <c r="O8465" s="1" t="s">
        <v>4081</v>
      </c>
      <c r="P8465" s="1" t="s">
        <v>4082</v>
      </c>
      <c r="Q8465" s="30" t="s">
        <v>2567</v>
      </c>
      <c r="R8465" s="33" t="s">
        <v>3474</v>
      </c>
      <c r="S8465">
        <v>35</v>
      </c>
      <c r="T8465" s="1" t="s">
        <v>5416</v>
      </c>
      <c r="U8465" s="1" t="str">
        <f>HYPERLINK("http://ictvonline.org/taxonomy/p/taxonomy-history?taxnode_id=202101833","ICTVonline=202101833")</f>
        <v>ICTVonline=202101833</v>
      </c>
    </row>
    <row r="8466" spans="1:21" x14ac:dyDescent="0.2">
      <c r="A8466" s="3">
        <v>8465</v>
      </c>
      <c r="B8466" s="1" t="s">
        <v>4226</v>
      </c>
      <c r="D8466" s="1" t="s">
        <v>5412</v>
      </c>
      <c r="F8466" s="1" t="s">
        <v>5637</v>
      </c>
      <c r="H8466" s="1" t="s">
        <v>5640</v>
      </c>
      <c r="J8466" s="1" t="s">
        <v>1332</v>
      </c>
      <c r="K8466" s="1" t="s">
        <v>4052</v>
      </c>
      <c r="L8466" s="1" t="s">
        <v>1333</v>
      </c>
      <c r="M8466" s="1" t="s">
        <v>4079</v>
      </c>
      <c r="N8466" s="1" t="s">
        <v>4080</v>
      </c>
      <c r="O8466" s="1" t="s">
        <v>4099</v>
      </c>
      <c r="P8466" s="1" t="s">
        <v>4100</v>
      </c>
      <c r="Q8466" s="30" t="s">
        <v>2567</v>
      </c>
      <c r="R8466" s="33" t="s">
        <v>3474</v>
      </c>
      <c r="S8466">
        <v>35</v>
      </c>
      <c r="T8466" s="1" t="s">
        <v>5416</v>
      </c>
      <c r="U8466" s="1" t="str">
        <f>HYPERLINK("http://ictvonline.org/taxonomy/p/taxonomy-history?taxnode_id=202101834","ICTVonline=202101834")</f>
        <v>ICTVonline=202101834</v>
      </c>
    </row>
    <row r="8467" spans="1:21" x14ac:dyDescent="0.2">
      <c r="A8467" s="3">
        <v>8466</v>
      </c>
      <c r="B8467" s="1" t="s">
        <v>4226</v>
      </c>
      <c r="D8467" s="1" t="s">
        <v>5412</v>
      </c>
      <c r="F8467" s="1" t="s">
        <v>5637</v>
      </c>
      <c r="H8467" s="1" t="s">
        <v>5640</v>
      </c>
      <c r="J8467" s="1" t="s">
        <v>1332</v>
      </c>
      <c r="K8467" s="1" t="s">
        <v>4052</v>
      </c>
      <c r="L8467" s="1" t="s">
        <v>1333</v>
      </c>
      <c r="M8467" s="1" t="s">
        <v>4079</v>
      </c>
      <c r="N8467" s="1" t="s">
        <v>4080</v>
      </c>
      <c r="O8467" s="1" t="s">
        <v>4099</v>
      </c>
      <c r="P8467" s="1" t="s">
        <v>4101</v>
      </c>
      <c r="Q8467" s="30" t="s">
        <v>2567</v>
      </c>
      <c r="R8467" s="33" t="s">
        <v>3474</v>
      </c>
      <c r="S8467">
        <v>35</v>
      </c>
      <c r="T8467" s="1" t="s">
        <v>5416</v>
      </c>
      <c r="U8467" s="1" t="str">
        <f>HYPERLINK("http://ictvonline.org/taxonomy/p/taxonomy-history?taxnode_id=202106090","ICTVonline=202106090")</f>
        <v>ICTVonline=202106090</v>
      </c>
    </row>
    <row r="8468" spans="1:21" x14ac:dyDescent="0.2">
      <c r="A8468" s="3">
        <v>8467</v>
      </c>
      <c r="B8468" s="1" t="s">
        <v>4226</v>
      </c>
      <c r="D8468" s="1" t="s">
        <v>5412</v>
      </c>
      <c r="F8468" s="1" t="s">
        <v>5637</v>
      </c>
      <c r="H8468" s="1" t="s">
        <v>5640</v>
      </c>
      <c r="J8468" s="1" t="s">
        <v>1332</v>
      </c>
      <c r="K8468" s="1" t="s">
        <v>4052</v>
      </c>
      <c r="L8468" s="1" t="s">
        <v>1333</v>
      </c>
      <c r="M8468" s="1" t="s">
        <v>4079</v>
      </c>
      <c r="N8468" s="1" t="s">
        <v>4080</v>
      </c>
      <c r="O8468" s="1" t="s">
        <v>4099</v>
      </c>
      <c r="P8468" s="1" t="s">
        <v>5643</v>
      </c>
      <c r="Q8468" s="30" t="s">
        <v>2567</v>
      </c>
      <c r="R8468" s="33" t="s">
        <v>3472</v>
      </c>
      <c r="S8468">
        <v>35</v>
      </c>
      <c r="T8468" s="1" t="s">
        <v>5642</v>
      </c>
      <c r="U8468" s="1" t="str">
        <f>HYPERLINK("http://ictvonline.org/taxonomy/p/taxonomy-history?taxnode_id=202107464","ICTVonline=202107464")</f>
        <v>ICTVonline=202107464</v>
      </c>
    </row>
    <row r="8469" spans="1:21" x14ac:dyDescent="0.2">
      <c r="A8469" s="3">
        <v>8468</v>
      </c>
      <c r="B8469" s="1" t="s">
        <v>4226</v>
      </c>
      <c r="D8469" s="1" t="s">
        <v>5412</v>
      </c>
      <c r="F8469" s="1" t="s">
        <v>5637</v>
      </c>
      <c r="H8469" s="1" t="s">
        <v>5640</v>
      </c>
      <c r="J8469" s="1" t="s">
        <v>1332</v>
      </c>
      <c r="K8469" s="1" t="s">
        <v>4052</v>
      </c>
      <c r="L8469" s="1" t="s">
        <v>1333</v>
      </c>
      <c r="M8469" s="1" t="s">
        <v>4079</v>
      </c>
      <c r="N8469" s="1" t="s">
        <v>4080</v>
      </c>
      <c r="O8469" s="1" t="s">
        <v>4102</v>
      </c>
      <c r="P8469" s="1" t="s">
        <v>4103</v>
      </c>
      <c r="Q8469" s="30" t="s">
        <v>2567</v>
      </c>
      <c r="R8469" s="33" t="s">
        <v>8665</v>
      </c>
      <c r="S8469">
        <v>36</v>
      </c>
      <c r="T8469" s="1" t="s">
        <v>8661</v>
      </c>
      <c r="U8469" s="1" t="str">
        <f>HYPERLINK("http://ictvonline.org/taxonomy/p/taxonomy-history?taxnode_id=202101832","ICTVonline=202101832")</f>
        <v>ICTVonline=202101832</v>
      </c>
    </row>
    <row r="8470" spans="1:21" x14ac:dyDescent="0.2">
      <c r="A8470" s="3">
        <v>8469</v>
      </c>
      <c r="B8470" s="1" t="s">
        <v>4226</v>
      </c>
      <c r="D8470" s="1" t="s">
        <v>5412</v>
      </c>
      <c r="F8470" s="1" t="s">
        <v>5637</v>
      </c>
      <c r="H8470" s="1" t="s">
        <v>5640</v>
      </c>
      <c r="J8470" s="1" t="s">
        <v>1332</v>
      </c>
      <c r="K8470" s="1" t="s">
        <v>4052</v>
      </c>
      <c r="L8470" s="1" t="s">
        <v>1333</v>
      </c>
      <c r="M8470" s="1" t="s">
        <v>4079</v>
      </c>
      <c r="N8470" s="1" t="s">
        <v>4080</v>
      </c>
      <c r="O8470" s="1" t="s">
        <v>8317</v>
      </c>
      <c r="P8470" s="1" t="s">
        <v>5644</v>
      </c>
      <c r="Q8470" s="30" t="s">
        <v>2567</v>
      </c>
      <c r="R8470" s="33" t="s">
        <v>3474</v>
      </c>
      <c r="S8470">
        <v>36</v>
      </c>
      <c r="T8470" s="1" t="s">
        <v>8316</v>
      </c>
      <c r="U8470" s="1" t="str">
        <f>HYPERLINK("http://ictvonline.org/taxonomy/p/taxonomy-history?taxnode_id=202107466","ICTVonline=202107466")</f>
        <v>ICTVonline=202107466</v>
      </c>
    </row>
    <row r="8471" spans="1:21" x14ac:dyDescent="0.2">
      <c r="A8471" s="3">
        <v>8470</v>
      </c>
      <c r="B8471" s="1" t="s">
        <v>4226</v>
      </c>
      <c r="D8471" s="1" t="s">
        <v>5412</v>
      </c>
      <c r="F8471" s="1" t="s">
        <v>5637</v>
      </c>
      <c r="H8471" s="1" t="s">
        <v>5640</v>
      </c>
      <c r="J8471" s="1" t="s">
        <v>1332</v>
      </c>
      <c r="K8471" s="1" t="s">
        <v>4052</v>
      </c>
      <c r="L8471" s="1" t="s">
        <v>1333</v>
      </c>
      <c r="M8471" s="1" t="s">
        <v>4079</v>
      </c>
      <c r="N8471" s="1" t="s">
        <v>4087</v>
      </c>
      <c r="P8471" s="1" t="s">
        <v>4088</v>
      </c>
      <c r="Q8471" s="30" t="s">
        <v>2567</v>
      </c>
      <c r="R8471" s="33" t="s">
        <v>8665</v>
      </c>
      <c r="S8471">
        <v>36</v>
      </c>
      <c r="T8471" s="1" t="s">
        <v>8661</v>
      </c>
      <c r="U8471" s="1" t="str">
        <f>HYPERLINK("http://ictvonline.org/taxonomy/p/taxonomy-history?taxnode_id=202101831","ICTVonline=202101831")</f>
        <v>ICTVonline=202101831</v>
      </c>
    </row>
    <row r="8472" spans="1:21" x14ac:dyDescent="0.2">
      <c r="A8472" s="3">
        <v>8471</v>
      </c>
      <c r="B8472" s="1" t="s">
        <v>4226</v>
      </c>
      <c r="D8472" s="1" t="s">
        <v>5412</v>
      </c>
      <c r="F8472" s="1" t="s">
        <v>5637</v>
      </c>
      <c r="H8472" s="1" t="s">
        <v>5640</v>
      </c>
      <c r="J8472" s="1" t="s">
        <v>1332</v>
      </c>
      <c r="K8472" s="1" t="s">
        <v>4052</v>
      </c>
      <c r="L8472" s="1" t="s">
        <v>1333</v>
      </c>
      <c r="M8472" s="1" t="s">
        <v>4079</v>
      </c>
      <c r="N8472" s="1" t="s">
        <v>5645</v>
      </c>
      <c r="P8472" s="1" t="s">
        <v>5646</v>
      </c>
      <c r="Q8472" s="30" t="s">
        <v>2567</v>
      </c>
      <c r="R8472" s="33" t="s">
        <v>8665</v>
      </c>
      <c r="S8472">
        <v>36</v>
      </c>
      <c r="T8472" s="1" t="s">
        <v>8661</v>
      </c>
      <c r="U8472" s="1" t="str">
        <f>HYPERLINK("http://ictvonline.org/taxonomy/p/taxonomy-history?taxnode_id=202107468","ICTVonline=202107468")</f>
        <v>ICTVonline=202107468</v>
      </c>
    </row>
    <row r="8473" spans="1:21" x14ac:dyDescent="0.2">
      <c r="A8473" s="3">
        <v>8472</v>
      </c>
      <c r="B8473" s="1" t="s">
        <v>4226</v>
      </c>
      <c r="D8473" s="1" t="s">
        <v>5412</v>
      </c>
      <c r="F8473" s="1" t="s">
        <v>5637</v>
      </c>
      <c r="H8473" s="1" t="s">
        <v>5640</v>
      </c>
      <c r="J8473" s="1" t="s">
        <v>1332</v>
      </c>
      <c r="K8473" s="1" t="s">
        <v>4052</v>
      </c>
      <c r="L8473" s="1" t="s">
        <v>1333</v>
      </c>
      <c r="M8473" s="1" t="s">
        <v>4089</v>
      </c>
      <c r="N8473" s="1" t="s">
        <v>4090</v>
      </c>
      <c r="P8473" s="1" t="s">
        <v>4091</v>
      </c>
      <c r="Q8473" s="30" t="s">
        <v>2567</v>
      </c>
      <c r="R8473" s="33" t="s">
        <v>8665</v>
      </c>
      <c r="S8473">
        <v>36</v>
      </c>
      <c r="T8473" s="1" t="s">
        <v>8661</v>
      </c>
      <c r="U8473" s="1" t="str">
        <f>HYPERLINK("http://ictvonline.org/taxonomy/p/taxonomy-history?taxnode_id=202101825","ICTVonline=202101825")</f>
        <v>ICTVonline=202101825</v>
      </c>
    </row>
    <row r="8474" spans="1:21" x14ac:dyDescent="0.2">
      <c r="A8474" s="3">
        <v>8473</v>
      </c>
      <c r="B8474" s="1" t="s">
        <v>4226</v>
      </c>
      <c r="D8474" s="1" t="s">
        <v>5412</v>
      </c>
      <c r="F8474" s="1" t="s">
        <v>5637</v>
      </c>
      <c r="H8474" s="1" t="s">
        <v>5640</v>
      </c>
      <c r="J8474" s="1" t="s">
        <v>1332</v>
      </c>
      <c r="K8474" s="1" t="s">
        <v>4052</v>
      </c>
      <c r="L8474" s="1" t="s">
        <v>5647</v>
      </c>
      <c r="M8474" s="1" t="s">
        <v>13670</v>
      </c>
      <c r="N8474" s="1" t="s">
        <v>13671</v>
      </c>
      <c r="O8474" s="1" t="s">
        <v>13672</v>
      </c>
      <c r="P8474" s="1" t="s">
        <v>13673</v>
      </c>
      <c r="Q8474" s="30" t="s">
        <v>2567</v>
      </c>
      <c r="R8474" s="33" t="s">
        <v>3472</v>
      </c>
      <c r="S8474">
        <v>37</v>
      </c>
      <c r="T8474" s="1" t="s">
        <v>14058</v>
      </c>
      <c r="U8474" s="1" t="str">
        <f>HYPERLINK("http://ictvonline.org/taxonomy/p/taxonomy-history?taxnode_id=202113927","ICTVonline=202113927")</f>
        <v>ICTVonline=202113927</v>
      </c>
    </row>
    <row r="8475" spans="1:21" x14ac:dyDescent="0.2">
      <c r="A8475" s="3">
        <v>8474</v>
      </c>
      <c r="B8475" s="1" t="s">
        <v>4226</v>
      </c>
      <c r="D8475" s="1" t="s">
        <v>5412</v>
      </c>
      <c r="F8475" s="1" t="s">
        <v>5637</v>
      </c>
      <c r="H8475" s="1" t="s">
        <v>5640</v>
      </c>
      <c r="J8475" s="1" t="s">
        <v>1332</v>
      </c>
      <c r="K8475" s="1" t="s">
        <v>4052</v>
      </c>
      <c r="L8475" s="1" t="s">
        <v>5647</v>
      </c>
      <c r="M8475" s="1" t="s">
        <v>5648</v>
      </c>
      <c r="N8475" s="1" t="s">
        <v>5649</v>
      </c>
      <c r="P8475" s="1" t="s">
        <v>5650</v>
      </c>
      <c r="Q8475" s="30" t="s">
        <v>2567</v>
      </c>
      <c r="R8475" s="33" t="s">
        <v>8665</v>
      </c>
      <c r="S8475">
        <v>36</v>
      </c>
      <c r="T8475" s="1" t="s">
        <v>8661</v>
      </c>
      <c r="U8475" s="1" t="str">
        <f>HYPERLINK("http://ictvonline.org/taxonomy/p/taxonomy-history?taxnode_id=202107480","ICTVonline=202107480")</f>
        <v>ICTVonline=202107480</v>
      </c>
    </row>
    <row r="8476" spans="1:21" x14ac:dyDescent="0.2">
      <c r="A8476" s="3">
        <v>8475</v>
      </c>
      <c r="B8476" s="1" t="s">
        <v>4226</v>
      </c>
      <c r="D8476" s="1" t="s">
        <v>5412</v>
      </c>
      <c r="F8476" s="1" t="s">
        <v>5637</v>
      </c>
      <c r="H8476" s="1" t="s">
        <v>5640</v>
      </c>
      <c r="J8476" s="1" t="s">
        <v>1332</v>
      </c>
      <c r="K8476" s="1" t="s">
        <v>4052</v>
      </c>
      <c r="L8476" s="1" t="s">
        <v>5651</v>
      </c>
      <c r="M8476" s="1" t="s">
        <v>5652</v>
      </c>
      <c r="N8476" s="1" t="s">
        <v>5653</v>
      </c>
      <c r="P8476" s="1" t="s">
        <v>5654</v>
      </c>
      <c r="Q8476" s="30" t="s">
        <v>2567</v>
      </c>
      <c r="R8476" s="33" t="s">
        <v>8665</v>
      </c>
      <c r="S8476">
        <v>36</v>
      </c>
      <c r="T8476" s="1" t="s">
        <v>8661</v>
      </c>
      <c r="U8476" s="1" t="str">
        <f>HYPERLINK("http://ictvonline.org/taxonomy/p/taxonomy-history?taxnode_id=202107476","ICTVonline=202107476")</f>
        <v>ICTVonline=202107476</v>
      </c>
    </row>
    <row r="8477" spans="1:21" x14ac:dyDescent="0.2">
      <c r="A8477" s="3">
        <v>8476</v>
      </c>
      <c r="B8477" s="1" t="s">
        <v>4226</v>
      </c>
      <c r="D8477" s="1" t="s">
        <v>5412</v>
      </c>
      <c r="F8477" s="1" t="s">
        <v>5637</v>
      </c>
      <c r="H8477" s="1" t="s">
        <v>5640</v>
      </c>
      <c r="J8477" s="1" t="s">
        <v>1332</v>
      </c>
      <c r="K8477" s="1" t="s">
        <v>4052</v>
      </c>
      <c r="L8477" s="1" t="s">
        <v>5655</v>
      </c>
      <c r="M8477" s="1" t="s">
        <v>5656</v>
      </c>
      <c r="N8477" s="1" t="s">
        <v>5657</v>
      </c>
      <c r="P8477" s="1" t="s">
        <v>5658</v>
      </c>
      <c r="Q8477" s="30" t="s">
        <v>2567</v>
      </c>
      <c r="R8477" s="33" t="s">
        <v>8665</v>
      </c>
      <c r="S8477">
        <v>36</v>
      </c>
      <c r="T8477" s="1" t="s">
        <v>8661</v>
      </c>
      <c r="U8477" s="1" t="str">
        <f>HYPERLINK("http://ictvonline.org/taxonomy/p/taxonomy-history?taxnode_id=202107472","ICTVonline=202107472")</f>
        <v>ICTVonline=202107472</v>
      </c>
    </row>
    <row r="8478" spans="1:21" x14ac:dyDescent="0.2">
      <c r="A8478" s="3">
        <v>8477</v>
      </c>
      <c r="B8478" s="1" t="s">
        <v>4226</v>
      </c>
      <c r="D8478" s="1" t="s">
        <v>5412</v>
      </c>
      <c r="F8478" s="1" t="s">
        <v>5637</v>
      </c>
      <c r="H8478" s="1" t="s">
        <v>5640</v>
      </c>
      <c r="J8478" s="1" t="s">
        <v>1332</v>
      </c>
      <c r="K8478" s="1" t="s">
        <v>4094</v>
      </c>
      <c r="L8478" s="1" t="s">
        <v>1277</v>
      </c>
      <c r="M8478" s="1" t="s">
        <v>4095</v>
      </c>
      <c r="N8478" s="1" t="s">
        <v>4096</v>
      </c>
      <c r="O8478" s="1" t="s">
        <v>4097</v>
      </c>
      <c r="P8478" s="1" t="s">
        <v>4098</v>
      </c>
      <c r="Q8478" s="30" t="s">
        <v>2567</v>
      </c>
      <c r="R8478" s="33" t="s">
        <v>8665</v>
      </c>
      <c r="S8478">
        <v>36</v>
      </c>
      <c r="T8478" s="1" t="s">
        <v>8661</v>
      </c>
      <c r="U8478" s="1" t="str">
        <f>HYPERLINK("http://ictvonline.org/taxonomy/p/taxonomy-history?taxnode_id=202106140","ICTVonline=202106140")</f>
        <v>ICTVonline=202106140</v>
      </c>
    </row>
    <row r="8479" spans="1:21" x14ac:dyDescent="0.2">
      <c r="A8479" s="3">
        <v>8478</v>
      </c>
      <c r="B8479" s="1" t="s">
        <v>4226</v>
      </c>
      <c r="D8479" s="1" t="s">
        <v>5412</v>
      </c>
      <c r="F8479" s="1" t="s">
        <v>5637</v>
      </c>
      <c r="H8479" s="1" t="s">
        <v>5640</v>
      </c>
      <c r="J8479" s="1" t="s">
        <v>1332</v>
      </c>
      <c r="K8479" s="1" t="s">
        <v>4094</v>
      </c>
      <c r="L8479" s="1" t="s">
        <v>1277</v>
      </c>
      <c r="M8479" s="1" t="s">
        <v>4104</v>
      </c>
      <c r="N8479" s="1" t="s">
        <v>1717</v>
      </c>
      <c r="O8479" s="1" t="s">
        <v>13674</v>
      </c>
      <c r="P8479" s="1" t="s">
        <v>13675</v>
      </c>
      <c r="Q8479" s="30" t="s">
        <v>2567</v>
      </c>
      <c r="R8479" s="33" t="s">
        <v>3472</v>
      </c>
      <c r="S8479">
        <v>37</v>
      </c>
      <c r="T8479" s="1" t="s">
        <v>14058</v>
      </c>
      <c r="U8479" s="1" t="str">
        <f>HYPERLINK("http://ictvonline.org/taxonomy/p/taxonomy-history?taxnode_id=202113903","ICTVonline=202113903")</f>
        <v>ICTVonline=202113903</v>
      </c>
    </row>
    <row r="8480" spans="1:21" x14ac:dyDescent="0.2">
      <c r="A8480" s="3">
        <v>8479</v>
      </c>
      <c r="B8480" s="1" t="s">
        <v>4226</v>
      </c>
      <c r="D8480" s="1" t="s">
        <v>5412</v>
      </c>
      <c r="F8480" s="1" t="s">
        <v>5637</v>
      </c>
      <c r="H8480" s="1" t="s">
        <v>5640</v>
      </c>
      <c r="J8480" s="1" t="s">
        <v>1332</v>
      </c>
      <c r="K8480" s="1" t="s">
        <v>4094</v>
      </c>
      <c r="L8480" s="1" t="s">
        <v>1277</v>
      </c>
      <c r="M8480" s="1" t="s">
        <v>4104</v>
      </c>
      <c r="N8480" s="1" t="s">
        <v>1717</v>
      </c>
      <c r="O8480" s="1" t="s">
        <v>4105</v>
      </c>
      <c r="P8480" s="1" t="s">
        <v>2762</v>
      </c>
      <c r="Q8480" s="30" t="s">
        <v>2567</v>
      </c>
      <c r="R8480" s="33" t="s">
        <v>3474</v>
      </c>
      <c r="S8480">
        <v>35</v>
      </c>
      <c r="T8480" s="1" t="s">
        <v>5416</v>
      </c>
      <c r="U8480" s="1" t="str">
        <f>HYPERLINK("http://ictvonline.org/taxonomy/p/taxonomy-history?taxnode_id=202101850","ICTVonline=202101850")</f>
        <v>ICTVonline=202101850</v>
      </c>
    </row>
    <row r="8481" spans="1:21" x14ac:dyDescent="0.2">
      <c r="A8481" s="3">
        <v>8480</v>
      </c>
      <c r="B8481" s="1" t="s">
        <v>4226</v>
      </c>
      <c r="D8481" s="1" t="s">
        <v>5412</v>
      </c>
      <c r="F8481" s="1" t="s">
        <v>5637</v>
      </c>
      <c r="H8481" s="1" t="s">
        <v>5640</v>
      </c>
      <c r="J8481" s="1" t="s">
        <v>1332</v>
      </c>
      <c r="K8481" s="1" t="s">
        <v>4094</v>
      </c>
      <c r="L8481" s="1" t="s">
        <v>1277</v>
      </c>
      <c r="M8481" s="1" t="s">
        <v>4104</v>
      </c>
      <c r="N8481" s="1" t="s">
        <v>1717</v>
      </c>
      <c r="O8481" s="1" t="s">
        <v>4113</v>
      </c>
      <c r="P8481" s="1" t="s">
        <v>13676</v>
      </c>
      <c r="Q8481" s="30" t="s">
        <v>2567</v>
      </c>
      <c r="R8481" s="33" t="s">
        <v>3472</v>
      </c>
      <c r="S8481">
        <v>37</v>
      </c>
      <c r="T8481" s="1" t="s">
        <v>14058</v>
      </c>
      <c r="U8481" s="1" t="str">
        <f>HYPERLINK("http://ictvonline.org/taxonomy/p/taxonomy-history?taxnode_id=202113898","ICTVonline=202113898")</f>
        <v>ICTVonline=202113898</v>
      </c>
    </row>
    <row r="8482" spans="1:21" x14ac:dyDescent="0.2">
      <c r="A8482" s="3">
        <v>8481</v>
      </c>
      <c r="B8482" s="1" t="s">
        <v>4226</v>
      </c>
      <c r="D8482" s="1" t="s">
        <v>5412</v>
      </c>
      <c r="F8482" s="1" t="s">
        <v>5637</v>
      </c>
      <c r="H8482" s="1" t="s">
        <v>5640</v>
      </c>
      <c r="J8482" s="1" t="s">
        <v>1332</v>
      </c>
      <c r="K8482" s="1" t="s">
        <v>4094</v>
      </c>
      <c r="L8482" s="1" t="s">
        <v>1277</v>
      </c>
      <c r="M8482" s="1" t="s">
        <v>4104</v>
      </c>
      <c r="N8482" s="1" t="s">
        <v>1717</v>
      </c>
      <c r="O8482" s="1" t="s">
        <v>4113</v>
      </c>
      <c r="P8482" s="1" t="s">
        <v>13677</v>
      </c>
      <c r="Q8482" s="30" t="s">
        <v>2567</v>
      </c>
      <c r="R8482" s="33" t="s">
        <v>3472</v>
      </c>
      <c r="S8482">
        <v>37</v>
      </c>
      <c r="T8482" s="1" t="s">
        <v>14058</v>
      </c>
      <c r="U8482" s="1" t="str">
        <f>HYPERLINK("http://ictvonline.org/taxonomy/p/taxonomy-history?taxnode_id=202113899","ICTVonline=202113899")</f>
        <v>ICTVonline=202113899</v>
      </c>
    </row>
    <row r="8483" spans="1:21" x14ac:dyDescent="0.2">
      <c r="A8483" s="3">
        <v>8482</v>
      </c>
      <c r="B8483" s="1" t="s">
        <v>4226</v>
      </c>
      <c r="D8483" s="1" t="s">
        <v>5412</v>
      </c>
      <c r="F8483" s="1" t="s">
        <v>5637</v>
      </c>
      <c r="H8483" s="1" t="s">
        <v>5640</v>
      </c>
      <c r="J8483" s="1" t="s">
        <v>1332</v>
      </c>
      <c r="K8483" s="1" t="s">
        <v>4094</v>
      </c>
      <c r="L8483" s="1" t="s">
        <v>1277</v>
      </c>
      <c r="M8483" s="1" t="s">
        <v>4104</v>
      </c>
      <c r="N8483" s="1" t="s">
        <v>1717</v>
      </c>
      <c r="O8483" s="1" t="s">
        <v>4113</v>
      </c>
      <c r="P8483" s="1" t="s">
        <v>2763</v>
      </c>
      <c r="Q8483" s="30" t="s">
        <v>2567</v>
      </c>
      <c r="R8483" s="33" t="s">
        <v>3474</v>
      </c>
      <c r="S8483">
        <v>35</v>
      </c>
      <c r="T8483" s="1" t="s">
        <v>5416</v>
      </c>
      <c r="U8483" s="1" t="str">
        <f>HYPERLINK("http://ictvonline.org/taxonomy/p/taxonomy-history?taxnode_id=202101851","ICTVonline=202101851")</f>
        <v>ICTVonline=202101851</v>
      </c>
    </row>
    <row r="8484" spans="1:21" x14ac:dyDescent="0.2">
      <c r="A8484" s="3">
        <v>8483</v>
      </c>
      <c r="B8484" s="1" t="s">
        <v>4226</v>
      </c>
      <c r="D8484" s="1" t="s">
        <v>5412</v>
      </c>
      <c r="F8484" s="1" t="s">
        <v>5637</v>
      </c>
      <c r="H8484" s="1" t="s">
        <v>5640</v>
      </c>
      <c r="J8484" s="1" t="s">
        <v>1332</v>
      </c>
      <c r="K8484" s="1" t="s">
        <v>4094</v>
      </c>
      <c r="L8484" s="1" t="s">
        <v>1277</v>
      </c>
      <c r="M8484" s="1" t="s">
        <v>4104</v>
      </c>
      <c r="N8484" s="1" t="s">
        <v>1717</v>
      </c>
      <c r="O8484" s="1" t="s">
        <v>4113</v>
      </c>
      <c r="P8484" s="1" t="s">
        <v>4114</v>
      </c>
      <c r="Q8484" s="30" t="s">
        <v>2567</v>
      </c>
      <c r="R8484" s="33" t="s">
        <v>3474</v>
      </c>
      <c r="S8484">
        <v>35</v>
      </c>
      <c r="T8484" s="1" t="s">
        <v>5416</v>
      </c>
      <c r="U8484" s="1" t="str">
        <f>HYPERLINK("http://ictvonline.org/taxonomy/p/taxonomy-history?taxnode_id=202106109","ICTVonline=202106109")</f>
        <v>ICTVonline=202106109</v>
      </c>
    </row>
    <row r="8485" spans="1:21" x14ac:dyDescent="0.2">
      <c r="A8485" s="3">
        <v>8484</v>
      </c>
      <c r="B8485" s="1" t="s">
        <v>4226</v>
      </c>
      <c r="D8485" s="1" t="s">
        <v>5412</v>
      </c>
      <c r="F8485" s="1" t="s">
        <v>5637</v>
      </c>
      <c r="H8485" s="1" t="s">
        <v>5640</v>
      </c>
      <c r="J8485" s="1" t="s">
        <v>1332</v>
      </c>
      <c r="K8485" s="1" t="s">
        <v>4094</v>
      </c>
      <c r="L8485" s="1" t="s">
        <v>1277</v>
      </c>
      <c r="M8485" s="1" t="s">
        <v>4104</v>
      </c>
      <c r="N8485" s="1" t="s">
        <v>1717</v>
      </c>
      <c r="O8485" s="1" t="s">
        <v>4116</v>
      </c>
      <c r="P8485" s="1" t="s">
        <v>1278</v>
      </c>
      <c r="Q8485" s="30" t="s">
        <v>2567</v>
      </c>
      <c r="R8485" s="33" t="s">
        <v>3474</v>
      </c>
      <c r="S8485">
        <v>35</v>
      </c>
      <c r="T8485" s="1" t="s">
        <v>5416</v>
      </c>
      <c r="U8485" s="1" t="str">
        <f>HYPERLINK("http://ictvonline.org/taxonomy/p/taxonomy-history?taxnode_id=202101852","ICTVonline=202101852")</f>
        <v>ICTVonline=202101852</v>
      </c>
    </row>
    <row r="8486" spans="1:21" x14ac:dyDescent="0.2">
      <c r="A8486" s="3">
        <v>8485</v>
      </c>
      <c r="B8486" s="1" t="s">
        <v>4226</v>
      </c>
      <c r="D8486" s="1" t="s">
        <v>5412</v>
      </c>
      <c r="F8486" s="1" t="s">
        <v>5637</v>
      </c>
      <c r="H8486" s="1" t="s">
        <v>5640</v>
      </c>
      <c r="J8486" s="1" t="s">
        <v>1332</v>
      </c>
      <c r="K8486" s="1" t="s">
        <v>4094</v>
      </c>
      <c r="L8486" s="1" t="s">
        <v>1277</v>
      </c>
      <c r="M8486" s="1" t="s">
        <v>4104</v>
      </c>
      <c r="N8486" s="1" t="s">
        <v>1717</v>
      </c>
      <c r="O8486" s="1" t="s">
        <v>4106</v>
      </c>
      <c r="P8486" s="1" t="s">
        <v>4107</v>
      </c>
      <c r="Q8486" s="30" t="s">
        <v>2567</v>
      </c>
      <c r="R8486" s="33" t="s">
        <v>3474</v>
      </c>
      <c r="S8486">
        <v>35</v>
      </c>
      <c r="T8486" s="1" t="s">
        <v>5416</v>
      </c>
      <c r="U8486" s="1" t="str">
        <f>HYPERLINK("http://ictvonline.org/taxonomy/p/taxonomy-history?taxnode_id=202106122","ICTVonline=202106122")</f>
        <v>ICTVonline=202106122</v>
      </c>
    </row>
    <row r="8487" spans="1:21" x14ac:dyDescent="0.2">
      <c r="A8487" s="3">
        <v>8486</v>
      </c>
      <c r="B8487" s="1" t="s">
        <v>4226</v>
      </c>
      <c r="D8487" s="1" t="s">
        <v>5412</v>
      </c>
      <c r="F8487" s="1" t="s">
        <v>5637</v>
      </c>
      <c r="H8487" s="1" t="s">
        <v>5640</v>
      </c>
      <c r="J8487" s="1" t="s">
        <v>1332</v>
      </c>
      <c r="K8487" s="1" t="s">
        <v>4094</v>
      </c>
      <c r="L8487" s="1" t="s">
        <v>1277</v>
      </c>
      <c r="M8487" s="1" t="s">
        <v>4104</v>
      </c>
      <c r="N8487" s="1" t="s">
        <v>1717</v>
      </c>
      <c r="O8487" s="1" t="s">
        <v>4108</v>
      </c>
      <c r="P8487" s="1" t="s">
        <v>2764</v>
      </c>
      <c r="Q8487" s="30" t="s">
        <v>2567</v>
      </c>
      <c r="R8487" s="33" t="s">
        <v>3474</v>
      </c>
      <c r="S8487">
        <v>35</v>
      </c>
      <c r="T8487" s="1" t="s">
        <v>5642</v>
      </c>
      <c r="U8487" s="1" t="str">
        <f>HYPERLINK("http://ictvonline.org/taxonomy/p/taxonomy-history?taxnode_id=202101856","ICTVonline=202101856")</f>
        <v>ICTVonline=202101856</v>
      </c>
    </row>
    <row r="8488" spans="1:21" x14ac:dyDescent="0.2">
      <c r="A8488" s="3">
        <v>8487</v>
      </c>
      <c r="B8488" s="1" t="s">
        <v>4226</v>
      </c>
      <c r="D8488" s="1" t="s">
        <v>5412</v>
      </c>
      <c r="F8488" s="1" t="s">
        <v>5637</v>
      </c>
      <c r="H8488" s="1" t="s">
        <v>5640</v>
      </c>
      <c r="J8488" s="1" t="s">
        <v>1332</v>
      </c>
      <c r="K8488" s="1" t="s">
        <v>4094</v>
      </c>
      <c r="L8488" s="1" t="s">
        <v>1277</v>
      </c>
      <c r="M8488" s="1" t="s">
        <v>4104</v>
      </c>
      <c r="N8488" s="1" t="s">
        <v>1717</v>
      </c>
      <c r="O8488" s="1" t="s">
        <v>4120</v>
      </c>
      <c r="P8488" s="1" t="s">
        <v>544</v>
      </c>
      <c r="Q8488" s="30" t="s">
        <v>2567</v>
      </c>
      <c r="R8488" s="33" t="s">
        <v>3474</v>
      </c>
      <c r="S8488">
        <v>35</v>
      </c>
      <c r="T8488" s="1" t="s">
        <v>5416</v>
      </c>
      <c r="U8488" s="1" t="str">
        <f>HYPERLINK("http://ictvonline.org/taxonomy/p/taxonomy-history?taxnode_id=202101854","ICTVonline=202101854")</f>
        <v>ICTVonline=202101854</v>
      </c>
    </row>
    <row r="8489" spans="1:21" x14ac:dyDescent="0.2">
      <c r="A8489" s="3">
        <v>8488</v>
      </c>
      <c r="B8489" s="1" t="s">
        <v>4226</v>
      </c>
      <c r="D8489" s="1" t="s">
        <v>5412</v>
      </c>
      <c r="F8489" s="1" t="s">
        <v>5637</v>
      </c>
      <c r="H8489" s="1" t="s">
        <v>5640</v>
      </c>
      <c r="J8489" s="1" t="s">
        <v>1332</v>
      </c>
      <c r="K8489" s="1" t="s">
        <v>4094</v>
      </c>
      <c r="L8489" s="1" t="s">
        <v>1277</v>
      </c>
      <c r="M8489" s="1" t="s">
        <v>4104</v>
      </c>
      <c r="N8489" s="1" t="s">
        <v>1717</v>
      </c>
      <c r="O8489" s="1" t="s">
        <v>4120</v>
      </c>
      <c r="P8489" s="1" t="s">
        <v>545</v>
      </c>
      <c r="Q8489" s="30" t="s">
        <v>2567</v>
      </c>
      <c r="R8489" s="33" t="s">
        <v>3474</v>
      </c>
      <c r="S8489">
        <v>35</v>
      </c>
      <c r="T8489" s="1" t="s">
        <v>5416</v>
      </c>
      <c r="U8489" s="1" t="str">
        <f>HYPERLINK("http://ictvonline.org/taxonomy/p/taxonomy-history?taxnode_id=202101855","ICTVonline=202101855")</f>
        <v>ICTVonline=202101855</v>
      </c>
    </row>
    <row r="8490" spans="1:21" x14ac:dyDescent="0.2">
      <c r="A8490" s="3">
        <v>8489</v>
      </c>
      <c r="B8490" s="1" t="s">
        <v>4226</v>
      </c>
      <c r="D8490" s="1" t="s">
        <v>5412</v>
      </c>
      <c r="F8490" s="1" t="s">
        <v>5637</v>
      </c>
      <c r="H8490" s="1" t="s">
        <v>5640</v>
      </c>
      <c r="J8490" s="1" t="s">
        <v>1332</v>
      </c>
      <c r="K8490" s="1" t="s">
        <v>4094</v>
      </c>
      <c r="L8490" s="1" t="s">
        <v>1277</v>
      </c>
      <c r="M8490" s="1" t="s">
        <v>4104</v>
      </c>
      <c r="N8490" s="1" t="s">
        <v>1717</v>
      </c>
      <c r="O8490" s="1" t="s">
        <v>4109</v>
      </c>
      <c r="P8490" s="1" t="s">
        <v>4110</v>
      </c>
      <c r="Q8490" s="30" t="s">
        <v>2567</v>
      </c>
      <c r="R8490" s="33" t="s">
        <v>3474</v>
      </c>
      <c r="S8490">
        <v>35</v>
      </c>
      <c r="T8490" s="1" t="s">
        <v>5416</v>
      </c>
      <c r="U8490" s="1" t="str">
        <f>HYPERLINK("http://ictvonline.org/taxonomy/p/taxonomy-history?taxnode_id=202106119","ICTVonline=202106119")</f>
        <v>ICTVonline=202106119</v>
      </c>
    </row>
    <row r="8491" spans="1:21" x14ac:dyDescent="0.2">
      <c r="A8491" s="3">
        <v>8490</v>
      </c>
      <c r="B8491" s="1" t="s">
        <v>4226</v>
      </c>
      <c r="D8491" s="1" t="s">
        <v>5412</v>
      </c>
      <c r="F8491" s="1" t="s">
        <v>5637</v>
      </c>
      <c r="H8491" s="1" t="s">
        <v>5640</v>
      </c>
      <c r="J8491" s="1" t="s">
        <v>1332</v>
      </c>
      <c r="K8491" s="1" t="s">
        <v>4094</v>
      </c>
      <c r="L8491" s="1" t="s">
        <v>1277</v>
      </c>
      <c r="M8491" s="1" t="s">
        <v>4104</v>
      </c>
      <c r="N8491" s="1" t="s">
        <v>1717</v>
      </c>
      <c r="O8491" s="1" t="s">
        <v>4111</v>
      </c>
      <c r="P8491" s="1" t="s">
        <v>13678</v>
      </c>
      <c r="Q8491" s="30" t="s">
        <v>2567</v>
      </c>
      <c r="R8491" s="33" t="s">
        <v>3472</v>
      </c>
      <c r="S8491">
        <v>37</v>
      </c>
      <c r="T8491" s="1" t="s">
        <v>14058</v>
      </c>
      <c r="U8491" s="1" t="str">
        <f>HYPERLINK("http://ictvonline.org/taxonomy/p/taxonomy-history?taxnode_id=202113901","ICTVonline=202113901")</f>
        <v>ICTVonline=202113901</v>
      </c>
    </row>
    <row r="8492" spans="1:21" x14ac:dyDescent="0.2">
      <c r="A8492" s="3">
        <v>8491</v>
      </c>
      <c r="B8492" s="1" t="s">
        <v>4226</v>
      </c>
      <c r="D8492" s="1" t="s">
        <v>5412</v>
      </c>
      <c r="F8492" s="1" t="s">
        <v>5637</v>
      </c>
      <c r="H8492" s="1" t="s">
        <v>5640</v>
      </c>
      <c r="J8492" s="1" t="s">
        <v>1332</v>
      </c>
      <c r="K8492" s="1" t="s">
        <v>4094</v>
      </c>
      <c r="L8492" s="1" t="s">
        <v>1277</v>
      </c>
      <c r="M8492" s="1" t="s">
        <v>4104</v>
      </c>
      <c r="N8492" s="1" t="s">
        <v>1717</v>
      </c>
      <c r="O8492" s="1" t="s">
        <v>4111</v>
      </c>
      <c r="P8492" s="1" t="s">
        <v>13679</v>
      </c>
      <c r="Q8492" s="30" t="s">
        <v>2567</v>
      </c>
      <c r="R8492" s="33" t="s">
        <v>3472</v>
      </c>
      <c r="S8492">
        <v>37</v>
      </c>
      <c r="T8492" s="1" t="s">
        <v>14058</v>
      </c>
      <c r="U8492" s="1" t="str">
        <f>HYPERLINK("http://ictvonline.org/taxonomy/p/taxonomy-history?taxnode_id=202113900","ICTVonline=202113900")</f>
        <v>ICTVonline=202113900</v>
      </c>
    </row>
    <row r="8493" spans="1:21" x14ac:dyDescent="0.2">
      <c r="A8493" s="3">
        <v>8492</v>
      </c>
      <c r="B8493" s="1" t="s">
        <v>4226</v>
      </c>
      <c r="D8493" s="1" t="s">
        <v>5412</v>
      </c>
      <c r="F8493" s="1" t="s">
        <v>5637</v>
      </c>
      <c r="H8493" s="1" t="s">
        <v>5640</v>
      </c>
      <c r="J8493" s="1" t="s">
        <v>1332</v>
      </c>
      <c r="K8493" s="1" t="s">
        <v>4094</v>
      </c>
      <c r="L8493" s="1" t="s">
        <v>1277</v>
      </c>
      <c r="M8493" s="1" t="s">
        <v>4104</v>
      </c>
      <c r="N8493" s="1" t="s">
        <v>1717</v>
      </c>
      <c r="O8493" s="1" t="s">
        <v>4111</v>
      </c>
      <c r="P8493" s="1" t="s">
        <v>4112</v>
      </c>
      <c r="Q8493" s="30" t="s">
        <v>2567</v>
      </c>
      <c r="R8493" s="33" t="s">
        <v>3474</v>
      </c>
      <c r="S8493">
        <v>35</v>
      </c>
      <c r="T8493" s="1" t="s">
        <v>5416</v>
      </c>
      <c r="U8493" s="1" t="str">
        <f>HYPERLINK("http://ictvonline.org/taxonomy/p/taxonomy-history?taxnode_id=202106120","ICTVonline=202106120")</f>
        <v>ICTVonline=202106120</v>
      </c>
    </row>
    <row r="8494" spans="1:21" x14ac:dyDescent="0.2">
      <c r="A8494" s="3">
        <v>8493</v>
      </c>
      <c r="B8494" s="1" t="s">
        <v>4226</v>
      </c>
      <c r="D8494" s="1" t="s">
        <v>5412</v>
      </c>
      <c r="F8494" s="1" t="s">
        <v>5637</v>
      </c>
      <c r="H8494" s="1" t="s">
        <v>5640</v>
      </c>
      <c r="J8494" s="1" t="s">
        <v>1332</v>
      </c>
      <c r="K8494" s="1" t="s">
        <v>4094</v>
      </c>
      <c r="L8494" s="1" t="s">
        <v>1277</v>
      </c>
      <c r="M8494" s="1" t="s">
        <v>4104</v>
      </c>
      <c r="N8494" s="1" t="s">
        <v>1717</v>
      </c>
      <c r="O8494" s="1" t="s">
        <v>4111</v>
      </c>
      <c r="P8494" s="1" t="s">
        <v>5659</v>
      </c>
      <c r="Q8494" s="30" t="s">
        <v>2567</v>
      </c>
      <c r="R8494" s="33" t="s">
        <v>3472</v>
      </c>
      <c r="S8494">
        <v>35</v>
      </c>
      <c r="T8494" s="1" t="s">
        <v>5642</v>
      </c>
      <c r="U8494" s="1" t="str">
        <f>HYPERLINK("http://ictvonline.org/taxonomy/p/taxonomy-history?taxnode_id=202107490","ICTVonline=202107490")</f>
        <v>ICTVonline=202107490</v>
      </c>
    </row>
    <row r="8495" spans="1:21" x14ac:dyDescent="0.2">
      <c r="A8495" s="3">
        <v>8494</v>
      </c>
      <c r="B8495" s="1" t="s">
        <v>4226</v>
      </c>
      <c r="D8495" s="1" t="s">
        <v>5412</v>
      </c>
      <c r="F8495" s="1" t="s">
        <v>5637</v>
      </c>
      <c r="H8495" s="1" t="s">
        <v>5640</v>
      </c>
      <c r="J8495" s="1" t="s">
        <v>1332</v>
      </c>
      <c r="K8495" s="1" t="s">
        <v>4094</v>
      </c>
      <c r="L8495" s="1" t="s">
        <v>1277</v>
      </c>
      <c r="M8495" s="1" t="s">
        <v>4104</v>
      </c>
      <c r="N8495" s="1" t="s">
        <v>1717</v>
      </c>
      <c r="O8495" s="1" t="s">
        <v>4115</v>
      </c>
      <c r="P8495" s="1" t="s">
        <v>13680</v>
      </c>
      <c r="Q8495" s="30" t="s">
        <v>2567</v>
      </c>
      <c r="R8495" s="33" t="s">
        <v>3472</v>
      </c>
      <c r="S8495">
        <v>37</v>
      </c>
      <c r="T8495" s="1" t="s">
        <v>14058</v>
      </c>
      <c r="U8495" s="1" t="str">
        <f>HYPERLINK("http://ictvonline.org/taxonomy/p/taxonomy-history?taxnode_id=202113897","ICTVonline=202113897")</f>
        <v>ICTVonline=202113897</v>
      </c>
    </row>
    <row r="8496" spans="1:21" x14ac:dyDescent="0.2">
      <c r="A8496" s="3">
        <v>8495</v>
      </c>
      <c r="B8496" s="1" t="s">
        <v>4226</v>
      </c>
      <c r="D8496" s="1" t="s">
        <v>5412</v>
      </c>
      <c r="F8496" s="1" t="s">
        <v>5637</v>
      </c>
      <c r="H8496" s="1" t="s">
        <v>5640</v>
      </c>
      <c r="J8496" s="1" t="s">
        <v>1332</v>
      </c>
      <c r="K8496" s="1" t="s">
        <v>4094</v>
      </c>
      <c r="L8496" s="1" t="s">
        <v>1277</v>
      </c>
      <c r="M8496" s="1" t="s">
        <v>4104</v>
      </c>
      <c r="N8496" s="1" t="s">
        <v>1717</v>
      </c>
      <c r="O8496" s="1" t="s">
        <v>4115</v>
      </c>
      <c r="P8496" s="1" t="s">
        <v>13681</v>
      </c>
      <c r="Q8496" s="30" t="s">
        <v>2567</v>
      </c>
      <c r="R8496" s="33" t="s">
        <v>3472</v>
      </c>
      <c r="S8496">
        <v>37</v>
      </c>
      <c r="T8496" s="1" t="s">
        <v>14058</v>
      </c>
      <c r="U8496" s="1" t="str">
        <f>HYPERLINK("http://ictvonline.org/taxonomy/p/taxonomy-history?taxnode_id=202113896","ICTVonline=202113896")</f>
        <v>ICTVonline=202113896</v>
      </c>
    </row>
    <row r="8497" spans="1:21" x14ac:dyDescent="0.2">
      <c r="A8497" s="3">
        <v>8496</v>
      </c>
      <c r="B8497" s="1" t="s">
        <v>4226</v>
      </c>
      <c r="D8497" s="1" t="s">
        <v>5412</v>
      </c>
      <c r="F8497" s="1" t="s">
        <v>5637</v>
      </c>
      <c r="H8497" s="1" t="s">
        <v>5640</v>
      </c>
      <c r="J8497" s="1" t="s">
        <v>1332</v>
      </c>
      <c r="K8497" s="1" t="s">
        <v>4094</v>
      </c>
      <c r="L8497" s="1" t="s">
        <v>1277</v>
      </c>
      <c r="M8497" s="1" t="s">
        <v>4104</v>
      </c>
      <c r="N8497" s="1" t="s">
        <v>1717</v>
      </c>
      <c r="O8497" s="1" t="s">
        <v>4115</v>
      </c>
      <c r="P8497" s="1" t="s">
        <v>975</v>
      </c>
      <c r="Q8497" s="30" t="s">
        <v>2567</v>
      </c>
      <c r="R8497" s="33" t="s">
        <v>3474</v>
      </c>
      <c r="S8497">
        <v>35</v>
      </c>
      <c r="T8497" s="1" t="s">
        <v>5416</v>
      </c>
      <c r="U8497" s="1" t="str">
        <f>HYPERLINK("http://ictvonline.org/taxonomy/p/taxonomy-history?taxnode_id=202101857","ICTVonline=202101857")</f>
        <v>ICTVonline=202101857</v>
      </c>
    </row>
    <row r="8498" spans="1:21" x14ac:dyDescent="0.2">
      <c r="A8498" s="3">
        <v>8497</v>
      </c>
      <c r="B8498" s="1" t="s">
        <v>4226</v>
      </c>
      <c r="D8498" s="1" t="s">
        <v>5412</v>
      </c>
      <c r="F8498" s="1" t="s">
        <v>5637</v>
      </c>
      <c r="H8498" s="1" t="s">
        <v>5640</v>
      </c>
      <c r="J8498" s="1" t="s">
        <v>1332</v>
      </c>
      <c r="K8498" s="1" t="s">
        <v>4094</v>
      </c>
      <c r="L8498" s="1" t="s">
        <v>1277</v>
      </c>
      <c r="M8498" s="1" t="s">
        <v>4104</v>
      </c>
      <c r="N8498" s="1" t="s">
        <v>1717</v>
      </c>
      <c r="O8498" s="1" t="s">
        <v>4115</v>
      </c>
      <c r="P8498" s="1" t="s">
        <v>547</v>
      </c>
      <c r="Q8498" s="30" t="s">
        <v>2567</v>
      </c>
      <c r="R8498" s="33" t="s">
        <v>3474</v>
      </c>
      <c r="S8498">
        <v>35</v>
      </c>
      <c r="T8498" s="1" t="s">
        <v>5416</v>
      </c>
      <c r="U8498" s="1" t="str">
        <f>HYPERLINK("http://ictvonline.org/taxonomy/p/taxonomy-history?taxnode_id=202101859","ICTVonline=202101859")</f>
        <v>ICTVonline=202101859</v>
      </c>
    </row>
    <row r="8499" spans="1:21" x14ac:dyDescent="0.2">
      <c r="A8499" s="3">
        <v>8498</v>
      </c>
      <c r="B8499" s="1" t="s">
        <v>4226</v>
      </c>
      <c r="D8499" s="1" t="s">
        <v>5412</v>
      </c>
      <c r="F8499" s="1" t="s">
        <v>5637</v>
      </c>
      <c r="H8499" s="1" t="s">
        <v>5640</v>
      </c>
      <c r="J8499" s="1" t="s">
        <v>1332</v>
      </c>
      <c r="K8499" s="1" t="s">
        <v>4094</v>
      </c>
      <c r="L8499" s="1" t="s">
        <v>1277</v>
      </c>
      <c r="M8499" s="1" t="s">
        <v>4104</v>
      </c>
      <c r="N8499" s="1" t="s">
        <v>1717</v>
      </c>
      <c r="O8499" s="1" t="s">
        <v>4117</v>
      </c>
      <c r="P8499" s="1" t="s">
        <v>546</v>
      </c>
      <c r="Q8499" s="30" t="s">
        <v>2567</v>
      </c>
      <c r="R8499" s="33" t="s">
        <v>3474</v>
      </c>
      <c r="S8499">
        <v>35</v>
      </c>
      <c r="T8499" s="1" t="s">
        <v>5416</v>
      </c>
      <c r="U8499" s="1" t="str">
        <f>HYPERLINK("http://ictvonline.org/taxonomy/p/taxonomy-history?taxnode_id=202101858","ICTVonline=202101858")</f>
        <v>ICTVonline=202101858</v>
      </c>
    </row>
    <row r="8500" spans="1:21" x14ac:dyDescent="0.2">
      <c r="A8500" s="3">
        <v>8499</v>
      </c>
      <c r="B8500" s="1" t="s">
        <v>4226</v>
      </c>
      <c r="D8500" s="1" t="s">
        <v>5412</v>
      </c>
      <c r="F8500" s="1" t="s">
        <v>5637</v>
      </c>
      <c r="H8500" s="1" t="s">
        <v>5640</v>
      </c>
      <c r="J8500" s="1" t="s">
        <v>1332</v>
      </c>
      <c r="K8500" s="1" t="s">
        <v>4094</v>
      </c>
      <c r="L8500" s="1" t="s">
        <v>1277</v>
      </c>
      <c r="M8500" s="1" t="s">
        <v>4104</v>
      </c>
      <c r="N8500" s="1" t="s">
        <v>1717</v>
      </c>
      <c r="O8500" s="1" t="s">
        <v>4118</v>
      </c>
      <c r="P8500" s="1" t="s">
        <v>974</v>
      </c>
      <c r="Q8500" s="30" t="s">
        <v>2567</v>
      </c>
      <c r="R8500" s="33" t="s">
        <v>3474</v>
      </c>
      <c r="S8500">
        <v>35</v>
      </c>
      <c r="T8500" s="1" t="s">
        <v>5416</v>
      </c>
      <c r="U8500" s="1" t="str">
        <f>HYPERLINK("http://ictvonline.org/taxonomy/p/taxonomy-history?taxnode_id=202101853","ICTVonline=202101853")</f>
        <v>ICTVonline=202101853</v>
      </c>
    </row>
    <row r="8501" spans="1:21" x14ac:dyDescent="0.2">
      <c r="A8501" s="3">
        <v>8500</v>
      </c>
      <c r="B8501" s="1" t="s">
        <v>4226</v>
      </c>
      <c r="D8501" s="1" t="s">
        <v>5412</v>
      </c>
      <c r="F8501" s="1" t="s">
        <v>5637</v>
      </c>
      <c r="H8501" s="1" t="s">
        <v>5640</v>
      </c>
      <c r="J8501" s="1" t="s">
        <v>1332</v>
      </c>
      <c r="K8501" s="1" t="s">
        <v>4094</v>
      </c>
      <c r="L8501" s="1" t="s">
        <v>1277</v>
      </c>
      <c r="M8501" s="1" t="s">
        <v>4104</v>
      </c>
      <c r="N8501" s="1" t="s">
        <v>1717</v>
      </c>
      <c r="O8501" s="1" t="s">
        <v>4118</v>
      </c>
      <c r="P8501" s="1" t="s">
        <v>4119</v>
      </c>
      <c r="Q8501" s="30" t="s">
        <v>2567</v>
      </c>
      <c r="R8501" s="33" t="s">
        <v>3474</v>
      </c>
      <c r="S8501">
        <v>35</v>
      </c>
      <c r="T8501" s="1" t="s">
        <v>5416</v>
      </c>
      <c r="U8501" s="1" t="str">
        <f>HYPERLINK("http://ictvonline.org/taxonomy/p/taxonomy-history?taxnode_id=202106112","ICTVonline=202106112")</f>
        <v>ICTVonline=202106112</v>
      </c>
    </row>
    <row r="8502" spans="1:21" x14ac:dyDescent="0.2">
      <c r="A8502" s="3">
        <v>8501</v>
      </c>
      <c r="B8502" s="1" t="s">
        <v>4226</v>
      </c>
      <c r="D8502" s="1" t="s">
        <v>5412</v>
      </c>
      <c r="F8502" s="1" t="s">
        <v>5637</v>
      </c>
      <c r="H8502" s="1" t="s">
        <v>5640</v>
      </c>
      <c r="J8502" s="1" t="s">
        <v>1332</v>
      </c>
      <c r="K8502" s="1" t="s">
        <v>4094</v>
      </c>
      <c r="L8502" s="1" t="s">
        <v>1277</v>
      </c>
      <c r="M8502" s="1" t="s">
        <v>4104</v>
      </c>
      <c r="N8502" s="1" t="s">
        <v>1717</v>
      </c>
      <c r="O8502" s="1" t="s">
        <v>5660</v>
      </c>
      <c r="P8502" s="1" t="s">
        <v>5661</v>
      </c>
      <c r="Q8502" s="30" t="s">
        <v>2567</v>
      </c>
      <c r="R8502" s="33" t="s">
        <v>3472</v>
      </c>
      <c r="S8502">
        <v>35</v>
      </c>
      <c r="T8502" s="1" t="s">
        <v>5642</v>
      </c>
      <c r="U8502" s="1" t="str">
        <f>HYPERLINK("http://ictvonline.org/taxonomy/p/taxonomy-history?taxnode_id=202107494","ICTVonline=202107494")</f>
        <v>ICTVonline=202107494</v>
      </c>
    </row>
    <row r="8503" spans="1:21" x14ac:dyDescent="0.2">
      <c r="A8503" s="3">
        <v>8502</v>
      </c>
      <c r="B8503" s="1" t="s">
        <v>4226</v>
      </c>
      <c r="D8503" s="1" t="s">
        <v>5412</v>
      </c>
      <c r="F8503" s="1" t="s">
        <v>5637</v>
      </c>
      <c r="H8503" s="1" t="s">
        <v>5640</v>
      </c>
      <c r="J8503" s="1" t="s">
        <v>1332</v>
      </c>
      <c r="K8503" s="1" t="s">
        <v>4094</v>
      </c>
      <c r="L8503" s="1" t="s">
        <v>1277</v>
      </c>
      <c r="M8503" s="1" t="s">
        <v>4104</v>
      </c>
      <c r="N8503" s="1" t="s">
        <v>1717</v>
      </c>
      <c r="O8503" s="1" t="s">
        <v>5662</v>
      </c>
      <c r="P8503" s="1" t="s">
        <v>5663</v>
      </c>
      <c r="Q8503" s="30" t="s">
        <v>2567</v>
      </c>
      <c r="R8503" s="33" t="s">
        <v>3472</v>
      </c>
      <c r="S8503">
        <v>35</v>
      </c>
      <c r="T8503" s="1" t="s">
        <v>5642</v>
      </c>
      <c r="U8503" s="1" t="str">
        <f>HYPERLINK("http://ictvonline.org/taxonomy/p/taxonomy-history?taxnode_id=202107492","ICTVonline=202107492")</f>
        <v>ICTVonline=202107492</v>
      </c>
    </row>
    <row r="8504" spans="1:21" x14ac:dyDescent="0.2">
      <c r="A8504" s="3">
        <v>8503</v>
      </c>
      <c r="B8504" s="1" t="s">
        <v>4226</v>
      </c>
      <c r="D8504" s="1" t="s">
        <v>5412</v>
      </c>
      <c r="F8504" s="1" t="s">
        <v>5637</v>
      </c>
      <c r="H8504" s="1" t="s">
        <v>5640</v>
      </c>
      <c r="J8504" s="1" t="s">
        <v>1332</v>
      </c>
      <c r="K8504" s="1" t="s">
        <v>4094</v>
      </c>
      <c r="L8504" s="1" t="s">
        <v>1277</v>
      </c>
      <c r="M8504" s="1" t="s">
        <v>4104</v>
      </c>
      <c r="N8504" s="1" t="s">
        <v>1717</v>
      </c>
      <c r="O8504" s="1" t="s">
        <v>4121</v>
      </c>
      <c r="P8504" s="1" t="s">
        <v>1718</v>
      </c>
      <c r="Q8504" s="30" t="s">
        <v>2567</v>
      </c>
      <c r="R8504" s="33" t="s">
        <v>8665</v>
      </c>
      <c r="S8504">
        <v>36</v>
      </c>
      <c r="T8504" s="1" t="s">
        <v>8661</v>
      </c>
      <c r="U8504" s="1" t="str">
        <f>HYPERLINK("http://ictvonline.org/taxonomy/p/taxonomy-history?taxnode_id=202101849","ICTVonline=202101849")</f>
        <v>ICTVonline=202101849</v>
      </c>
    </row>
    <row r="8505" spans="1:21" x14ac:dyDescent="0.2">
      <c r="A8505" s="3">
        <v>8504</v>
      </c>
      <c r="B8505" s="1" t="s">
        <v>4226</v>
      </c>
      <c r="D8505" s="1" t="s">
        <v>5412</v>
      </c>
      <c r="F8505" s="1" t="s">
        <v>5637</v>
      </c>
      <c r="H8505" s="1" t="s">
        <v>5640</v>
      </c>
      <c r="J8505" s="1" t="s">
        <v>1332</v>
      </c>
      <c r="K8505" s="1" t="s">
        <v>4094</v>
      </c>
      <c r="L8505" s="1" t="s">
        <v>1277</v>
      </c>
      <c r="M8505" s="1" t="s">
        <v>4104</v>
      </c>
      <c r="N8505" s="1" t="s">
        <v>440</v>
      </c>
      <c r="O8505" s="1" t="s">
        <v>4127</v>
      </c>
      <c r="P8505" s="1" t="s">
        <v>442</v>
      </c>
      <c r="Q8505" s="30" t="s">
        <v>2567</v>
      </c>
      <c r="R8505" s="33" t="s">
        <v>3474</v>
      </c>
      <c r="S8505">
        <v>35</v>
      </c>
      <c r="T8505" s="1" t="s">
        <v>5416</v>
      </c>
      <c r="U8505" s="1" t="str">
        <f>HYPERLINK("http://ictvonline.org/taxonomy/p/taxonomy-history?taxnode_id=202101861","ICTVonline=202101861")</f>
        <v>ICTVonline=202101861</v>
      </c>
    </row>
    <row r="8506" spans="1:21" x14ac:dyDescent="0.2">
      <c r="A8506" s="3">
        <v>8505</v>
      </c>
      <c r="B8506" s="1" t="s">
        <v>4226</v>
      </c>
      <c r="D8506" s="1" t="s">
        <v>5412</v>
      </c>
      <c r="F8506" s="1" t="s">
        <v>5637</v>
      </c>
      <c r="H8506" s="1" t="s">
        <v>5640</v>
      </c>
      <c r="J8506" s="1" t="s">
        <v>1332</v>
      </c>
      <c r="K8506" s="1" t="s">
        <v>4094</v>
      </c>
      <c r="L8506" s="1" t="s">
        <v>1277</v>
      </c>
      <c r="M8506" s="1" t="s">
        <v>4104</v>
      </c>
      <c r="N8506" s="1" t="s">
        <v>440</v>
      </c>
      <c r="O8506" s="1" t="s">
        <v>4127</v>
      </c>
      <c r="P8506" s="1" t="s">
        <v>4128</v>
      </c>
      <c r="Q8506" s="30" t="s">
        <v>2567</v>
      </c>
      <c r="R8506" s="33" t="s">
        <v>3474</v>
      </c>
      <c r="S8506">
        <v>35</v>
      </c>
      <c r="T8506" s="1" t="s">
        <v>5416</v>
      </c>
      <c r="U8506" s="1" t="str">
        <f>HYPERLINK("http://ictvonline.org/taxonomy/p/taxonomy-history?taxnode_id=202106124","ICTVonline=202106124")</f>
        <v>ICTVonline=202106124</v>
      </c>
    </row>
    <row r="8507" spans="1:21" x14ac:dyDescent="0.2">
      <c r="A8507" s="3">
        <v>8506</v>
      </c>
      <c r="B8507" s="1" t="s">
        <v>4226</v>
      </c>
      <c r="D8507" s="1" t="s">
        <v>5412</v>
      </c>
      <c r="F8507" s="1" t="s">
        <v>5637</v>
      </c>
      <c r="H8507" s="1" t="s">
        <v>5640</v>
      </c>
      <c r="J8507" s="1" t="s">
        <v>1332</v>
      </c>
      <c r="K8507" s="1" t="s">
        <v>4094</v>
      </c>
      <c r="L8507" s="1" t="s">
        <v>1277</v>
      </c>
      <c r="M8507" s="1" t="s">
        <v>4104</v>
      </c>
      <c r="N8507" s="1" t="s">
        <v>440</v>
      </c>
      <c r="O8507" s="1" t="s">
        <v>4127</v>
      </c>
      <c r="P8507" s="1" t="s">
        <v>1291</v>
      </c>
      <c r="Q8507" s="30" t="s">
        <v>2567</v>
      </c>
      <c r="R8507" s="33" t="s">
        <v>3474</v>
      </c>
      <c r="S8507">
        <v>35</v>
      </c>
      <c r="T8507" s="1" t="s">
        <v>5416</v>
      </c>
      <c r="U8507" s="1" t="str">
        <f>HYPERLINK("http://ictvonline.org/taxonomy/p/taxonomy-history?taxnode_id=202101863","ICTVonline=202101863")</f>
        <v>ICTVonline=202101863</v>
      </c>
    </row>
    <row r="8508" spans="1:21" x14ac:dyDescent="0.2">
      <c r="A8508" s="3">
        <v>8507</v>
      </c>
      <c r="B8508" s="1" t="s">
        <v>4226</v>
      </c>
      <c r="D8508" s="1" t="s">
        <v>5412</v>
      </c>
      <c r="F8508" s="1" t="s">
        <v>5637</v>
      </c>
      <c r="H8508" s="1" t="s">
        <v>5640</v>
      </c>
      <c r="J8508" s="1" t="s">
        <v>1332</v>
      </c>
      <c r="K8508" s="1" t="s">
        <v>4094</v>
      </c>
      <c r="L8508" s="1" t="s">
        <v>1277</v>
      </c>
      <c r="M8508" s="1" t="s">
        <v>4104</v>
      </c>
      <c r="N8508" s="1" t="s">
        <v>440</v>
      </c>
      <c r="O8508" s="1" t="s">
        <v>4127</v>
      </c>
      <c r="P8508" s="1" t="s">
        <v>441</v>
      </c>
      <c r="Q8508" s="30" t="s">
        <v>2567</v>
      </c>
      <c r="R8508" s="33" t="s">
        <v>8665</v>
      </c>
      <c r="S8508">
        <v>36</v>
      </c>
      <c r="T8508" s="1" t="s">
        <v>8661</v>
      </c>
      <c r="U8508" s="1" t="str">
        <f>HYPERLINK("http://ictvonline.org/taxonomy/p/taxonomy-history?taxnode_id=202101865","ICTVonline=202101865")</f>
        <v>ICTVonline=202101865</v>
      </c>
    </row>
    <row r="8509" spans="1:21" x14ac:dyDescent="0.2">
      <c r="A8509" s="3">
        <v>8508</v>
      </c>
      <c r="B8509" s="1" t="s">
        <v>4226</v>
      </c>
      <c r="D8509" s="1" t="s">
        <v>5412</v>
      </c>
      <c r="F8509" s="1" t="s">
        <v>5637</v>
      </c>
      <c r="H8509" s="1" t="s">
        <v>5640</v>
      </c>
      <c r="J8509" s="1" t="s">
        <v>1332</v>
      </c>
      <c r="K8509" s="1" t="s">
        <v>4094</v>
      </c>
      <c r="L8509" s="1" t="s">
        <v>1277</v>
      </c>
      <c r="M8509" s="1" t="s">
        <v>4104</v>
      </c>
      <c r="N8509" s="1" t="s">
        <v>440</v>
      </c>
      <c r="O8509" s="1" t="s">
        <v>4127</v>
      </c>
      <c r="P8509" s="1" t="s">
        <v>5664</v>
      </c>
      <c r="Q8509" s="30" t="s">
        <v>2567</v>
      </c>
      <c r="R8509" s="33" t="s">
        <v>3472</v>
      </c>
      <c r="S8509">
        <v>35</v>
      </c>
      <c r="T8509" s="1" t="s">
        <v>5642</v>
      </c>
      <c r="U8509" s="1" t="str">
        <f>HYPERLINK("http://ictvonline.org/taxonomy/p/taxonomy-history?taxnode_id=202107496","ICTVonline=202107496")</f>
        <v>ICTVonline=202107496</v>
      </c>
    </row>
    <row r="8510" spans="1:21" x14ac:dyDescent="0.2">
      <c r="A8510" s="3">
        <v>8509</v>
      </c>
      <c r="B8510" s="1" t="s">
        <v>4226</v>
      </c>
      <c r="D8510" s="1" t="s">
        <v>5412</v>
      </c>
      <c r="F8510" s="1" t="s">
        <v>5637</v>
      </c>
      <c r="H8510" s="1" t="s">
        <v>5640</v>
      </c>
      <c r="J8510" s="1" t="s">
        <v>1332</v>
      </c>
      <c r="K8510" s="1" t="s">
        <v>4094</v>
      </c>
      <c r="L8510" s="1" t="s">
        <v>1277</v>
      </c>
      <c r="M8510" s="1" t="s">
        <v>4104</v>
      </c>
      <c r="N8510" s="1" t="s">
        <v>440</v>
      </c>
      <c r="O8510" s="1" t="s">
        <v>4122</v>
      </c>
      <c r="P8510" s="1" t="s">
        <v>4123</v>
      </c>
      <c r="Q8510" s="30" t="s">
        <v>2567</v>
      </c>
      <c r="R8510" s="33" t="s">
        <v>3474</v>
      </c>
      <c r="S8510">
        <v>35</v>
      </c>
      <c r="T8510" s="1" t="s">
        <v>5416</v>
      </c>
      <c r="U8510" s="1" t="str">
        <f>HYPERLINK("http://ictvonline.org/taxonomy/p/taxonomy-history?taxnode_id=202106131","ICTVonline=202106131")</f>
        <v>ICTVonline=202106131</v>
      </c>
    </row>
    <row r="8511" spans="1:21" x14ac:dyDescent="0.2">
      <c r="A8511" s="3">
        <v>8510</v>
      </c>
      <c r="B8511" s="1" t="s">
        <v>4226</v>
      </c>
      <c r="D8511" s="1" t="s">
        <v>5412</v>
      </c>
      <c r="F8511" s="1" t="s">
        <v>5637</v>
      </c>
      <c r="H8511" s="1" t="s">
        <v>5640</v>
      </c>
      <c r="J8511" s="1" t="s">
        <v>1332</v>
      </c>
      <c r="K8511" s="1" t="s">
        <v>4094</v>
      </c>
      <c r="L8511" s="1" t="s">
        <v>1277</v>
      </c>
      <c r="M8511" s="1" t="s">
        <v>4104</v>
      </c>
      <c r="N8511" s="1" t="s">
        <v>440</v>
      </c>
      <c r="O8511" s="1" t="s">
        <v>4130</v>
      </c>
      <c r="P8511" s="1" t="s">
        <v>2765</v>
      </c>
      <c r="Q8511" s="30" t="s">
        <v>2567</v>
      </c>
      <c r="R8511" s="33" t="s">
        <v>3474</v>
      </c>
      <c r="S8511">
        <v>35</v>
      </c>
      <c r="T8511" s="1" t="s">
        <v>5416</v>
      </c>
      <c r="U8511" s="1" t="str">
        <f>HYPERLINK("http://ictvonline.org/taxonomy/p/taxonomy-history?taxnode_id=202101862","ICTVonline=202101862")</f>
        <v>ICTVonline=202101862</v>
      </c>
    </row>
    <row r="8512" spans="1:21" x14ac:dyDescent="0.2">
      <c r="A8512" s="3">
        <v>8511</v>
      </c>
      <c r="B8512" s="1" t="s">
        <v>4226</v>
      </c>
      <c r="D8512" s="1" t="s">
        <v>5412</v>
      </c>
      <c r="F8512" s="1" t="s">
        <v>5637</v>
      </c>
      <c r="H8512" s="1" t="s">
        <v>5640</v>
      </c>
      <c r="J8512" s="1" t="s">
        <v>1332</v>
      </c>
      <c r="K8512" s="1" t="s">
        <v>4094</v>
      </c>
      <c r="L8512" s="1" t="s">
        <v>1277</v>
      </c>
      <c r="M8512" s="1" t="s">
        <v>4104</v>
      </c>
      <c r="N8512" s="1" t="s">
        <v>440</v>
      </c>
      <c r="O8512" s="1" t="s">
        <v>4130</v>
      </c>
      <c r="P8512" s="1" t="s">
        <v>2766</v>
      </c>
      <c r="Q8512" s="30" t="s">
        <v>2567</v>
      </c>
      <c r="R8512" s="33" t="s">
        <v>3474</v>
      </c>
      <c r="S8512">
        <v>35</v>
      </c>
      <c r="T8512" s="1" t="s">
        <v>5416</v>
      </c>
      <c r="U8512" s="1" t="str">
        <f>HYPERLINK("http://ictvonline.org/taxonomy/p/taxonomy-history?taxnode_id=202101864","ICTVonline=202101864")</f>
        <v>ICTVonline=202101864</v>
      </c>
    </row>
    <row r="8513" spans="1:21" x14ac:dyDescent="0.2">
      <c r="A8513" s="3">
        <v>8512</v>
      </c>
      <c r="B8513" s="1" t="s">
        <v>4226</v>
      </c>
      <c r="D8513" s="1" t="s">
        <v>5412</v>
      </c>
      <c r="F8513" s="1" t="s">
        <v>5637</v>
      </c>
      <c r="H8513" s="1" t="s">
        <v>5640</v>
      </c>
      <c r="J8513" s="1" t="s">
        <v>1332</v>
      </c>
      <c r="K8513" s="1" t="s">
        <v>4094</v>
      </c>
      <c r="L8513" s="1" t="s">
        <v>1277</v>
      </c>
      <c r="M8513" s="1" t="s">
        <v>4104</v>
      </c>
      <c r="N8513" s="1" t="s">
        <v>440</v>
      </c>
      <c r="O8513" s="1" t="s">
        <v>4130</v>
      </c>
      <c r="P8513" s="1" t="s">
        <v>548</v>
      </c>
      <c r="Q8513" s="30" t="s">
        <v>2567</v>
      </c>
      <c r="R8513" s="33" t="s">
        <v>3474</v>
      </c>
      <c r="S8513">
        <v>35</v>
      </c>
      <c r="T8513" s="1" t="s">
        <v>5416</v>
      </c>
      <c r="U8513" s="1" t="str">
        <f>HYPERLINK("http://ictvonline.org/taxonomy/p/taxonomy-history?taxnode_id=202101866","ICTVonline=202101866")</f>
        <v>ICTVonline=202101866</v>
      </c>
    </row>
    <row r="8514" spans="1:21" x14ac:dyDescent="0.2">
      <c r="A8514" s="3">
        <v>8513</v>
      </c>
      <c r="B8514" s="1" t="s">
        <v>4226</v>
      </c>
      <c r="D8514" s="1" t="s">
        <v>5412</v>
      </c>
      <c r="F8514" s="1" t="s">
        <v>5637</v>
      </c>
      <c r="H8514" s="1" t="s">
        <v>5640</v>
      </c>
      <c r="J8514" s="1" t="s">
        <v>1332</v>
      </c>
      <c r="K8514" s="1" t="s">
        <v>4094</v>
      </c>
      <c r="L8514" s="1" t="s">
        <v>1277</v>
      </c>
      <c r="M8514" s="1" t="s">
        <v>4104</v>
      </c>
      <c r="N8514" s="1" t="s">
        <v>440</v>
      </c>
      <c r="O8514" s="1" t="s">
        <v>4130</v>
      </c>
      <c r="P8514" s="1" t="s">
        <v>550</v>
      </c>
      <c r="Q8514" s="30" t="s">
        <v>2567</v>
      </c>
      <c r="R8514" s="33" t="s">
        <v>3474</v>
      </c>
      <c r="S8514">
        <v>35</v>
      </c>
      <c r="T8514" s="1" t="s">
        <v>5416</v>
      </c>
      <c r="U8514" s="1" t="str">
        <f>HYPERLINK("http://ictvonline.org/taxonomy/p/taxonomy-history?taxnode_id=202101869","ICTVonline=202101869")</f>
        <v>ICTVonline=202101869</v>
      </c>
    </row>
    <row r="8515" spans="1:21" x14ac:dyDescent="0.2">
      <c r="A8515" s="3">
        <v>8514</v>
      </c>
      <c r="B8515" s="1" t="s">
        <v>4226</v>
      </c>
      <c r="D8515" s="1" t="s">
        <v>5412</v>
      </c>
      <c r="F8515" s="1" t="s">
        <v>5637</v>
      </c>
      <c r="H8515" s="1" t="s">
        <v>5640</v>
      </c>
      <c r="J8515" s="1" t="s">
        <v>1332</v>
      </c>
      <c r="K8515" s="1" t="s">
        <v>4094</v>
      </c>
      <c r="L8515" s="1" t="s">
        <v>1277</v>
      </c>
      <c r="M8515" s="1" t="s">
        <v>4104</v>
      </c>
      <c r="N8515" s="1" t="s">
        <v>440</v>
      </c>
      <c r="O8515" s="1" t="s">
        <v>4124</v>
      </c>
      <c r="P8515" s="1" t="s">
        <v>5665</v>
      </c>
      <c r="Q8515" s="30" t="s">
        <v>2567</v>
      </c>
      <c r="R8515" s="33" t="s">
        <v>3472</v>
      </c>
      <c r="S8515">
        <v>35</v>
      </c>
      <c r="T8515" s="1" t="s">
        <v>5642</v>
      </c>
      <c r="U8515" s="1" t="str">
        <f>HYPERLINK("http://ictvonline.org/taxonomy/p/taxonomy-history?taxnode_id=202107495","ICTVonline=202107495")</f>
        <v>ICTVonline=202107495</v>
      </c>
    </row>
    <row r="8516" spans="1:21" x14ac:dyDescent="0.2">
      <c r="A8516" s="3">
        <v>8515</v>
      </c>
      <c r="B8516" s="1" t="s">
        <v>4226</v>
      </c>
      <c r="D8516" s="1" t="s">
        <v>5412</v>
      </c>
      <c r="F8516" s="1" t="s">
        <v>5637</v>
      </c>
      <c r="H8516" s="1" t="s">
        <v>5640</v>
      </c>
      <c r="J8516" s="1" t="s">
        <v>1332</v>
      </c>
      <c r="K8516" s="1" t="s">
        <v>4094</v>
      </c>
      <c r="L8516" s="1" t="s">
        <v>1277</v>
      </c>
      <c r="M8516" s="1" t="s">
        <v>4104</v>
      </c>
      <c r="N8516" s="1" t="s">
        <v>440</v>
      </c>
      <c r="O8516" s="1" t="s">
        <v>4124</v>
      </c>
      <c r="P8516" s="1" t="s">
        <v>4125</v>
      </c>
      <c r="Q8516" s="30" t="s">
        <v>2567</v>
      </c>
      <c r="R8516" s="33" t="s">
        <v>3474</v>
      </c>
      <c r="S8516">
        <v>35</v>
      </c>
      <c r="T8516" s="1" t="s">
        <v>5416</v>
      </c>
      <c r="U8516" s="1" t="str">
        <f>HYPERLINK("http://ictvonline.org/taxonomy/p/taxonomy-history?taxnode_id=202106128","ICTVonline=202106128")</f>
        <v>ICTVonline=202106128</v>
      </c>
    </row>
    <row r="8517" spans="1:21" x14ac:dyDescent="0.2">
      <c r="A8517" s="3">
        <v>8516</v>
      </c>
      <c r="B8517" s="1" t="s">
        <v>4226</v>
      </c>
      <c r="D8517" s="1" t="s">
        <v>5412</v>
      </c>
      <c r="F8517" s="1" t="s">
        <v>5637</v>
      </c>
      <c r="H8517" s="1" t="s">
        <v>5640</v>
      </c>
      <c r="J8517" s="1" t="s">
        <v>1332</v>
      </c>
      <c r="K8517" s="1" t="s">
        <v>4094</v>
      </c>
      <c r="L8517" s="1" t="s">
        <v>1277</v>
      </c>
      <c r="M8517" s="1" t="s">
        <v>4104</v>
      </c>
      <c r="N8517" s="1" t="s">
        <v>440</v>
      </c>
      <c r="O8517" s="1" t="s">
        <v>4124</v>
      </c>
      <c r="P8517" s="1" t="s">
        <v>549</v>
      </c>
      <c r="Q8517" s="30" t="s">
        <v>2567</v>
      </c>
      <c r="R8517" s="33" t="s">
        <v>3474</v>
      </c>
      <c r="S8517">
        <v>35</v>
      </c>
      <c r="T8517" s="1" t="s">
        <v>5416</v>
      </c>
      <c r="U8517" s="1" t="str">
        <f>HYPERLINK("http://ictvonline.org/taxonomy/p/taxonomy-history?taxnode_id=202101867","ICTVonline=202101867")</f>
        <v>ICTVonline=202101867</v>
      </c>
    </row>
    <row r="8518" spans="1:21" x14ac:dyDescent="0.2">
      <c r="A8518" s="3">
        <v>8517</v>
      </c>
      <c r="B8518" s="1" t="s">
        <v>4226</v>
      </c>
      <c r="D8518" s="1" t="s">
        <v>5412</v>
      </c>
      <c r="F8518" s="1" t="s">
        <v>5637</v>
      </c>
      <c r="H8518" s="1" t="s">
        <v>5640</v>
      </c>
      <c r="J8518" s="1" t="s">
        <v>1332</v>
      </c>
      <c r="K8518" s="1" t="s">
        <v>4094</v>
      </c>
      <c r="L8518" s="1" t="s">
        <v>1277</v>
      </c>
      <c r="M8518" s="1" t="s">
        <v>4104</v>
      </c>
      <c r="N8518" s="1" t="s">
        <v>440</v>
      </c>
      <c r="O8518" s="1" t="s">
        <v>4126</v>
      </c>
      <c r="P8518" s="1" t="s">
        <v>1263</v>
      </c>
      <c r="Q8518" s="30" t="s">
        <v>2567</v>
      </c>
      <c r="R8518" s="33" t="s">
        <v>3474</v>
      </c>
      <c r="S8518">
        <v>35</v>
      </c>
      <c r="T8518" s="1" t="s">
        <v>5416</v>
      </c>
      <c r="U8518" s="1" t="str">
        <f>HYPERLINK("http://ictvonline.org/taxonomy/p/taxonomy-history?taxnode_id=202101868","ICTVonline=202101868")</f>
        <v>ICTVonline=202101868</v>
      </c>
    </row>
    <row r="8519" spans="1:21" x14ac:dyDescent="0.2">
      <c r="A8519" s="3">
        <v>8518</v>
      </c>
      <c r="B8519" s="1" t="s">
        <v>4226</v>
      </c>
      <c r="D8519" s="1" t="s">
        <v>5412</v>
      </c>
      <c r="F8519" s="1" t="s">
        <v>5637</v>
      </c>
      <c r="H8519" s="1" t="s">
        <v>5640</v>
      </c>
      <c r="J8519" s="1" t="s">
        <v>1332</v>
      </c>
      <c r="K8519" s="1" t="s">
        <v>4094</v>
      </c>
      <c r="L8519" s="1" t="s">
        <v>1277</v>
      </c>
      <c r="M8519" s="1" t="s">
        <v>4104</v>
      </c>
      <c r="N8519" s="1" t="s">
        <v>0</v>
      </c>
      <c r="O8519" s="1" t="s">
        <v>4133</v>
      </c>
      <c r="P8519" s="1" t="s">
        <v>2771</v>
      </c>
      <c r="Q8519" s="30" t="s">
        <v>2567</v>
      </c>
      <c r="R8519" s="33" t="s">
        <v>3474</v>
      </c>
      <c r="S8519">
        <v>35</v>
      </c>
      <c r="T8519" s="1" t="s">
        <v>5416</v>
      </c>
      <c r="U8519" s="1" t="str">
        <f>HYPERLINK("http://ictvonline.org/taxonomy/p/taxonomy-history?taxnode_id=202101878","ICTVonline=202101878")</f>
        <v>ICTVonline=202101878</v>
      </c>
    </row>
    <row r="8520" spans="1:21" x14ac:dyDescent="0.2">
      <c r="A8520" s="3">
        <v>8519</v>
      </c>
      <c r="B8520" s="1" t="s">
        <v>4226</v>
      </c>
      <c r="D8520" s="1" t="s">
        <v>5412</v>
      </c>
      <c r="F8520" s="1" t="s">
        <v>5637</v>
      </c>
      <c r="H8520" s="1" t="s">
        <v>5640</v>
      </c>
      <c r="J8520" s="1" t="s">
        <v>1332</v>
      </c>
      <c r="K8520" s="1" t="s">
        <v>4094</v>
      </c>
      <c r="L8520" s="1" t="s">
        <v>1277</v>
      </c>
      <c r="M8520" s="1" t="s">
        <v>4104</v>
      </c>
      <c r="N8520" s="1" t="s">
        <v>0</v>
      </c>
      <c r="O8520" s="1" t="s">
        <v>4129</v>
      </c>
      <c r="P8520" s="1" t="s">
        <v>1</v>
      </c>
      <c r="Q8520" s="30" t="s">
        <v>2567</v>
      </c>
      <c r="R8520" s="33" t="s">
        <v>8665</v>
      </c>
      <c r="S8520">
        <v>36</v>
      </c>
      <c r="T8520" s="1" t="s">
        <v>8661</v>
      </c>
      <c r="U8520" s="1" t="str">
        <f>HYPERLINK("http://ictvonline.org/taxonomy/p/taxonomy-history?taxnode_id=202101871","ICTVonline=202101871")</f>
        <v>ICTVonline=202101871</v>
      </c>
    </row>
    <row r="8521" spans="1:21" x14ac:dyDescent="0.2">
      <c r="A8521" s="3">
        <v>8520</v>
      </c>
      <c r="B8521" s="1" t="s">
        <v>4226</v>
      </c>
      <c r="D8521" s="1" t="s">
        <v>5412</v>
      </c>
      <c r="F8521" s="1" t="s">
        <v>5637</v>
      </c>
      <c r="H8521" s="1" t="s">
        <v>5640</v>
      </c>
      <c r="J8521" s="1" t="s">
        <v>1332</v>
      </c>
      <c r="K8521" s="1" t="s">
        <v>4094</v>
      </c>
      <c r="L8521" s="1" t="s">
        <v>1277</v>
      </c>
      <c r="M8521" s="1" t="s">
        <v>4104</v>
      </c>
      <c r="N8521" s="1" t="s">
        <v>0</v>
      </c>
      <c r="O8521" s="1" t="s">
        <v>4129</v>
      </c>
      <c r="P8521" s="1" t="s">
        <v>2767</v>
      </c>
      <c r="Q8521" s="30" t="s">
        <v>2567</v>
      </c>
      <c r="R8521" s="33" t="s">
        <v>3474</v>
      </c>
      <c r="S8521">
        <v>35</v>
      </c>
      <c r="T8521" s="1" t="s">
        <v>5642</v>
      </c>
      <c r="U8521" s="1" t="str">
        <f>HYPERLINK("http://ictvonline.org/taxonomy/p/taxonomy-history?taxnode_id=202101872","ICTVonline=202101872")</f>
        <v>ICTVonline=202101872</v>
      </c>
    </row>
    <row r="8522" spans="1:21" x14ac:dyDescent="0.2">
      <c r="A8522" s="3">
        <v>8521</v>
      </c>
      <c r="B8522" s="1" t="s">
        <v>4226</v>
      </c>
      <c r="D8522" s="1" t="s">
        <v>5412</v>
      </c>
      <c r="F8522" s="1" t="s">
        <v>5637</v>
      </c>
      <c r="H8522" s="1" t="s">
        <v>5640</v>
      </c>
      <c r="J8522" s="1" t="s">
        <v>1332</v>
      </c>
      <c r="K8522" s="1" t="s">
        <v>4094</v>
      </c>
      <c r="L8522" s="1" t="s">
        <v>1277</v>
      </c>
      <c r="M8522" s="1" t="s">
        <v>4104</v>
      </c>
      <c r="N8522" s="1" t="s">
        <v>0</v>
      </c>
      <c r="O8522" s="1" t="s">
        <v>4129</v>
      </c>
      <c r="P8522" s="1" t="s">
        <v>2768</v>
      </c>
      <c r="Q8522" s="30" t="s">
        <v>2567</v>
      </c>
      <c r="R8522" s="33" t="s">
        <v>3474</v>
      </c>
      <c r="S8522">
        <v>35</v>
      </c>
      <c r="T8522" s="1" t="s">
        <v>5416</v>
      </c>
      <c r="U8522" s="1" t="str">
        <f>HYPERLINK("http://ictvonline.org/taxonomy/p/taxonomy-history?taxnode_id=202101873","ICTVonline=202101873")</f>
        <v>ICTVonline=202101873</v>
      </c>
    </row>
    <row r="8523" spans="1:21" x14ac:dyDescent="0.2">
      <c r="A8523" s="3">
        <v>8522</v>
      </c>
      <c r="B8523" s="1" t="s">
        <v>4226</v>
      </c>
      <c r="D8523" s="1" t="s">
        <v>5412</v>
      </c>
      <c r="F8523" s="1" t="s">
        <v>5637</v>
      </c>
      <c r="H8523" s="1" t="s">
        <v>5640</v>
      </c>
      <c r="J8523" s="1" t="s">
        <v>1332</v>
      </c>
      <c r="K8523" s="1" t="s">
        <v>4094</v>
      </c>
      <c r="L8523" s="1" t="s">
        <v>1277</v>
      </c>
      <c r="M8523" s="1" t="s">
        <v>4104</v>
      </c>
      <c r="N8523" s="1" t="s">
        <v>0</v>
      </c>
      <c r="O8523" s="1" t="s">
        <v>4129</v>
      </c>
      <c r="P8523" s="1" t="s">
        <v>539</v>
      </c>
      <c r="Q8523" s="30" t="s">
        <v>2567</v>
      </c>
      <c r="R8523" s="33" t="s">
        <v>3474</v>
      </c>
      <c r="S8523">
        <v>35</v>
      </c>
      <c r="T8523" s="1" t="s">
        <v>5416</v>
      </c>
      <c r="U8523" s="1" t="str">
        <f>HYPERLINK("http://ictvonline.org/taxonomy/p/taxonomy-history?taxnode_id=202101874","ICTVonline=202101874")</f>
        <v>ICTVonline=202101874</v>
      </c>
    </row>
    <row r="8524" spans="1:21" x14ac:dyDescent="0.2">
      <c r="A8524" s="3">
        <v>8523</v>
      </c>
      <c r="B8524" s="1" t="s">
        <v>4226</v>
      </c>
      <c r="D8524" s="1" t="s">
        <v>5412</v>
      </c>
      <c r="F8524" s="1" t="s">
        <v>5637</v>
      </c>
      <c r="H8524" s="1" t="s">
        <v>5640</v>
      </c>
      <c r="J8524" s="1" t="s">
        <v>1332</v>
      </c>
      <c r="K8524" s="1" t="s">
        <v>4094</v>
      </c>
      <c r="L8524" s="1" t="s">
        <v>1277</v>
      </c>
      <c r="M8524" s="1" t="s">
        <v>4104</v>
      </c>
      <c r="N8524" s="1" t="s">
        <v>0</v>
      </c>
      <c r="O8524" s="1" t="s">
        <v>4129</v>
      </c>
      <c r="P8524" s="1" t="s">
        <v>2770</v>
      </c>
      <c r="Q8524" s="30" t="s">
        <v>2567</v>
      </c>
      <c r="R8524" s="33" t="s">
        <v>3474</v>
      </c>
      <c r="S8524">
        <v>35</v>
      </c>
      <c r="T8524" s="1" t="s">
        <v>5416</v>
      </c>
      <c r="U8524" s="1" t="str">
        <f>HYPERLINK("http://ictvonline.org/taxonomy/p/taxonomy-history?taxnode_id=202101877","ICTVonline=202101877")</f>
        <v>ICTVonline=202101877</v>
      </c>
    </row>
    <row r="8525" spans="1:21" x14ac:dyDescent="0.2">
      <c r="A8525" s="3">
        <v>8524</v>
      </c>
      <c r="B8525" s="1" t="s">
        <v>4226</v>
      </c>
      <c r="D8525" s="1" t="s">
        <v>5412</v>
      </c>
      <c r="F8525" s="1" t="s">
        <v>5637</v>
      </c>
      <c r="H8525" s="1" t="s">
        <v>5640</v>
      </c>
      <c r="J8525" s="1" t="s">
        <v>1332</v>
      </c>
      <c r="K8525" s="1" t="s">
        <v>4094</v>
      </c>
      <c r="L8525" s="1" t="s">
        <v>1277</v>
      </c>
      <c r="M8525" s="1" t="s">
        <v>4104</v>
      </c>
      <c r="N8525" s="1" t="s">
        <v>0</v>
      </c>
      <c r="O8525" s="1" t="s">
        <v>4131</v>
      </c>
      <c r="P8525" s="1" t="s">
        <v>2769</v>
      </c>
      <c r="Q8525" s="30" t="s">
        <v>2567</v>
      </c>
      <c r="R8525" s="33" t="s">
        <v>3474</v>
      </c>
      <c r="S8525">
        <v>35</v>
      </c>
      <c r="T8525" s="1" t="s">
        <v>5416</v>
      </c>
      <c r="U8525" s="1" t="str">
        <f>HYPERLINK("http://ictvonline.org/taxonomy/p/taxonomy-history?taxnode_id=202101875","ICTVonline=202101875")</f>
        <v>ICTVonline=202101875</v>
      </c>
    </row>
    <row r="8526" spans="1:21" x14ac:dyDescent="0.2">
      <c r="A8526" s="3">
        <v>8525</v>
      </c>
      <c r="B8526" s="1" t="s">
        <v>4226</v>
      </c>
      <c r="D8526" s="1" t="s">
        <v>5412</v>
      </c>
      <c r="F8526" s="1" t="s">
        <v>5637</v>
      </c>
      <c r="H8526" s="1" t="s">
        <v>5640</v>
      </c>
      <c r="J8526" s="1" t="s">
        <v>1332</v>
      </c>
      <c r="K8526" s="1" t="s">
        <v>4094</v>
      </c>
      <c r="L8526" s="1" t="s">
        <v>1277</v>
      </c>
      <c r="M8526" s="1" t="s">
        <v>4104</v>
      </c>
      <c r="N8526" s="1" t="s">
        <v>411</v>
      </c>
      <c r="O8526" s="1" t="s">
        <v>5666</v>
      </c>
      <c r="P8526" s="1" t="s">
        <v>5667</v>
      </c>
      <c r="Q8526" s="30" t="s">
        <v>2567</v>
      </c>
      <c r="R8526" s="33" t="s">
        <v>3472</v>
      </c>
      <c r="S8526">
        <v>35</v>
      </c>
      <c r="T8526" s="1" t="s">
        <v>5642</v>
      </c>
      <c r="U8526" s="1" t="str">
        <f>HYPERLINK("http://ictvonline.org/taxonomy/p/taxonomy-history?taxnode_id=202107498","ICTVonline=202107498")</f>
        <v>ICTVonline=202107498</v>
      </c>
    </row>
    <row r="8527" spans="1:21" x14ac:dyDescent="0.2">
      <c r="A8527" s="3">
        <v>8526</v>
      </c>
      <c r="B8527" s="1" t="s">
        <v>4226</v>
      </c>
      <c r="D8527" s="1" t="s">
        <v>5412</v>
      </c>
      <c r="F8527" s="1" t="s">
        <v>5637</v>
      </c>
      <c r="H8527" s="1" t="s">
        <v>5640</v>
      </c>
      <c r="J8527" s="1" t="s">
        <v>1332</v>
      </c>
      <c r="K8527" s="1" t="s">
        <v>4094</v>
      </c>
      <c r="L8527" s="1" t="s">
        <v>1277</v>
      </c>
      <c r="M8527" s="1" t="s">
        <v>4104</v>
      </c>
      <c r="N8527" s="1" t="s">
        <v>411</v>
      </c>
      <c r="O8527" s="1" t="s">
        <v>4143</v>
      </c>
      <c r="P8527" s="1" t="s">
        <v>413</v>
      </c>
      <c r="Q8527" s="30" t="s">
        <v>2567</v>
      </c>
      <c r="R8527" s="33" t="s">
        <v>3474</v>
      </c>
      <c r="S8527">
        <v>35</v>
      </c>
      <c r="T8527" s="1" t="s">
        <v>5416</v>
      </c>
      <c r="U8527" s="1" t="str">
        <f>HYPERLINK("http://ictvonline.org/taxonomy/p/taxonomy-history?taxnode_id=202101881","ICTVonline=202101881")</f>
        <v>ICTVonline=202101881</v>
      </c>
    </row>
    <row r="8528" spans="1:21" x14ac:dyDescent="0.2">
      <c r="A8528" s="3">
        <v>8527</v>
      </c>
      <c r="B8528" s="1" t="s">
        <v>4226</v>
      </c>
      <c r="D8528" s="1" t="s">
        <v>5412</v>
      </c>
      <c r="F8528" s="1" t="s">
        <v>5637</v>
      </c>
      <c r="H8528" s="1" t="s">
        <v>5640</v>
      </c>
      <c r="J8528" s="1" t="s">
        <v>1332</v>
      </c>
      <c r="K8528" s="1" t="s">
        <v>4094</v>
      </c>
      <c r="L8528" s="1" t="s">
        <v>1277</v>
      </c>
      <c r="M8528" s="1" t="s">
        <v>4104</v>
      </c>
      <c r="N8528" s="1" t="s">
        <v>411</v>
      </c>
      <c r="O8528" s="1" t="s">
        <v>4132</v>
      </c>
      <c r="P8528" s="1" t="s">
        <v>412</v>
      </c>
      <c r="Q8528" s="30" t="s">
        <v>2567</v>
      </c>
      <c r="R8528" s="33" t="s">
        <v>8665</v>
      </c>
      <c r="S8528">
        <v>36</v>
      </c>
      <c r="T8528" s="1" t="s">
        <v>8661</v>
      </c>
      <c r="U8528" s="1" t="str">
        <f>HYPERLINK("http://ictvonline.org/taxonomy/p/taxonomy-history?taxnode_id=202101880","ICTVonline=202101880")</f>
        <v>ICTVonline=202101880</v>
      </c>
    </row>
    <row r="8529" spans="1:21" x14ac:dyDescent="0.2">
      <c r="A8529" s="3">
        <v>8528</v>
      </c>
      <c r="B8529" s="1" t="s">
        <v>4226</v>
      </c>
      <c r="D8529" s="1" t="s">
        <v>5412</v>
      </c>
      <c r="F8529" s="1" t="s">
        <v>5637</v>
      </c>
      <c r="H8529" s="1" t="s">
        <v>5640</v>
      </c>
      <c r="J8529" s="1" t="s">
        <v>1332</v>
      </c>
      <c r="K8529" s="1" t="s">
        <v>4094</v>
      </c>
      <c r="L8529" s="1" t="s">
        <v>1277</v>
      </c>
      <c r="M8529" s="1" t="s">
        <v>4104</v>
      </c>
      <c r="N8529" s="1" t="s">
        <v>411</v>
      </c>
      <c r="O8529" s="1" t="s">
        <v>4132</v>
      </c>
      <c r="P8529" s="1" t="s">
        <v>5668</v>
      </c>
      <c r="Q8529" s="30" t="s">
        <v>2567</v>
      </c>
      <c r="R8529" s="33" t="s">
        <v>3472</v>
      </c>
      <c r="S8529">
        <v>35</v>
      </c>
      <c r="T8529" s="1" t="s">
        <v>5642</v>
      </c>
      <c r="U8529" s="1" t="str">
        <f>HYPERLINK("http://ictvonline.org/taxonomy/p/taxonomy-history?taxnode_id=202107500","ICTVonline=202107500")</f>
        <v>ICTVonline=202107500</v>
      </c>
    </row>
    <row r="8530" spans="1:21" x14ac:dyDescent="0.2">
      <c r="A8530" s="3">
        <v>8529</v>
      </c>
      <c r="B8530" s="1" t="s">
        <v>4226</v>
      </c>
      <c r="D8530" s="1" t="s">
        <v>5412</v>
      </c>
      <c r="F8530" s="1" t="s">
        <v>5637</v>
      </c>
      <c r="H8530" s="1" t="s">
        <v>5640</v>
      </c>
      <c r="J8530" s="1" t="s">
        <v>1332</v>
      </c>
      <c r="K8530" s="1" t="s">
        <v>4094</v>
      </c>
      <c r="L8530" s="1" t="s">
        <v>1277</v>
      </c>
      <c r="M8530" s="1" t="s">
        <v>4104</v>
      </c>
      <c r="N8530" s="1" t="s">
        <v>411</v>
      </c>
      <c r="O8530" s="1" t="s">
        <v>4132</v>
      </c>
      <c r="P8530" s="1" t="s">
        <v>5669</v>
      </c>
      <c r="Q8530" s="30" t="s">
        <v>2567</v>
      </c>
      <c r="R8530" s="33" t="s">
        <v>3472</v>
      </c>
      <c r="S8530">
        <v>35</v>
      </c>
      <c r="T8530" s="1" t="s">
        <v>5642</v>
      </c>
      <c r="U8530" s="1" t="str">
        <f>HYPERLINK("http://ictvonline.org/taxonomy/p/taxonomy-history?taxnode_id=202107499","ICTVonline=202107499")</f>
        <v>ICTVonline=202107499</v>
      </c>
    </row>
    <row r="8531" spans="1:21" x14ac:dyDescent="0.2">
      <c r="A8531" s="3">
        <v>8530</v>
      </c>
      <c r="B8531" s="1" t="s">
        <v>4226</v>
      </c>
      <c r="D8531" s="1" t="s">
        <v>5412</v>
      </c>
      <c r="F8531" s="1" t="s">
        <v>5637</v>
      </c>
      <c r="H8531" s="1" t="s">
        <v>5640</v>
      </c>
      <c r="J8531" s="1" t="s">
        <v>1332</v>
      </c>
      <c r="K8531" s="1" t="s">
        <v>4094</v>
      </c>
      <c r="L8531" s="1" t="s">
        <v>1277</v>
      </c>
      <c r="M8531" s="1" t="s">
        <v>13682</v>
      </c>
      <c r="N8531" s="1" t="s">
        <v>13683</v>
      </c>
      <c r="O8531" s="1" t="s">
        <v>13684</v>
      </c>
      <c r="P8531" s="1" t="s">
        <v>13685</v>
      </c>
      <c r="Q8531" s="30" t="s">
        <v>2567</v>
      </c>
      <c r="R8531" s="33" t="s">
        <v>3472</v>
      </c>
      <c r="S8531">
        <v>37</v>
      </c>
      <c r="T8531" s="1" t="s">
        <v>14058</v>
      </c>
      <c r="U8531" s="1" t="str">
        <f>HYPERLINK("http://ictvonline.org/taxonomy/p/taxonomy-history?taxnode_id=202113907","ICTVonline=202113907")</f>
        <v>ICTVonline=202113907</v>
      </c>
    </row>
    <row r="8532" spans="1:21" x14ac:dyDescent="0.2">
      <c r="A8532" s="3">
        <v>8531</v>
      </c>
      <c r="B8532" s="1" t="s">
        <v>4226</v>
      </c>
      <c r="D8532" s="1" t="s">
        <v>5412</v>
      </c>
      <c r="F8532" s="1" t="s">
        <v>5637</v>
      </c>
      <c r="H8532" s="1" t="s">
        <v>5640</v>
      </c>
      <c r="J8532" s="1" t="s">
        <v>1332</v>
      </c>
      <c r="K8532" s="1" t="s">
        <v>4134</v>
      </c>
      <c r="L8532" s="1" t="s">
        <v>4135</v>
      </c>
      <c r="M8532" s="1" t="s">
        <v>4136</v>
      </c>
      <c r="N8532" s="1" t="s">
        <v>4140</v>
      </c>
      <c r="O8532" s="1" t="s">
        <v>4141</v>
      </c>
      <c r="P8532" s="1" t="s">
        <v>4142</v>
      </c>
      <c r="Q8532" s="30" t="s">
        <v>2567</v>
      </c>
      <c r="R8532" s="33" t="s">
        <v>3474</v>
      </c>
      <c r="S8532">
        <v>37</v>
      </c>
      <c r="T8532" s="1" t="s">
        <v>14058</v>
      </c>
      <c r="U8532" s="1" t="str">
        <f>HYPERLINK("http://ictvonline.org/taxonomy/p/taxonomy-history?taxnode_id=202106179","ICTVonline=202106179")</f>
        <v>ICTVonline=202106179</v>
      </c>
    </row>
    <row r="8533" spans="1:21" x14ac:dyDescent="0.2">
      <c r="A8533" s="3">
        <v>8532</v>
      </c>
      <c r="B8533" s="1" t="s">
        <v>4226</v>
      </c>
      <c r="D8533" s="1" t="s">
        <v>5412</v>
      </c>
      <c r="F8533" s="1" t="s">
        <v>5637</v>
      </c>
      <c r="H8533" s="1" t="s">
        <v>5640</v>
      </c>
      <c r="J8533" s="1" t="s">
        <v>1332</v>
      </c>
      <c r="K8533" s="1" t="s">
        <v>4134</v>
      </c>
      <c r="L8533" s="1" t="s">
        <v>4135</v>
      </c>
      <c r="M8533" s="1" t="s">
        <v>4136</v>
      </c>
      <c r="N8533" s="1" t="s">
        <v>4137</v>
      </c>
      <c r="O8533" s="1" t="s">
        <v>4138</v>
      </c>
      <c r="P8533" s="1" t="s">
        <v>4139</v>
      </c>
      <c r="Q8533" s="30" t="s">
        <v>2567</v>
      </c>
      <c r="R8533" s="33" t="s">
        <v>8665</v>
      </c>
      <c r="S8533">
        <v>36</v>
      </c>
      <c r="T8533" s="1" t="s">
        <v>8661</v>
      </c>
      <c r="U8533" s="1" t="str">
        <f>HYPERLINK("http://ictvonline.org/taxonomy/p/taxonomy-history?taxnode_id=202106175","ICTVonline=202106175")</f>
        <v>ICTVonline=202106175</v>
      </c>
    </row>
    <row r="8534" spans="1:21" x14ac:dyDescent="0.2">
      <c r="A8534" s="3">
        <v>8533</v>
      </c>
      <c r="B8534" s="1" t="s">
        <v>4226</v>
      </c>
      <c r="D8534" s="1" t="s">
        <v>5412</v>
      </c>
      <c r="F8534" s="1" t="s">
        <v>5637</v>
      </c>
      <c r="H8534" s="1" t="s">
        <v>5640</v>
      </c>
      <c r="J8534" s="1" t="s">
        <v>1332</v>
      </c>
      <c r="K8534" s="1" t="s">
        <v>4134</v>
      </c>
      <c r="L8534" s="1" t="s">
        <v>2022</v>
      </c>
      <c r="M8534" s="1" t="s">
        <v>4144</v>
      </c>
      <c r="N8534" s="1" t="s">
        <v>2023</v>
      </c>
      <c r="O8534" s="1" t="s">
        <v>4145</v>
      </c>
      <c r="P8534" s="1" t="s">
        <v>2776</v>
      </c>
      <c r="Q8534" s="30" t="s">
        <v>2567</v>
      </c>
      <c r="R8534" s="33" t="s">
        <v>3474</v>
      </c>
      <c r="S8534">
        <v>35</v>
      </c>
      <c r="T8534" s="1" t="s">
        <v>5416</v>
      </c>
      <c r="U8534" s="1" t="str">
        <f>HYPERLINK("http://ictvonline.org/taxonomy/p/taxonomy-history?taxnode_id=202101901","ICTVonline=202101901")</f>
        <v>ICTVonline=202101901</v>
      </c>
    </row>
    <row r="8535" spans="1:21" x14ac:dyDescent="0.2">
      <c r="A8535" s="3">
        <v>8534</v>
      </c>
      <c r="B8535" s="1" t="s">
        <v>4226</v>
      </c>
      <c r="D8535" s="1" t="s">
        <v>5412</v>
      </c>
      <c r="F8535" s="1" t="s">
        <v>5637</v>
      </c>
      <c r="H8535" s="1" t="s">
        <v>5640</v>
      </c>
      <c r="J8535" s="1" t="s">
        <v>1332</v>
      </c>
      <c r="K8535" s="1" t="s">
        <v>4134</v>
      </c>
      <c r="L8535" s="1" t="s">
        <v>2022</v>
      </c>
      <c r="M8535" s="1" t="s">
        <v>4144</v>
      </c>
      <c r="N8535" s="1" t="s">
        <v>2023</v>
      </c>
      <c r="O8535" s="1" t="s">
        <v>4151</v>
      </c>
      <c r="P8535" s="1" t="s">
        <v>4152</v>
      </c>
      <c r="Q8535" s="30" t="s">
        <v>2567</v>
      </c>
      <c r="R8535" s="33" t="s">
        <v>3474</v>
      </c>
      <c r="S8535">
        <v>35</v>
      </c>
      <c r="T8535" s="1" t="s">
        <v>5416</v>
      </c>
      <c r="U8535" s="1" t="str">
        <f>HYPERLINK("http://ictvonline.org/taxonomy/p/taxonomy-history?taxnode_id=202101904","ICTVonline=202101904")</f>
        <v>ICTVonline=202101904</v>
      </c>
    </row>
    <row r="8536" spans="1:21" x14ac:dyDescent="0.2">
      <c r="A8536" s="3">
        <v>8535</v>
      </c>
      <c r="B8536" s="1" t="s">
        <v>4226</v>
      </c>
      <c r="D8536" s="1" t="s">
        <v>5412</v>
      </c>
      <c r="F8536" s="1" t="s">
        <v>5637</v>
      </c>
      <c r="H8536" s="1" t="s">
        <v>5640</v>
      </c>
      <c r="J8536" s="1" t="s">
        <v>1332</v>
      </c>
      <c r="K8536" s="1" t="s">
        <v>4134</v>
      </c>
      <c r="L8536" s="1" t="s">
        <v>2022</v>
      </c>
      <c r="M8536" s="1" t="s">
        <v>4144</v>
      </c>
      <c r="N8536" s="1" t="s">
        <v>2023</v>
      </c>
      <c r="O8536" s="1" t="s">
        <v>4153</v>
      </c>
      <c r="P8536" s="1" t="s">
        <v>2777</v>
      </c>
      <c r="Q8536" s="30" t="s">
        <v>2567</v>
      </c>
      <c r="R8536" s="33" t="s">
        <v>3474</v>
      </c>
      <c r="S8536">
        <v>35</v>
      </c>
      <c r="T8536" s="1" t="s">
        <v>5416</v>
      </c>
      <c r="U8536" s="1" t="str">
        <f>HYPERLINK("http://ictvonline.org/taxonomy/p/taxonomy-history?taxnode_id=202101902","ICTVonline=202101902")</f>
        <v>ICTVonline=202101902</v>
      </c>
    </row>
    <row r="8537" spans="1:21" x14ac:dyDescent="0.2">
      <c r="A8537" s="3">
        <v>8536</v>
      </c>
      <c r="B8537" s="1" t="s">
        <v>4226</v>
      </c>
      <c r="D8537" s="1" t="s">
        <v>5412</v>
      </c>
      <c r="F8537" s="1" t="s">
        <v>5637</v>
      </c>
      <c r="H8537" s="1" t="s">
        <v>5640</v>
      </c>
      <c r="J8537" s="1" t="s">
        <v>1332</v>
      </c>
      <c r="K8537" s="1" t="s">
        <v>4134</v>
      </c>
      <c r="L8537" s="1" t="s">
        <v>2022</v>
      </c>
      <c r="M8537" s="1" t="s">
        <v>4144</v>
      </c>
      <c r="N8537" s="1" t="s">
        <v>2023</v>
      </c>
      <c r="O8537" s="1" t="s">
        <v>4146</v>
      </c>
      <c r="P8537" s="1" t="s">
        <v>4147</v>
      </c>
      <c r="Q8537" s="30" t="s">
        <v>2567</v>
      </c>
      <c r="R8537" s="33" t="s">
        <v>3474</v>
      </c>
      <c r="S8537">
        <v>35</v>
      </c>
      <c r="T8537" s="1" t="s">
        <v>5416</v>
      </c>
      <c r="U8537" s="1" t="str">
        <f>HYPERLINK("http://ictvonline.org/taxonomy/p/taxonomy-history?taxnode_id=202106168","ICTVonline=202106168")</f>
        <v>ICTVonline=202106168</v>
      </c>
    </row>
    <row r="8538" spans="1:21" x14ac:dyDescent="0.2">
      <c r="A8538" s="3">
        <v>8537</v>
      </c>
      <c r="B8538" s="1" t="s">
        <v>4226</v>
      </c>
      <c r="D8538" s="1" t="s">
        <v>5412</v>
      </c>
      <c r="F8538" s="1" t="s">
        <v>5637</v>
      </c>
      <c r="H8538" s="1" t="s">
        <v>5640</v>
      </c>
      <c r="J8538" s="1" t="s">
        <v>1332</v>
      </c>
      <c r="K8538" s="1" t="s">
        <v>4134</v>
      </c>
      <c r="L8538" s="1" t="s">
        <v>2022</v>
      </c>
      <c r="M8538" s="1" t="s">
        <v>4144</v>
      </c>
      <c r="N8538" s="1" t="s">
        <v>2023</v>
      </c>
      <c r="O8538" s="1" t="s">
        <v>4148</v>
      </c>
      <c r="P8538" s="1" t="s">
        <v>2774</v>
      </c>
      <c r="Q8538" s="30" t="s">
        <v>2567</v>
      </c>
      <c r="R8538" s="33" t="s">
        <v>3474</v>
      </c>
      <c r="S8538">
        <v>35</v>
      </c>
      <c r="T8538" s="1" t="s">
        <v>5416</v>
      </c>
      <c r="U8538" s="1" t="str">
        <f>HYPERLINK("http://ictvonline.org/taxonomy/p/taxonomy-history?taxnode_id=202101899","ICTVonline=202101899")</f>
        <v>ICTVonline=202101899</v>
      </c>
    </row>
    <row r="8539" spans="1:21" x14ac:dyDescent="0.2">
      <c r="A8539" s="3">
        <v>8538</v>
      </c>
      <c r="B8539" s="1" t="s">
        <v>4226</v>
      </c>
      <c r="D8539" s="1" t="s">
        <v>5412</v>
      </c>
      <c r="F8539" s="1" t="s">
        <v>5637</v>
      </c>
      <c r="H8539" s="1" t="s">
        <v>5640</v>
      </c>
      <c r="J8539" s="1" t="s">
        <v>1332</v>
      </c>
      <c r="K8539" s="1" t="s">
        <v>4134</v>
      </c>
      <c r="L8539" s="1" t="s">
        <v>2022</v>
      </c>
      <c r="M8539" s="1" t="s">
        <v>4144</v>
      </c>
      <c r="N8539" s="1" t="s">
        <v>2023</v>
      </c>
      <c r="O8539" s="1" t="s">
        <v>4148</v>
      </c>
      <c r="P8539" s="1" t="s">
        <v>2775</v>
      </c>
      <c r="Q8539" s="30" t="s">
        <v>2567</v>
      </c>
      <c r="R8539" s="33" t="s">
        <v>3474</v>
      </c>
      <c r="S8539">
        <v>35</v>
      </c>
      <c r="T8539" s="1" t="s">
        <v>5416</v>
      </c>
      <c r="U8539" s="1" t="str">
        <f>HYPERLINK("http://ictvonline.org/taxonomy/p/taxonomy-history?taxnode_id=202101900","ICTVonline=202101900")</f>
        <v>ICTVonline=202101900</v>
      </c>
    </row>
    <row r="8540" spans="1:21" x14ac:dyDescent="0.2">
      <c r="A8540" s="3">
        <v>8539</v>
      </c>
      <c r="B8540" s="1" t="s">
        <v>4226</v>
      </c>
      <c r="D8540" s="1" t="s">
        <v>5412</v>
      </c>
      <c r="F8540" s="1" t="s">
        <v>5637</v>
      </c>
      <c r="H8540" s="1" t="s">
        <v>5640</v>
      </c>
      <c r="J8540" s="1" t="s">
        <v>1332</v>
      </c>
      <c r="K8540" s="1" t="s">
        <v>4134</v>
      </c>
      <c r="L8540" s="1" t="s">
        <v>2022</v>
      </c>
      <c r="M8540" s="1" t="s">
        <v>4144</v>
      </c>
      <c r="N8540" s="1" t="s">
        <v>2023</v>
      </c>
      <c r="O8540" s="1" t="s">
        <v>4160</v>
      </c>
      <c r="P8540" s="1" t="s">
        <v>4161</v>
      </c>
      <c r="Q8540" s="30" t="s">
        <v>2567</v>
      </c>
      <c r="R8540" s="33" t="s">
        <v>3474</v>
      </c>
      <c r="S8540">
        <v>35</v>
      </c>
      <c r="T8540" s="1" t="s">
        <v>5416</v>
      </c>
      <c r="U8540" s="1" t="str">
        <f>HYPERLINK("http://ictvonline.org/taxonomy/p/taxonomy-history?taxnode_id=202101905","ICTVonline=202101905")</f>
        <v>ICTVonline=202101905</v>
      </c>
    </row>
    <row r="8541" spans="1:21" x14ac:dyDescent="0.2">
      <c r="A8541" s="3">
        <v>8540</v>
      </c>
      <c r="B8541" s="1" t="s">
        <v>4226</v>
      </c>
      <c r="D8541" s="1" t="s">
        <v>5412</v>
      </c>
      <c r="F8541" s="1" t="s">
        <v>5637</v>
      </c>
      <c r="H8541" s="1" t="s">
        <v>5640</v>
      </c>
      <c r="J8541" s="1" t="s">
        <v>1332</v>
      </c>
      <c r="K8541" s="1" t="s">
        <v>4134</v>
      </c>
      <c r="L8541" s="1" t="s">
        <v>2022</v>
      </c>
      <c r="M8541" s="1" t="s">
        <v>4144</v>
      </c>
      <c r="N8541" s="1" t="s">
        <v>2023</v>
      </c>
      <c r="O8541" s="1" t="s">
        <v>4168</v>
      </c>
      <c r="P8541" s="1" t="s">
        <v>2024</v>
      </c>
      <c r="Q8541" s="30" t="s">
        <v>2567</v>
      </c>
      <c r="R8541" s="33" t="s">
        <v>8665</v>
      </c>
      <c r="S8541">
        <v>36</v>
      </c>
      <c r="T8541" s="1" t="s">
        <v>8661</v>
      </c>
      <c r="U8541" s="1" t="str">
        <f>HYPERLINK("http://ictvonline.org/taxonomy/p/taxonomy-history?taxnode_id=202101898","ICTVonline=202101898")</f>
        <v>ICTVonline=202101898</v>
      </c>
    </row>
    <row r="8542" spans="1:21" x14ac:dyDescent="0.2">
      <c r="A8542" s="3">
        <v>8541</v>
      </c>
      <c r="B8542" s="1" t="s">
        <v>4226</v>
      </c>
      <c r="D8542" s="1" t="s">
        <v>5412</v>
      </c>
      <c r="F8542" s="1" t="s">
        <v>5637</v>
      </c>
      <c r="H8542" s="1" t="s">
        <v>5640</v>
      </c>
      <c r="J8542" s="1" t="s">
        <v>1332</v>
      </c>
      <c r="K8542" s="1" t="s">
        <v>4134</v>
      </c>
      <c r="L8542" s="1" t="s">
        <v>2022</v>
      </c>
      <c r="M8542" s="1" t="s">
        <v>4144</v>
      </c>
      <c r="N8542" s="1" t="s">
        <v>2023</v>
      </c>
      <c r="O8542" s="1" t="s">
        <v>4168</v>
      </c>
      <c r="P8542" s="1" t="s">
        <v>5670</v>
      </c>
      <c r="Q8542" s="30" t="s">
        <v>2567</v>
      </c>
      <c r="R8542" s="33" t="s">
        <v>3472</v>
      </c>
      <c r="S8542">
        <v>35</v>
      </c>
      <c r="T8542" s="1" t="s">
        <v>5642</v>
      </c>
      <c r="U8542" s="1" t="str">
        <f>HYPERLINK("http://ictvonline.org/taxonomy/p/taxonomy-history?taxnode_id=202107509","ICTVonline=202107509")</f>
        <v>ICTVonline=202107509</v>
      </c>
    </row>
    <row r="8543" spans="1:21" x14ac:dyDescent="0.2">
      <c r="A8543" s="3">
        <v>8542</v>
      </c>
      <c r="B8543" s="1" t="s">
        <v>4226</v>
      </c>
      <c r="D8543" s="1" t="s">
        <v>5412</v>
      </c>
      <c r="F8543" s="1" t="s">
        <v>5637</v>
      </c>
      <c r="H8543" s="1" t="s">
        <v>5640</v>
      </c>
      <c r="J8543" s="1" t="s">
        <v>1332</v>
      </c>
      <c r="K8543" s="1" t="s">
        <v>4134</v>
      </c>
      <c r="L8543" s="1" t="s">
        <v>2022</v>
      </c>
      <c r="M8543" s="1" t="s">
        <v>4144</v>
      </c>
      <c r="N8543" s="1" t="s">
        <v>2023</v>
      </c>
      <c r="O8543" s="1" t="s">
        <v>4149</v>
      </c>
      <c r="P8543" s="1" t="s">
        <v>4150</v>
      </c>
      <c r="Q8543" s="30" t="s">
        <v>2567</v>
      </c>
      <c r="R8543" s="33" t="s">
        <v>3474</v>
      </c>
      <c r="S8543">
        <v>35</v>
      </c>
      <c r="T8543" s="1" t="s">
        <v>5416</v>
      </c>
      <c r="U8543" s="1" t="str">
        <f>HYPERLINK("http://ictvonline.org/taxonomy/p/taxonomy-history?taxnode_id=202106127","ICTVonline=202106127")</f>
        <v>ICTVonline=202106127</v>
      </c>
    </row>
    <row r="8544" spans="1:21" x14ac:dyDescent="0.2">
      <c r="A8544" s="3">
        <v>8543</v>
      </c>
      <c r="B8544" s="1" t="s">
        <v>4226</v>
      </c>
      <c r="D8544" s="1" t="s">
        <v>5412</v>
      </c>
      <c r="F8544" s="1" t="s">
        <v>5637</v>
      </c>
      <c r="H8544" s="1" t="s">
        <v>5640</v>
      </c>
      <c r="J8544" s="1" t="s">
        <v>1332</v>
      </c>
      <c r="K8544" s="1" t="s">
        <v>4134</v>
      </c>
      <c r="L8544" s="1" t="s">
        <v>2022</v>
      </c>
      <c r="M8544" s="1" t="s">
        <v>4144</v>
      </c>
      <c r="N8544" s="1" t="s">
        <v>2023</v>
      </c>
      <c r="O8544" s="1" t="s">
        <v>13686</v>
      </c>
      <c r="P8544" s="1" t="s">
        <v>13687</v>
      </c>
      <c r="Q8544" s="30" t="s">
        <v>2567</v>
      </c>
      <c r="R8544" s="33" t="s">
        <v>3472</v>
      </c>
      <c r="S8544">
        <v>37</v>
      </c>
      <c r="T8544" s="1" t="s">
        <v>14058</v>
      </c>
      <c r="U8544" s="1" t="str">
        <f>HYPERLINK("http://ictvonline.org/taxonomy/p/taxonomy-history?taxnode_id=202113940","ICTVonline=202113940")</f>
        <v>ICTVonline=202113940</v>
      </c>
    </row>
    <row r="8545" spans="1:21" x14ac:dyDescent="0.2">
      <c r="A8545" s="3">
        <v>8544</v>
      </c>
      <c r="B8545" s="1" t="s">
        <v>4226</v>
      </c>
      <c r="D8545" s="1" t="s">
        <v>5412</v>
      </c>
      <c r="F8545" s="1" t="s">
        <v>5637</v>
      </c>
      <c r="H8545" s="1" t="s">
        <v>5640</v>
      </c>
      <c r="J8545" s="1" t="s">
        <v>1332</v>
      </c>
      <c r="K8545" s="1" t="s">
        <v>4134</v>
      </c>
      <c r="L8545" s="1" t="s">
        <v>2022</v>
      </c>
      <c r="M8545" s="1" t="s">
        <v>13688</v>
      </c>
      <c r="N8545" s="1" t="s">
        <v>13689</v>
      </c>
      <c r="O8545" s="1" t="s">
        <v>13690</v>
      </c>
      <c r="P8545" s="1" t="s">
        <v>13691</v>
      </c>
      <c r="Q8545" s="30" t="s">
        <v>2567</v>
      </c>
      <c r="R8545" s="33" t="s">
        <v>3472</v>
      </c>
      <c r="S8545">
        <v>37</v>
      </c>
      <c r="T8545" s="1" t="s">
        <v>14058</v>
      </c>
      <c r="U8545" s="1" t="str">
        <f>HYPERLINK("http://ictvonline.org/taxonomy/p/taxonomy-history?taxnode_id=202113938","ICTVonline=202113938")</f>
        <v>ICTVonline=202113938</v>
      </c>
    </row>
    <row r="8546" spans="1:21" x14ac:dyDescent="0.2">
      <c r="A8546" s="3">
        <v>8545</v>
      </c>
      <c r="B8546" s="1" t="s">
        <v>4226</v>
      </c>
      <c r="D8546" s="1" t="s">
        <v>5412</v>
      </c>
      <c r="F8546" s="1" t="s">
        <v>5637</v>
      </c>
      <c r="H8546" s="1" t="s">
        <v>5640</v>
      </c>
      <c r="J8546" s="1" t="s">
        <v>1332</v>
      </c>
      <c r="K8546" s="1" t="s">
        <v>4134</v>
      </c>
      <c r="L8546" s="1" t="s">
        <v>2022</v>
      </c>
      <c r="M8546" s="1" t="s">
        <v>13692</v>
      </c>
      <c r="N8546" s="1" t="s">
        <v>13693</v>
      </c>
      <c r="O8546" s="1" t="s">
        <v>13694</v>
      </c>
      <c r="P8546" s="1" t="s">
        <v>13695</v>
      </c>
      <c r="Q8546" s="30" t="s">
        <v>2567</v>
      </c>
      <c r="R8546" s="33" t="s">
        <v>3472</v>
      </c>
      <c r="S8546">
        <v>37</v>
      </c>
      <c r="T8546" s="1" t="s">
        <v>14058</v>
      </c>
      <c r="U8546" s="1" t="str">
        <f>HYPERLINK("http://ictvonline.org/taxonomy/p/taxonomy-history?taxnode_id=202113934","ICTVonline=202113934")</f>
        <v>ICTVonline=202113934</v>
      </c>
    </row>
    <row r="8547" spans="1:21" x14ac:dyDescent="0.2">
      <c r="A8547" s="3">
        <v>8546</v>
      </c>
      <c r="B8547" s="1" t="s">
        <v>4226</v>
      </c>
      <c r="D8547" s="1" t="s">
        <v>5412</v>
      </c>
      <c r="F8547" s="1" t="s">
        <v>5637</v>
      </c>
      <c r="H8547" s="1" t="s">
        <v>5640</v>
      </c>
      <c r="J8547" s="1" t="s">
        <v>1332</v>
      </c>
      <c r="K8547" s="1" t="s">
        <v>4134</v>
      </c>
      <c r="L8547" s="1" t="s">
        <v>2022</v>
      </c>
      <c r="M8547" s="1" t="s">
        <v>13692</v>
      </c>
      <c r="N8547" s="1" t="s">
        <v>13696</v>
      </c>
      <c r="O8547" s="1" t="s">
        <v>13697</v>
      </c>
      <c r="P8547" s="1" t="s">
        <v>13698</v>
      </c>
      <c r="Q8547" s="30" t="s">
        <v>2567</v>
      </c>
      <c r="R8547" s="33" t="s">
        <v>3472</v>
      </c>
      <c r="S8547">
        <v>37</v>
      </c>
      <c r="T8547" s="1" t="s">
        <v>14058</v>
      </c>
      <c r="U8547" s="1" t="str">
        <f>HYPERLINK("http://ictvonline.org/taxonomy/p/taxonomy-history?taxnode_id=202113931","ICTVonline=202113931")</f>
        <v>ICTVonline=202113931</v>
      </c>
    </row>
    <row r="8548" spans="1:21" x14ac:dyDescent="0.2">
      <c r="A8548" s="3">
        <v>8547</v>
      </c>
      <c r="B8548" s="1" t="s">
        <v>4226</v>
      </c>
      <c r="D8548" s="1" t="s">
        <v>5412</v>
      </c>
      <c r="F8548" s="1" t="s">
        <v>5637</v>
      </c>
      <c r="H8548" s="1" t="s">
        <v>5640</v>
      </c>
      <c r="J8548" s="1" t="s">
        <v>1332</v>
      </c>
      <c r="K8548" s="1" t="s">
        <v>4154</v>
      </c>
      <c r="L8548" s="1" t="s">
        <v>4155</v>
      </c>
      <c r="M8548" s="1" t="s">
        <v>4156</v>
      </c>
      <c r="N8548" s="1" t="s">
        <v>4157</v>
      </c>
      <c r="O8548" s="1" t="s">
        <v>4158</v>
      </c>
      <c r="P8548" s="1" t="s">
        <v>4159</v>
      </c>
      <c r="Q8548" s="30" t="s">
        <v>2567</v>
      </c>
      <c r="R8548" s="33" t="s">
        <v>8665</v>
      </c>
      <c r="S8548">
        <v>36</v>
      </c>
      <c r="T8548" s="1" t="s">
        <v>8661</v>
      </c>
      <c r="U8548" s="1" t="str">
        <f>HYPERLINK("http://ictvonline.org/taxonomy/p/taxonomy-history?taxnode_id=202106206","ICTVonline=202106206")</f>
        <v>ICTVonline=202106206</v>
      </c>
    </row>
    <row r="8549" spans="1:21" x14ac:dyDescent="0.2">
      <c r="A8549" s="3">
        <v>8548</v>
      </c>
      <c r="B8549" s="1" t="s">
        <v>4226</v>
      </c>
      <c r="D8549" s="1" t="s">
        <v>5412</v>
      </c>
      <c r="F8549" s="1" t="s">
        <v>5637</v>
      </c>
      <c r="H8549" s="1" t="s">
        <v>5640</v>
      </c>
      <c r="J8549" s="1" t="s">
        <v>1332</v>
      </c>
      <c r="K8549" s="1" t="s">
        <v>5671</v>
      </c>
      <c r="L8549" s="1" t="s">
        <v>5672</v>
      </c>
      <c r="M8549" s="1" t="s">
        <v>5673</v>
      </c>
      <c r="N8549" s="1" t="s">
        <v>5674</v>
      </c>
      <c r="P8549" s="1" t="s">
        <v>5675</v>
      </c>
      <c r="Q8549" s="30" t="s">
        <v>2567</v>
      </c>
      <c r="R8549" s="33" t="s">
        <v>8665</v>
      </c>
      <c r="S8549">
        <v>36</v>
      </c>
      <c r="T8549" s="1" t="s">
        <v>8661</v>
      </c>
      <c r="U8549" s="1" t="str">
        <f>HYPERLINK("http://ictvonline.org/taxonomy/p/taxonomy-history?taxnode_id=202107489","ICTVonline=202107489")</f>
        <v>ICTVonline=202107489</v>
      </c>
    </row>
    <row r="8550" spans="1:21" x14ac:dyDescent="0.2">
      <c r="A8550" s="3">
        <v>8549</v>
      </c>
      <c r="B8550" s="1" t="s">
        <v>4226</v>
      </c>
      <c r="D8550" s="1" t="s">
        <v>5412</v>
      </c>
      <c r="F8550" s="1" t="s">
        <v>5637</v>
      </c>
      <c r="H8550" s="1" t="s">
        <v>5640</v>
      </c>
      <c r="J8550" s="1" t="s">
        <v>1332</v>
      </c>
      <c r="K8550" s="1" t="s">
        <v>5671</v>
      </c>
      <c r="L8550" s="1" t="s">
        <v>5676</v>
      </c>
      <c r="M8550" s="1" t="s">
        <v>5677</v>
      </c>
      <c r="N8550" s="1" t="s">
        <v>5678</v>
      </c>
      <c r="P8550" s="1" t="s">
        <v>5679</v>
      </c>
      <c r="Q8550" s="30" t="s">
        <v>2567</v>
      </c>
      <c r="R8550" s="33" t="s">
        <v>8665</v>
      </c>
      <c r="S8550">
        <v>36</v>
      </c>
      <c r="T8550" s="1" t="s">
        <v>8661</v>
      </c>
      <c r="U8550" s="1" t="str">
        <f>HYPERLINK("http://ictvonline.org/taxonomy/p/taxonomy-history?taxnode_id=202107485","ICTVonline=202107485")</f>
        <v>ICTVonline=202107485</v>
      </c>
    </row>
    <row r="8551" spans="1:21" x14ac:dyDescent="0.2">
      <c r="A8551" s="3">
        <v>8550</v>
      </c>
      <c r="B8551" s="1" t="s">
        <v>4226</v>
      </c>
      <c r="D8551" s="1" t="s">
        <v>5412</v>
      </c>
      <c r="F8551" s="1" t="s">
        <v>5637</v>
      </c>
      <c r="H8551" s="1" t="s">
        <v>5640</v>
      </c>
      <c r="J8551" s="1" t="s">
        <v>1332</v>
      </c>
      <c r="K8551" s="1" t="s">
        <v>4162</v>
      </c>
      <c r="L8551" s="1" t="s">
        <v>4163</v>
      </c>
      <c r="M8551" s="1" t="s">
        <v>4164</v>
      </c>
      <c r="N8551" s="1" t="s">
        <v>4165</v>
      </c>
      <c r="O8551" s="1" t="s">
        <v>4166</v>
      </c>
      <c r="P8551" s="1" t="s">
        <v>4167</v>
      </c>
      <c r="Q8551" s="30" t="s">
        <v>2567</v>
      </c>
      <c r="R8551" s="33" t="s">
        <v>8665</v>
      </c>
      <c r="S8551">
        <v>36</v>
      </c>
      <c r="T8551" s="1" t="s">
        <v>8661</v>
      </c>
      <c r="U8551" s="1" t="str">
        <f>HYPERLINK("http://ictvonline.org/taxonomy/p/taxonomy-history?taxnode_id=202106188","ICTVonline=202106188")</f>
        <v>ICTVonline=202106188</v>
      </c>
    </row>
    <row r="8552" spans="1:21" x14ac:dyDescent="0.2">
      <c r="A8552" s="3">
        <v>8551</v>
      </c>
      <c r="B8552" s="1" t="s">
        <v>4226</v>
      </c>
      <c r="D8552" s="1" t="s">
        <v>5412</v>
      </c>
      <c r="F8552" s="1" t="s">
        <v>5637</v>
      </c>
      <c r="H8552" s="1" t="s">
        <v>5640</v>
      </c>
      <c r="J8552" s="1" t="s">
        <v>1332</v>
      </c>
      <c r="K8552" s="1" t="s">
        <v>4162</v>
      </c>
      <c r="L8552" s="1" t="s">
        <v>4163</v>
      </c>
      <c r="M8552" s="1" t="s">
        <v>4164</v>
      </c>
      <c r="N8552" s="1" t="s">
        <v>4165</v>
      </c>
      <c r="O8552" s="1" t="s">
        <v>4169</v>
      </c>
      <c r="P8552" s="1" t="s">
        <v>4170</v>
      </c>
      <c r="Q8552" s="30" t="s">
        <v>2567</v>
      </c>
      <c r="R8552" s="33" t="s">
        <v>3474</v>
      </c>
      <c r="S8552">
        <v>35</v>
      </c>
      <c r="T8552" s="1" t="s">
        <v>5416</v>
      </c>
      <c r="U8552" s="1" t="str">
        <f>HYPERLINK("http://ictvonline.org/taxonomy/p/taxonomy-history?taxnode_id=202106190","ICTVonline=202106190")</f>
        <v>ICTVonline=202106190</v>
      </c>
    </row>
    <row r="8553" spans="1:21" x14ac:dyDescent="0.2">
      <c r="A8553" s="3">
        <v>8552</v>
      </c>
      <c r="B8553" s="1" t="s">
        <v>4226</v>
      </c>
      <c r="D8553" s="1" t="s">
        <v>5412</v>
      </c>
      <c r="F8553" s="1" t="s">
        <v>5637</v>
      </c>
      <c r="H8553" s="1" t="s">
        <v>5640</v>
      </c>
      <c r="J8553" s="1" t="s">
        <v>1332</v>
      </c>
      <c r="K8553" s="1" t="s">
        <v>4162</v>
      </c>
      <c r="L8553" s="1" t="s">
        <v>4163</v>
      </c>
      <c r="M8553" s="1" t="s">
        <v>4164</v>
      </c>
      <c r="N8553" s="1" t="s">
        <v>4171</v>
      </c>
      <c r="O8553" s="1" t="s">
        <v>4172</v>
      </c>
      <c r="P8553" s="1" t="s">
        <v>4173</v>
      </c>
      <c r="Q8553" s="30" t="s">
        <v>2567</v>
      </c>
      <c r="R8553" s="33" t="s">
        <v>3474</v>
      </c>
      <c r="S8553">
        <v>37</v>
      </c>
      <c r="T8553" s="1" t="s">
        <v>14058</v>
      </c>
      <c r="U8553" s="1" t="str">
        <f>HYPERLINK("http://ictvonline.org/taxonomy/p/taxonomy-history?taxnode_id=202106194","ICTVonline=202106194")</f>
        <v>ICTVonline=202106194</v>
      </c>
    </row>
    <row r="8554" spans="1:21" x14ac:dyDescent="0.2">
      <c r="A8554" s="3">
        <v>8553</v>
      </c>
      <c r="B8554" s="1" t="s">
        <v>4226</v>
      </c>
      <c r="D8554" s="1" t="s">
        <v>5412</v>
      </c>
      <c r="F8554" s="1" t="s">
        <v>5637</v>
      </c>
      <c r="H8554" s="1" t="s">
        <v>5640</v>
      </c>
      <c r="J8554" s="1" t="s">
        <v>1332</v>
      </c>
      <c r="K8554" s="1" t="s">
        <v>4162</v>
      </c>
      <c r="L8554" s="1" t="s">
        <v>979</v>
      </c>
      <c r="M8554" s="1" t="s">
        <v>4174</v>
      </c>
      <c r="N8554" s="1" t="s">
        <v>13699</v>
      </c>
      <c r="O8554" s="1" t="s">
        <v>13700</v>
      </c>
      <c r="P8554" s="1" t="s">
        <v>13701</v>
      </c>
      <c r="Q8554" s="30" t="s">
        <v>2567</v>
      </c>
      <c r="R8554" s="33" t="s">
        <v>3472</v>
      </c>
      <c r="S8554">
        <v>37</v>
      </c>
      <c r="T8554" s="1" t="s">
        <v>14058</v>
      </c>
      <c r="U8554" s="1" t="str">
        <f>HYPERLINK("http://ictvonline.org/taxonomy/p/taxonomy-history?taxnode_id=202113943","ICTVonline=202113943")</f>
        <v>ICTVonline=202113943</v>
      </c>
    </row>
    <row r="8555" spans="1:21" x14ac:dyDescent="0.2">
      <c r="A8555" s="3">
        <v>8554</v>
      </c>
      <c r="B8555" s="1" t="s">
        <v>4226</v>
      </c>
      <c r="D8555" s="1" t="s">
        <v>5412</v>
      </c>
      <c r="F8555" s="1" t="s">
        <v>5637</v>
      </c>
      <c r="H8555" s="1" t="s">
        <v>5640</v>
      </c>
      <c r="J8555" s="1" t="s">
        <v>1332</v>
      </c>
      <c r="K8555" s="1" t="s">
        <v>4162</v>
      </c>
      <c r="L8555" s="1" t="s">
        <v>979</v>
      </c>
      <c r="M8555" s="1" t="s">
        <v>4174</v>
      </c>
      <c r="N8555" s="1" t="s">
        <v>980</v>
      </c>
      <c r="O8555" s="1" t="s">
        <v>4175</v>
      </c>
      <c r="P8555" s="1" t="s">
        <v>981</v>
      </c>
      <c r="Q8555" s="30" t="s">
        <v>2567</v>
      </c>
      <c r="R8555" s="33" t="s">
        <v>8665</v>
      </c>
      <c r="S8555">
        <v>36</v>
      </c>
      <c r="T8555" s="1" t="s">
        <v>8661</v>
      </c>
      <c r="U8555" s="1" t="str">
        <f>HYPERLINK("http://ictvonline.org/taxonomy/p/taxonomy-history?taxnode_id=202101909","ICTVonline=202101909")</f>
        <v>ICTVonline=202101909</v>
      </c>
    </row>
    <row r="8556" spans="1:21" x14ac:dyDescent="0.2">
      <c r="A8556" s="3">
        <v>8555</v>
      </c>
      <c r="B8556" s="1" t="s">
        <v>4226</v>
      </c>
      <c r="D8556" s="1" t="s">
        <v>5412</v>
      </c>
      <c r="F8556" s="1" t="s">
        <v>5637</v>
      </c>
      <c r="H8556" s="1" t="s">
        <v>5640</v>
      </c>
      <c r="J8556" s="1" t="s">
        <v>1332</v>
      </c>
      <c r="K8556" s="1" t="s">
        <v>4162</v>
      </c>
      <c r="L8556" s="1" t="s">
        <v>979</v>
      </c>
      <c r="M8556" s="1" t="s">
        <v>4174</v>
      </c>
      <c r="N8556" s="1" t="s">
        <v>980</v>
      </c>
      <c r="O8556" s="1" t="s">
        <v>4175</v>
      </c>
      <c r="P8556" s="1" t="s">
        <v>5680</v>
      </c>
      <c r="Q8556" s="30" t="s">
        <v>2567</v>
      </c>
      <c r="R8556" s="33" t="s">
        <v>3472</v>
      </c>
      <c r="S8556">
        <v>35</v>
      </c>
      <c r="T8556" s="1" t="s">
        <v>5642</v>
      </c>
      <c r="U8556" s="1" t="str">
        <f>HYPERLINK("http://ictvonline.org/taxonomy/p/taxonomy-history?taxnode_id=202107510","ICTVonline=202107510")</f>
        <v>ICTVonline=202107510</v>
      </c>
    </row>
    <row r="8557" spans="1:21" x14ac:dyDescent="0.2">
      <c r="A8557" s="3">
        <v>8556</v>
      </c>
      <c r="B8557" s="1" t="s">
        <v>4226</v>
      </c>
      <c r="D8557" s="1" t="s">
        <v>5412</v>
      </c>
      <c r="F8557" s="1" t="s">
        <v>5637</v>
      </c>
      <c r="H8557" s="1" t="s">
        <v>5640</v>
      </c>
      <c r="J8557" s="1" t="s">
        <v>1332</v>
      </c>
      <c r="K8557" s="1" t="s">
        <v>4162</v>
      </c>
      <c r="L8557" s="1" t="s">
        <v>979</v>
      </c>
      <c r="M8557" s="1" t="s">
        <v>4174</v>
      </c>
      <c r="N8557" s="1" t="s">
        <v>980</v>
      </c>
      <c r="O8557" s="1" t="s">
        <v>4175</v>
      </c>
      <c r="P8557" s="1" t="s">
        <v>4176</v>
      </c>
      <c r="Q8557" s="30" t="s">
        <v>2567</v>
      </c>
      <c r="R8557" s="33" t="s">
        <v>3474</v>
      </c>
      <c r="S8557">
        <v>35</v>
      </c>
      <c r="T8557" s="1" t="s">
        <v>5416</v>
      </c>
      <c r="U8557" s="1" t="str">
        <f>HYPERLINK("http://ictvonline.org/taxonomy/p/taxonomy-history?taxnode_id=202106183","ICTVonline=202106183")</f>
        <v>ICTVonline=202106183</v>
      </c>
    </row>
    <row r="8558" spans="1:21" x14ac:dyDescent="0.2">
      <c r="A8558" s="3">
        <v>8557</v>
      </c>
      <c r="B8558" s="1" t="s">
        <v>4226</v>
      </c>
      <c r="D8558" s="1" t="s">
        <v>5412</v>
      </c>
      <c r="F8558" s="1" t="s">
        <v>5637</v>
      </c>
      <c r="H8558" s="1" t="s">
        <v>5640</v>
      </c>
      <c r="J8558" s="1" t="s">
        <v>1332</v>
      </c>
      <c r="K8558" s="1" t="s">
        <v>4177</v>
      </c>
      <c r="L8558" s="1" t="s">
        <v>4178</v>
      </c>
      <c r="M8558" s="1" t="s">
        <v>4179</v>
      </c>
      <c r="N8558" s="1" t="s">
        <v>296</v>
      </c>
      <c r="O8558" s="1" t="s">
        <v>4192</v>
      </c>
      <c r="P8558" s="1" t="s">
        <v>297</v>
      </c>
      <c r="Q8558" s="30" t="s">
        <v>2567</v>
      </c>
      <c r="R8558" s="33" t="s">
        <v>8665</v>
      </c>
      <c r="S8558">
        <v>36</v>
      </c>
      <c r="T8558" s="1" t="s">
        <v>8661</v>
      </c>
      <c r="U8558" s="1" t="str">
        <f>HYPERLINK("http://ictvonline.org/taxonomy/p/taxonomy-history?taxnode_id=202101885","ICTVonline=202101885")</f>
        <v>ICTVonline=202101885</v>
      </c>
    </row>
    <row r="8559" spans="1:21" x14ac:dyDescent="0.2">
      <c r="A8559" s="3">
        <v>8558</v>
      </c>
      <c r="B8559" s="1" t="s">
        <v>4226</v>
      </c>
      <c r="D8559" s="1" t="s">
        <v>5412</v>
      </c>
      <c r="F8559" s="1" t="s">
        <v>5637</v>
      </c>
      <c r="H8559" s="1" t="s">
        <v>5640</v>
      </c>
      <c r="J8559" s="1" t="s">
        <v>1332</v>
      </c>
      <c r="K8559" s="1" t="s">
        <v>4177</v>
      </c>
      <c r="L8559" s="1" t="s">
        <v>4178</v>
      </c>
      <c r="M8559" s="1" t="s">
        <v>4179</v>
      </c>
      <c r="N8559" s="1" t="s">
        <v>296</v>
      </c>
      <c r="O8559" s="1" t="s">
        <v>4180</v>
      </c>
      <c r="P8559" s="1" t="s">
        <v>2772</v>
      </c>
      <c r="Q8559" s="30" t="s">
        <v>2567</v>
      </c>
      <c r="R8559" s="33" t="s">
        <v>3474</v>
      </c>
      <c r="S8559">
        <v>35</v>
      </c>
      <c r="T8559" s="1" t="s">
        <v>5416</v>
      </c>
      <c r="U8559" s="1" t="str">
        <f>HYPERLINK("http://ictvonline.org/taxonomy/p/taxonomy-history?taxnode_id=202101884","ICTVonline=202101884")</f>
        <v>ICTVonline=202101884</v>
      </c>
    </row>
    <row r="8560" spans="1:21" x14ac:dyDescent="0.2">
      <c r="A8560" s="3">
        <v>8559</v>
      </c>
      <c r="B8560" s="1" t="s">
        <v>4226</v>
      </c>
      <c r="D8560" s="1" t="s">
        <v>5412</v>
      </c>
      <c r="F8560" s="1" t="s">
        <v>5637</v>
      </c>
      <c r="H8560" s="1" t="s">
        <v>5640</v>
      </c>
      <c r="J8560" s="1" t="s">
        <v>1332</v>
      </c>
      <c r="K8560" s="1" t="s">
        <v>4177</v>
      </c>
      <c r="L8560" s="1" t="s">
        <v>4178</v>
      </c>
      <c r="M8560" s="1" t="s">
        <v>4179</v>
      </c>
      <c r="N8560" s="1" t="s">
        <v>4181</v>
      </c>
      <c r="O8560" s="1" t="s">
        <v>4182</v>
      </c>
      <c r="P8560" s="1" t="s">
        <v>3230</v>
      </c>
      <c r="Q8560" s="30" t="s">
        <v>2567</v>
      </c>
      <c r="R8560" s="33" t="s">
        <v>8665</v>
      </c>
      <c r="S8560">
        <v>36</v>
      </c>
      <c r="T8560" s="1" t="s">
        <v>8661</v>
      </c>
      <c r="U8560" s="1" t="str">
        <f>HYPERLINK("http://ictvonline.org/taxonomy/p/taxonomy-history?taxnode_id=202101894","ICTVonline=202101894")</f>
        <v>ICTVonline=202101894</v>
      </c>
    </row>
    <row r="8561" spans="1:21" x14ac:dyDescent="0.2">
      <c r="A8561" s="3">
        <v>8560</v>
      </c>
      <c r="B8561" s="1" t="s">
        <v>4226</v>
      </c>
      <c r="D8561" s="1" t="s">
        <v>5412</v>
      </c>
      <c r="F8561" s="1" t="s">
        <v>5637</v>
      </c>
      <c r="H8561" s="1" t="s">
        <v>5640</v>
      </c>
      <c r="J8561" s="1" t="s">
        <v>1332</v>
      </c>
      <c r="K8561" s="1" t="s">
        <v>4177</v>
      </c>
      <c r="L8561" s="1" t="s">
        <v>4178</v>
      </c>
      <c r="M8561" s="1" t="s">
        <v>4183</v>
      </c>
      <c r="N8561" s="1" t="s">
        <v>4184</v>
      </c>
      <c r="O8561" s="1" t="s">
        <v>4185</v>
      </c>
      <c r="P8561" s="1" t="s">
        <v>3229</v>
      </c>
      <c r="Q8561" s="30" t="s">
        <v>2567</v>
      </c>
      <c r="R8561" s="33" t="s">
        <v>8665</v>
      </c>
      <c r="S8561">
        <v>36</v>
      </c>
      <c r="T8561" s="1" t="s">
        <v>8661</v>
      </c>
      <c r="U8561" s="1" t="str">
        <f>HYPERLINK("http://ictvonline.org/taxonomy/p/taxonomy-history?taxnode_id=202101893","ICTVonline=202101893")</f>
        <v>ICTVonline=202101893</v>
      </c>
    </row>
    <row r="8562" spans="1:21" x14ac:dyDescent="0.2">
      <c r="A8562" s="3">
        <v>8561</v>
      </c>
      <c r="B8562" s="1" t="s">
        <v>4226</v>
      </c>
      <c r="D8562" s="1" t="s">
        <v>5412</v>
      </c>
      <c r="F8562" s="1" t="s">
        <v>5637</v>
      </c>
      <c r="H8562" s="1" t="s">
        <v>5640</v>
      </c>
      <c r="J8562" s="1" t="s">
        <v>1332</v>
      </c>
      <c r="K8562" s="1" t="s">
        <v>4177</v>
      </c>
      <c r="L8562" s="1" t="s">
        <v>4178</v>
      </c>
      <c r="M8562" s="1" t="s">
        <v>4186</v>
      </c>
      <c r="N8562" s="1" t="s">
        <v>4187</v>
      </c>
      <c r="O8562" s="1" t="s">
        <v>5681</v>
      </c>
      <c r="P8562" s="1" t="s">
        <v>5682</v>
      </c>
      <c r="Q8562" s="30" t="s">
        <v>2567</v>
      </c>
      <c r="R8562" s="33" t="s">
        <v>3472</v>
      </c>
      <c r="S8562">
        <v>35</v>
      </c>
      <c r="T8562" s="1" t="s">
        <v>5642</v>
      </c>
      <c r="U8562" s="1" t="str">
        <f>HYPERLINK("http://ictvonline.org/taxonomy/p/taxonomy-history?taxnode_id=202107502","ICTVonline=202107502")</f>
        <v>ICTVonline=202107502</v>
      </c>
    </row>
    <row r="8563" spans="1:21" x14ac:dyDescent="0.2">
      <c r="A8563" s="3">
        <v>8562</v>
      </c>
      <c r="B8563" s="1" t="s">
        <v>4226</v>
      </c>
      <c r="D8563" s="1" t="s">
        <v>5412</v>
      </c>
      <c r="F8563" s="1" t="s">
        <v>5637</v>
      </c>
      <c r="H8563" s="1" t="s">
        <v>5640</v>
      </c>
      <c r="J8563" s="1" t="s">
        <v>1332</v>
      </c>
      <c r="K8563" s="1" t="s">
        <v>4177</v>
      </c>
      <c r="L8563" s="1" t="s">
        <v>4178</v>
      </c>
      <c r="M8563" s="1" t="s">
        <v>4186</v>
      </c>
      <c r="N8563" s="1" t="s">
        <v>4187</v>
      </c>
      <c r="O8563" s="1" t="s">
        <v>13702</v>
      </c>
      <c r="P8563" s="1" t="s">
        <v>13703</v>
      </c>
      <c r="Q8563" s="30" t="s">
        <v>2567</v>
      </c>
      <c r="R8563" s="33" t="s">
        <v>3472</v>
      </c>
      <c r="S8563">
        <v>37</v>
      </c>
      <c r="T8563" s="1" t="s">
        <v>14058</v>
      </c>
      <c r="U8563" s="1" t="str">
        <f>HYPERLINK("http://ictvonline.org/taxonomy/p/taxonomy-history?taxnode_id=202113911","ICTVonline=202113911")</f>
        <v>ICTVonline=202113911</v>
      </c>
    </row>
    <row r="8564" spans="1:21" x14ac:dyDescent="0.2">
      <c r="A8564" s="3">
        <v>8563</v>
      </c>
      <c r="B8564" s="1" t="s">
        <v>4226</v>
      </c>
      <c r="D8564" s="1" t="s">
        <v>5412</v>
      </c>
      <c r="F8564" s="1" t="s">
        <v>5637</v>
      </c>
      <c r="H8564" s="1" t="s">
        <v>5640</v>
      </c>
      <c r="J8564" s="1" t="s">
        <v>1332</v>
      </c>
      <c r="K8564" s="1" t="s">
        <v>4177</v>
      </c>
      <c r="L8564" s="1" t="s">
        <v>4178</v>
      </c>
      <c r="M8564" s="1" t="s">
        <v>4186</v>
      </c>
      <c r="N8564" s="1" t="s">
        <v>4187</v>
      </c>
      <c r="O8564" s="1" t="s">
        <v>4188</v>
      </c>
      <c r="P8564" s="1" t="s">
        <v>4189</v>
      </c>
      <c r="Q8564" s="30" t="s">
        <v>2567</v>
      </c>
      <c r="R8564" s="33" t="s">
        <v>8665</v>
      </c>
      <c r="S8564">
        <v>36</v>
      </c>
      <c r="T8564" s="1" t="s">
        <v>8661</v>
      </c>
      <c r="U8564" s="1" t="str">
        <f>HYPERLINK("http://ictvonline.org/taxonomy/p/taxonomy-history?taxnode_id=202106154","ICTVonline=202106154")</f>
        <v>ICTVonline=202106154</v>
      </c>
    </row>
    <row r="8565" spans="1:21" x14ac:dyDescent="0.2">
      <c r="A8565" s="3">
        <v>8564</v>
      </c>
      <c r="B8565" s="1" t="s">
        <v>4226</v>
      </c>
      <c r="D8565" s="1" t="s">
        <v>5412</v>
      </c>
      <c r="F8565" s="1" t="s">
        <v>5637</v>
      </c>
      <c r="H8565" s="1" t="s">
        <v>5640</v>
      </c>
      <c r="J8565" s="1" t="s">
        <v>1332</v>
      </c>
      <c r="K8565" s="1" t="s">
        <v>4177</v>
      </c>
      <c r="L8565" s="1" t="s">
        <v>4178</v>
      </c>
      <c r="M8565" s="1" t="s">
        <v>4186</v>
      </c>
      <c r="N8565" s="1" t="s">
        <v>5683</v>
      </c>
      <c r="O8565" s="1" t="s">
        <v>13704</v>
      </c>
      <c r="P8565" s="1" t="s">
        <v>13705</v>
      </c>
      <c r="Q8565" s="30" t="s">
        <v>2567</v>
      </c>
      <c r="R8565" s="33" t="s">
        <v>3472</v>
      </c>
      <c r="S8565">
        <v>37</v>
      </c>
      <c r="T8565" s="1" t="s">
        <v>14058</v>
      </c>
      <c r="U8565" s="1" t="str">
        <f>HYPERLINK("http://ictvonline.org/taxonomy/p/taxonomy-history?taxnode_id=202113913","ICTVonline=202113913")</f>
        <v>ICTVonline=202113913</v>
      </c>
    </row>
    <row r="8566" spans="1:21" x14ac:dyDescent="0.2">
      <c r="A8566" s="3">
        <v>8565</v>
      </c>
      <c r="B8566" s="1" t="s">
        <v>4226</v>
      </c>
      <c r="D8566" s="1" t="s">
        <v>5412</v>
      </c>
      <c r="F8566" s="1" t="s">
        <v>5637</v>
      </c>
      <c r="H8566" s="1" t="s">
        <v>5640</v>
      </c>
      <c r="J8566" s="1" t="s">
        <v>1332</v>
      </c>
      <c r="K8566" s="1" t="s">
        <v>4177</v>
      </c>
      <c r="L8566" s="1" t="s">
        <v>4178</v>
      </c>
      <c r="M8566" s="1" t="s">
        <v>4186</v>
      </c>
      <c r="N8566" s="1" t="s">
        <v>5683</v>
      </c>
      <c r="O8566" s="1" t="s">
        <v>5684</v>
      </c>
      <c r="P8566" s="1" t="s">
        <v>5685</v>
      </c>
      <c r="Q8566" s="30" t="s">
        <v>2567</v>
      </c>
      <c r="R8566" s="33" t="s">
        <v>8665</v>
      </c>
      <c r="S8566">
        <v>36</v>
      </c>
      <c r="T8566" s="1" t="s">
        <v>8661</v>
      </c>
      <c r="U8566" s="1" t="str">
        <f>HYPERLINK("http://ictvonline.org/taxonomy/p/taxonomy-history?taxnode_id=202107505","ICTVonline=202107505")</f>
        <v>ICTVonline=202107505</v>
      </c>
    </row>
    <row r="8567" spans="1:21" x14ac:dyDescent="0.2">
      <c r="A8567" s="3">
        <v>8566</v>
      </c>
      <c r="B8567" s="1" t="s">
        <v>4226</v>
      </c>
      <c r="D8567" s="1" t="s">
        <v>5412</v>
      </c>
      <c r="F8567" s="1" t="s">
        <v>5637</v>
      </c>
      <c r="H8567" s="1" t="s">
        <v>5640</v>
      </c>
      <c r="J8567" s="1" t="s">
        <v>1332</v>
      </c>
      <c r="K8567" s="1" t="s">
        <v>4177</v>
      </c>
      <c r="L8567" s="1" t="s">
        <v>4178</v>
      </c>
      <c r="M8567" s="1" t="s">
        <v>4186</v>
      </c>
      <c r="N8567" s="1" t="s">
        <v>4190</v>
      </c>
      <c r="O8567" s="1" t="s">
        <v>4191</v>
      </c>
      <c r="P8567" s="1" t="s">
        <v>2773</v>
      </c>
      <c r="Q8567" s="30" t="s">
        <v>2567</v>
      </c>
      <c r="R8567" s="33" t="s">
        <v>8665</v>
      </c>
      <c r="S8567">
        <v>36</v>
      </c>
      <c r="T8567" s="1" t="s">
        <v>8661</v>
      </c>
      <c r="U8567" s="1" t="str">
        <f>HYPERLINK("http://ictvonline.org/taxonomy/p/taxonomy-history?taxnode_id=202101892","ICTVonline=202101892")</f>
        <v>ICTVonline=202101892</v>
      </c>
    </row>
    <row r="8568" spans="1:21" x14ac:dyDescent="0.2">
      <c r="A8568" s="3">
        <v>8567</v>
      </c>
      <c r="B8568" s="1" t="s">
        <v>4226</v>
      </c>
      <c r="D8568" s="1" t="s">
        <v>5412</v>
      </c>
      <c r="F8568" s="1" t="s">
        <v>5637</v>
      </c>
      <c r="H8568" s="1" t="s">
        <v>5640</v>
      </c>
      <c r="J8568" s="1" t="s">
        <v>1332</v>
      </c>
      <c r="K8568" s="1" t="s">
        <v>4177</v>
      </c>
      <c r="L8568" s="1" t="s">
        <v>4178</v>
      </c>
      <c r="M8568" s="1" t="s">
        <v>4186</v>
      </c>
      <c r="N8568" s="1" t="s">
        <v>4190</v>
      </c>
      <c r="O8568" s="1" t="s">
        <v>4191</v>
      </c>
      <c r="P8568" s="1" t="s">
        <v>5686</v>
      </c>
      <c r="Q8568" s="30" t="s">
        <v>2567</v>
      </c>
      <c r="R8568" s="33" t="s">
        <v>3472</v>
      </c>
      <c r="S8568">
        <v>35</v>
      </c>
      <c r="T8568" s="1" t="s">
        <v>5642</v>
      </c>
      <c r="U8568" s="1" t="str">
        <f>HYPERLINK("http://ictvonline.org/taxonomy/p/taxonomy-history?taxnode_id=202107508","ICTVonline=202107508")</f>
        <v>ICTVonline=202107508</v>
      </c>
    </row>
    <row r="8569" spans="1:21" x14ac:dyDescent="0.2">
      <c r="A8569" s="3">
        <v>8568</v>
      </c>
      <c r="B8569" s="1" t="s">
        <v>4226</v>
      </c>
      <c r="D8569" s="1" t="s">
        <v>5412</v>
      </c>
      <c r="F8569" s="1" t="s">
        <v>5637</v>
      </c>
      <c r="H8569" s="1" t="s">
        <v>5640</v>
      </c>
      <c r="J8569" s="1" t="s">
        <v>1332</v>
      </c>
      <c r="K8569" s="1" t="s">
        <v>4177</v>
      </c>
      <c r="L8569" s="1" t="s">
        <v>4178</v>
      </c>
      <c r="M8569" s="1" t="s">
        <v>4186</v>
      </c>
      <c r="N8569" s="1" t="s">
        <v>4190</v>
      </c>
      <c r="O8569" s="1" t="s">
        <v>4191</v>
      </c>
      <c r="P8569" s="1" t="s">
        <v>13706</v>
      </c>
      <c r="Q8569" s="30" t="s">
        <v>2567</v>
      </c>
      <c r="R8569" s="33" t="s">
        <v>3472</v>
      </c>
      <c r="S8569">
        <v>37</v>
      </c>
      <c r="T8569" s="1" t="s">
        <v>14058</v>
      </c>
      <c r="U8569" s="1" t="str">
        <f>HYPERLINK("http://ictvonline.org/taxonomy/p/taxonomy-history?taxnode_id=202113917","ICTVonline=202113917")</f>
        <v>ICTVonline=202113917</v>
      </c>
    </row>
    <row r="8570" spans="1:21" x14ac:dyDescent="0.2">
      <c r="A8570" s="3">
        <v>8569</v>
      </c>
      <c r="B8570" s="1" t="s">
        <v>4226</v>
      </c>
      <c r="D8570" s="1" t="s">
        <v>5412</v>
      </c>
      <c r="F8570" s="1" t="s">
        <v>5637</v>
      </c>
      <c r="H8570" s="1" t="s">
        <v>5640</v>
      </c>
      <c r="J8570" s="1" t="s">
        <v>1332</v>
      </c>
      <c r="K8570" s="1" t="s">
        <v>4177</v>
      </c>
      <c r="L8570" s="1" t="s">
        <v>4178</v>
      </c>
      <c r="M8570" s="1" t="s">
        <v>4186</v>
      </c>
      <c r="N8570" s="1" t="s">
        <v>4190</v>
      </c>
      <c r="O8570" s="1" t="s">
        <v>5687</v>
      </c>
      <c r="P8570" s="1" t="s">
        <v>5688</v>
      </c>
      <c r="Q8570" s="30" t="s">
        <v>2567</v>
      </c>
      <c r="R8570" s="33" t="s">
        <v>3472</v>
      </c>
      <c r="S8570">
        <v>35</v>
      </c>
      <c r="T8570" s="1" t="s">
        <v>5642</v>
      </c>
      <c r="U8570" s="1" t="str">
        <f>HYPERLINK("http://ictvonline.org/taxonomy/p/taxonomy-history?taxnode_id=202107507","ICTVonline=202107507")</f>
        <v>ICTVonline=202107507</v>
      </c>
    </row>
    <row r="8571" spans="1:21" x14ac:dyDescent="0.2">
      <c r="A8571" s="3">
        <v>8570</v>
      </c>
      <c r="B8571" s="1" t="s">
        <v>4226</v>
      </c>
      <c r="D8571" s="1" t="s">
        <v>5412</v>
      </c>
      <c r="F8571" s="1" t="s">
        <v>5637</v>
      </c>
      <c r="H8571" s="1" t="s">
        <v>5640</v>
      </c>
      <c r="J8571" s="1" t="s">
        <v>1332</v>
      </c>
      <c r="K8571" s="1" t="s">
        <v>4177</v>
      </c>
      <c r="L8571" s="1" t="s">
        <v>4178</v>
      </c>
      <c r="M8571" s="1" t="s">
        <v>4186</v>
      </c>
      <c r="N8571" s="1" t="s">
        <v>4190</v>
      </c>
      <c r="O8571" s="1" t="s">
        <v>4196</v>
      </c>
      <c r="P8571" s="1" t="s">
        <v>4197</v>
      </c>
      <c r="Q8571" s="30" t="s">
        <v>2567</v>
      </c>
      <c r="R8571" s="33" t="s">
        <v>8660</v>
      </c>
      <c r="S8571">
        <v>35</v>
      </c>
      <c r="T8571" s="1" t="s">
        <v>5642</v>
      </c>
      <c r="U8571" s="1" t="str">
        <f>HYPERLINK("http://ictvonline.org/taxonomy/p/taxonomy-history?taxnode_id=202106156","ICTVonline=202106156")</f>
        <v>ICTVonline=202106156</v>
      </c>
    </row>
    <row r="8572" spans="1:21" x14ac:dyDescent="0.2">
      <c r="A8572" s="3">
        <v>8571</v>
      </c>
      <c r="B8572" s="1" t="s">
        <v>4226</v>
      </c>
      <c r="D8572" s="1" t="s">
        <v>5412</v>
      </c>
      <c r="F8572" s="1" t="s">
        <v>5637</v>
      </c>
      <c r="H8572" s="1" t="s">
        <v>5640</v>
      </c>
      <c r="J8572" s="1" t="s">
        <v>1332</v>
      </c>
      <c r="K8572" s="1" t="s">
        <v>4177</v>
      </c>
      <c r="L8572" s="1" t="s">
        <v>4178</v>
      </c>
      <c r="M8572" s="1" t="s">
        <v>4186</v>
      </c>
      <c r="N8572" s="1" t="s">
        <v>4193</v>
      </c>
      <c r="O8572" s="1" t="s">
        <v>4194</v>
      </c>
      <c r="P8572" s="1" t="s">
        <v>4195</v>
      </c>
      <c r="Q8572" s="30" t="s">
        <v>2567</v>
      </c>
      <c r="R8572" s="33" t="s">
        <v>8665</v>
      </c>
      <c r="S8572">
        <v>36</v>
      </c>
      <c r="T8572" s="1" t="s">
        <v>8661</v>
      </c>
      <c r="U8572" s="1" t="str">
        <f>HYPERLINK("http://ictvonline.org/taxonomy/p/taxonomy-history?taxnode_id=202106155","ICTVonline=202106155")</f>
        <v>ICTVonline=202106155</v>
      </c>
    </row>
    <row r="8573" spans="1:21" x14ac:dyDescent="0.2">
      <c r="A8573" s="3">
        <v>8572</v>
      </c>
      <c r="B8573" s="1" t="s">
        <v>4226</v>
      </c>
      <c r="D8573" s="1" t="s">
        <v>5412</v>
      </c>
      <c r="F8573" s="1" t="s">
        <v>5637</v>
      </c>
      <c r="H8573" s="1" t="s">
        <v>5640</v>
      </c>
      <c r="J8573" s="1" t="s">
        <v>1332</v>
      </c>
      <c r="K8573" s="1" t="s">
        <v>4177</v>
      </c>
      <c r="L8573" s="1" t="s">
        <v>4178</v>
      </c>
      <c r="M8573" s="1" t="s">
        <v>4186</v>
      </c>
      <c r="N8573" s="1" t="s">
        <v>13707</v>
      </c>
      <c r="O8573" s="1" t="s">
        <v>13708</v>
      </c>
      <c r="P8573" s="1" t="s">
        <v>13709</v>
      </c>
      <c r="Q8573" s="30" t="s">
        <v>2567</v>
      </c>
      <c r="R8573" s="33" t="s">
        <v>3472</v>
      </c>
      <c r="S8573">
        <v>37</v>
      </c>
      <c r="T8573" s="1" t="s">
        <v>14058</v>
      </c>
      <c r="U8573" s="1" t="str">
        <f>HYPERLINK("http://ictvonline.org/taxonomy/p/taxonomy-history?taxnode_id=202113920","ICTVonline=202113920")</f>
        <v>ICTVonline=202113920</v>
      </c>
    </row>
    <row r="8574" spans="1:21" x14ac:dyDescent="0.2">
      <c r="A8574" s="3">
        <v>8573</v>
      </c>
      <c r="B8574" s="1" t="s">
        <v>4226</v>
      </c>
      <c r="D8574" s="1" t="s">
        <v>5412</v>
      </c>
      <c r="F8574" s="1" t="s">
        <v>5637</v>
      </c>
      <c r="H8574" s="1" t="s">
        <v>5640</v>
      </c>
      <c r="J8574" s="1" t="s">
        <v>1332</v>
      </c>
      <c r="K8574" s="1" t="s">
        <v>4177</v>
      </c>
      <c r="L8574" s="1" t="s">
        <v>4178</v>
      </c>
      <c r="M8574" s="1" t="s">
        <v>4186</v>
      </c>
      <c r="N8574" s="1" t="s">
        <v>13710</v>
      </c>
      <c r="O8574" s="1" t="s">
        <v>13711</v>
      </c>
      <c r="P8574" s="1" t="s">
        <v>13712</v>
      </c>
      <c r="Q8574" s="30" t="s">
        <v>2567</v>
      </c>
      <c r="R8574" s="33" t="s">
        <v>3472</v>
      </c>
      <c r="S8574">
        <v>37</v>
      </c>
      <c r="T8574" s="1" t="s">
        <v>14058</v>
      </c>
      <c r="U8574" s="1" t="str">
        <f>HYPERLINK("http://ictvonline.org/taxonomy/p/taxonomy-history?taxnode_id=202113923","ICTVonline=202113923")</f>
        <v>ICTVonline=202113923</v>
      </c>
    </row>
    <row r="8575" spans="1:21" x14ac:dyDescent="0.2">
      <c r="A8575" s="3">
        <v>8574</v>
      </c>
      <c r="B8575" s="1" t="s">
        <v>4226</v>
      </c>
      <c r="D8575" s="1" t="s">
        <v>5412</v>
      </c>
      <c r="F8575" s="1" t="s">
        <v>5637</v>
      </c>
      <c r="H8575" s="1" t="s">
        <v>5640</v>
      </c>
      <c r="J8575" s="1" t="s">
        <v>1332</v>
      </c>
      <c r="K8575" s="1" t="s">
        <v>4177</v>
      </c>
      <c r="L8575" s="1" t="s">
        <v>4178</v>
      </c>
      <c r="M8575" s="1" t="s">
        <v>4186</v>
      </c>
      <c r="N8575" s="1" t="s">
        <v>13713</v>
      </c>
      <c r="O8575" s="1" t="s">
        <v>13714</v>
      </c>
      <c r="P8575" s="1" t="s">
        <v>13715</v>
      </c>
      <c r="Q8575" s="30" t="s">
        <v>2567</v>
      </c>
      <c r="R8575" s="33" t="s">
        <v>3472</v>
      </c>
      <c r="S8575">
        <v>37</v>
      </c>
      <c r="T8575" s="1" t="s">
        <v>14058</v>
      </c>
      <c r="U8575" s="1" t="str">
        <f>HYPERLINK("http://ictvonline.org/taxonomy/p/taxonomy-history?taxnode_id=202113916","ICTVonline=202113916")</f>
        <v>ICTVonline=202113916</v>
      </c>
    </row>
    <row r="8576" spans="1:21" x14ac:dyDescent="0.2">
      <c r="A8576" s="3">
        <v>8575</v>
      </c>
      <c r="B8576" s="1" t="s">
        <v>4226</v>
      </c>
      <c r="D8576" s="1" t="s">
        <v>5412</v>
      </c>
      <c r="F8576" s="1" t="s">
        <v>5637</v>
      </c>
      <c r="H8576" s="1" t="s">
        <v>5640</v>
      </c>
      <c r="J8576" s="1" t="s">
        <v>1332</v>
      </c>
      <c r="K8576" s="1" t="s">
        <v>4177</v>
      </c>
      <c r="L8576" s="1" t="s">
        <v>4178</v>
      </c>
      <c r="M8576" s="1" t="s">
        <v>414</v>
      </c>
      <c r="N8576" s="1" t="s">
        <v>976</v>
      </c>
      <c r="O8576" s="1" t="s">
        <v>13716</v>
      </c>
      <c r="P8576" s="1" t="s">
        <v>13717</v>
      </c>
      <c r="Q8576" s="30" t="s">
        <v>2567</v>
      </c>
      <c r="R8576" s="33" t="s">
        <v>3472</v>
      </c>
      <c r="S8576">
        <v>37</v>
      </c>
      <c r="T8576" s="1" t="s">
        <v>14058</v>
      </c>
      <c r="U8576" s="1" t="str">
        <f>HYPERLINK("http://ictvonline.org/taxonomy/p/taxonomy-history?taxnode_id=202113909","ICTVonline=202113909")</f>
        <v>ICTVonline=202113909</v>
      </c>
    </row>
    <row r="8577" spans="1:21" x14ac:dyDescent="0.2">
      <c r="A8577" s="3">
        <v>8576</v>
      </c>
      <c r="B8577" s="1" t="s">
        <v>4226</v>
      </c>
      <c r="D8577" s="1" t="s">
        <v>5412</v>
      </c>
      <c r="F8577" s="1" t="s">
        <v>5637</v>
      </c>
      <c r="H8577" s="1" t="s">
        <v>5640</v>
      </c>
      <c r="J8577" s="1" t="s">
        <v>1332</v>
      </c>
      <c r="K8577" s="1" t="s">
        <v>4177</v>
      </c>
      <c r="L8577" s="1" t="s">
        <v>4178</v>
      </c>
      <c r="M8577" s="1" t="s">
        <v>414</v>
      </c>
      <c r="N8577" s="1" t="s">
        <v>976</v>
      </c>
      <c r="O8577" s="1" t="s">
        <v>4198</v>
      </c>
      <c r="P8577" s="1" t="s">
        <v>977</v>
      </c>
      <c r="Q8577" s="30" t="s">
        <v>2567</v>
      </c>
      <c r="R8577" s="33" t="s">
        <v>3474</v>
      </c>
      <c r="S8577">
        <v>35</v>
      </c>
      <c r="T8577" s="1" t="s">
        <v>5416</v>
      </c>
      <c r="U8577" s="1" t="str">
        <f>HYPERLINK("http://ictvonline.org/taxonomy/p/taxonomy-history?taxnode_id=202101887","ICTVonline=202101887")</f>
        <v>ICTVonline=202101887</v>
      </c>
    </row>
    <row r="8578" spans="1:21" x14ac:dyDescent="0.2">
      <c r="A8578" s="3">
        <v>8577</v>
      </c>
      <c r="B8578" s="1" t="s">
        <v>4226</v>
      </c>
      <c r="D8578" s="1" t="s">
        <v>5412</v>
      </c>
      <c r="F8578" s="1" t="s">
        <v>5637</v>
      </c>
      <c r="H8578" s="1" t="s">
        <v>5640</v>
      </c>
      <c r="J8578" s="1" t="s">
        <v>1332</v>
      </c>
      <c r="K8578" s="1" t="s">
        <v>4177</v>
      </c>
      <c r="L8578" s="1" t="s">
        <v>4178</v>
      </c>
      <c r="M8578" s="1" t="s">
        <v>414</v>
      </c>
      <c r="N8578" s="1" t="s">
        <v>976</v>
      </c>
      <c r="O8578" s="1" t="s">
        <v>4198</v>
      </c>
      <c r="P8578" s="1" t="s">
        <v>647</v>
      </c>
      <c r="Q8578" s="30" t="s">
        <v>2567</v>
      </c>
      <c r="R8578" s="33" t="s">
        <v>8665</v>
      </c>
      <c r="S8578">
        <v>36</v>
      </c>
      <c r="T8578" s="1" t="s">
        <v>8661</v>
      </c>
      <c r="U8578" s="1" t="str">
        <f>HYPERLINK("http://ictvonline.org/taxonomy/p/taxonomy-history?taxnode_id=202101888","ICTVonline=202101888")</f>
        <v>ICTVonline=202101888</v>
      </c>
    </row>
    <row r="8579" spans="1:21" x14ac:dyDescent="0.2">
      <c r="A8579" s="3">
        <v>8578</v>
      </c>
      <c r="B8579" s="1" t="s">
        <v>4226</v>
      </c>
      <c r="D8579" s="1" t="s">
        <v>5412</v>
      </c>
      <c r="F8579" s="1" t="s">
        <v>5637</v>
      </c>
      <c r="H8579" s="1" t="s">
        <v>5640</v>
      </c>
      <c r="J8579" s="1" t="s">
        <v>1332</v>
      </c>
      <c r="K8579" s="1" t="s">
        <v>4177</v>
      </c>
      <c r="L8579" s="1" t="s">
        <v>4178</v>
      </c>
      <c r="M8579" s="1" t="s">
        <v>414</v>
      </c>
      <c r="N8579" s="1" t="s">
        <v>976</v>
      </c>
      <c r="O8579" s="1" t="s">
        <v>4198</v>
      </c>
      <c r="P8579" s="1" t="s">
        <v>978</v>
      </c>
      <c r="Q8579" s="30" t="s">
        <v>2567</v>
      </c>
      <c r="R8579" s="33" t="s">
        <v>3474</v>
      </c>
      <c r="S8579">
        <v>35</v>
      </c>
      <c r="T8579" s="1" t="s">
        <v>5416</v>
      </c>
      <c r="U8579" s="1" t="str">
        <f>HYPERLINK("http://ictvonline.org/taxonomy/p/taxonomy-history?taxnode_id=202101890","ICTVonline=202101890")</f>
        <v>ICTVonline=202101890</v>
      </c>
    </row>
    <row r="8580" spans="1:21" x14ac:dyDescent="0.2">
      <c r="A8580" s="3">
        <v>8579</v>
      </c>
      <c r="B8580" s="1" t="s">
        <v>4226</v>
      </c>
      <c r="D8580" s="1" t="s">
        <v>5412</v>
      </c>
      <c r="F8580" s="1" t="s">
        <v>5637</v>
      </c>
      <c r="H8580" s="1" t="s">
        <v>5640</v>
      </c>
      <c r="J8580" s="1" t="s">
        <v>982</v>
      </c>
      <c r="L8580" s="1" t="s">
        <v>1868</v>
      </c>
      <c r="N8580" s="1" t="s">
        <v>4454</v>
      </c>
      <c r="P8580" s="1" t="s">
        <v>4455</v>
      </c>
      <c r="Q8580" s="30" t="s">
        <v>2567</v>
      </c>
      <c r="R8580" s="33" t="s">
        <v>8665</v>
      </c>
      <c r="S8580">
        <v>36</v>
      </c>
      <c r="T8580" s="1" t="s">
        <v>8661</v>
      </c>
      <c r="U8580" s="1" t="str">
        <f>HYPERLINK("http://ictvonline.org/taxonomy/p/taxonomy-history?taxnode_id=202106495","ICTVonline=202106495")</f>
        <v>ICTVonline=202106495</v>
      </c>
    </row>
    <row r="8581" spans="1:21" x14ac:dyDescent="0.2">
      <c r="A8581" s="3">
        <v>8580</v>
      </c>
      <c r="B8581" s="1" t="s">
        <v>4226</v>
      </c>
      <c r="D8581" s="1" t="s">
        <v>5412</v>
      </c>
      <c r="F8581" s="1" t="s">
        <v>5637</v>
      </c>
      <c r="H8581" s="1" t="s">
        <v>5640</v>
      </c>
      <c r="J8581" s="1" t="s">
        <v>982</v>
      </c>
      <c r="L8581" s="1" t="s">
        <v>1868</v>
      </c>
      <c r="N8581" s="1" t="s">
        <v>1869</v>
      </c>
      <c r="P8581" s="1" t="s">
        <v>1870</v>
      </c>
      <c r="Q8581" s="30" t="s">
        <v>2567</v>
      </c>
      <c r="R8581" s="33" t="s">
        <v>3474</v>
      </c>
      <c r="S8581">
        <v>35</v>
      </c>
      <c r="T8581" s="1" t="s">
        <v>5416</v>
      </c>
      <c r="U8581" s="1" t="str">
        <f>HYPERLINK("http://ictvonline.org/taxonomy/p/taxonomy-history?taxnode_id=202102801","ICTVonline=202102801")</f>
        <v>ICTVonline=202102801</v>
      </c>
    </row>
    <row r="8582" spans="1:21" x14ac:dyDescent="0.2">
      <c r="A8582" s="3">
        <v>8581</v>
      </c>
      <c r="B8582" s="1" t="s">
        <v>4226</v>
      </c>
      <c r="D8582" s="1" t="s">
        <v>5412</v>
      </c>
      <c r="F8582" s="1" t="s">
        <v>5637</v>
      </c>
      <c r="H8582" s="1" t="s">
        <v>5640</v>
      </c>
      <c r="J8582" s="1" t="s">
        <v>982</v>
      </c>
      <c r="L8582" s="1" t="s">
        <v>1868</v>
      </c>
      <c r="N8582" s="1" t="s">
        <v>1869</v>
      </c>
      <c r="P8582" s="1" t="s">
        <v>1871</v>
      </c>
      <c r="Q8582" s="30" t="s">
        <v>2567</v>
      </c>
      <c r="R8582" s="33" t="s">
        <v>8665</v>
      </c>
      <c r="S8582">
        <v>36</v>
      </c>
      <c r="T8582" s="1" t="s">
        <v>8661</v>
      </c>
      <c r="U8582" s="1" t="str">
        <f>HYPERLINK("http://ictvonline.org/taxonomy/p/taxonomy-history?taxnode_id=202102802","ICTVonline=202102802")</f>
        <v>ICTVonline=202102802</v>
      </c>
    </row>
    <row r="8583" spans="1:21" x14ac:dyDescent="0.2">
      <c r="A8583" s="3">
        <v>8582</v>
      </c>
      <c r="B8583" s="1" t="s">
        <v>4226</v>
      </c>
      <c r="D8583" s="1" t="s">
        <v>5412</v>
      </c>
      <c r="F8583" s="1" t="s">
        <v>5637</v>
      </c>
      <c r="H8583" s="1" t="s">
        <v>5640</v>
      </c>
      <c r="J8583" s="1" t="s">
        <v>982</v>
      </c>
      <c r="L8583" s="1" t="s">
        <v>1868</v>
      </c>
      <c r="N8583" s="1" t="s">
        <v>4456</v>
      </c>
      <c r="P8583" s="1" t="s">
        <v>4457</v>
      </c>
      <c r="Q8583" s="30" t="s">
        <v>2567</v>
      </c>
      <c r="R8583" s="33" t="s">
        <v>8665</v>
      </c>
      <c r="S8583">
        <v>36</v>
      </c>
      <c r="T8583" s="1" t="s">
        <v>8661</v>
      </c>
      <c r="U8583" s="1" t="str">
        <f>HYPERLINK("http://ictvonline.org/taxonomy/p/taxonomy-history?taxnode_id=202106497","ICTVonline=202106497")</f>
        <v>ICTVonline=202106497</v>
      </c>
    </row>
    <row r="8584" spans="1:21" x14ac:dyDescent="0.2">
      <c r="A8584" s="3">
        <v>8583</v>
      </c>
      <c r="B8584" s="1" t="s">
        <v>4226</v>
      </c>
      <c r="D8584" s="1" t="s">
        <v>5412</v>
      </c>
      <c r="F8584" s="1" t="s">
        <v>5637</v>
      </c>
      <c r="H8584" s="1" t="s">
        <v>5640</v>
      </c>
      <c r="J8584" s="1" t="s">
        <v>982</v>
      </c>
      <c r="L8584" s="1" t="s">
        <v>1868</v>
      </c>
      <c r="N8584" s="1" t="s">
        <v>4458</v>
      </c>
      <c r="P8584" s="1" t="s">
        <v>4459</v>
      </c>
      <c r="Q8584" s="30" t="s">
        <v>2567</v>
      </c>
      <c r="R8584" s="33" t="s">
        <v>8665</v>
      </c>
      <c r="S8584">
        <v>36</v>
      </c>
      <c r="T8584" s="1" t="s">
        <v>8661</v>
      </c>
      <c r="U8584" s="1" t="str">
        <f>HYPERLINK("http://ictvonline.org/taxonomy/p/taxonomy-history?taxnode_id=202106499","ICTVonline=202106499")</f>
        <v>ICTVonline=202106499</v>
      </c>
    </row>
    <row r="8585" spans="1:21" x14ac:dyDescent="0.2">
      <c r="A8585" s="3">
        <v>8584</v>
      </c>
      <c r="B8585" s="1" t="s">
        <v>4226</v>
      </c>
      <c r="D8585" s="1" t="s">
        <v>5412</v>
      </c>
      <c r="F8585" s="1" t="s">
        <v>5637</v>
      </c>
      <c r="H8585" s="1" t="s">
        <v>5640</v>
      </c>
      <c r="J8585" s="1" t="s">
        <v>982</v>
      </c>
      <c r="L8585" s="1" t="s">
        <v>1868</v>
      </c>
      <c r="N8585" s="1" t="s">
        <v>1716</v>
      </c>
      <c r="P8585" s="1" t="s">
        <v>3781</v>
      </c>
      <c r="Q8585" s="30" t="s">
        <v>2567</v>
      </c>
      <c r="R8585" s="33" t="s">
        <v>8665</v>
      </c>
      <c r="S8585">
        <v>36</v>
      </c>
      <c r="T8585" s="1" t="s">
        <v>8661</v>
      </c>
      <c r="U8585" s="1" t="str">
        <f>HYPERLINK("http://ictvonline.org/taxonomy/p/taxonomy-history?taxnode_id=202102804","ICTVonline=202102804")</f>
        <v>ICTVonline=202102804</v>
      </c>
    </row>
    <row r="8586" spans="1:21" x14ac:dyDescent="0.2">
      <c r="A8586" s="3">
        <v>8585</v>
      </c>
      <c r="B8586" s="1" t="s">
        <v>4226</v>
      </c>
      <c r="D8586" s="1" t="s">
        <v>5412</v>
      </c>
      <c r="F8586" s="1" t="s">
        <v>5637</v>
      </c>
      <c r="H8586" s="1" t="s">
        <v>5640</v>
      </c>
      <c r="J8586" s="1" t="s">
        <v>982</v>
      </c>
      <c r="L8586" s="1" t="s">
        <v>1868</v>
      </c>
      <c r="N8586" s="1" t="s">
        <v>1872</v>
      </c>
      <c r="P8586" s="1" t="s">
        <v>1873</v>
      </c>
      <c r="Q8586" s="30" t="s">
        <v>2567</v>
      </c>
      <c r="R8586" s="33" t="s">
        <v>8665</v>
      </c>
      <c r="S8586">
        <v>36</v>
      </c>
      <c r="T8586" s="1" t="s">
        <v>8661</v>
      </c>
      <c r="U8586" s="1" t="str">
        <f>HYPERLINK("http://ictvonline.org/taxonomy/p/taxonomy-history?taxnode_id=202102806","ICTVonline=202102806")</f>
        <v>ICTVonline=202102806</v>
      </c>
    </row>
    <row r="8587" spans="1:21" x14ac:dyDescent="0.2">
      <c r="A8587" s="3">
        <v>8586</v>
      </c>
      <c r="B8587" s="1" t="s">
        <v>4226</v>
      </c>
      <c r="D8587" s="1" t="s">
        <v>5412</v>
      </c>
      <c r="F8587" s="1" t="s">
        <v>5637</v>
      </c>
      <c r="H8587" s="1" t="s">
        <v>5640</v>
      </c>
      <c r="J8587" s="1" t="s">
        <v>982</v>
      </c>
      <c r="L8587" s="1" t="s">
        <v>1868</v>
      </c>
      <c r="N8587" s="1" t="s">
        <v>4460</v>
      </c>
      <c r="P8587" s="1" t="s">
        <v>4461</v>
      </c>
      <c r="Q8587" s="30" t="s">
        <v>2567</v>
      </c>
      <c r="R8587" s="33" t="s">
        <v>8665</v>
      </c>
      <c r="S8587">
        <v>36</v>
      </c>
      <c r="T8587" s="1" t="s">
        <v>8661</v>
      </c>
      <c r="U8587" s="1" t="str">
        <f>HYPERLINK("http://ictvonline.org/taxonomy/p/taxonomy-history?taxnode_id=202106501","ICTVonline=202106501")</f>
        <v>ICTVonline=202106501</v>
      </c>
    </row>
    <row r="8588" spans="1:21" x14ac:dyDescent="0.2">
      <c r="A8588" s="3">
        <v>8587</v>
      </c>
      <c r="B8588" s="1" t="s">
        <v>4226</v>
      </c>
      <c r="D8588" s="1" t="s">
        <v>5412</v>
      </c>
      <c r="F8588" s="1" t="s">
        <v>5637</v>
      </c>
      <c r="H8588" s="1" t="s">
        <v>5640</v>
      </c>
      <c r="J8588" s="1" t="s">
        <v>982</v>
      </c>
      <c r="L8588" s="1" t="s">
        <v>1868</v>
      </c>
      <c r="N8588" s="1" t="s">
        <v>4462</v>
      </c>
      <c r="P8588" s="1" t="s">
        <v>4463</v>
      </c>
      <c r="Q8588" s="30" t="s">
        <v>2567</v>
      </c>
      <c r="R8588" s="33" t="s">
        <v>8665</v>
      </c>
      <c r="S8588">
        <v>36</v>
      </c>
      <c r="T8588" s="1" t="s">
        <v>8661</v>
      </c>
      <c r="U8588" s="1" t="str">
        <f>HYPERLINK("http://ictvonline.org/taxonomy/p/taxonomy-history?taxnode_id=202106503","ICTVonline=202106503")</f>
        <v>ICTVonline=202106503</v>
      </c>
    </row>
    <row r="8589" spans="1:21" x14ac:dyDescent="0.2">
      <c r="A8589" s="3">
        <v>8588</v>
      </c>
      <c r="B8589" s="1" t="s">
        <v>4226</v>
      </c>
      <c r="D8589" s="1" t="s">
        <v>5412</v>
      </c>
      <c r="F8589" s="1" t="s">
        <v>5637</v>
      </c>
      <c r="H8589" s="1" t="s">
        <v>5640</v>
      </c>
      <c r="J8589" s="1" t="s">
        <v>982</v>
      </c>
      <c r="L8589" s="1" t="s">
        <v>1868</v>
      </c>
      <c r="N8589" s="1" t="s">
        <v>1874</v>
      </c>
      <c r="P8589" s="1" t="s">
        <v>1875</v>
      </c>
      <c r="Q8589" s="30" t="s">
        <v>2567</v>
      </c>
      <c r="R8589" s="33" t="s">
        <v>8665</v>
      </c>
      <c r="S8589">
        <v>36</v>
      </c>
      <c r="T8589" s="1" t="s">
        <v>8661</v>
      </c>
      <c r="U8589" s="1" t="str">
        <f>HYPERLINK("http://ictvonline.org/taxonomy/p/taxonomy-history?taxnode_id=202102808","ICTVonline=202102808")</f>
        <v>ICTVonline=202102808</v>
      </c>
    </row>
    <row r="8590" spans="1:21" x14ac:dyDescent="0.2">
      <c r="A8590" s="3">
        <v>8589</v>
      </c>
      <c r="B8590" s="1" t="s">
        <v>4226</v>
      </c>
      <c r="D8590" s="1" t="s">
        <v>5412</v>
      </c>
      <c r="F8590" s="1" t="s">
        <v>5637</v>
      </c>
      <c r="H8590" s="1" t="s">
        <v>5640</v>
      </c>
      <c r="J8590" s="1" t="s">
        <v>982</v>
      </c>
      <c r="L8590" s="1" t="s">
        <v>1868</v>
      </c>
      <c r="N8590" s="1" t="s">
        <v>4464</v>
      </c>
      <c r="P8590" s="1" t="s">
        <v>4465</v>
      </c>
      <c r="Q8590" s="30" t="s">
        <v>2567</v>
      </c>
      <c r="R8590" s="33" t="s">
        <v>8665</v>
      </c>
      <c r="S8590">
        <v>36</v>
      </c>
      <c r="T8590" s="1" t="s">
        <v>8661</v>
      </c>
      <c r="U8590" s="1" t="str">
        <f>HYPERLINK("http://ictvonline.org/taxonomy/p/taxonomy-history?taxnode_id=202106505","ICTVonline=202106505")</f>
        <v>ICTVonline=202106505</v>
      </c>
    </row>
    <row r="8591" spans="1:21" x14ac:dyDescent="0.2">
      <c r="A8591" s="3">
        <v>8590</v>
      </c>
      <c r="B8591" s="1" t="s">
        <v>4226</v>
      </c>
      <c r="D8591" s="1" t="s">
        <v>5412</v>
      </c>
      <c r="F8591" s="1" t="s">
        <v>5637</v>
      </c>
      <c r="H8591" s="1" t="s">
        <v>5640</v>
      </c>
      <c r="J8591" s="1" t="s">
        <v>982</v>
      </c>
      <c r="L8591" s="1" t="s">
        <v>1868</v>
      </c>
      <c r="N8591" s="1" t="s">
        <v>1876</v>
      </c>
      <c r="P8591" s="1" t="s">
        <v>1877</v>
      </c>
      <c r="Q8591" s="30" t="s">
        <v>2567</v>
      </c>
      <c r="R8591" s="33" t="s">
        <v>3474</v>
      </c>
      <c r="S8591">
        <v>35</v>
      </c>
      <c r="T8591" s="1" t="s">
        <v>5416</v>
      </c>
      <c r="U8591" s="1" t="str">
        <f>HYPERLINK("http://ictvonline.org/taxonomy/p/taxonomy-history?taxnode_id=202102810","ICTVonline=202102810")</f>
        <v>ICTVonline=202102810</v>
      </c>
    </row>
    <row r="8592" spans="1:21" x14ac:dyDescent="0.2">
      <c r="A8592" s="3">
        <v>8591</v>
      </c>
      <c r="B8592" s="1" t="s">
        <v>4226</v>
      </c>
      <c r="D8592" s="1" t="s">
        <v>5412</v>
      </c>
      <c r="F8592" s="1" t="s">
        <v>5637</v>
      </c>
      <c r="H8592" s="1" t="s">
        <v>5640</v>
      </c>
      <c r="J8592" s="1" t="s">
        <v>982</v>
      </c>
      <c r="L8592" s="1" t="s">
        <v>1868</v>
      </c>
      <c r="N8592" s="1" t="s">
        <v>1876</v>
      </c>
      <c r="P8592" s="1" t="s">
        <v>1878</v>
      </c>
      <c r="Q8592" s="30" t="s">
        <v>2567</v>
      </c>
      <c r="R8592" s="33" t="s">
        <v>8665</v>
      </c>
      <c r="S8592">
        <v>36</v>
      </c>
      <c r="T8592" s="1" t="s">
        <v>8661</v>
      </c>
      <c r="U8592" s="1" t="str">
        <f>HYPERLINK("http://ictvonline.org/taxonomy/p/taxonomy-history?taxnode_id=202102811","ICTVonline=202102811")</f>
        <v>ICTVonline=202102811</v>
      </c>
    </row>
    <row r="8593" spans="1:21" x14ac:dyDescent="0.2">
      <c r="A8593" s="3">
        <v>8592</v>
      </c>
      <c r="B8593" s="1" t="s">
        <v>4226</v>
      </c>
      <c r="D8593" s="1" t="s">
        <v>5412</v>
      </c>
      <c r="F8593" s="1" t="s">
        <v>5637</v>
      </c>
      <c r="H8593" s="1" t="s">
        <v>5640</v>
      </c>
      <c r="J8593" s="1" t="s">
        <v>982</v>
      </c>
      <c r="L8593" s="1" t="s">
        <v>945</v>
      </c>
      <c r="N8593" s="1" t="s">
        <v>1256</v>
      </c>
      <c r="P8593" s="1" t="s">
        <v>942</v>
      </c>
      <c r="Q8593" s="30" t="s">
        <v>2567</v>
      </c>
      <c r="R8593" s="33" t="s">
        <v>8665</v>
      </c>
      <c r="S8593">
        <v>36</v>
      </c>
      <c r="T8593" s="1" t="s">
        <v>8661</v>
      </c>
      <c r="U8593" s="1" t="str">
        <f>HYPERLINK("http://ictvonline.org/taxonomy/p/taxonomy-history?taxnode_id=202101914","ICTVonline=202101914")</f>
        <v>ICTVonline=202101914</v>
      </c>
    </row>
    <row r="8594" spans="1:21" x14ac:dyDescent="0.2">
      <c r="A8594" s="3">
        <v>8593</v>
      </c>
      <c r="B8594" s="1" t="s">
        <v>4226</v>
      </c>
      <c r="D8594" s="1" t="s">
        <v>5412</v>
      </c>
      <c r="F8594" s="1" t="s">
        <v>5637</v>
      </c>
      <c r="H8594" s="1" t="s">
        <v>5640</v>
      </c>
      <c r="J8594" s="1" t="s">
        <v>982</v>
      </c>
      <c r="L8594" s="1" t="s">
        <v>945</v>
      </c>
      <c r="N8594" s="1" t="s">
        <v>1256</v>
      </c>
      <c r="P8594" s="1" t="s">
        <v>1257</v>
      </c>
      <c r="Q8594" s="30" t="s">
        <v>2567</v>
      </c>
      <c r="R8594" s="33" t="s">
        <v>3474</v>
      </c>
      <c r="S8594">
        <v>35</v>
      </c>
      <c r="T8594" s="1" t="s">
        <v>5416</v>
      </c>
      <c r="U8594" s="1" t="str">
        <f>HYPERLINK("http://ictvonline.org/taxonomy/p/taxonomy-history?taxnode_id=202101915","ICTVonline=202101915")</f>
        <v>ICTVonline=202101915</v>
      </c>
    </row>
    <row r="8595" spans="1:21" x14ac:dyDescent="0.2">
      <c r="A8595" s="3">
        <v>8594</v>
      </c>
      <c r="B8595" s="1" t="s">
        <v>4226</v>
      </c>
      <c r="D8595" s="1" t="s">
        <v>5412</v>
      </c>
      <c r="F8595" s="1" t="s">
        <v>5637</v>
      </c>
      <c r="H8595" s="1" t="s">
        <v>5640</v>
      </c>
      <c r="J8595" s="1" t="s">
        <v>982</v>
      </c>
      <c r="L8595" s="1" t="s">
        <v>945</v>
      </c>
      <c r="N8595" s="1" t="s">
        <v>1256</v>
      </c>
      <c r="P8595" s="1" t="s">
        <v>943</v>
      </c>
      <c r="Q8595" s="30" t="s">
        <v>2567</v>
      </c>
      <c r="R8595" s="33" t="s">
        <v>3474</v>
      </c>
      <c r="S8595">
        <v>35</v>
      </c>
      <c r="T8595" s="1" t="s">
        <v>5416</v>
      </c>
      <c r="U8595" s="1" t="str">
        <f>HYPERLINK("http://ictvonline.org/taxonomy/p/taxonomy-history?taxnode_id=202101916","ICTVonline=202101916")</f>
        <v>ICTVonline=202101916</v>
      </c>
    </row>
    <row r="8596" spans="1:21" x14ac:dyDescent="0.2">
      <c r="A8596" s="3">
        <v>8595</v>
      </c>
      <c r="B8596" s="1" t="s">
        <v>4226</v>
      </c>
      <c r="D8596" s="1" t="s">
        <v>5412</v>
      </c>
      <c r="F8596" s="1" t="s">
        <v>5637</v>
      </c>
      <c r="H8596" s="1" t="s">
        <v>5640</v>
      </c>
      <c r="J8596" s="1" t="s">
        <v>982</v>
      </c>
      <c r="L8596" s="1" t="s">
        <v>945</v>
      </c>
      <c r="N8596" s="1" t="s">
        <v>1256</v>
      </c>
      <c r="P8596" s="1" t="s">
        <v>2</v>
      </c>
      <c r="Q8596" s="30" t="s">
        <v>2567</v>
      </c>
      <c r="R8596" s="33" t="s">
        <v>3474</v>
      </c>
      <c r="S8596">
        <v>35</v>
      </c>
      <c r="T8596" s="1" t="s">
        <v>5416</v>
      </c>
      <c r="U8596" s="1" t="str">
        <f>HYPERLINK("http://ictvonline.org/taxonomy/p/taxonomy-history?taxnode_id=202101917","ICTVonline=202101917")</f>
        <v>ICTVonline=202101917</v>
      </c>
    </row>
    <row r="8597" spans="1:21" x14ac:dyDescent="0.2">
      <c r="A8597" s="3">
        <v>8596</v>
      </c>
      <c r="B8597" s="1" t="s">
        <v>4226</v>
      </c>
      <c r="D8597" s="1" t="s">
        <v>5412</v>
      </c>
      <c r="F8597" s="1" t="s">
        <v>5637</v>
      </c>
      <c r="H8597" s="1" t="s">
        <v>5640</v>
      </c>
      <c r="J8597" s="1" t="s">
        <v>982</v>
      </c>
      <c r="L8597" s="1" t="s">
        <v>945</v>
      </c>
      <c r="N8597" s="1" t="s">
        <v>1256</v>
      </c>
      <c r="P8597" s="1" t="s">
        <v>3597</v>
      </c>
      <c r="Q8597" s="30" t="s">
        <v>2567</v>
      </c>
      <c r="R8597" s="33" t="s">
        <v>3474</v>
      </c>
      <c r="S8597">
        <v>35</v>
      </c>
      <c r="T8597" s="1" t="s">
        <v>5416</v>
      </c>
      <c r="U8597" s="1" t="str">
        <f>HYPERLINK("http://ictvonline.org/taxonomy/p/taxonomy-history?taxnode_id=202101918","ICTVonline=202101918")</f>
        <v>ICTVonline=202101918</v>
      </c>
    </row>
    <row r="8598" spans="1:21" x14ac:dyDescent="0.2">
      <c r="A8598" s="3">
        <v>8597</v>
      </c>
      <c r="B8598" s="1" t="s">
        <v>4226</v>
      </c>
      <c r="D8598" s="1" t="s">
        <v>5412</v>
      </c>
      <c r="F8598" s="1" t="s">
        <v>5637</v>
      </c>
      <c r="H8598" s="1" t="s">
        <v>5640</v>
      </c>
      <c r="J8598" s="1" t="s">
        <v>982</v>
      </c>
      <c r="L8598" s="1" t="s">
        <v>945</v>
      </c>
      <c r="N8598" s="1" t="s">
        <v>1256</v>
      </c>
      <c r="P8598" s="1" t="s">
        <v>944</v>
      </c>
      <c r="Q8598" s="30" t="s">
        <v>2567</v>
      </c>
      <c r="R8598" s="33" t="s">
        <v>3474</v>
      </c>
      <c r="S8598">
        <v>35</v>
      </c>
      <c r="T8598" s="1" t="s">
        <v>5416</v>
      </c>
      <c r="U8598" s="1" t="str">
        <f>HYPERLINK("http://ictvonline.org/taxonomy/p/taxonomy-history?taxnode_id=202101919","ICTVonline=202101919")</f>
        <v>ICTVonline=202101919</v>
      </c>
    </row>
    <row r="8599" spans="1:21" x14ac:dyDescent="0.2">
      <c r="A8599" s="3">
        <v>8598</v>
      </c>
      <c r="B8599" s="1" t="s">
        <v>4226</v>
      </c>
      <c r="D8599" s="1" t="s">
        <v>5412</v>
      </c>
      <c r="F8599" s="1" t="s">
        <v>5637</v>
      </c>
      <c r="H8599" s="1" t="s">
        <v>5640</v>
      </c>
      <c r="J8599" s="1" t="s">
        <v>982</v>
      </c>
      <c r="L8599" s="1" t="s">
        <v>945</v>
      </c>
      <c r="N8599" s="1" t="s">
        <v>946</v>
      </c>
      <c r="P8599" s="1" t="s">
        <v>947</v>
      </c>
      <c r="Q8599" s="30" t="s">
        <v>2567</v>
      </c>
      <c r="R8599" s="33" t="s">
        <v>3474</v>
      </c>
      <c r="S8599">
        <v>35</v>
      </c>
      <c r="T8599" s="1" t="s">
        <v>5416</v>
      </c>
      <c r="U8599" s="1" t="str">
        <f>HYPERLINK("http://ictvonline.org/taxonomy/p/taxonomy-history?taxnode_id=202101921","ICTVonline=202101921")</f>
        <v>ICTVonline=202101921</v>
      </c>
    </row>
    <row r="8600" spans="1:21" x14ac:dyDescent="0.2">
      <c r="A8600" s="3">
        <v>8599</v>
      </c>
      <c r="B8600" s="1" t="s">
        <v>4226</v>
      </c>
      <c r="D8600" s="1" t="s">
        <v>5412</v>
      </c>
      <c r="F8600" s="1" t="s">
        <v>5637</v>
      </c>
      <c r="H8600" s="1" t="s">
        <v>5640</v>
      </c>
      <c r="J8600" s="1" t="s">
        <v>982</v>
      </c>
      <c r="L8600" s="1" t="s">
        <v>945</v>
      </c>
      <c r="N8600" s="1" t="s">
        <v>946</v>
      </c>
      <c r="P8600" s="1" t="s">
        <v>949</v>
      </c>
      <c r="Q8600" s="30" t="s">
        <v>2567</v>
      </c>
      <c r="R8600" s="33" t="s">
        <v>8665</v>
      </c>
      <c r="S8600">
        <v>36</v>
      </c>
      <c r="T8600" s="1" t="s">
        <v>8661</v>
      </c>
      <c r="U8600" s="1" t="str">
        <f>HYPERLINK("http://ictvonline.org/taxonomy/p/taxonomy-history?taxnode_id=202101922","ICTVonline=202101922")</f>
        <v>ICTVonline=202101922</v>
      </c>
    </row>
    <row r="8601" spans="1:21" x14ac:dyDescent="0.2">
      <c r="A8601" s="3">
        <v>8600</v>
      </c>
      <c r="B8601" s="1" t="s">
        <v>4226</v>
      </c>
      <c r="D8601" s="1" t="s">
        <v>5412</v>
      </c>
      <c r="F8601" s="1" t="s">
        <v>5637</v>
      </c>
      <c r="H8601" s="1" t="s">
        <v>5640</v>
      </c>
      <c r="J8601" s="1" t="s">
        <v>982</v>
      </c>
      <c r="L8601" s="1" t="s">
        <v>945</v>
      </c>
      <c r="N8601" s="1" t="s">
        <v>946</v>
      </c>
      <c r="P8601" s="1" t="s">
        <v>950</v>
      </c>
      <c r="Q8601" s="30" t="s">
        <v>2567</v>
      </c>
      <c r="R8601" s="33" t="s">
        <v>3474</v>
      </c>
      <c r="S8601">
        <v>35</v>
      </c>
      <c r="T8601" s="1" t="s">
        <v>5416</v>
      </c>
      <c r="U8601" s="1" t="str">
        <f>HYPERLINK("http://ictvonline.org/taxonomy/p/taxonomy-history?taxnode_id=202101923","ICTVonline=202101923")</f>
        <v>ICTVonline=202101923</v>
      </c>
    </row>
    <row r="8602" spans="1:21" x14ac:dyDescent="0.2">
      <c r="A8602" s="3">
        <v>8601</v>
      </c>
      <c r="B8602" s="1" t="s">
        <v>4226</v>
      </c>
      <c r="D8602" s="1" t="s">
        <v>5412</v>
      </c>
      <c r="F8602" s="1" t="s">
        <v>5637</v>
      </c>
      <c r="H8602" s="1" t="s">
        <v>5640</v>
      </c>
      <c r="J8602" s="1" t="s">
        <v>982</v>
      </c>
      <c r="L8602" s="1" t="s">
        <v>945</v>
      </c>
      <c r="N8602" s="1" t="s">
        <v>946</v>
      </c>
      <c r="P8602" s="1" t="s">
        <v>952</v>
      </c>
      <c r="Q8602" s="30" t="s">
        <v>2567</v>
      </c>
      <c r="R8602" s="33" t="s">
        <v>3474</v>
      </c>
      <c r="S8602">
        <v>35</v>
      </c>
      <c r="T8602" s="1" t="s">
        <v>5416</v>
      </c>
      <c r="U8602" s="1" t="str">
        <f>HYPERLINK("http://ictvonline.org/taxonomy/p/taxonomy-history?taxnode_id=202101924","ICTVonline=202101924")</f>
        <v>ICTVonline=202101924</v>
      </c>
    </row>
    <row r="8603" spans="1:21" x14ac:dyDescent="0.2">
      <c r="A8603" s="3">
        <v>8602</v>
      </c>
      <c r="B8603" s="1" t="s">
        <v>4226</v>
      </c>
      <c r="D8603" s="1" t="s">
        <v>5412</v>
      </c>
      <c r="F8603" s="1" t="s">
        <v>5637</v>
      </c>
      <c r="H8603" s="1" t="s">
        <v>5640</v>
      </c>
      <c r="J8603" s="1" t="s">
        <v>982</v>
      </c>
      <c r="L8603" s="1" t="s">
        <v>945</v>
      </c>
      <c r="N8603" s="1" t="s">
        <v>2778</v>
      </c>
      <c r="P8603" s="1" t="s">
        <v>948</v>
      </c>
      <c r="Q8603" s="30" t="s">
        <v>2567</v>
      </c>
      <c r="R8603" s="33" t="s">
        <v>3474</v>
      </c>
      <c r="S8603">
        <v>35</v>
      </c>
      <c r="T8603" s="1" t="s">
        <v>5416</v>
      </c>
      <c r="U8603" s="1" t="str">
        <f>HYPERLINK("http://ictvonline.org/taxonomy/p/taxonomy-history?taxnode_id=202101926","ICTVonline=202101926")</f>
        <v>ICTVonline=202101926</v>
      </c>
    </row>
    <row r="8604" spans="1:21" x14ac:dyDescent="0.2">
      <c r="A8604" s="3">
        <v>8603</v>
      </c>
      <c r="B8604" s="1" t="s">
        <v>4226</v>
      </c>
      <c r="D8604" s="1" t="s">
        <v>5412</v>
      </c>
      <c r="F8604" s="1" t="s">
        <v>5637</v>
      </c>
      <c r="H8604" s="1" t="s">
        <v>5640</v>
      </c>
      <c r="J8604" s="1" t="s">
        <v>982</v>
      </c>
      <c r="L8604" s="1" t="s">
        <v>945</v>
      </c>
      <c r="N8604" s="1" t="s">
        <v>2778</v>
      </c>
      <c r="P8604" s="1" t="s">
        <v>1326</v>
      </c>
      <c r="Q8604" s="30" t="s">
        <v>2567</v>
      </c>
      <c r="R8604" s="33" t="s">
        <v>3474</v>
      </c>
      <c r="S8604">
        <v>35</v>
      </c>
      <c r="T8604" s="1" t="s">
        <v>5416</v>
      </c>
      <c r="U8604" s="1" t="str">
        <f>HYPERLINK("http://ictvonline.org/taxonomy/p/taxonomy-history?taxnode_id=202101927","ICTVonline=202101927")</f>
        <v>ICTVonline=202101927</v>
      </c>
    </row>
    <row r="8605" spans="1:21" x14ac:dyDescent="0.2">
      <c r="A8605" s="3">
        <v>8604</v>
      </c>
      <c r="B8605" s="1" t="s">
        <v>4226</v>
      </c>
      <c r="D8605" s="1" t="s">
        <v>5412</v>
      </c>
      <c r="F8605" s="1" t="s">
        <v>5637</v>
      </c>
      <c r="H8605" s="1" t="s">
        <v>5640</v>
      </c>
      <c r="J8605" s="1" t="s">
        <v>982</v>
      </c>
      <c r="L8605" s="1" t="s">
        <v>945</v>
      </c>
      <c r="N8605" s="1" t="s">
        <v>2778</v>
      </c>
      <c r="P8605" s="1" t="s">
        <v>3598</v>
      </c>
      <c r="Q8605" s="30" t="s">
        <v>2567</v>
      </c>
      <c r="R8605" s="33" t="s">
        <v>3474</v>
      </c>
      <c r="S8605">
        <v>35</v>
      </c>
      <c r="T8605" s="1" t="s">
        <v>5416</v>
      </c>
      <c r="U8605" s="1" t="str">
        <f>HYPERLINK("http://ictvonline.org/taxonomy/p/taxonomy-history?taxnode_id=202101928","ICTVonline=202101928")</f>
        <v>ICTVonline=202101928</v>
      </c>
    </row>
    <row r="8606" spans="1:21" x14ac:dyDescent="0.2">
      <c r="A8606" s="3">
        <v>8605</v>
      </c>
      <c r="B8606" s="1" t="s">
        <v>4226</v>
      </c>
      <c r="D8606" s="1" t="s">
        <v>5412</v>
      </c>
      <c r="F8606" s="1" t="s">
        <v>5637</v>
      </c>
      <c r="H8606" s="1" t="s">
        <v>5640</v>
      </c>
      <c r="J8606" s="1" t="s">
        <v>982</v>
      </c>
      <c r="L8606" s="1" t="s">
        <v>945</v>
      </c>
      <c r="N8606" s="1" t="s">
        <v>2778</v>
      </c>
      <c r="P8606" s="1" t="s">
        <v>951</v>
      </c>
      <c r="Q8606" s="30" t="s">
        <v>2567</v>
      </c>
      <c r="R8606" s="33" t="s">
        <v>3474</v>
      </c>
      <c r="S8606">
        <v>35</v>
      </c>
      <c r="T8606" s="1" t="s">
        <v>5416</v>
      </c>
      <c r="U8606" s="1" t="str">
        <f>HYPERLINK("http://ictvonline.org/taxonomy/p/taxonomy-history?taxnode_id=202101929","ICTVonline=202101929")</f>
        <v>ICTVonline=202101929</v>
      </c>
    </row>
    <row r="8607" spans="1:21" x14ac:dyDescent="0.2">
      <c r="A8607" s="3">
        <v>8606</v>
      </c>
      <c r="B8607" s="1" t="s">
        <v>4226</v>
      </c>
      <c r="D8607" s="1" t="s">
        <v>5412</v>
      </c>
      <c r="F8607" s="1" t="s">
        <v>5637</v>
      </c>
      <c r="H8607" s="1" t="s">
        <v>5640</v>
      </c>
      <c r="J8607" s="1" t="s">
        <v>982</v>
      </c>
      <c r="L8607" s="1" t="s">
        <v>945</v>
      </c>
      <c r="N8607" s="1" t="s">
        <v>2778</v>
      </c>
      <c r="P8607" s="1" t="s">
        <v>941</v>
      </c>
      <c r="Q8607" s="30" t="s">
        <v>2567</v>
      </c>
      <c r="R8607" s="33" t="s">
        <v>8665</v>
      </c>
      <c r="S8607">
        <v>36</v>
      </c>
      <c r="T8607" s="1" t="s">
        <v>8661</v>
      </c>
      <c r="U8607" s="1" t="str">
        <f>HYPERLINK("http://ictvonline.org/taxonomy/p/taxonomy-history?taxnode_id=202101930","ICTVonline=202101930")</f>
        <v>ICTVonline=202101930</v>
      </c>
    </row>
    <row r="8608" spans="1:21" x14ac:dyDescent="0.2">
      <c r="A8608" s="3">
        <v>8607</v>
      </c>
      <c r="B8608" s="1" t="s">
        <v>4226</v>
      </c>
      <c r="D8608" s="1" t="s">
        <v>5412</v>
      </c>
      <c r="F8608" s="1" t="s">
        <v>5637</v>
      </c>
      <c r="H8608" s="1" t="s">
        <v>5640</v>
      </c>
      <c r="J8608" s="1" t="s">
        <v>982</v>
      </c>
      <c r="L8608" s="1" t="s">
        <v>1014</v>
      </c>
      <c r="N8608" s="1" t="s">
        <v>1015</v>
      </c>
      <c r="P8608" s="1" t="s">
        <v>13718</v>
      </c>
      <c r="Q8608" s="30" t="s">
        <v>2567</v>
      </c>
      <c r="R8608" s="33" t="s">
        <v>3472</v>
      </c>
      <c r="S8608">
        <v>37</v>
      </c>
      <c r="T8608" s="1" t="s">
        <v>14059</v>
      </c>
      <c r="U8608" s="1" t="str">
        <f>HYPERLINK("http://ictvonline.org/taxonomy/p/taxonomy-history?taxnode_id=202113895","ICTVonline=202113895")</f>
        <v>ICTVonline=202113895</v>
      </c>
    </row>
    <row r="8609" spans="1:21" x14ac:dyDescent="0.2">
      <c r="A8609" s="3">
        <v>8608</v>
      </c>
      <c r="B8609" s="1" t="s">
        <v>4226</v>
      </c>
      <c r="D8609" s="1" t="s">
        <v>5412</v>
      </c>
      <c r="F8609" s="1" t="s">
        <v>5637</v>
      </c>
      <c r="H8609" s="1" t="s">
        <v>5640</v>
      </c>
      <c r="J8609" s="1" t="s">
        <v>982</v>
      </c>
      <c r="L8609" s="1" t="s">
        <v>1014</v>
      </c>
      <c r="N8609" s="1" t="s">
        <v>1015</v>
      </c>
      <c r="P8609" s="1" t="s">
        <v>2779</v>
      </c>
      <c r="Q8609" s="30" t="s">
        <v>2567</v>
      </c>
      <c r="R8609" s="33" t="s">
        <v>3474</v>
      </c>
      <c r="S8609">
        <v>35</v>
      </c>
      <c r="T8609" s="1" t="s">
        <v>5416</v>
      </c>
      <c r="U8609" s="1" t="str">
        <f>HYPERLINK("http://ictvonline.org/taxonomy/p/taxonomy-history?taxnode_id=202101934","ICTVonline=202101934")</f>
        <v>ICTVonline=202101934</v>
      </c>
    </row>
    <row r="8610" spans="1:21" x14ac:dyDescent="0.2">
      <c r="A8610" s="3">
        <v>8609</v>
      </c>
      <c r="B8610" s="1" t="s">
        <v>4226</v>
      </c>
      <c r="D8610" s="1" t="s">
        <v>5412</v>
      </c>
      <c r="F8610" s="1" t="s">
        <v>5637</v>
      </c>
      <c r="H8610" s="1" t="s">
        <v>5640</v>
      </c>
      <c r="J8610" s="1" t="s">
        <v>982</v>
      </c>
      <c r="L8610" s="1" t="s">
        <v>1014</v>
      </c>
      <c r="N8610" s="1" t="s">
        <v>1015</v>
      </c>
      <c r="P8610" s="1" t="s">
        <v>3231</v>
      </c>
      <c r="Q8610" s="30" t="s">
        <v>2567</v>
      </c>
      <c r="R8610" s="33" t="s">
        <v>3474</v>
      </c>
      <c r="S8610">
        <v>35</v>
      </c>
      <c r="T8610" s="1" t="s">
        <v>5416</v>
      </c>
      <c r="U8610" s="1" t="str">
        <f>HYPERLINK("http://ictvonline.org/taxonomy/p/taxonomy-history?taxnode_id=202101935","ICTVonline=202101935")</f>
        <v>ICTVonline=202101935</v>
      </c>
    </row>
    <row r="8611" spans="1:21" x14ac:dyDescent="0.2">
      <c r="A8611" s="3">
        <v>8610</v>
      </c>
      <c r="B8611" s="1" t="s">
        <v>4226</v>
      </c>
      <c r="D8611" s="1" t="s">
        <v>5412</v>
      </c>
      <c r="F8611" s="1" t="s">
        <v>5637</v>
      </c>
      <c r="H8611" s="1" t="s">
        <v>5640</v>
      </c>
      <c r="J8611" s="1" t="s">
        <v>982</v>
      </c>
      <c r="L8611" s="1" t="s">
        <v>1014</v>
      </c>
      <c r="N8611" s="1" t="s">
        <v>1015</v>
      </c>
      <c r="P8611" s="1" t="s">
        <v>1016</v>
      </c>
      <c r="Q8611" s="30" t="s">
        <v>2567</v>
      </c>
      <c r="R8611" s="33" t="s">
        <v>3474</v>
      </c>
      <c r="S8611">
        <v>35</v>
      </c>
      <c r="T8611" s="1" t="s">
        <v>5416</v>
      </c>
      <c r="U8611" s="1" t="str">
        <f>HYPERLINK("http://ictvonline.org/taxonomy/p/taxonomy-history?taxnode_id=202101936","ICTVonline=202101936")</f>
        <v>ICTVonline=202101936</v>
      </c>
    </row>
    <row r="8612" spans="1:21" x14ac:dyDescent="0.2">
      <c r="A8612" s="3">
        <v>8611</v>
      </c>
      <c r="B8612" s="1" t="s">
        <v>4226</v>
      </c>
      <c r="D8612" s="1" t="s">
        <v>5412</v>
      </c>
      <c r="F8612" s="1" t="s">
        <v>5637</v>
      </c>
      <c r="H8612" s="1" t="s">
        <v>5640</v>
      </c>
      <c r="J8612" s="1" t="s">
        <v>982</v>
      </c>
      <c r="L8612" s="1" t="s">
        <v>1014</v>
      </c>
      <c r="N8612" s="1" t="s">
        <v>1015</v>
      </c>
      <c r="P8612" s="1" t="s">
        <v>2780</v>
      </c>
      <c r="Q8612" s="30" t="s">
        <v>2567</v>
      </c>
      <c r="R8612" s="33" t="s">
        <v>3474</v>
      </c>
      <c r="S8612">
        <v>35</v>
      </c>
      <c r="T8612" s="1" t="s">
        <v>5416</v>
      </c>
      <c r="U8612" s="1" t="str">
        <f>HYPERLINK("http://ictvonline.org/taxonomy/p/taxonomy-history?taxnode_id=202101937","ICTVonline=202101937")</f>
        <v>ICTVonline=202101937</v>
      </c>
    </row>
    <row r="8613" spans="1:21" x14ac:dyDescent="0.2">
      <c r="A8613" s="3">
        <v>8612</v>
      </c>
      <c r="B8613" s="1" t="s">
        <v>4226</v>
      </c>
      <c r="D8613" s="1" t="s">
        <v>5412</v>
      </c>
      <c r="F8613" s="1" t="s">
        <v>5637</v>
      </c>
      <c r="H8613" s="1" t="s">
        <v>5640</v>
      </c>
      <c r="J8613" s="1" t="s">
        <v>982</v>
      </c>
      <c r="L8613" s="1" t="s">
        <v>1014</v>
      </c>
      <c r="N8613" s="1" t="s">
        <v>1015</v>
      </c>
      <c r="P8613" s="1" t="s">
        <v>1017</v>
      </c>
      <c r="Q8613" s="30" t="s">
        <v>2567</v>
      </c>
      <c r="R8613" s="33" t="s">
        <v>3474</v>
      </c>
      <c r="S8613">
        <v>35</v>
      </c>
      <c r="T8613" s="1" t="s">
        <v>5416</v>
      </c>
      <c r="U8613" s="1" t="str">
        <f>HYPERLINK("http://ictvonline.org/taxonomy/p/taxonomy-history?taxnode_id=202101938","ICTVonline=202101938")</f>
        <v>ICTVonline=202101938</v>
      </c>
    </row>
    <row r="8614" spans="1:21" x14ac:dyDescent="0.2">
      <c r="A8614" s="3">
        <v>8613</v>
      </c>
      <c r="B8614" s="1" t="s">
        <v>4226</v>
      </c>
      <c r="D8614" s="1" t="s">
        <v>5412</v>
      </c>
      <c r="F8614" s="1" t="s">
        <v>5637</v>
      </c>
      <c r="H8614" s="1" t="s">
        <v>5640</v>
      </c>
      <c r="J8614" s="1" t="s">
        <v>982</v>
      </c>
      <c r="L8614" s="1" t="s">
        <v>1014</v>
      </c>
      <c r="N8614" s="1" t="s">
        <v>1015</v>
      </c>
      <c r="P8614" s="1" t="s">
        <v>1018</v>
      </c>
      <c r="Q8614" s="30" t="s">
        <v>2567</v>
      </c>
      <c r="R8614" s="33" t="s">
        <v>8665</v>
      </c>
      <c r="S8614">
        <v>36</v>
      </c>
      <c r="T8614" s="1" t="s">
        <v>8661</v>
      </c>
      <c r="U8614" s="1" t="str">
        <f>HYPERLINK("http://ictvonline.org/taxonomy/p/taxonomy-history?taxnode_id=202101939","ICTVonline=202101939")</f>
        <v>ICTVonline=202101939</v>
      </c>
    </row>
    <row r="8615" spans="1:21" x14ac:dyDescent="0.2">
      <c r="A8615" s="3">
        <v>8614</v>
      </c>
      <c r="B8615" s="1" t="s">
        <v>4226</v>
      </c>
      <c r="D8615" s="1" t="s">
        <v>5412</v>
      </c>
      <c r="F8615" s="1" t="s">
        <v>5637</v>
      </c>
      <c r="H8615" s="1" t="s">
        <v>5640</v>
      </c>
      <c r="J8615" s="1" t="s">
        <v>982</v>
      </c>
      <c r="L8615" s="1" t="s">
        <v>1014</v>
      </c>
      <c r="N8615" s="1" t="s">
        <v>1015</v>
      </c>
      <c r="P8615" s="1" t="s">
        <v>2146</v>
      </c>
      <c r="Q8615" s="30" t="s">
        <v>2567</v>
      </c>
      <c r="R8615" s="33" t="s">
        <v>3474</v>
      </c>
      <c r="S8615">
        <v>35</v>
      </c>
      <c r="T8615" s="1" t="s">
        <v>5416</v>
      </c>
      <c r="U8615" s="1" t="str">
        <f>HYPERLINK("http://ictvonline.org/taxonomy/p/taxonomy-history?taxnode_id=202101940","ICTVonline=202101940")</f>
        <v>ICTVonline=202101940</v>
      </c>
    </row>
    <row r="8616" spans="1:21" x14ac:dyDescent="0.2">
      <c r="A8616" s="3">
        <v>8615</v>
      </c>
      <c r="B8616" s="1" t="s">
        <v>4226</v>
      </c>
      <c r="D8616" s="1" t="s">
        <v>5412</v>
      </c>
      <c r="F8616" s="1" t="s">
        <v>5637</v>
      </c>
      <c r="H8616" s="1" t="s">
        <v>5640</v>
      </c>
      <c r="J8616" s="1" t="s">
        <v>982</v>
      </c>
      <c r="L8616" s="1" t="s">
        <v>1014</v>
      </c>
      <c r="N8616" s="1" t="s">
        <v>1015</v>
      </c>
      <c r="P8616" s="1" t="s">
        <v>2781</v>
      </c>
      <c r="Q8616" s="30" t="s">
        <v>2567</v>
      </c>
      <c r="R8616" s="33" t="s">
        <v>3474</v>
      </c>
      <c r="S8616">
        <v>35</v>
      </c>
      <c r="T8616" s="1" t="s">
        <v>5416</v>
      </c>
      <c r="U8616" s="1" t="str">
        <f>HYPERLINK("http://ictvonline.org/taxonomy/p/taxonomy-history?taxnode_id=202101941","ICTVonline=202101941")</f>
        <v>ICTVonline=202101941</v>
      </c>
    </row>
    <row r="8617" spans="1:21" x14ac:dyDescent="0.2">
      <c r="A8617" s="3">
        <v>8616</v>
      </c>
      <c r="B8617" s="1" t="s">
        <v>4226</v>
      </c>
      <c r="D8617" s="1" t="s">
        <v>5412</v>
      </c>
      <c r="F8617" s="1" t="s">
        <v>5637</v>
      </c>
      <c r="H8617" s="1" t="s">
        <v>5640</v>
      </c>
      <c r="J8617" s="1" t="s">
        <v>982</v>
      </c>
      <c r="L8617" s="1" t="s">
        <v>1014</v>
      </c>
      <c r="N8617" s="1" t="s">
        <v>1015</v>
      </c>
      <c r="P8617" s="1" t="s">
        <v>2147</v>
      </c>
      <c r="Q8617" s="30" t="s">
        <v>2567</v>
      </c>
      <c r="R8617" s="33" t="s">
        <v>3474</v>
      </c>
      <c r="S8617">
        <v>35</v>
      </c>
      <c r="T8617" s="1" t="s">
        <v>5416</v>
      </c>
      <c r="U8617" s="1" t="str">
        <f>HYPERLINK("http://ictvonline.org/taxonomy/p/taxonomy-history?taxnode_id=202101942","ICTVonline=202101942")</f>
        <v>ICTVonline=202101942</v>
      </c>
    </row>
    <row r="8618" spans="1:21" x14ac:dyDescent="0.2">
      <c r="A8618" s="3">
        <v>8617</v>
      </c>
      <c r="B8618" s="1" t="s">
        <v>4226</v>
      </c>
      <c r="D8618" s="1" t="s">
        <v>5412</v>
      </c>
      <c r="F8618" s="1" t="s">
        <v>5637</v>
      </c>
      <c r="H8618" s="1" t="s">
        <v>5640</v>
      </c>
      <c r="J8618" s="1" t="s">
        <v>982</v>
      </c>
      <c r="L8618" s="1" t="s">
        <v>1014</v>
      </c>
      <c r="N8618" s="1" t="s">
        <v>1015</v>
      </c>
      <c r="P8618" s="1" t="s">
        <v>1019</v>
      </c>
      <c r="Q8618" s="30" t="s">
        <v>2567</v>
      </c>
      <c r="R8618" s="33" t="s">
        <v>3474</v>
      </c>
      <c r="S8618">
        <v>35</v>
      </c>
      <c r="T8618" s="1" t="s">
        <v>5416</v>
      </c>
      <c r="U8618" s="1" t="str">
        <f>HYPERLINK("http://ictvonline.org/taxonomy/p/taxonomy-history?taxnode_id=202101943","ICTVonline=202101943")</f>
        <v>ICTVonline=202101943</v>
      </c>
    </row>
    <row r="8619" spans="1:21" x14ac:dyDescent="0.2">
      <c r="A8619" s="3">
        <v>8618</v>
      </c>
      <c r="B8619" s="1" t="s">
        <v>4226</v>
      </c>
      <c r="D8619" s="1" t="s">
        <v>5412</v>
      </c>
      <c r="F8619" s="1" t="s">
        <v>5637</v>
      </c>
      <c r="H8619" s="1" t="s">
        <v>5640</v>
      </c>
      <c r="J8619" s="1" t="s">
        <v>982</v>
      </c>
      <c r="L8619" s="1" t="s">
        <v>1014</v>
      </c>
      <c r="N8619" s="1" t="s">
        <v>1015</v>
      </c>
      <c r="P8619" s="1" t="s">
        <v>1020</v>
      </c>
      <c r="Q8619" s="30" t="s">
        <v>2567</v>
      </c>
      <c r="R8619" s="33" t="s">
        <v>3474</v>
      </c>
      <c r="S8619">
        <v>35</v>
      </c>
      <c r="T8619" s="1" t="s">
        <v>5416</v>
      </c>
      <c r="U8619" s="1" t="str">
        <f>HYPERLINK("http://ictvonline.org/taxonomy/p/taxonomy-history?taxnode_id=202101944","ICTVonline=202101944")</f>
        <v>ICTVonline=202101944</v>
      </c>
    </row>
    <row r="8620" spans="1:21" x14ac:dyDescent="0.2">
      <c r="A8620" s="3">
        <v>8619</v>
      </c>
      <c r="B8620" s="1" t="s">
        <v>4226</v>
      </c>
      <c r="D8620" s="1" t="s">
        <v>5412</v>
      </c>
      <c r="F8620" s="1" t="s">
        <v>5637</v>
      </c>
      <c r="H8620" s="1" t="s">
        <v>5640</v>
      </c>
      <c r="J8620" s="1" t="s">
        <v>982</v>
      </c>
      <c r="L8620" s="1" t="s">
        <v>1014</v>
      </c>
      <c r="N8620" s="1" t="s">
        <v>1015</v>
      </c>
      <c r="P8620" s="1" t="s">
        <v>3</v>
      </c>
      <c r="Q8620" s="30" t="s">
        <v>2567</v>
      </c>
      <c r="R8620" s="33" t="s">
        <v>3474</v>
      </c>
      <c r="S8620">
        <v>35</v>
      </c>
      <c r="T8620" s="1" t="s">
        <v>5416</v>
      </c>
      <c r="U8620" s="1" t="str">
        <f>HYPERLINK("http://ictvonline.org/taxonomy/p/taxonomy-history?taxnode_id=202101945","ICTVonline=202101945")</f>
        <v>ICTVonline=202101945</v>
      </c>
    </row>
    <row r="8621" spans="1:21" x14ac:dyDescent="0.2">
      <c r="A8621" s="3">
        <v>8620</v>
      </c>
      <c r="B8621" s="1" t="s">
        <v>4226</v>
      </c>
      <c r="D8621" s="1" t="s">
        <v>5412</v>
      </c>
      <c r="F8621" s="1" t="s">
        <v>5637</v>
      </c>
      <c r="H8621" s="1" t="s">
        <v>5640</v>
      </c>
      <c r="J8621" s="1" t="s">
        <v>982</v>
      </c>
      <c r="L8621" s="1" t="s">
        <v>1014</v>
      </c>
      <c r="N8621" s="1" t="s">
        <v>1015</v>
      </c>
      <c r="P8621" s="1" t="s">
        <v>2782</v>
      </c>
      <c r="Q8621" s="30" t="s">
        <v>2567</v>
      </c>
      <c r="R8621" s="33" t="s">
        <v>3474</v>
      </c>
      <c r="S8621">
        <v>35</v>
      </c>
      <c r="T8621" s="1" t="s">
        <v>5416</v>
      </c>
      <c r="U8621" s="1" t="str">
        <f>HYPERLINK("http://ictvonline.org/taxonomy/p/taxonomy-history?taxnode_id=202101946","ICTVonline=202101946")</f>
        <v>ICTVonline=202101946</v>
      </c>
    </row>
    <row r="8622" spans="1:21" x14ac:dyDescent="0.2">
      <c r="A8622" s="3">
        <v>8621</v>
      </c>
      <c r="B8622" s="1" t="s">
        <v>4226</v>
      </c>
      <c r="D8622" s="1" t="s">
        <v>5412</v>
      </c>
      <c r="F8622" s="1" t="s">
        <v>5637</v>
      </c>
      <c r="H8622" s="1" t="s">
        <v>5640</v>
      </c>
      <c r="J8622" s="1" t="s">
        <v>982</v>
      </c>
      <c r="L8622" s="1" t="s">
        <v>1014</v>
      </c>
      <c r="N8622" s="1" t="s">
        <v>1015</v>
      </c>
      <c r="P8622" s="1" t="s">
        <v>2783</v>
      </c>
      <c r="Q8622" s="30" t="s">
        <v>2567</v>
      </c>
      <c r="R8622" s="33" t="s">
        <v>3474</v>
      </c>
      <c r="S8622">
        <v>35</v>
      </c>
      <c r="T8622" s="1" t="s">
        <v>5416</v>
      </c>
      <c r="U8622" s="1" t="str">
        <f>HYPERLINK("http://ictvonline.org/taxonomy/p/taxonomy-history?taxnode_id=202101947","ICTVonline=202101947")</f>
        <v>ICTVonline=202101947</v>
      </c>
    </row>
    <row r="8623" spans="1:21" x14ac:dyDescent="0.2">
      <c r="A8623" s="3">
        <v>8622</v>
      </c>
      <c r="B8623" s="1" t="s">
        <v>4226</v>
      </c>
      <c r="D8623" s="1" t="s">
        <v>5412</v>
      </c>
      <c r="F8623" s="1" t="s">
        <v>5637</v>
      </c>
      <c r="H8623" s="1" t="s">
        <v>5640</v>
      </c>
      <c r="J8623" s="1" t="s">
        <v>982</v>
      </c>
      <c r="L8623" s="1" t="s">
        <v>1014</v>
      </c>
      <c r="N8623" s="1" t="s">
        <v>1015</v>
      </c>
      <c r="P8623" s="1" t="s">
        <v>13719</v>
      </c>
      <c r="Q8623" s="30" t="s">
        <v>2567</v>
      </c>
      <c r="R8623" s="33" t="s">
        <v>3472</v>
      </c>
      <c r="S8623">
        <v>37</v>
      </c>
      <c r="T8623" s="1" t="s">
        <v>14060</v>
      </c>
      <c r="U8623" s="1" t="str">
        <f>HYPERLINK("http://ictvonline.org/taxonomy/p/taxonomy-history?taxnode_id=202113894","ICTVonline=202113894")</f>
        <v>ICTVonline=202113894</v>
      </c>
    </row>
    <row r="8624" spans="1:21" x14ac:dyDescent="0.2">
      <c r="A8624" s="3">
        <v>8623</v>
      </c>
      <c r="B8624" s="1" t="s">
        <v>4226</v>
      </c>
      <c r="D8624" s="1" t="s">
        <v>5412</v>
      </c>
      <c r="F8624" s="1" t="s">
        <v>5637</v>
      </c>
      <c r="H8624" s="1" t="s">
        <v>5640</v>
      </c>
      <c r="J8624" s="1" t="s">
        <v>982</v>
      </c>
      <c r="L8624" s="1" t="s">
        <v>1021</v>
      </c>
      <c r="N8624" s="1" t="s">
        <v>6</v>
      </c>
      <c r="P8624" s="1" t="s">
        <v>3642</v>
      </c>
      <c r="Q8624" s="30" t="s">
        <v>2567</v>
      </c>
      <c r="R8624" s="33" t="s">
        <v>3474</v>
      </c>
      <c r="S8624">
        <v>35</v>
      </c>
      <c r="T8624" s="1" t="s">
        <v>5416</v>
      </c>
      <c r="U8624" s="1" t="str">
        <f>HYPERLINK("http://ictvonline.org/taxonomy/p/taxonomy-history?taxnode_id=202102166","ICTVonline=202102166")</f>
        <v>ICTVonline=202102166</v>
      </c>
    </row>
    <row r="8625" spans="1:21" x14ac:dyDescent="0.2">
      <c r="A8625" s="3">
        <v>8624</v>
      </c>
      <c r="B8625" s="1" t="s">
        <v>4226</v>
      </c>
      <c r="D8625" s="1" t="s">
        <v>5412</v>
      </c>
      <c r="F8625" s="1" t="s">
        <v>5637</v>
      </c>
      <c r="H8625" s="1" t="s">
        <v>5640</v>
      </c>
      <c r="J8625" s="1" t="s">
        <v>982</v>
      </c>
      <c r="L8625" s="1" t="s">
        <v>1021</v>
      </c>
      <c r="N8625" s="1" t="s">
        <v>6</v>
      </c>
      <c r="P8625" s="1" t="s">
        <v>7</v>
      </c>
      <c r="Q8625" s="30" t="s">
        <v>2567</v>
      </c>
      <c r="R8625" s="33" t="s">
        <v>3474</v>
      </c>
      <c r="S8625">
        <v>35</v>
      </c>
      <c r="T8625" s="1" t="s">
        <v>5416</v>
      </c>
      <c r="U8625" s="1" t="str">
        <f>HYPERLINK("http://ictvonline.org/taxonomy/p/taxonomy-history?taxnode_id=202102167","ICTVonline=202102167")</f>
        <v>ICTVonline=202102167</v>
      </c>
    </row>
    <row r="8626" spans="1:21" x14ac:dyDescent="0.2">
      <c r="A8626" s="3">
        <v>8625</v>
      </c>
      <c r="B8626" s="1" t="s">
        <v>4226</v>
      </c>
      <c r="D8626" s="1" t="s">
        <v>5412</v>
      </c>
      <c r="F8626" s="1" t="s">
        <v>5637</v>
      </c>
      <c r="H8626" s="1" t="s">
        <v>5640</v>
      </c>
      <c r="J8626" s="1" t="s">
        <v>982</v>
      </c>
      <c r="L8626" s="1" t="s">
        <v>1021</v>
      </c>
      <c r="N8626" s="1" t="s">
        <v>6</v>
      </c>
      <c r="P8626" s="1" t="s">
        <v>8</v>
      </c>
      <c r="Q8626" s="30" t="s">
        <v>2567</v>
      </c>
      <c r="R8626" s="33" t="s">
        <v>8665</v>
      </c>
      <c r="S8626">
        <v>36</v>
      </c>
      <c r="T8626" s="1" t="s">
        <v>8661</v>
      </c>
      <c r="U8626" s="1" t="str">
        <f>HYPERLINK("http://ictvonline.org/taxonomy/p/taxonomy-history?taxnode_id=202102168","ICTVonline=202102168")</f>
        <v>ICTVonline=202102168</v>
      </c>
    </row>
    <row r="8627" spans="1:21" x14ac:dyDescent="0.2">
      <c r="A8627" s="3">
        <v>8626</v>
      </c>
      <c r="B8627" s="1" t="s">
        <v>4226</v>
      </c>
      <c r="D8627" s="1" t="s">
        <v>5412</v>
      </c>
      <c r="F8627" s="1" t="s">
        <v>5637</v>
      </c>
      <c r="H8627" s="1" t="s">
        <v>5640</v>
      </c>
      <c r="J8627" s="1" t="s">
        <v>982</v>
      </c>
      <c r="L8627" s="1" t="s">
        <v>1021</v>
      </c>
      <c r="N8627" s="1" t="s">
        <v>4382</v>
      </c>
      <c r="P8627" s="1" t="s">
        <v>4383</v>
      </c>
      <c r="Q8627" s="30" t="s">
        <v>2567</v>
      </c>
      <c r="R8627" s="33" t="s">
        <v>8665</v>
      </c>
      <c r="S8627">
        <v>36</v>
      </c>
      <c r="T8627" s="1" t="s">
        <v>8661</v>
      </c>
      <c r="U8627" s="1" t="str">
        <f>HYPERLINK("http://ictvonline.org/taxonomy/p/taxonomy-history?taxnode_id=202106540","ICTVonline=202106540")</f>
        <v>ICTVonline=202106540</v>
      </c>
    </row>
    <row r="8628" spans="1:21" x14ac:dyDescent="0.2">
      <c r="A8628" s="3">
        <v>8627</v>
      </c>
      <c r="B8628" s="1" t="s">
        <v>4226</v>
      </c>
      <c r="D8628" s="1" t="s">
        <v>5412</v>
      </c>
      <c r="F8628" s="1" t="s">
        <v>5637</v>
      </c>
      <c r="H8628" s="1" t="s">
        <v>5640</v>
      </c>
      <c r="J8628" s="1" t="s">
        <v>982</v>
      </c>
      <c r="L8628" s="1" t="s">
        <v>1021</v>
      </c>
      <c r="N8628" s="1" t="s">
        <v>9</v>
      </c>
      <c r="P8628" s="1" t="s">
        <v>10</v>
      </c>
      <c r="Q8628" s="30" t="s">
        <v>2567</v>
      </c>
      <c r="R8628" s="33" t="s">
        <v>8665</v>
      </c>
      <c r="S8628">
        <v>36</v>
      </c>
      <c r="T8628" s="1" t="s">
        <v>8661</v>
      </c>
      <c r="U8628" s="1" t="str">
        <f>HYPERLINK("http://ictvonline.org/taxonomy/p/taxonomy-history?taxnode_id=202102170","ICTVonline=202102170")</f>
        <v>ICTVonline=202102170</v>
      </c>
    </row>
    <row r="8629" spans="1:21" x14ac:dyDescent="0.2">
      <c r="A8629" s="3">
        <v>8628</v>
      </c>
      <c r="B8629" s="1" t="s">
        <v>4226</v>
      </c>
      <c r="D8629" s="1" t="s">
        <v>5412</v>
      </c>
      <c r="F8629" s="1" t="s">
        <v>5637</v>
      </c>
      <c r="H8629" s="1" t="s">
        <v>5640</v>
      </c>
      <c r="J8629" s="1" t="s">
        <v>982</v>
      </c>
      <c r="L8629" s="1" t="s">
        <v>1021</v>
      </c>
      <c r="N8629" s="1" t="s">
        <v>4384</v>
      </c>
      <c r="P8629" s="1" t="s">
        <v>4385</v>
      </c>
      <c r="Q8629" s="30" t="s">
        <v>2567</v>
      </c>
      <c r="R8629" s="33" t="s">
        <v>8665</v>
      </c>
      <c r="S8629">
        <v>36</v>
      </c>
      <c r="T8629" s="1" t="s">
        <v>8661</v>
      </c>
      <c r="U8629" s="1" t="str">
        <f>HYPERLINK("http://ictvonline.org/taxonomy/p/taxonomy-history?taxnode_id=202106538","ICTVonline=202106538")</f>
        <v>ICTVonline=202106538</v>
      </c>
    </row>
    <row r="8630" spans="1:21" x14ac:dyDescent="0.2">
      <c r="A8630" s="3">
        <v>8629</v>
      </c>
      <c r="B8630" s="1" t="s">
        <v>4226</v>
      </c>
      <c r="D8630" s="1" t="s">
        <v>5412</v>
      </c>
      <c r="F8630" s="1" t="s">
        <v>5637</v>
      </c>
      <c r="H8630" s="1" t="s">
        <v>5640</v>
      </c>
      <c r="J8630" s="1" t="s">
        <v>982</v>
      </c>
      <c r="L8630" s="1" t="s">
        <v>1021</v>
      </c>
      <c r="N8630" s="1" t="s">
        <v>4384</v>
      </c>
      <c r="P8630" s="1" t="s">
        <v>4386</v>
      </c>
      <c r="Q8630" s="30" t="s">
        <v>2567</v>
      </c>
      <c r="R8630" s="33" t="s">
        <v>3474</v>
      </c>
      <c r="S8630">
        <v>35</v>
      </c>
      <c r="T8630" s="1" t="s">
        <v>5416</v>
      </c>
      <c r="U8630" s="1" t="str">
        <f>HYPERLINK("http://ictvonline.org/taxonomy/p/taxonomy-history?taxnode_id=202106536","ICTVonline=202106536")</f>
        <v>ICTVonline=202106536</v>
      </c>
    </row>
    <row r="8631" spans="1:21" x14ac:dyDescent="0.2">
      <c r="A8631" s="3">
        <v>8630</v>
      </c>
      <c r="B8631" s="1" t="s">
        <v>4226</v>
      </c>
      <c r="D8631" s="1" t="s">
        <v>5412</v>
      </c>
      <c r="F8631" s="1" t="s">
        <v>5637</v>
      </c>
      <c r="H8631" s="1" t="s">
        <v>5640</v>
      </c>
      <c r="J8631" s="1" t="s">
        <v>982</v>
      </c>
      <c r="L8631" s="1" t="s">
        <v>1021</v>
      </c>
      <c r="N8631" s="1" t="s">
        <v>4384</v>
      </c>
      <c r="P8631" s="1" t="s">
        <v>4387</v>
      </c>
      <c r="Q8631" s="30" t="s">
        <v>2567</v>
      </c>
      <c r="R8631" s="33" t="s">
        <v>3474</v>
      </c>
      <c r="S8631">
        <v>35</v>
      </c>
      <c r="T8631" s="1" t="s">
        <v>5416</v>
      </c>
      <c r="U8631" s="1" t="str">
        <f>HYPERLINK("http://ictvonline.org/taxonomy/p/taxonomy-history?taxnode_id=202106535","ICTVonline=202106535")</f>
        <v>ICTVonline=202106535</v>
      </c>
    </row>
    <row r="8632" spans="1:21" x14ac:dyDescent="0.2">
      <c r="A8632" s="3">
        <v>8631</v>
      </c>
      <c r="B8632" s="1" t="s">
        <v>4226</v>
      </c>
      <c r="D8632" s="1" t="s">
        <v>5412</v>
      </c>
      <c r="F8632" s="1" t="s">
        <v>5637</v>
      </c>
      <c r="H8632" s="1" t="s">
        <v>5640</v>
      </c>
      <c r="J8632" s="1" t="s">
        <v>982</v>
      </c>
      <c r="L8632" s="1" t="s">
        <v>1021</v>
      </c>
      <c r="N8632" s="1" t="s">
        <v>4384</v>
      </c>
      <c r="P8632" s="1" t="s">
        <v>4388</v>
      </c>
      <c r="Q8632" s="30" t="s">
        <v>2567</v>
      </c>
      <c r="R8632" s="33" t="s">
        <v>3474</v>
      </c>
      <c r="S8632">
        <v>35</v>
      </c>
      <c r="T8632" s="1" t="s">
        <v>5416</v>
      </c>
      <c r="U8632" s="1" t="str">
        <f>HYPERLINK("http://ictvonline.org/taxonomy/p/taxonomy-history?taxnode_id=202106537","ICTVonline=202106537")</f>
        <v>ICTVonline=202106537</v>
      </c>
    </row>
    <row r="8633" spans="1:21" x14ac:dyDescent="0.2">
      <c r="A8633" s="3">
        <v>8632</v>
      </c>
      <c r="B8633" s="1" t="s">
        <v>4226</v>
      </c>
      <c r="D8633" s="1" t="s">
        <v>5412</v>
      </c>
      <c r="F8633" s="1" t="s">
        <v>5637</v>
      </c>
      <c r="H8633" s="1" t="s">
        <v>5640</v>
      </c>
      <c r="J8633" s="1" t="s">
        <v>982</v>
      </c>
      <c r="L8633" s="1" t="s">
        <v>1021</v>
      </c>
      <c r="N8633" s="1" t="s">
        <v>1022</v>
      </c>
      <c r="P8633" s="1" t="s">
        <v>1023</v>
      </c>
      <c r="Q8633" s="30" t="s">
        <v>2567</v>
      </c>
      <c r="R8633" s="33" t="s">
        <v>8665</v>
      </c>
      <c r="S8633">
        <v>36</v>
      </c>
      <c r="T8633" s="1" t="s">
        <v>8661</v>
      </c>
      <c r="U8633" s="1" t="str">
        <f>HYPERLINK("http://ictvonline.org/taxonomy/p/taxonomy-history?taxnode_id=202101952","ICTVonline=202101952")</f>
        <v>ICTVonline=202101952</v>
      </c>
    </row>
    <row r="8634" spans="1:21" x14ac:dyDescent="0.2">
      <c r="A8634" s="3">
        <v>8633</v>
      </c>
      <c r="B8634" s="1" t="s">
        <v>4226</v>
      </c>
      <c r="D8634" s="1" t="s">
        <v>5412</v>
      </c>
      <c r="F8634" s="1" t="s">
        <v>5637</v>
      </c>
      <c r="H8634" s="1" t="s">
        <v>5640</v>
      </c>
      <c r="J8634" s="1" t="s">
        <v>982</v>
      </c>
      <c r="L8634" s="1" t="s">
        <v>1021</v>
      </c>
      <c r="N8634" s="1" t="s">
        <v>4389</v>
      </c>
      <c r="P8634" s="1" t="s">
        <v>4390</v>
      </c>
      <c r="Q8634" s="30" t="s">
        <v>2567</v>
      </c>
      <c r="R8634" s="33" t="s">
        <v>3474</v>
      </c>
      <c r="S8634">
        <v>35</v>
      </c>
      <c r="T8634" s="1" t="s">
        <v>5416</v>
      </c>
      <c r="U8634" s="1" t="str">
        <f>HYPERLINK("http://ictvonline.org/taxonomy/p/taxonomy-history?taxnode_id=202106551","ICTVonline=202106551")</f>
        <v>ICTVonline=202106551</v>
      </c>
    </row>
    <row r="8635" spans="1:21" x14ac:dyDescent="0.2">
      <c r="A8635" s="3">
        <v>8634</v>
      </c>
      <c r="B8635" s="1" t="s">
        <v>4226</v>
      </c>
      <c r="D8635" s="1" t="s">
        <v>5412</v>
      </c>
      <c r="F8635" s="1" t="s">
        <v>5637</v>
      </c>
      <c r="H8635" s="1" t="s">
        <v>5640</v>
      </c>
      <c r="J8635" s="1" t="s">
        <v>982</v>
      </c>
      <c r="L8635" s="1" t="s">
        <v>1021</v>
      </c>
      <c r="N8635" s="1" t="s">
        <v>4389</v>
      </c>
      <c r="P8635" s="1" t="s">
        <v>4391</v>
      </c>
      <c r="Q8635" s="30" t="s">
        <v>2567</v>
      </c>
      <c r="R8635" s="33" t="s">
        <v>8665</v>
      </c>
      <c r="S8635">
        <v>36</v>
      </c>
      <c r="T8635" s="1" t="s">
        <v>8661</v>
      </c>
      <c r="U8635" s="1" t="str">
        <f>HYPERLINK("http://ictvonline.org/taxonomy/p/taxonomy-history?taxnode_id=202106549","ICTVonline=202106549")</f>
        <v>ICTVonline=202106549</v>
      </c>
    </row>
    <row r="8636" spans="1:21" x14ac:dyDescent="0.2">
      <c r="A8636" s="3">
        <v>8635</v>
      </c>
      <c r="B8636" s="1" t="s">
        <v>4226</v>
      </c>
      <c r="D8636" s="1" t="s">
        <v>5412</v>
      </c>
      <c r="F8636" s="1" t="s">
        <v>5637</v>
      </c>
      <c r="H8636" s="1" t="s">
        <v>5640</v>
      </c>
      <c r="J8636" s="1" t="s">
        <v>982</v>
      </c>
      <c r="L8636" s="1" t="s">
        <v>1021</v>
      </c>
      <c r="N8636" s="1" t="s">
        <v>4389</v>
      </c>
      <c r="P8636" s="1" t="s">
        <v>4392</v>
      </c>
      <c r="Q8636" s="30" t="s">
        <v>2567</v>
      </c>
      <c r="R8636" s="33" t="s">
        <v>3474</v>
      </c>
      <c r="S8636">
        <v>35</v>
      </c>
      <c r="T8636" s="1" t="s">
        <v>5416</v>
      </c>
      <c r="U8636" s="1" t="str">
        <f>HYPERLINK("http://ictvonline.org/taxonomy/p/taxonomy-history?taxnode_id=202106552","ICTVonline=202106552")</f>
        <v>ICTVonline=202106552</v>
      </c>
    </row>
    <row r="8637" spans="1:21" x14ac:dyDescent="0.2">
      <c r="A8637" s="3">
        <v>8636</v>
      </c>
      <c r="B8637" s="1" t="s">
        <v>4226</v>
      </c>
      <c r="D8637" s="1" t="s">
        <v>5412</v>
      </c>
      <c r="F8637" s="1" t="s">
        <v>5637</v>
      </c>
      <c r="H8637" s="1" t="s">
        <v>5640</v>
      </c>
      <c r="J8637" s="1" t="s">
        <v>982</v>
      </c>
      <c r="L8637" s="1" t="s">
        <v>1021</v>
      </c>
      <c r="N8637" s="1" t="s">
        <v>4389</v>
      </c>
      <c r="P8637" s="1" t="s">
        <v>4393</v>
      </c>
      <c r="Q8637" s="30" t="s">
        <v>2567</v>
      </c>
      <c r="R8637" s="33" t="s">
        <v>3474</v>
      </c>
      <c r="S8637">
        <v>35</v>
      </c>
      <c r="T8637" s="1" t="s">
        <v>5416</v>
      </c>
      <c r="U8637" s="1" t="str">
        <f>HYPERLINK("http://ictvonline.org/taxonomy/p/taxonomy-history?taxnode_id=202106550","ICTVonline=202106550")</f>
        <v>ICTVonline=202106550</v>
      </c>
    </row>
    <row r="8638" spans="1:21" x14ac:dyDescent="0.2">
      <c r="A8638" s="3">
        <v>8637</v>
      </c>
      <c r="B8638" s="1" t="s">
        <v>4226</v>
      </c>
      <c r="D8638" s="1" t="s">
        <v>5412</v>
      </c>
      <c r="F8638" s="1" t="s">
        <v>5637</v>
      </c>
      <c r="H8638" s="1" t="s">
        <v>5640</v>
      </c>
      <c r="J8638" s="1" t="s">
        <v>982</v>
      </c>
      <c r="L8638" s="1" t="s">
        <v>1021</v>
      </c>
      <c r="N8638" s="1" t="s">
        <v>4394</v>
      </c>
      <c r="P8638" s="1" t="s">
        <v>4395</v>
      </c>
      <c r="Q8638" s="30" t="s">
        <v>2567</v>
      </c>
      <c r="R8638" s="33" t="s">
        <v>3474</v>
      </c>
      <c r="S8638">
        <v>35</v>
      </c>
      <c r="T8638" s="1" t="s">
        <v>5416</v>
      </c>
      <c r="U8638" s="1" t="str">
        <f>HYPERLINK("http://ictvonline.org/taxonomy/p/taxonomy-history?taxnode_id=202106542","ICTVonline=202106542")</f>
        <v>ICTVonline=202106542</v>
      </c>
    </row>
    <row r="8639" spans="1:21" x14ac:dyDescent="0.2">
      <c r="A8639" s="3">
        <v>8638</v>
      </c>
      <c r="B8639" s="1" t="s">
        <v>4226</v>
      </c>
      <c r="D8639" s="1" t="s">
        <v>5412</v>
      </c>
      <c r="F8639" s="1" t="s">
        <v>5637</v>
      </c>
      <c r="H8639" s="1" t="s">
        <v>5640</v>
      </c>
      <c r="J8639" s="1" t="s">
        <v>982</v>
      </c>
      <c r="L8639" s="1" t="s">
        <v>1021</v>
      </c>
      <c r="N8639" s="1" t="s">
        <v>4394</v>
      </c>
      <c r="P8639" s="1" t="s">
        <v>4396</v>
      </c>
      <c r="Q8639" s="30" t="s">
        <v>2567</v>
      </c>
      <c r="R8639" s="33" t="s">
        <v>3474</v>
      </c>
      <c r="S8639">
        <v>35</v>
      </c>
      <c r="T8639" s="1" t="s">
        <v>5416</v>
      </c>
      <c r="U8639" s="1" t="str">
        <f>HYPERLINK("http://ictvonline.org/taxonomy/p/taxonomy-history?taxnode_id=202106544","ICTVonline=202106544")</f>
        <v>ICTVonline=202106544</v>
      </c>
    </row>
    <row r="8640" spans="1:21" x14ac:dyDescent="0.2">
      <c r="A8640" s="3">
        <v>8639</v>
      </c>
      <c r="B8640" s="1" t="s">
        <v>4226</v>
      </c>
      <c r="D8640" s="1" t="s">
        <v>5412</v>
      </c>
      <c r="F8640" s="1" t="s">
        <v>5637</v>
      </c>
      <c r="H8640" s="1" t="s">
        <v>5640</v>
      </c>
      <c r="J8640" s="1" t="s">
        <v>982</v>
      </c>
      <c r="L8640" s="1" t="s">
        <v>1021</v>
      </c>
      <c r="N8640" s="1" t="s">
        <v>4394</v>
      </c>
      <c r="P8640" s="1" t="s">
        <v>4397</v>
      </c>
      <c r="Q8640" s="30" t="s">
        <v>2567</v>
      </c>
      <c r="R8640" s="33" t="s">
        <v>3474</v>
      </c>
      <c r="S8640">
        <v>35</v>
      </c>
      <c r="T8640" s="1" t="s">
        <v>5416</v>
      </c>
      <c r="U8640" s="1" t="str">
        <f>HYPERLINK("http://ictvonline.org/taxonomy/p/taxonomy-history?taxnode_id=202106547","ICTVonline=202106547")</f>
        <v>ICTVonline=202106547</v>
      </c>
    </row>
    <row r="8641" spans="1:21" x14ac:dyDescent="0.2">
      <c r="A8641" s="3">
        <v>8640</v>
      </c>
      <c r="B8641" s="1" t="s">
        <v>4226</v>
      </c>
      <c r="D8641" s="1" t="s">
        <v>5412</v>
      </c>
      <c r="F8641" s="1" t="s">
        <v>5637</v>
      </c>
      <c r="H8641" s="1" t="s">
        <v>5640</v>
      </c>
      <c r="J8641" s="1" t="s">
        <v>982</v>
      </c>
      <c r="L8641" s="1" t="s">
        <v>1021</v>
      </c>
      <c r="N8641" s="1" t="s">
        <v>4394</v>
      </c>
      <c r="P8641" s="1" t="s">
        <v>4398</v>
      </c>
      <c r="Q8641" s="30" t="s">
        <v>2567</v>
      </c>
      <c r="R8641" s="33" t="s">
        <v>8665</v>
      </c>
      <c r="S8641">
        <v>36</v>
      </c>
      <c r="T8641" s="1" t="s">
        <v>8661</v>
      </c>
      <c r="U8641" s="1" t="str">
        <f>HYPERLINK("http://ictvonline.org/taxonomy/p/taxonomy-history?taxnode_id=202106546","ICTVonline=202106546")</f>
        <v>ICTVonline=202106546</v>
      </c>
    </row>
    <row r="8642" spans="1:21" x14ac:dyDescent="0.2">
      <c r="A8642" s="3">
        <v>8641</v>
      </c>
      <c r="B8642" s="1" t="s">
        <v>4226</v>
      </c>
      <c r="D8642" s="1" t="s">
        <v>5412</v>
      </c>
      <c r="F8642" s="1" t="s">
        <v>5637</v>
      </c>
      <c r="H8642" s="1" t="s">
        <v>5640</v>
      </c>
      <c r="J8642" s="1" t="s">
        <v>982</v>
      </c>
      <c r="L8642" s="1" t="s">
        <v>1021</v>
      </c>
      <c r="N8642" s="1" t="s">
        <v>4394</v>
      </c>
      <c r="P8642" s="1" t="s">
        <v>4399</v>
      </c>
      <c r="Q8642" s="30" t="s">
        <v>2567</v>
      </c>
      <c r="R8642" s="33" t="s">
        <v>3474</v>
      </c>
      <c r="S8642">
        <v>35</v>
      </c>
      <c r="T8642" s="1" t="s">
        <v>5416</v>
      </c>
      <c r="U8642" s="1" t="str">
        <f>HYPERLINK("http://ictvonline.org/taxonomy/p/taxonomy-history?taxnode_id=202106545","ICTVonline=202106545")</f>
        <v>ICTVonline=202106545</v>
      </c>
    </row>
    <row r="8643" spans="1:21" x14ac:dyDescent="0.2">
      <c r="A8643" s="3">
        <v>8642</v>
      </c>
      <c r="B8643" s="1" t="s">
        <v>4226</v>
      </c>
      <c r="D8643" s="1" t="s">
        <v>5412</v>
      </c>
      <c r="F8643" s="1" t="s">
        <v>5637</v>
      </c>
      <c r="H8643" s="1" t="s">
        <v>5640</v>
      </c>
      <c r="J8643" s="1" t="s">
        <v>982</v>
      </c>
      <c r="L8643" s="1" t="s">
        <v>1021</v>
      </c>
      <c r="N8643" s="1" t="s">
        <v>4394</v>
      </c>
      <c r="P8643" s="1" t="s">
        <v>4400</v>
      </c>
      <c r="Q8643" s="30" t="s">
        <v>2567</v>
      </c>
      <c r="R8643" s="33" t="s">
        <v>3474</v>
      </c>
      <c r="S8643">
        <v>35</v>
      </c>
      <c r="T8643" s="1" t="s">
        <v>5416</v>
      </c>
      <c r="U8643" s="1" t="str">
        <f>HYPERLINK("http://ictvonline.org/taxonomy/p/taxonomy-history?taxnode_id=202106543","ICTVonline=202106543")</f>
        <v>ICTVonline=202106543</v>
      </c>
    </row>
    <row r="8644" spans="1:21" x14ac:dyDescent="0.2">
      <c r="A8644" s="3">
        <v>8643</v>
      </c>
      <c r="B8644" s="1" t="s">
        <v>4226</v>
      </c>
      <c r="D8644" s="1" t="s">
        <v>5412</v>
      </c>
      <c r="F8644" s="1" t="s">
        <v>5637</v>
      </c>
      <c r="H8644" s="1" t="s">
        <v>5640</v>
      </c>
      <c r="J8644" s="1" t="s">
        <v>982</v>
      </c>
      <c r="L8644" s="1" t="s">
        <v>1024</v>
      </c>
      <c r="M8644" s="1" t="s">
        <v>13720</v>
      </c>
      <c r="N8644" s="1" t="s">
        <v>4401</v>
      </c>
      <c r="P8644" s="1" t="s">
        <v>4402</v>
      </c>
      <c r="Q8644" s="30" t="s">
        <v>2567</v>
      </c>
      <c r="R8644" s="33" t="s">
        <v>3474</v>
      </c>
      <c r="S8644">
        <v>37</v>
      </c>
      <c r="T8644" s="1" t="s">
        <v>14061</v>
      </c>
      <c r="U8644" s="1" t="str">
        <f>HYPERLINK("http://ictvonline.org/taxonomy/p/taxonomy-history?taxnode_id=202106525","ICTVonline=202106525")</f>
        <v>ICTVonline=202106525</v>
      </c>
    </row>
    <row r="8645" spans="1:21" x14ac:dyDescent="0.2">
      <c r="A8645" s="3">
        <v>8644</v>
      </c>
      <c r="B8645" s="1" t="s">
        <v>4226</v>
      </c>
      <c r="D8645" s="1" t="s">
        <v>5412</v>
      </c>
      <c r="F8645" s="1" t="s">
        <v>5637</v>
      </c>
      <c r="H8645" s="1" t="s">
        <v>5640</v>
      </c>
      <c r="J8645" s="1" t="s">
        <v>982</v>
      </c>
      <c r="L8645" s="1" t="s">
        <v>1024</v>
      </c>
      <c r="M8645" s="1" t="s">
        <v>13720</v>
      </c>
      <c r="N8645" s="1" t="s">
        <v>953</v>
      </c>
      <c r="P8645" s="1" t="s">
        <v>4</v>
      </c>
      <c r="Q8645" s="30" t="s">
        <v>2567</v>
      </c>
      <c r="R8645" s="33" t="s">
        <v>3474</v>
      </c>
      <c r="S8645">
        <v>37</v>
      </c>
      <c r="T8645" s="1" t="s">
        <v>14061</v>
      </c>
      <c r="U8645" s="1" t="str">
        <f>HYPERLINK("http://ictvonline.org/taxonomy/p/taxonomy-history?taxnode_id=202101958","ICTVonline=202101958")</f>
        <v>ICTVonline=202101958</v>
      </c>
    </row>
    <row r="8646" spans="1:21" x14ac:dyDescent="0.2">
      <c r="A8646" s="3">
        <v>8645</v>
      </c>
      <c r="B8646" s="1" t="s">
        <v>4226</v>
      </c>
      <c r="D8646" s="1" t="s">
        <v>5412</v>
      </c>
      <c r="F8646" s="1" t="s">
        <v>5637</v>
      </c>
      <c r="H8646" s="1" t="s">
        <v>5640</v>
      </c>
      <c r="J8646" s="1" t="s">
        <v>982</v>
      </c>
      <c r="L8646" s="1" t="s">
        <v>1024</v>
      </c>
      <c r="M8646" s="1" t="s">
        <v>13720</v>
      </c>
      <c r="N8646" s="1" t="s">
        <v>953</v>
      </c>
      <c r="P8646" s="1" t="s">
        <v>1993</v>
      </c>
      <c r="Q8646" s="30" t="s">
        <v>2567</v>
      </c>
      <c r="R8646" s="33" t="s">
        <v>3474</v>
      </c>
      <c r="S8646">
        <v>37</v>
      </c>
      <c r="T8646" s="1" t="s">
        <v>14061</v>
      </c>
      <c r="U8646" s="1" t="str">
        <f>HYPERLINK("http://ictvonline.org/taxonomy/p/taxonomy-history?taxnode_id=202101959","ICTVonline=202101959")</f>
        <v>ICTVonline=202101959</v>
      </c>
    </row>
    <row r="8647" spans="1:21" x14ac:dyDescent="0.2">
      <c r="A8647" s="3">
        <v>8646</v>
      </c>
      <c r="B8647" s="1" t="s">
        <v>4226</v>
      </c>
      <c r="D8647" s="1" t="s">
        <v>5412</v>
      </c>
      <c r="F8647" s="1" t="s">
        <v>5637</v>
      </c>
      <c r="H8647" s="1" t="s">
        <v>5640</v>
      </c>
      <c r="J8647" s="1" t="s">
        <v>982</v>
      </c>
      <c r="L8647" s="1" t="s">
        <v>1024</v>
      </c>
      <c r="M8647" s="1" t="s">
        <v>13720</v>
      </c>
      <c r="N8647" s="1" t="s">
        <v>953</v>
      </c>
      <c r="P8647" s="1" t="s">
        <v>669</v>
      </c>
      <c r="Q8647" s="30" t="s">
        <v>2567</v>
      </c>
      <c r="R8647" s="33" t="s">
        <v>3474</v>
      </c>
      <c r="S8647">
        <v>37</v>
      </c>
      <c r="T8647" s="1" t="s">
        <v>14061</v>
      </c>
      <c r="U8647" s="1" t="str">
        <f>HYPERLINK("http://ictvonline.org/taxonomy/p/taxonomy-history?taxnode_id=202101960","ICTVonline=202101960")</f>
        <v>ICTVonline=202101960</v>
      </c>
    </row>
    <row r="8648" spans="1:21" x14ac:dyDescent="0.2">
      <c r="A8648" s="3">
        <v>8647</v>
      </c>
      <c r="B8648" s="1" t="s">
        <v>4226</v>
      </c>
      <c r="D8648" s="1" t="s">
        <v>5412</v>
      </c>
      <c r="F8648" s="1" t="s">
        <v>5637</v>
      </c>
      <c r="H8648" s="1" t="s">
        <v>5640</v>
      </c>
      <c r="J8648" s="1" t="s">
        <v>982</v>
      </c>
      <c r="L8648" s="1" t="s">
        <v>1024</v>
      </c>
      <c r="M8648" s="1" t="s">
        <v>13720</v>
      </c>
      <c r="N8648" s="1" t="s">
        <v>953</v>
      </c>
      <c r="P8648" s="1" t="s">
        <v>1633</v>
      </c>
      <c r="Q8648" s="30" t="s">
        <v>2567</v>
      </c>
      <c r="R8648" s="33" t="s">
        <v>3474</v>
      </c>
      <c r="S8648">
        <v>37</v>
      </c>
      <c r="T8648" s="1" t="s">
        <v>14061</v>
      </c>
      <c r="U8648" s="1" t="str">
        <f>HYPERLINK("http://ictvonline.org/taxonomy/p/taxonomy-history?taxnode_id=202101961","ICTVonline=202101961")</f>
        <v>ICTVonline=202101961</v>
      </c>
    </row>
    <row r="8649" spans="1:21" x14ac:dyDescent="0.2">
      <c r="A8649" s="3">
        <v>8648</v>
      </c>
      <c r="B8649" s="1" t="s">
        <v>4226</v>
      </c>
      <c r="D8649" s="1" t="s">
        <v>5412</v>
      </c>
      <c r="F8649" s="1" t="s">
        <v>5637</v>
      </c>
      <c r="H8649" s="1" t="s">
        <v>5640</v>
      </c>
      <c r="J8649" s="1" t="s">
        <v>982</v>
      </c>
      <c r="L8649" s="1" t="s">
        <v>1024</v>
      </c>
      <c r="M8649" s="1" t="s">
        <v>13720</v>
      </c>
      <c r="N8649" s="1" t="s">
        <v>3601</v>
      </c>
      <c r="P8649" s="1" t="s">
        <v>3602</v>
      </c>
      <c r="Q8649" s="30" t="s">
        <v>2567</v>
      </c>
      <c r="R8649" s="33" t="s">
        <v>3474</v>
      </c>
      <c r="S8649">
        <v>37</v>
      </c>
      <c r="T8649" s="1" t="s">
        <v>14061</v>
      </c>
      <c r="U8649" s="1" t="str">
        <f>HYPERLINK("http://ictvonline.org/taxonomy/p/taxonomy-history?taxnode_id=202105591","ICTVonline=202105591")</f>
        <v>ICTVonline=202105591</v>
      </c>
    </row>
    <row r="8650" spans="1:21" x14ac:dyDescent="0.2">
      <c r="A8650" s="3">
        <v>8649</v>
      </c>
      <c r="B8650" s="1" t="s">
        <v>4226</v>
      </c>
      <c r="D8650" s="1" t="s">
        <v>5412</v>
      </c>
      <c r="F8650" s="1" t="s">
        <v>5637</v>
      </c>
      <c r="H8650" s="1" t="s">
        <v>5640</v>
      </c>
      <c r="J8650" s="1" t="s">
        <v>982</v>
      </c>
      <c r="L8650" s="1" t="s">
        <v>1024</v>
      </c>
      <c r="M8650" s="1" t="s">
        <v>13720</v>
      </c>
      <c r="N8650" s="1" t="s">
        <v>1634</v>
      </c>
      <c r="P8650" s="1" t="s">
        <v>2460</v>
      </c>
      <c r="Q8650" s="30" t="s">
        <v>2567</v>
      </c>
      <c r="R8650" s="33" t="s">
        <v>3474</v>
      </c>
      <c r="S8650">
        <v>37</v>
      </c>
      <c r="T8650" s="1" t="s">
        <v>14061</v>
      </c>
      <c r="U8650" s="1" t="str">
        <f>HYPERLINK("http://ictvonline.org/taxonomy/p/taxonomy-history?taxnode_id=202101971","ICTVonline=202101971")</f>
        <v>ICTVonline=202101971</v>
      </c>
    </row>
    <row r="8651" spans="1:21" x14ac:dyDescent="0.2">
      <c r="A8651" s="3">
        <v>8650</v>
      </c>
      <c r="B8651" s="1" t="s">
        <v>4226</v>
      </c>
      <c r="D8651" s="1" t="s">
        <v>5412</v>
      </c>
      <c r="F8651" s="1" t="s">
        <v>5637</v>
      </c>
      <c r="H8651" s="1" t="s">
        <v>5640</v>
      </c>
      <c r="J8651" s="1" t="s">
        <v>982</v>
      </c>
      <c r="L8651" s="1" t="s">
        <v>1024</v>
      </c>
      <c r="M8651" s="1" t="s">
        <v>13720</v>
      </c>
      <c r="N8651" s="1" t="s">
        <v>1634</v>
      </c>
      <c r="P8651" s="1" t="s">
        <v>2461</v>
      </c>
      <c r="Q8651" s="30" t="s">
        <v>2567</v>
      </c>
      <c r="R8651" s="33" t="s">
        <v>3474</v>
      </c>
      <c r="S8651">
        <v>37</v>
      </c>
      <c r="T8651" s="1" t="s">
        <v>14061</v>
      </c>
      <c r="U8651" s="1" t="str">
        <f>HYPERLINK("http://ictvonline.org/taxonomy/p/taxonomy-history?taxnode_id=202101972","ICTVonline=202101972")</f>
        <v>ICTVonline=202101972</v>
      </c>
    </row>
    <row r="8652" spans="1:21" x14ac:dyDescent="0.2">
      <c r="A8652" s="3">
        <v>8651</v>
      </c>
      <c r="B8652" s="1" t="s">
        <v>4226</v>
      </c>
      <c r="D8652" s="1" t="s">
        <v>5412</v>
      </c>
      <c r="F8652" s="1" t="s">
        <v>5637</v>
      </c>
      <c r="H8652" s="1" t="s">
        <v>5640</v>
      </c>
      <c r="J8652" s="1" t="s">
        <v>982</v>
      </c>
      <c r="L8652" s="1" t="s">
        <v>1024</v>
      </c>
      <c r="M8652" s="1" t="s">
        <v>13720</v>
      </c>
      <c r="N8652" s="1" t="s">
        <v>1634</v>
      </c>
      <c r="P8652" s="1" t="s">
        <v>2462</v>
      </c>
      <c r="Q8652" s="30" t="s">
        <v>2567</v>
      </c>
      <c r="R8652" s="33" t="s">
        <v>3474</v>
      </c>
      <c r="S8652">
        <v>37</v>
      </c>
      <c r="T8652" s="1" t="s">
        <v>14061</v>
      </c>
      <c r="U8652" s="1" t="str">
        <f>HYPERLINK("http://ictvonline.org/taxonomy/p/taxonomy-history?taxnode_id=202101973","ICTVonline=202101973")</f>
        <v>ICTVonline=202101973</v>
      </c>
    </row>
    <row r="8653" spans="1:21" x14ac:dyDescent="0.2">
      <c r="A8653" s="3">
        <v>8652</v>
      </c>
      <c r="B8653" s="1" t="s">
        <v>4226</v>
      </c>
      <c r="D8653" s="1" t="s">
        <v>5412</v>
      </c>
      <c r="F8653" s="1" t="s">
        <v>5637</v>
      </c>
      <c r="H8653" s="1" t="s">
        <v>5640</v>
      </c>
      <c r="J8653" s="1" t="s">
        <v>982</v>
      </c>
      <c r="L8653" s="1" t="s">
        <v>1024</v>
      </c>
      <c r="M8653" s="1" t="s">
        <v>13720</v>
      </c>
      <c r="N8653" s="1" t="s">
        <v>1634</v>
      </c>
      <c r="P8653" s="1" t="s">
        <v>5694</v>
      </c>
      <c r="Q8653" s="30" t="s">
        <v>2567</v>
      </c>
      <c r="R8653" s="33" t="s">
        <v>3474</v>
      </c>
      <c r="S8653">
        <v>37</v>
      </c>
      <c r="T8653" s="1" t="s">
        <v>14061</v>
      </c>
      <c r="U8653" s="1" t="str">
        <f>HYPERLINK("http://ictvonline.org/taxonomy/p/taxonomy-history?taxnode_id=202107104","ICTVonline=202107104")</f>
        <v>ICTVonline=202107104</v>
      </c>
    </row>
    <row r="8654" spans="1:21" x14ac:dyDescent="0.2">
      <c r="A8654" s="3">
        <v>8653</v>
      </c>
      <c r="B8654" s="1" t="s">
        <v>4226</v>
      </c>
      <c r="D8654" s="1" t="s">
        <v>5412</v>
      </c>
      <c r="F8654" s="1" t="s">
        <v>5637</v>
      </c>
      <c r="H8654" s="1" t="s">
        <v>5640</v>
      </c>
      <c r="J8654" s="1" t="s">
        <v>982</v>
      </c>
      <c r="L8654" s="1" t="s">
        <v>1024</v>
      </c>
      <c r="M8654" s="1" t="s">
        <v>13720</v>
      </c>
      <c r="N8654" s="1" t="s">
        <v>1634</v>
      </c>
      <c r="P8654" s="1" t="s">
        <v>5695</v>
      </c>
      <c r="Q8654" s="30" t="s">
        <v>2567</v>
      </c>
      <c r="R8654" s="33" t="s">
        <v>3474</v>
      </c>
      <c r="S8654">
        <v>37</v>
      </c>
      <c r="T8654" s="1" t="s">
        <v>14061</v>
      </c>
      <c r="U8654" s="1" t="str">
        <f>HYPERLINK("http://ictvonline.org/taxonomy/p/taxonomy-history?taxnode_id=202107105","ICTVonline=202107105")</f>
        <v>ICTVonline=202107105</v>
      </c>
    </row>
    <row r="8655" spans="1:21" x14ac:dyDescent="0.2">
      <c r="A8655" s="3">
        <v>8654</v>
      </c>
      <c r="B8655" s="1" t="s">
        <v>4226</v>
      </c>
      <c r="D8655" s="1" t="s">
        <v>5412</v>
      </c>
      <c r="F8655" s="1" t="s">
        <v>5637</v>
      </c>
      <c r="H8655" s="1" t="s">
        <v>5640</v>
      </c>
      <c r="J8655" s="1" t="s">
        <v>982</v>
      </c>
      <c r="L8655" s="1" t="s">
        <v>1024</v>
      </c>
      <c r="M8655" s="1" t="s">
        <v>13720</v>
      </c>
      <c r="N8655" s="1" t="s">
        <v>1634</v>
      </c>
      <c r="P8655" s="1" t="s">
        <v>5696</v>
      </c>
      <c r="Q8655" s="30" t="s">
        <v>2567</v>
      </c>
      <c r="R8655" s="33" t="s">
        <v>3474</v>
      </c>
      <c r="S8655">
        <v>37</v>
      </c>
      <c r="T8655" s="1" t="s">
        <v>14061</v>
      </c>
      <c r="U8655" s="1" t="str">
        <f>HYPERLINK("http://ictvonline.org/taxonomy/p/taxonomy-history?taxnode_id=202107106","ICTVonline=202107106")</f>
        <v>ICTVonline=202107106</v>
      </c>
    </row>
    <row r="8656" spans="1:21" x14ac:dyDescent="0.2">
      <c r="A8656" s="3">
        <v>8655</v>
      </c>
      <c r="B8656" s="1" t="s">
        <v>4226</v>
      </c>
      <c r="D8656" s="1" t="s">
        <v>5412</v>
      </c>
      <c r="F8656" s="1" t="s">
        <v>5637</v>
      </c>
      <c r="H8656" s="1" t="s">
        <v>5640</v>
      </c>
      <c r="J8656" s="1" t="s">
        <v>982</v>
      </c>
      <c r="L8656" s="1" t="s">
        <v>1024</v>
      </c>
      <c r="M8656" s="1" t="s">
        <v>13720</v>
      </c>
      <c r="N8656" s="1" t="s">
        <v>2027</v>
      </c>
      <c r="P8656" s="1" t="s">
        <v>2028</v>
      </c>
      <c r="Q8656" s="30" t="s">
        <v>2567</v>
      </c>
      <c r="R8656" s="33" t="s">
        <v>3474</v>
      </c>
      <c r="S8656">
        <v>37</v>
      </c>
      <c r="T8656" s="1" t="s">
        <v>14061</v>
      </c>
      <c r="U8656" s="1" t="str">
        <f>HYPERLINK("http://ictvonline.org/taxonomy/p/taxonomy-history?taxnode_id=202101975","ICTVonline=202101975")</f>
        <v>ICTVonline=202101975</v>
      </c>
    </row>
    <row r="8657" spans="1:21" x14ac:dyDescent="0.2">
      <c r="A8657" s="3">
        <v>8656</v>
      </c>
      <c r="B8657" s="1" t="s">
        <v>4226</v>
      </c>
      <c r="D8657" s="1" t="s">
        <v>5412</v>
      </c>
      <c r="F8657" s="1" t="s">
        <v>5637</v>
      </c>
      <c r="H8657" s="1" t="s">
        <v>5640</v>
      </c>
      <c r="J8657" s="1" t="s">
        <v>982</v>
      </c>
      <c r="L8657" s="1" t="s">
        <v>1024</v>
      </c>
      <c r="M8657" s="1" t="s">
        <v>13720</v>
      </c>
      <c r="N8657" s="1" t="s">
        <v>2027</v>
      </c>
      <c r="P8657" s="1" t="s">
        <v>3236</v>
      </c>
      <c r="Q8657" s="30" t="s">
        <v>2567</v>
      </c>
      <c r="R8657" s="33" t="s">
        <v>3474</v>
      </c>
      <c r="S8657">
        <v>37</v>
      </c>
      <c r="T8657" s="1" t="s">
        <v>14061</v>
      </c>
      <c r="U8657" s="1" t="str">
        <f>HYPERLINK("http://ictvonline.org/taxonomy/p/taxonomy-history?taxnode_id=202101976","ICTVonline=202101976")</f>
        <v>ICTVonline=202101976</v>
      </c>
    </row>
    <row r="8658" spans="1:21" x14ac:dyDescent="0.2">
      <c r="A8658" s="3">
        <v>8657</v>
      </c>
      <c r="B8658" s="1" t="s">
        <v>4226</v>
      </c>
      <c r="D8658" s="1" t="s">
        <v>5412</v>
      </c>
      <c r="F8658" s="1" t="s">
        <v>5637</v>
      </c>
      <c r="H8658" s="1" t="s">
        <v>5640</v>
      </c>
      <c r="J8658" s="1" t="s">
        <v>982</v>
      </c>
      <c r="L8658" s="1" t="s">
        <v>1024</v>
      </c>
      <c r="M8658" s="1" t="s">
        <v>13720</v>
      </c>
      <c r="N8658" s="1" t="s">
        <v>2027</v>
      </c>
      <c r="P8658" s="1" t="s">
        <v>3237</v>
      </c>
      <c r="Q8658" s="30" t="s">
        <v>2567</v>
      </c>
      <c r="R8658" s="33" t="s">
        <v>3474</v>
      </c>
      <c r="S8658">
        <v>37</v>
      </c>
      <c r="T8658" s="1" t="s">
        <v>14061</v>
      </c>
      <c r="U8658" s="1" t="str">
        <f>HYPERLINK("http://ictvonline.org/taxonomy/p/taxonomy-history?taxnode_id=202101977","ICTVonline=202101977")</f>
        <v>ICTVonline=202101977</v>
      </c>
    </row>
    <row r="8659" spans="1:21" x14ac:dyDescent="0.2">
      <c r="A8659" s="3">
        <v>8658</v>
      </c>
      <c r="B8659" s="1" t="s">
        <v>4226</v>
      </c>
      <c r="D8659" s="1" t="s">
        <v>5412</v>
      </c>
      <c r="F8659" s="1" t="s">
        <v>5637</v>
      </c>
      <c r="H8659" s="1" t="s">
        <v>5640</v>
      </c>
      <c r="J8659" s="1" t="s">
        <v>982</v>
      </c>
      <c r="L8659" s="1" t="s">
        <v>1024</v>
      </c>
      <c r="M8659" s="1" t="s">
        <v>13720</v>
      </c>
      <c r="N8659" s="1" t="s">
        <v>2027</v>
      </c>
      <c r="P8659" s="1" t="s">
        <v>3238</v>
      </c>
      <c r="Q8659" s="30" t="s">
        <v>2567</v>
      </c>
      <c r="R8659" s="33" t="s">
        <v>3474</v>
      </c>
      <c r="S8659">
        <v>37</v>
      </c>
      <c r="T8659" s="1" t="s">
        <v>14061</v>
      </c>
      <c r="U8659" s="1" t="str">
        <f>HYPERLINK("http://ictvonline.org/taxonomy/p/taxonomy-history?taxnode_id=202101978","ICTVonline=202101978")</f>
        <v>ICTVonline=202101978</v>
      </c>
    </row>
    <row r="8660" spans="1:21" x14ac:dyDescent="0.2">
      <c r="A8660" s="3">
        <v>8659</v>
      </c>
      <c r="B8660" s="1" t="s">
        <v>4226</v>
      </c>
      <c r="D8660" s="1" t="s">
        <v>5412</v>
      </c>
      <c r="F8660" s="1" t="s">
        <v>5637</v>
      </c>
      <c r="H8660" s="1" t="s">
        <v>5640</v>
      </c>
      <c r="J8660" s="1" t="s">
        <v>982</v>
      </c>
      <c r="L8660" s="1" t="s">
        <v>1024</v>
      </c>
      <c r="M8660" s="1" t="s">
        <v>13720</v>
      </c>
      <c r="N8660" s="1" t="s">
        <v>2027</v>
      </c>
      <c r="P8660" s="1" t="s">
        <v>3239</v>
      </c>
      <c r="Q8660" s="30" t="s">
        <v>2567</v>
      </c>
      <c r="R8660" s="33" t="s">
        <v>3474</v>
      </c>
      <c r="S8660">
        <v>37</v>
      </c>
      <c r="T8660" s="1" t="s">
        <v>14061</v>
      </c>
      <c r="U8660" s="1" t="str">
        <f>HYPERLINK("http://ictvonline.org/taxonomy/p/taxonomy-history?taxnode_id=202101979","ICTVonline=202101979")</f>
        <v>ICTVonline=202101979</v>
      </c>
    </row>
    <row r="8661" spans="1:21" x14ac:dyDescent="0.2">
      <c r="A8661" s="3">
        <v>8660</v>
      </c>
      <c r="B8661" s="1" t="s">
        <v>4226</v>
      </c>
      <c r="D8661" s="1" t="s">
        <v>5412</v>
      </c>
      <c r="F8661" s="1" t="s">
        <v>5637</v>
      </c>
      <c r="H8661" s="1" t="s">
        <v>5640</v>
      </c>
      <c r="J8661" s="1" t="s">
        <v>982</v>
      </c>
      <c r="L8661" s="1" t="s">
        <v>1024</v>
      </c>
      <c r="M8661" s="1" t="s">
        <v>13720</v>
      </c>
      <c r="N8661" s="1" t="s">
        <v>591</v>
      </c>
      <c r="P8661" s="1" t="s">
        <v>2463</v>
      </c>
      <c r="Q8661" s="30" t="s">
        <v>2567</v>
      </c>
      <c r="R8661" s="33" t="s">
        <v>3474</v>
      </c>
      <c r="S8661">
        <v>37</v>
      </c>
      <c r="T8661" s="1" t="s">
        <v>14061</v>
      </c>
      <c r="U8661" s="1" t="str">
        <f>HYPERLINK("http://ictvonline.org/taxonomy/p/taxonomy-history?taxnode_id=202101997","ICTVonline=202101997")</f>
        <v>ICTVonline=202101997</v>
      </c>
    </row>
    <row r="8662" spans="1:21" x14ac:dyDescent="0.2">
      <c r="A8662" s="3">
        <v>8661</v>
      </c>
      <c r="B8662" s="1" t="s">
        <v>4226</v>
      </c>
      <c r="D8662" s="1" t="s">
        <v>5412</v>
      </c>
      <c r="F8662" s="1" t="s">
        <v>5637</v>
      </c>
      <c r="H8662" s="1" t="s">
        <v>5640</v>
      </c>
      <c r="J8662" s="1" t="s">
        <v>982</v>
      </c>
      <c r="L8662" s="1" t="s">
        <v>1024</v>
      </c>
      <c r="M8662" s="1" t="s">
        <v>13720</v>
      </c>
      <c r="N8662" s="1" t="s">
        <v>2152</v>
      </c>
      <c r="P8662" s="1" t="s">
        <v>2153</v>
      </c>
      <c r="Q8662" s="30" t="s">
        <v>2567</v>
      </c>
      <c r="R8662" s="33" t="s">
        <v>3474</v>
      </c>
      <c r="S8662">
        <v>37</v>
      </c>
      <c r="T8662" s="1" t="s">
        <v>14061</v>
      </c>
      <c r="U8662" s="1" t="str">
        <f>HYPERLINK("http://ictvonline.org/taxonomy/p/taxonomy-history?taxnode_id=202102013","ICTVonline=202102013")</f>
        <v>ICTVonline=202102013</v>
      </c>
    </row>
    <row r="8663" spans="1:21" x14ac:dyDescent="0.2">
      <c r="A8663" s="3">
        <v>8662</v>
      </c>
      <c r="B8663" s="1" t="s">
        <v>4226</v>
      </c>
      <c r="D8663" s="1" t="s">
        <v>5412</v>
      </c>
      <c r="F8663" s="1" t="s">
        <v>5637</v>
      </c>
      <c r="H8663" s="1" t="s">
        <v>5640</v>
      </c>
      <c r="J8663" s="1" t="s">
        <v>982</v>
      </c>
      <c r="L8663" s="1" t="s">
        <v>1024</v>
      </c>
      <c r="M8663" s="1" t="s">
        <v>13720</v>
      </c>
      <c r="N8663" s="1" t="s">
        <v>4408</v>
      </c>
      <c r="P8663" s="1" t="s">
        <v>4409</v>
      </c>
      <c r="Q8663" s="30" t="s">
        <v>2567</v>
      </c>
      <c r="R8663" s="33" t="s">
        <v>3474</v>
      </c>
      <c r="S8663">
        <v>37</v>
      </c>
      <c r="T8663" s="1" t="s">
        <v>14061</v>
      </c>
      <c r="U8663" s="1" t="str">
        <f>HYPERLINK("http://ictvonline.org/taxonomy/p/taxonomy-history?taxnode_id=202106324","ICTVonline=202106324")</f>
        <v>ICTVonline=202106324</v>
      </c>
    </row>
    <row r="8664" spans="1:21" x14ac:dyDescent="0.2">
      <c r="A8664" s="3">
        <v>8663</v>
      </c>
      <c r="B8664" s="1" t="s">
        <v>4226</v>
      </c>
      <c r="D8664" s="1" t="s">
        <v>5412</v>
      </c>
      <c r="F8664" s="1" t="s">
        <v>5637</v>
      </c>
      <c r="H8664" s="1" t="s">
        <v>5640</v>
      </c>
      <c r="J8664" s="1" t="s">
        <v>982</v>
      </c>
      <c r="L8664" s="1" t="s">
        <v>1024</v>
      </c>
      <c r="M8664" s="1" t="s">
        <v>13720</v>
      </c>
      <c r="N8664" s="1" t="s">
        <v>4408</v>
      </c>
      <c r="P8664" s="1" t="s">
        <v>4410</v>
      </c>
      <c r="Q8664" s="30" t="s">
        <v>2567</v>
      </c>
      <c r="R8664" s="33" t="s">
        <v>3474</v>
      </c>
      <c r="S8664">
        <v>37</v>
      </c>
      <c r="T8664" s="1" t="s">
        <v>14061</v>
      </c>
      <c r="U8664" s="1" t="str">
        <f>HYPERLINK("http://ictvonline.org/taxonomy/p/taxonomy-history?taxnode_id=202106325","ICTVonline=202106325")</f>
        <v>ICTVonline=202106325</v>
      </c>
    </row>
    <row r="8665" spans="1:21" x14ac:dyDescent="0.2">
      <c r="A8665" s="3">
        <v>8664</v>
      </c>
      <c r="B8665" s="1" t="s">
        <v>4226</v>
      </c>
      <c r="D8665" s="1" t="s">
        <v>5412</v>
      </c>
      <c r="F8665" s="1" t="s">
        <v>5637</v>
      </c>
      <c r="H8665" s="1" t="s">
        <v>5640</v>
      </c>
      <c r="J8665" s="1" t="s">
        <v>982</v>
      </c>
      <c r="L8665" s="1" t="s">
        <v>1024</v>
      </c>
      <c r="M8665" s="1" t="s">
        <v>13720</v>
      </c>
      <c r="N8665" s="1" t="s">
        <v>8325</v>
      </c>
      <c r="P8665" s="1" t="s">
        <v>8326</v>
      </c>
      <c r="Q8665" s="30" t="s">
        <v>2567</v>
      </c>
      <c r="R8665" s="33" t="s">
        <v>3474</v>
      </c>
      <c r="S8665">
        <v>37</v>
      </c>
      <c r="T8665" s="1" t="s">
        <v>14061</v>
      </c>
      <c r="U8665" s="1" t="str">
        <f>HYPERLINK("http://ictvonline.org/taxonomy/p/taxonomy-history?taxnode_id=202109140","ICTVonline=202109140")</f>
        <v>ICTVonline=202109140</v>
      </c>
    </row>
    <row r="8666" spans="1:21" x14ac:dyDescent="0.2">
      <c r="A8666" s="3">
        <v>8665</v>
      </c>
      <c r="B8666" s="1" t="s">
        <v>4226</v>
      </c>
      <c r="D8666" s="1" t="s">
        <v>5412</v>
      </c>
      <c r="F8666" s="1" t="s">
        <v>5637</v>
      </c>
      <c r="H8666" s="1" t="s">
        <v>5640</v>
      </c>
      <c r="J8666" s="1" t="s">
        <v>982</v>
      </c>
      <c r="L8666" s="1" t="s">
        <v>1024</v>
      </c>
      <c r="M8666" s="1" t="s">
        <v>13720</v>
      </c>
      <c r="N8666" s="1" t="s">
        <v>2154</v>
      </c>
      <c r="P8666" s="1" t="s">
        <v>2155</v>
      </c>
      <c r="Q8666" s="30" t="s">
        <v>2567</v>
      </c>
      <c r="R8666" s="33" t="s">
        <v>3474</v>
      </c>
      <c r="S8666">
        <v>37</v>
      </c>
      <c r="T8666" s="1" t="s">
        <v>14061</v>
      </c>
      <c r="U8666" s="1" t="str">
        <f>HYPERLINK("http://ictvonline.org/taxonomy/p/taxonomy-history?taxnode_id=202102030","ICTVonline=202102030")</f>
        <v>ICTVonline=202102030</v>
      </c>
    </row>
    <row r="8667" spans="1:21" x14ac:dyDescent="0.2">
      <c r="A8667" s="3">
        <v>8666</v>
      </c>
      <c r="B8667" s="1" t="s">
        <v>4226</v>
      </c>
      <c r="D8667" s="1" t="s">
        <v>5412</v>
      </c>
      <c r="F8667" s="1" t="s">
        <v>5637</v>
      </c>
      <c r="H8667" s="1" t="s">
        <v>5640</v>
      </c>
      <c r="J8667" s="1" t="s">
        <v>982</v>
      </c>
      <c r="L8667" s="1" t="s">
        <v>1024</v>
      </c>
      <c r="M8667" s="1" t="s">
        <v>13720</v>
      </c>
      <c r="N8667" s="1" t="s">
        <v>2154</v>
      </c>
      <c r="P8667" s="1" t="s">
        <v>3254</v>
      </c>
      <c r="Q8667" s="30" t="s">
        <v>2567</v>
      </c>
      <c r="R8667" s="33" t="s">
        <v>3474</v>
      </c>
      <c r="S8667">
        <v>37</v>
      </c>
      <c r="T8667" s="1" t="s">
        <v>14061</v>
      </c>
      <c r="U8667" s="1" t="str">
        <f>HYPERLINK("http://ictvonline.org/taxonomy/p/taxonomy-history?taxnode_id=202102031","ICTVonline=202102031")</f>
        <v>ICTVonline=202102031</v>
      </c>
    </row>
    <row r="8668" spans="1:21" x14ac:dyDescent="0.2">
      <c r="A8668" s="3">
        <v>8667</v>
      </c>
      <c r="B8668" s="1" t="s">
        <v>4226</v>
      </c>
      <c r="D8668" s="1" t="s">
        <v>5412</v>
      </c>
      <c r="F8668" s="1" t="s">
        <v>5637</v>
      </c>
      <c r="H8668" s="1" t="s">
        <v>5640</v>
      </c>
      <c r="J8668" s="1" t="s">
        <v>982</v>
      </c>
      <c r="L8668" s="1" t="s">
        <v>1024</v>
      </c>
      <c r="M8668" s="1" t="s">
        <v>13720</v>
      </c>
      <c r="N8668" s="1" t="s">
        <v>2154</v>
      </c>
      <c r="P8668" s="1" t="s">
        <v>3255</v>
      </c>
      <c r="Q8668" s="30" t="s">
        <v>2567</v>
      </c>
      <c r="R8668" s="33" t="s">
        <v>3474</v>
      </c>
      <c r="S8668">
        <v>37</v>
      </c>
      <c r="T8668" s="1" t="s">
        <v>14061</v>
      </c>
      <c r="U8668" s="1" t="str">
        <f>HYPERLINK("http://ictvonline.org/taxonomy/p/taxonomy-history?taxnode_id=202102032","ICTVonline=202102032")</f>
        <v>ICTVonline=202102032</v>
      </c>
    </row>
    <row r="8669" spans="1:21" x14ac:dyDescent="0.2">
      <c r="A8669" s="3">
        <v>8668</v>
      </c>
      <c r="B8669" s="1" t="s">
        <v>4226</v>
      </c>
      <c r="D8669" s="1" t="s">
        <v>5412</v>
      </c>
      <c r="F8669" s="1" t="s">
        <v>5637</v>
      </c>
      <c r="H8669" s="1" t="s">
        <v>5640</v>
      </c>
      <c r="J8669" s="1" t="s">
        <v>982</v>
      </c>
      <c r="L8669" s="1" t="s">
        <v>1024</v>
      </c>
      <c r="M8669" s="1" t="s">
        <v>13720</v>
      </c>
      <c r="N8669" s="1" t="s">
        <v>2154</v>
      </c>
      <c r="P8669" s="1" t="s">
        <v>4411</v>
      </c>
      <c r="Q8669" s="30" t="s">
        <v>2567</v>
      </c>
      <c r="R8669" s="33" t="s">
        <v>3474</v>
      </c>
      <c r="S8669">
        <v>37</v>
      </c>
      <c r="T8669" s="1" t="s">
        <v>14061</v>
      </c>
      <c r="U8669" s="1" t="str">
        <f>HYPERLINK("http://ictvonline.org/taxonomy/p/taxonomy-history?taxnode_id=202106330","ICTVonline=202106330")</f>
        <v>ICTVonline=202106330</v>
      </c>
    </row>
    <row r="8670" spans="1:21" x14ac:dyDescent="0.2">
      <c r="A8670" s="3">
        <v>8669</v>
      </c>
      <c r="B8670" s="1" t="s">
        <v>4226</v>
      </c>
      <c r="D8670" s="1" t="s">
        <v>5412</v>
      </c>
      <c r="F8670" s="1" t="s">
        <v>5637</v>
      </c>
      <c r="H8670" s="1" t="s">
        <v>5640</v>
      </c>
      <c r="J8670" s="1" t="s">
        <v>982</v>
      </c>
      <c r="L8670" s="1" t="s">
        <v>1024</v>
      </c>
      <c r="M8670" s="1" t="s">
        <v>13720</v>
      </c>
      <c r="N8670" s="1" t="s">
        <v>2154</v>
      </c>
      <c r="P8670" s="1" t="s">
        <v>8327</v>
      </c>
      <c r="Q8670" s="30" t="s">
        <v>2567</v>
      </c>
      <c r="R8670" s="33" t="s">
        <v>3474</v>
      </c>
      <c r="S8670">
        <v>37</v>
      </c>
      <c r="T8670" s="1" t="s">
        <v>14061</v>
      </c>
      <c r="U8670" s="1" t="str">
        <f>HYPERLINK("http://ictvonline.org/taxonomy/p/taxonomy-history?taxnode_id=202109157","ICTVonline=202109157")</f>
        <v>ICTVonline=202109157</v>
      </c>
    </row>
    <row r="8671" spans="1:21" x14ac:dyDescent="0.2">
      <c r="A8671" s="3">
        <v>8670</v>
      </c>
      <c r="B8671" s="1" t="s">
        <v>4226</v>
      </c>
      <c r="D8671" s="1" t="s">
        <v>5412</v>
      </c>
      <c r="F8671" s="1" t="s">
        <v>5637</v>
      </c>
      <c r="H8671" s="1" t="s">
        <v>5640</v>
      </c>
      <c r="J8671" s="1" t="s">
        <v>982</v>
      </c>
      <c r="L8671" s="1" t="s">
        <v>1024</v>
      </c>
      <c r="M8671" s="1" t="s">
        <v>13720</v>
      </c>
      <c r="N8671" s="1" t="s">
        <v>2156</v>
      </c>
      <c r="P8671" s="1" t="s">
        <v>2157</v>
      </c>
      <c r="Q8671" s="30" t="s">
        <v>2567</v>
      </c>
      <c r="R8671" s="33" t="s">
        <v>3474</v>
      </c>
      <c r="S8671">
        <v>37</v>
      </c>
      <c r="T8671" s="1" t="s">
        <v>14061</v>
      </c>
      <c r="U8671" s="1" t="str">
        <f>HYPERLINK("http://ictvonline.org/taxonomy/p/taxonomy-history?taxnode_id=202102034","ICTVonline=202102034")</f>
        <v>ICTVonline=202102034</v>
      </c>
    </row>
    <row r="8672" spans="1:21" x14ac:dyDescent="0.2">
      <c r="A8672" s="3">
        <v>8671</v>
      </c>
      <c r="B8672" s="1" t="s">
        <v>4226</v>
      </c>
      <c r="D8672" s="1" t="s">
        <v>5412</v>
      </c>
      <c r="F8672" s="1" t="s">
        <v>5637</v>
      </c>
      <c r="H8672" s="1" t="s">
        <v>5640</v>
      </c>
      <c r="J8672" s="1" t="s">
        <v>982</v>
      </c>
      <c r="L8672" s="1" t="s">
        <v>1024</v>
      </c>
      <c r="M8672" s="1" t="s">
        <v>13720</v>
      </c>
      <c r="N8672" s="1" t="s">
        <v>2156</v>
      </c>
      <c r="P8672" s="1" t="s">
        <v>5719</v>
      </c>
      <c r="Q8672" s="30" t="s">
        <v>2567</v>
      </c>
      <c r="R8672" s="33" t="s">
        <v>3474</v>
      </c>
      <c r="S8672">
        <v>37</v>
      </c>
      <c r="T8672" s="1" t="s">
        <v>14061</v>
      </c>
      <c r="U8672" s="1" t="str">
        <f>HYPERLINK("http://ictvonline.org/taxonomy/p/taxonomy-history?taxnode_id=202107369","ICTVonline=202107369")</f>
        <v>ICTVonline=202107369</v>
      </c>
    </row>
    <row r="8673" spans="1:21" x14ac:dyDescent="0.2">
      <c r="A8673" s="3">
        <v>8672</v>
      </c>
      <c r="B8673" s="1" t="s">
        <v>4226</v>
      </c>
      <c r="D8673" s="1" t="s">
        <v>5412</v>
      </c>
      <c r="F8673" s="1" t="s">
        <v>5637</v>
      </c>
      <c r="H8673" s="1" t="s">
        <v>5640</v>
      </c>
      <c r="J8673" s="1" t="s">
        <v>982</v>
      </c>
      <c r="L8673" s="1" t="s">
        <v>1024</v>
      </c>
      <c r="M8673" s="1" t="s">
        <v>13720</v>
      </c>
      <c r="N8673" s="1" t="s">
        <v>5720</v>
      </c>
      <c r="P8673" s="1" t="s">
        <v>5721</v>
      </c>
      <c r="Q8673" s="30" t="s">
        <v>2567</v>
      </c>
      <c r="R8673" s="33" t="s">
        <v>3474</v>
      </c>
      <c r="S8673">
        <v>37</v>
      </c>
      <c r="T8673" s="1" t="s">
        <v>14061</v>
      </c>
      <c r="U8673" s="1" t="str">
        <f>HYPERLINK("http://ictvonline.org/taxonomy/p/taxonomy-history?taxnode_id=202107398","ICTVonline=202107398")</f>
        <v>ICTVonline=202107398</v>
      </c>
    </row>
    <row r="8674" spans="1:21" x14ac:dyDescent="0.2">
      <c r="A8674" s="3">
        <v>8673</v>
      </c>
      <c r="B8674" s="1" t="s">
        <v>4226</v>
      </c>
      <c r="D8674" s="1" t="s">
        <v>5412</v>
      </c>
      <c r="F8674" s="1" t="s">
        <v>5637</v>
      </c>
      <c r="H8674" s="1" t="s">
        <v>5640</v>
      </c>
      <c r="J8674" s="1" t="s">
        <v>982</v>
      </c>
      <c r="L8674" s="1" t="s">
        <v>1024</v>
      </c>
      <c r="M8674" s="1" t="s">
        <v>13720</v>
      </c>
      <c r="N8674" s="1" t="s">
        <v>916</v>
      </c>
      <c r="P8674" s="1" t="s">
        <v>2473</v>
      </c>
      <c r="Q8674" s="30" t="s">
        <v>2567</v>
      </c>
      <c r="R8674" s="33" t="s">
        <v>3474</v>
      </c>
      <c r="S8674">
        <v>37</v>
      </c>
      <c r="T8674" s="1" t="s">
        <v>14061</v>
      </c>
      <c r="U8674" s="1" t="str">
        <f>HYPERLINK("http://ictvonline.org/taxonomy/p/taxonomy-history?taxnode_id=202102061","ICTVonline=202102061")</f>
        <v>ICTVonline=202102061</v>
      </c>
    </row>
    <row r="8675" spans="1:21" x14ac:dyDescent="0.2">
      <c r="A8675" s="3">
        <v>8674</v>
      </c>
      <c r="B8675" s="1" t="s">
        <v>4226</v>
      </c>
      <c r="D8675" s="1" t="s">
        <v>5412</v>
      </c>
      <c r="F8675" s="1" t="s">
        <v>5637</v>
      </c>
      <c r="H8675" s="1" t="s">
        <v>5640</v>
      </c>
      <c r="J8675" s="1" t="s">
        <v>982</v>
      </c>
      <c r="L8675" s="1" t="s">
        <v>1024</v>
      </c>
      <c r="M8675" s="1" t="s">
        <v>13720</v>
      </c>
      <c r="N8675" s="1" t="s">
        <v>903</v>
      </c>
      <c r="P8675" s="1" t="s">
        <v>2476</v>
      </c>
      <c r="Q8675" s="30" t="s">
        <v>2567</v>
      </c>
      <c r="R8675" s="33" t="s">
        <v>3474</v>
      </c>
      <c r="S8675">
        <v>37</v>
      </c>
      <c r="T8675" s="1" t="s">
        <v>14061</v>
      </c>
      <c r="U8675" s="1" t="str">
        <f>HYPERLINK("http://ictvonline.org/taxonomy/p/taxonomy-history?taxnode_id=202102065","ICTVonline=202102065")</f>
        <v>ICTVonline=202102065</v>
      </c>
    </row>
    <row r="8676" spans="1:21" x14ac:dyDescent="0.2">
      <c r="A8676" s="3">
        <v>8675</v>
      </c>
      <c r="B8676" s="1" t="s">
        <v>4226</v>
      </c>
      <c r="D8676" s="1" t="s">
        <v>5412</v>
      </c>
      <c r="F8676" s="1" t="s">
        <v>5637</v>
      </c>
      <c r="H8676" s="1" t="s">
        <v>5640</v>
      </c>
      <c r="J8676" s="1" t="s">
        <v>982</v>
      </c>
      <c r="L8676" s="1" t="s">
        <v>1024</v>
      </c>
      <c r="M8676" s="1" t="s">
        <v>13720</v>
      </c>
      <c r="N8676" s="1" t="s">
        <v>903</v>
      </c>
      <c r="P8676" s="1" t="s">
        <v>5738</v>
      </c>
      <c r="Q8676" s="30" t="s">
        <v>2567</v>
      </c>
      <c r="R8676" s="33" t="s">
        <v>3474</v>
      </c>
      <c r="S8676">
        <v>37</v>
      </c>
      <c r="T8676" s="1" t="s">
        <v>14061</v>
      </c>
      <c r="U8676" s="1" t="str">
        <f>HYPERLINK("http://ictvonline.org/taxonomy/p/taxonomy-history?taxnode_id=202107451","ICTVonline=202107451")</f>
        <v>ICTVonline=202107451</v>
      </c>
    </row>
    <row r="8677" spans="1:21" x14ac:dyDescent="0.2">
      <c r="A8677" s="3">
        <v>8676</v>
      </c>
      <c r="B8677" s="1" t="s">
        <v>4226</v>
      </c>
      <c r="D8677" s="1" t="s">
        <v>5412</v>
      </c>
      <c r="F8677" s="1" t="s">
        <v>5637</v>
      </c>
      <c r="H8677" s="1" t="s">
        <v>5640</v>
      </c>
      <c r="J8677" s="1" t="s">
        <v>982</v>
      </c>
      <c r="L8677" s="1" t="s">
        <v>1024</v>
      </c>
      <c r="M8677" s="1" t="s">
        <v>13720</v>
      </c>
      <c r="N8677" s="1" t="s">
        <v>3260</v>
      </c>
      <c r="P8677" s="1" t="s">
        <v>3261</v>
      </c>
      <c r="Q8677" s="30" t="s">
        <v>2567</v>
      </c>
      <c r="R8677" s="33" t="s">
        <v>3474</v>
      </c>
      <c r="S8677">
        <v>37</v>
      </c>
      <c r="T8677" s="1" t="s">
        <v>14061</v>
      </c>
      <c r="U8677" s="1" t="str">
        <f>HYPERLINK("http://ictvonline.org/taxonomy/p/taxonomy-history?taxnode_id=202102067","ICTVonline=202102067")</f>
        <v>ICTVonline=202102067</v>
      </c>
    </row>
    <row r="8678" spans="1:21" x14ac:dyDescent="0.2">
      <c r="A8678" s="3">
        <v>8677</v>
      </c>
      <c r="B8678" s="1" t="s">
        <v>4226</v>
      </c>
      <c r="D8678" s="1" t="s">
        <v>5412</v>
      </c>
      <c r="F8678" s="1" t="s">
        <v>5637</v>
      </c>
      <c r="H8678" s="1" t="s">
        <v>5640</v>
      </c>
      <c r="J8678" s="1" t="s">
        <v>982</v>
      </c>
      <c r="L8678" s="1" t="s">
        <v>1024</v>
      </c>
      <c r="M8678" s="1" t="s">
        <v>13720</v>
      </c>
      <c r="N8678" s="1" t="s">
        <v>4423</v>
      </c>
      <c r="P8678" s="1" t="s">
        <v>4424</v>
      </c>
      <c r="Q8678" s="30" t="s">
        <v>2567</v>
      </c>
      <c r="R8678" s="33" t="s">
        <v>3474</v>
      </c>
      <c r="S8678">
        <v>37</v>
      </c>
      <c r="T8678" s="1" t="s">
        <v>14061</v>
      </c>
      <c r="U8678" s="1" t="str">
        <f>HYPERLINK("http://ictvonline.org/taxonomy/p/taxonomy-history?taxnode_id=202106483","ICTVonline=202106483")</f>
        <v>ICTVonline=202106483</v>
      </c>
    </row>
    <row r="8679" spans="1:21" x14ac:dyDescent="0.2">
      <c r="A8679" s="3">
        <v>8678</v>
      </c>
      <c r="B8679" s="1" t="s">
        <v>4226</v>
      </c>
      <c r="D8679" s="1" t="s">
        <v>5412</v>
      </c>
      <c r="F8679" s="1" t="s">
        <v>5637</v>
      </c>
      <c r="H8679" s="1" t="s">
        <v>5640</v>
      </c>
      <c r="J8679" s="1" t="s">
        <v>982</v>
      </c>
      <c r="L8679" s="1" t="s">
        <v>1024</v>
      </c>
      <c r="M8679" s="1" t="s">
        <v>13721</v>
      </c>
      <c r="N8679" s="1" t="s">
        <v>4403</v>
      </c>
      <c r="P8679" s="1" t="s">
        <v>4404</v>
      </c>
      <c r="Q8679" s="30" t="s">
        <v>2567</v>
      </c>
      <c r="R8679" s="33" t="s">
        <v>3474</v>
      </c>
      <c r="S8679">
        <v>37</v>
      </c>
      <c r="T8679" s="1" t="s">
        <v>14061</v>
      </c>
      <c r="U8679" s="1" t="str">
        <f>HYPERLINK("http://ictvonline.org/taxonomy/p/taxonomy-history?taxnode_id=202102057","ICTVonline=202102057")</f>
        <v>ICTVonline=202102057</v>
      </c>
    </row>
    <row r="8680" spans="1:21" x14ac:dyDescent="0.2">
      <c r="A8680" s="3">
        <v>8679</v>
      </c>
      <c r="B8680" s="1" t="s">
        <v>4226</v>
      </c>
      <c r="D8680" s="1" t="s">
        <v>5412</v>
      </c>
      <c r="F8680" s="1" t="s">
        <v>5637</v>
      </c>
      <c r="H8680" s="1" t="s">
        <v>5640</v>
      </c>
      <c r="J8680" s="1" t="s">
        <v>982</v>
      </c>
      <c r="L8680" s="1" t="s">
        <v>1024</v>
      </c>
      <c r="M8680" s="1" t="s">
        <v>13721</v>
      </c>
      <c r="N8680" s="1" t="s">
        <v>4403</v>
      </c>
      <c r="P8680" s="1" t="s">
        <v>5689</v>
      </c>
      <c r="Q8680" s="30" t="s">
        <v>2567</v>
      </c>
      <c r="R8680" s="33" t="s">
        <v>3474</v>
      </c>
      <c r="S8680">
        <v>37</v>
      </c>
      <c r="T8680" s="1" t="s">
        <v>14061</v>
      </c>
      <c r="U8680" s="1" t="str">
        <f>HYPERLINK("http://ictvonline.org/taxonomy/p/taxonomy-history?taxnode_id=202108674","ICTVonline=202108674")</f>
        <v>ICTVonline=202108674</v>
      </c>
    </row>
    <row r="8681" spans="1:21" x14ac:dyDescent="0.2">
      <c r="A8681" s="3">
        <v>8680</v>
      </c>
      <c r="B8681" s="1" t="s">
        <v>4226</v>
      </c>
      <c r="D8681" s="1" t="s">
        <v>5412</v>
      </c>
      <c r="F8681" s="1" t="s">
        <v>5637</v>
      </c>
      <c r="H8681" s="1" t="s">
        <v>5640</v>
      </c>
      <c r="J8681" s="1" t="s">
        <v>982</v>
      </c>
      <c r="L8681" s="1" t="s">
        <v>1024</v>
      </c>
      <c r="M8681" s="1" t="s">
        <v>13721</v>
      </c>
      <c r="N8681" s="1" t="s">
        <v>5690</v>
      </c>
      <c r="P8681" s="1" t="s">
        <v>5691</v>
      </c>
      <c r="Q8681" s="30" t="s">
        <v>2567</v>
      </c>
      <c r="R8681" s="33" t="s">
        <v>3474</v>
      </c>
      <c r="S8681">
        <v>37</v>
      </c>
      <c r="T8681" s="1" t="s">
        <v>14061</v>
      </c>
      <c r="U8681" s="1" t="str">
        <f>HYPERLINK("http://ictvonline.org/taxonomy/p/taxonomy-history?taxnode_id=202108697","ICTVonline=202108697")</f>
        <v>ICTVonline=202108697</v>
      </c>
    </row>
    <row r="8682" spans="1:21" x14ac:dyDescent="0.2">
      <c r="A8682" s="3">
        <v>8681</v>
      </c>
      <c r="B8682" s="1" t="s">
        <v>4226</v>
      </c>
      <c r="D8682" s="1" t="s">
        <v>5412</v>
      </c>
      <c r="F8682" s="1" t="s">
        <v>5637</v>
      </c>
      <c r="H8682" s="1" t="s">
        <v>5640</v>
      </c>
      <c r="J8682" s="1" t="s">
        <v>982</v>
      </c>
      <c r="L8682" s="1" t="s">
        <v>1024</v>
      </c>
      <c r="M8682" s="1" t="s">
        <v>13721</v>
      </c>
      <c r="N8682" s="1" t="s">
        <v>5690</v>
      </c>
      <c r="P8682" s="1" t="s">
        <v>5692</v>
      </c>
      <c r="Q8682" s="30" t="s">
        <v>2567</v>
      </c>
      <c r="R8682" s="33" t="s">
        <v>3474</v>
      </c>
      <c r="S8682">
        <v>37</v>
      </c>
      <c r="T8682" s="1" t="s">
        <v>14061</v>
      </c>
      <c r="U8682" s="1" t="str">
        <f>HYPERLINK("http://ictvonline.org/taxonomy/p/taxonomy-history?taxnode_id=202108698","ICTVonline=202108698")</f>
        <v>ICTVonline=202108698</v>
      </c>
    </row>
    <row r="8683" spans="1:21" x14ac:dyDescent="0.2">
      <c r="A8683" s="3">
        <v>8682</v>
      </c>
      <c r="B8683" s="1" t="s">
        <v>4226</v>
      </c>
      <c r="D8683" s="1" t="s">
        <v>5412</v>
      </c>
      <c r="F8683" s="1" t="s">
        <v>5637</v>
      </c>
      <c r="H8683" s="1" t="s">
        <v>5640</v>
      </c>
      <c r="J8683" s="1" t="s">
        <v>982</v>
      </c>
      <c r="L8683" s="1" t="s">
        <v>1024</v>
      </c>
      <c r="M8683" s="1" t="s">
        <v>13721</v>
      </c>
      <c r="N8683" s="1" t="s">
        <v>5690</v>
      </c>
      <c r="P8683" s="1" t="s">
        <v>5693</v>
      </c>
      <c r="Q8683" s="30" t="s">
        <v>2567</v>
      </c>
      <c r="R8683" s="33" t="s">
        <v>3474</v>
      </c>
      <c r="S8683">
        <v>37</v>
      </c>
      <c r="T8683" s="1" t="s">
        <v>14061</v>
      </c>
      <c r="U8683" s="1" t="str">
        <f>HYPERLINK("http://ictvonline.org/taxonomy/p/taxonomy-history?taxnode_id=202108699","ICTVonline=202108699")</f>
        <v>ICTVonline=202108699</v>
      </c>
    </row>
    <row r="8684" spans="1:21" x14ac:dyDescent="0.2">
      <c r="A8684" s="3">
        <v>8683</v>
      </c>
      <c r="B8684" s="1" t="s">
        <v>4226</v>
      </c>
      <c r="D8684" s="1" t="s">
        <v>5412</v>
      </c>
      <c r="F8684" s="1" t="s">
        <v>5637</v>
      </c>
      <c r="H8684" s="1" t="s">
        <v>5640</v>
      </c>
      <c r="J8684" s="1" t="s">
        <v>982</v>
      </c>
      <c r="L8684" s="1" t="s">
        <v>1024</v>
      </c>
      <c r="M8684" s="1" t="s">
        <v>13721</v>
      </c>
      <c r="N8684" s="1" t="s">
        <v>5699</v>
      </c>
      <c r="P8684" s="1" t="s">
        <v>5700</v>
      </c>
      <c r="Q8684" s="30" t="s">
        <v>2567</v>
      </c>
      <c r="R8684" s="33" t="s">
        <v>3474</v>
      </c>
      <c r="S8684">
        <v>37</v>
      </c>
      <c r="T8684" s="1" t="s">
        <v>14061</v>
      </c>
      <c r="U8684" s="1" t="str">
        <f>HYPERLINK("http://ictvonline.org/taxonomy/p/taxonomy-history?taxnode_id=202107188","ICTVonline=202107188")</f>
        <v>ICTVonline=202107188</v>
      </c>
    </row>
    <row r="8685" spans="1:21" x14ac:dyDescent="0.2">
      <c r="A8685" s="3">
        <v>8684</v>
      </c>
      <c r="B8685" s="1" t="s">
        <v>4226</v>
      </c>
      <c r="D8685" s="1" t="s">
        <v>5412</v>
      </c>
      <c r="F8685" s="1" t="s">
        <v>5637</v>
      </c>
      <c r="H8685" s="1" t="s">
        <v>5640</v>
      </c>
      <c r="J8685" s="1" t="s">
        <v>982</v>
      </c>
      <c r="L8685" s="1" t="s">
        <v>1024</v>
      </c>
      <c r="M8685" s="1" t="s">
        <v>13721</v>
      </c>
      <c r="N8685" s="1" t="s">
        <v>5699</v>
      </c>
      <c r="P8685" s="1" t="s">
        <v>5701</v>
      </c>
      <c r="Q8685" s="30" t="s">
        <v>2567</v>
      </c>
      <c r="R8685" s="33" t="s">
        <v>3474</v>
      </c>
      <c r="S8685">
        <v>37</v>
      </c>
      <c r="T8685" s="1" t="s">
        <v>14061</v>
      </c>
      <c r="U8685" s="1" t="str">
        <f>HYPERLINK("http://ictvonline.org/taxonomy/p/taxonomy-history?taxnode_id=202107189","ICTVonline=202107189")</f>
        <v>ICTVonline=202107189</v>
      </c>
    </row>
    <row r="8686" spans="1:21" x14ac:dyDescent="0.2">
      <c r="A8686" s="3">
        <v>8685</v>
      </c>
      <c r="B8686" s="1" t="s">
        <v>4226</v>
      </c>
      <c r="D8686" s="1" t="s">
        <v>5412</v>
      </c>
      <c r="F8686" s="1" t="s">
        <v>5637</v>
      </c>
      <c r="H8686" s="1" t="s">
        <v>5640</v>
      </c>
      <c r="J8686" s="1" t="s">
        <v>982</v>
      </c>
      <c r="L8686" s="1" t="s">
        <v>1024</v>
      </c>
      <c r="M8686" s="1" t="s">
        <v>13721</v>
      </c>
      <c r="N8686" s="1" t="s">
        <v>588</v>
      </c>
      <c r="P8686" s="1" t="s">
        <v>2031</v>
      </c>
      <c r="Q8686" s="30" t="s">
        <v>2567</v>
      </c>
      <c r="R8686" s="33" t="s">
        <v>3474</v>
      </c>
      <c r="S8686">
        <v>37</v>
      </c>
      <c r="T8686" s="1" t="s">
        <v>14061</v>
      </c>
      <c r="U8686" s="1" t="str">
        <f>HYPERLINK("http://ictvonline.org/taxonomy/p/taxonomy-history?taxnode_id=202101983","ICTVonline=202101983")</f>
        <v>ICTVonline=202101983</v>
      </c>
    </row>
    <row r="8687" spans="1:21" x14ac:dyDescent="0.2">
      <c r="A8687" s="3">
        <v>8686</v>
      </c>
      <c r="B8687" s="1" t="s">
        <v>4226</v>
      </c>
      <c r="D8687" s="1" t="s">
        <v>5412</v>
      </c>
      <c r="F8687" s="1" t="s">
        <v>5637</v>
      </c>
      <c r="H8687" s="1" t="s">
        <v>5640</v>
      </c>
      <c r="J8687" s="1" t="s">
        <v>982</v>
      </c>
      <c r="L8687" s="1" t="s">
        <v>1024</v>
      </c>
      <c r="M8687" s="1" t="s">
        <v>13721</v>
      </c>
      <c r="N8687" s="1" t="s">
        <v>588</v>
      </c>
      <c r="P8687" s="1" t="s">
        <v>2032</v>
      </c>
      <c r="Q8687" s="30" t="s">
        <v>2567</v>
      </c>
      <c r="R8687" s="33" t="s">
        <v>3474</v>
      </c>
      <c r="S8687">
        <v>37</v>
      </c>
      <c r="T8687" s="1" t="s">
        <v>14061</v>
      </c>
      <c r="U8687" s="1" t="str">
        <f>HYPERLINK("http://ictvonline.org/taxonomy/p/taxonomy-history?taxnode_id=202101984","ICTVonline=202101984")</f>
        <v>ICTVonline=202101984</v>
      </c>
    </row>
    <row r="8688" spans="1:21" x14ac:dyDescent="0.2">
      <c r="A8688" s="3">
        <v>8687</v>
      </c>
      <c r="B8688" s="1" t="s">
        <v>4226</v>
      </c>
      <c r="D8688" s="1" t="s">
        <v>5412</v>
      </c>
      <c r="F8688" s="1" t="s">
        <v>5637</v>
      </c>
      <c r="H8688" s="1" t="s">
        <v>5640</v>
      </c>
      <c r="J8688" s="1" t="s">
        <v>982</v>
      </c>
      <c r="L8688" s="1" t="s">
        <v>1024</v>
      </c>
      <c r="M8688" s="1" t="s">
        <v>13721</v>
      </c>
      <c r="N8688" s="1" t="s">
        <v>588</v>
      </c>
      <c r="P8688" s="1" t="s">
        <v>2033</v>
      </c>
      <c r="Q8688" s="30" t="s">
        <v>2567</v>
      </c>
      <c r="R8688" s="33" t="s">
        <v>3474</v>
      </c>
      <c r="S8688">
        <v>37</v>
      </c>
      <c r="T8688" s="1" t="s">
        <v>14061</v>
      </c>
      <c r="U8688" s="1" t="str">
        <f>HYPERLINK("http://ictvonline.org/taxonomy/p/taxonomy-history?taxnode_id=202101985","ICTVonline=202101985")</f>
        <v>ICTVonline=202101985</v>
      </c>
    </row>
    <row r="8689" spans="1:21" x14ac:dyDescent="0.2">
      <c r="A8689" s="3">
        <v>8688</v>
      </c>
      <c r="B8689" s="1" t="s">
        <v>4226</v>
      </c>
      <c r="D8689" s="1" t="s">
        <v>5412</v>
      </c>
      <c r="F8689" s="1" t="s">
        <v>5637</v>
      </c>
      <c r="H8689" s="1" t="s">
        <v>5640</v>
      </c>
      <c r="J8689" s="1" t="s">
        <v>982</v>
      </c>
      <c r="L8689" s="1" t="s">
        <v>1024</v>
      </c>
      <c r="M8689" s="1" t="s">
        <v>13721</v>
      </c>
      <c r="N8689" s="1" t="s">
        <v>588</v>
      </c>
      <c r="P8689" s="1" t="s">
        <v>2034</v>
      </c>
      <c r="Q8689" s="30" t="s">
        <v>2567</v>
      </c>
      <c r="R8689" s="33" t="s">
        <v>3474</v>
      </c>
      <c r="S8689">
        <v>37</v>
      </c>
      <c r="T8689" s="1" t="s">
        <v>14061</v>
      </c>
      <c r="U8689" s="1" t="str">
        <f>HYPERLINK("http://ictvonline.org/taxonomy/p/taxonomy-history?taxnode_id=202101986","ICTVonline=202101986")</f>
        <v>ICTVonline=202101986</v>
      </c>
    </row>
    <row r="8690" spans="1:21" x14ac:dyDescent="0.2">
      <c r="A8690" s="3">
        <v>8689</v>
      </c>
      <c r="B8690" s="1" t="s">
        <v>4226</v>
      </c>
      <c r="D8690" s="1" t="s">
        <v>5412</v>
      </c>
      <c r="F8690" s="1" t="s">
        <v>5637</v>
      </c>
      <c r="H8690" s="1" t="s">
        <v>5640</v>
      </c>
      <c r="J8690" s="1" t="s">
        <v>982</v>
      </c>
      <c r="L8690" s="1" t="s">
        <v>1024</v>
      </c>
      <c r="M8690" s="1" t="s">
        <v>13721</v>
      </c>
      <c r="N8690" s="1" t="s">
        <v>588</v>
      </c>
      <c r="P8690" s="1" t="s">
        <v>2035</v>
      </c>
      <c r="Q8690" s="30" t="s">
        <v>2567</v>
      </c>
      <c r="R8690" s="33" t="s">
        <v>3474</v>
      </c>
      <c r="S8690">
        <v>37</v>
      </c>
      <c r="T8690" s="1" t="s">
        <v>14061</v>
      </c>
      <c r="U8690" s="1" t="str">
        <f>HYPERLINK("http://ictvonline.org/taxonomy/p/taxonomy-history?taxnode_id=202101987","ICTVonline=202101987")</f>
        <v>ICTVonline=202101987</v>
      </c>
    </row>
    <row r="8691" spans="1:21" x14ac:dyDescent="0.2">
      <c r="A8691" s="3">
        <v>8690</v>
      </c>
      <c r="B8691" s="1" t="s">
        <v>4226</v>
      </c>
      <c r="D8691" s="1" t="s">
        <v>5412</v>
      </c>
      <c r="F8691" s="1" t="s">
        <v>5637</v>
      </c>
      <c r="H8691" s="1" t="s">
        <v>5640</v>
      </c>
      <c r="J8691" s="1" t="s">
        <v>982</v>
      </c>
      <c r="L8691" s="1" t="s">
        <v>1024</v>
      </c>
      <c r="M8691" s="1" t="s">
        <v>13721</v>
      </c>
      <c r="N8691" s="1" t="s">
        <v>588</v>
      </c>
      <c r="P8691" s="1" t="s">
        <v>2036</v>
      </c>
      <c r="Q8691" s="30" t="s">
        <v>2567</v>
      </c>
      <c r="R8691" s="33" t="s">
        <v>3474</v>
      </c>
      <c r="S8691">
        <v>37</v>
      </c>
      <c r="T8691" s="1" t="s">
        <v>14061</v>
      </c>
      <c r="U8691" s="1" t="str">
        <f>HYPERLINK("http://ictvonline.org/taxonomy/p/taxonomy-history?taxnode_id=202101988","ICTVonline=202101988")</f>
        <v>ICTVonline=202101988</v>
      </c>
    </row>
    <row r="8692" spans="1:21" x14ac:dyDescent="0.2">
      <c r="A8692" s="3">
        <v>8691</v>
      </c>
      <c r="B8692" s="1" t="s">
        <v>4226</v>
      </c>
      <c r="D8692" s="1" t="s">
        <v>5412</v>
      </c>
      <c r="F8692" s="1" t="s">
        <v>5637</v>
      </c>
      <c r="H8692" s="1" t="s">
        <v>5640</v>
      </c>
      <c r="J8692" s="1" t="s">
        <v>982</v>
      </c>
      <c r="L8692" s="1" t="s">
        <v>1024</v>
      </c>
      <c r="M8692" s="1" t="s">
        <v>13721</v>
      </c>
      <c r="N8692" s="1" t="s">
        <v>588</v>
      </c>
      <c r="P8692" s="1" t="s">
        <v>2037</v>
      </c>
      <c r="Q8692" s="30" t="s">
        <v>2567</v>
      </c>
      <c r="R8692" s="33" t="s">
        <v>3474</v>
      </c>
      <c r="S8692">
        <v>37</v>
      </c>
      <c r="T8692" s="1" t="s">
        <v>14061</v>
      </c>
      <c r="U8692" s="1" t="str">
        <f>HYPERLINK("http://ictvonline.org/taxonomy/p/taxonomy-history?taxnode_id=202101989","ICTVonline=202101989")</f>
        <v>ICTVonline=202101989</v>
      </c>
    </row>
    <row r="8693" spans="1:21" x14ac:dyDescent="0.2">
      <c r="A8693" s="3">
        <v>8692</v>
      </c>
      <c r="B8693" s="1" t="s">
        <v>4226</v>
      </c>
      <c r="D8693" s="1" t="s">
        <v>5412</v>
      </c>
      <c r="F8693" s="1" t="s">
        <v>5637</v>
      </c>
      <c r="H8693" s="1" t="s">
        <v>5640</v>
      </c>
      <c r="J8693" s="1" t="s">
        <v>982</v>
      </c>
      <c r="L8693" s="1" t="s">
        <v>1024</v>
      </c>
      <c r="M8693" s="1" t="s">
        <v>13721</v>
      </c>
      <c r="N8693" s="1" t="s">
        <v>588</v>
      </c>
      <c r="P8693" s="1" t="s">
        <v>2038</v>
      </c>
      <c r="Q8693" s="30" t="s">
        <v>2567</v>
      </c>
      <c r="R8693" s="33" t="s">
        <v>3474</v>
      </c>
      <c r="S8693">
        <v>37</v>
      </c>
      <c r="T8693" s="1" t="s">
        <v>14061</v>
      </c>
      <c r="U8693" s="1" t="str">
        <f>HYPERLINK("http://ictvonline.org/taxonomy/p/taxonomy-history?taxnode_id=202101990","ICTVonline=202101990")</f>
        <v>ICTVonline=202101990</v>
      </c>
    </row>
    <row r="8694" spans="1:21" x14ac:dyDescent="0.2">
      <c r="A8694" s="3">
        <v>8693</v>
      </c>
      <c r="B8694" s="1" t="s">
        <v>4226</v>
      </c>
      <c r="D8694" s="1" t="s">
        <v>5412</v>
      </c>
      <c r="F8694" s="1" t="s">
        <v>5637</v>
      </c>
      <c r="H8694" s="1" t="s">
        <v>5640</v>
      </c>
      <c r="J8694" s="1" t="s">
        <v>982</v>
      </c>
      <c r="L8694" s="1" t="s">
        <v>1024</v>
      </c>
      <c r="M8694" s="1" t="s">
        <v>13721</v>
      </c>
      <c r="N8694" s="1" t="s">
        <v>588</v>
      </c>
      <c r="P8694" s="1" t="s">
        <v>3240</v>
      </c>
      <c r="Q8694" s="30" t="s">
        <v>2567</v>
      </c>
      <c r="R8694" s="33" t="s">
        <v>3474</v>
      </c>
      <c r="S8694">
        <v>37</v>
      </c>
      <c r="T8694" s="1" t="s">
        <v>14061</v>
      </c>
      <c r="U8694" s="1" t="str">
        <f>HYPERLINK("http://ictvonline.org/taxonomy/p/taxonomy-history?taxnode_id=202101991","ICTVonline=202101991")</f>
        <v>ICTVonline=202101991</v>
      </c>
    </row>
    <row r="8695" spans="1:21" x14ac:dyDescent="0.2">
      <c r="A8695" s="3">
        <v>8694</v>
      </c>
      <c r="B8695" s="1" t="s">
        <v>4226</v>
      </c>
      <c r="D8695" s="1" t="s">
        <v>5412</v>
      </c>
      <c r="F8695" s="1" t="s">
        <v>5637</v>
      </c>
      <c r="H8695" s="1" t="s">
        <v>5640</v>
      </c>
      <c r="J8695" s="1" t="s">
        <v>982</v>
      </c>
      <c r="L8695" s="1" t="s">
        <v>1024</v>
      </c>
      <c r="M8695" s="1" t="s">
        <v>13721</v>
      </c>
      <c r="N8695" s="1" t="s">
        <v>588</v>
      </c>
      <c r="P8695" s="1" t="s">
        <v>2039</v>
      </c>
      <c r="Q8695" s="30" t="s">
        <v>2567</v>
      </c>
      <c r="R8695" s="33" t="s">
        <v>3474</v>
      </c>
      <c r="S8695">
        <v>37</v>
      </c>
      <c r="T8695" s="1" t="s">
        <v>14061</v>
      </c>
      <c r="U8695" s="1" t="str">
        <f>HYPERLINK("http://ictvonline.org/taxonomy/p/taxonomy-history?taxnode_id=202101992","ICTVonline=202101992")</f>
        <v>ICTVonline=202101992</v>
      </c>
    </row>
    <row r="8696" spans="1:21" x14ac:dyDescent="0.2">
      <c r="A8696" s="3">
        <v>8695</v>
      </c>
      <c r="B8696" s="1" t="s">
        <v>4226</v>
      </c>
      <c r="D8696" s="1" t="s">
        <v>5412</v>
      </c>
      <c r="F8696" s="1" t="s">
        <v>5637</v>
      </c>
      <c r="H8696" s="1" t="s">
        <v>5640</v>
      </c>
      <c r="J8696" s="1" t="s">
        <v>982</v>
      </c>
      <c r="L8696" s="1" t="s">
        <v>1024</v>
      </c>
      <c r="M8696" s="1" t="s">
        <v>13721</v>
      </c>
      <c r="N8696" s="1" t="s">
        <v>588</v>
      </c>
      <c r="P8696" s="1" t="s">
        <v>3606</v>
      </c>
      <c r="Q8696" s="30" t="s">
        <v>2567</v>
      </c>
      <c r="R8696" s="33" t="s">
        <v>3474</v>
      </c>
      <c r="S8696">
        <v>37</v>
      </c>
      <c r="T8696" s="1" t="s">
        <v>14061</v>
      </c>
      <c r="U8696" s="1" t="str">
        <f>HYPERLINK("http://ictvonline.org/taxonomy/p/taxonomy-history?taxnode_id=202105596","ICTVonline=202105596")</f>
        <v>ICTVonline=202105596</v>
      </c>
    </row>
    <row r="8697" spans="1:21" x14ac:dyDescent="0.2">
      <c r="A8697" s="3">
        <v>8696</v>
      </c>
      <c r="B8697" s="1" t="s">
        <v>4226</v>
      </c>
      <c r="D8697" s="1" t="s">
        <v>5412</v>
      </c>
      <c r="F8697" s="1" t="s">
        <v>5637</v>
      </c>
      <c r="H8697" s="1" t="s">
        <v>5640</v>
      </c>
      <c r="J8697" s="1" t="s">
        <v>982</v>
      </c>
      <c r="L8697" s="1" t="s">
        <v>1024</v>
      </c>
      <c r="M8697" s="1" t="s">
        <v>13721</v>
      </c>
      <c r="N8697" s="1" t="s">
        <v>588</v>
      </c>
      <c r="P8697" s="1" t="s">
        <v>3607</v>
      </c>
      <c r="Q8697" s="30" t="s">
        <v>2567</v>
      </c>
      <c r="R8697" s="33" t="s">
        <v>3474</v>
      </c>
      <c r="S8697">
        <v>37</v>
      </c>
      <c r="T8697" s="1" t="s">
        <v>14061</v>
      </c>
      <c r="U8697" s="1" t="str">
        <f>HYPERLINK("http://ictvonline.org/taxonomy/p/taxonomy-history?taxnode_id=202105597","ICTVonline=202105597")</f>
        <v>ICTVonline=202105597</v>
      </c>
    </row>
    <row r="8698" spans="1:21" x14ac:dyDescent="0.2">
      <c r="A8698" s="3">
        <v>8697</v>
      </c>
      <c r="B8698" s="1" t="s">
        <v>4226</v>
      </c>
      <c r="D8698" s="1" t="s">
        <v>5412</v>
      </c>
      <c r="F8698" s="1" t="s">
        <v>5637</v>
      </c>
      <c r="H8698" s="1" t="s">
        <v>5640</v>
      </c>
      <c r="J8698" s="1" t="s">
        <v>982</v>
      </c>
      <c r="L8698" s="1" t="s">
        <v>1024</v>
      </c>
      <c r="M8698" s="1" t="s">
        <v>13721</v>
      </c>
      <c r="N8698" s="1" t="s">
        <v>588</v>
      </c>
      <c r="P8698" s="1" t="s">
        <v>2040</v>
      </c>
      <c r="Q8698" s="30" t="s">
        <v>2567</v>
      </c>
      <c r="R8698" s="33" t="s">
        <v>3474</v>
      </c>
      <c r="S8698">
        <v>37</v>
      </c>
      <c r="T8698" s="1" t="s">
        <v>14061</v>
      </c>
      <c r="U8698" s="1" t="str">
        <f>HYPERLINK("http://ictvonline.org/taxonomy/p/taxonomy-history?taxnode_id=202101993","ICTVonline=202101993")</f>
        <v>ICTVonline=202101993</v>
      </c>
    </row>
    <row r="8699" spans="1:21" x14ac:dyDescent="0.2">
      <c r="A8699" s="3">
        <v>8698</v>
      </c>
      <c r="B8699" s="1" t="s">
        <v>4226</v>
      </c>
      <c r="D8699" s="1" t="s">
        <v>5412</v>
      </c>
      <c r="F8699" s="1" t="s">
        <v>5637</v>
      </c>
      <c r="H8699" s="1" t="s">
        <v>5640</v>
      </c>
      <c r="J8699" s="1" t="s">
        <v>982</v>
      </c>
      <c r="L8699" s="1" t="s">
        <v>1024</v>
      </c>
      <c r="M8699" s="1" t="s">
        <v>13721</v>
      </c>
      <c r="N8699" s="1" t="s">
        <v>588</v>
      </c>
      <c r="P8699" s="1" t="s">
        <v>2041</v>
      </c>
      <c r="Q8699" s="30" t="s">
        <v>2567</v>
      </c>
      <c r="R8699" s="33" t="s">
        <v>3474</v>
      </c>
      <c r="S8699">
        <v>37</v>
      </c>
      <c r="T8699" s="1" t="s">
        <v>14061</v>
      </c>
      <c r="U8699" s="1" t="str">
        <f>HYPERLINK("http://ictvonline.org/taxonomy/p/taxonomy-history?taxnode_id=202101994","ICTVonline=202101994")</f>
        <v>ICTVonline=202101994</v>
      </c>
    </row>
    <row r="8700" spans="1:21" x14ac:dyDescent="0.2">
      <c r="A8700" s="3">
        <v>8699</v>
      </c>
      <c r="B8700" s="1" t="s">
        <v>4226</v>
      </c>
      <c r="D8700" s="1" t="s">
        <v>5412</v>
      </c>
      <c r="F8700" s="1" t="s">
        <v>5637</v>
      </c>
      <c r="H8700" s="1" t="s">
        <v>5640</v>
      </c>
      <c r="J8700" s="1" t="s">
        <v>982</v>
      </c>
      <c r="L8700" s="1" t="s">
        <v>1024</v>
      </c>
      <c r="M8700" s="1" t="s">
        <v>13721</v>
      </c>
      <c r="N8700" s="1" t="s">
        <v>588</v>
      </c>
      <c r="P8700" s="1" t="s">
        <v>2042</v>
      </c>
      <c r="Q8700" s="30" t="s">
        <v>2567</v>
      </c>
      <c r="R8700" s="33" t="s">
        <v>3474</v>
      </c>
      <c r="S8700">
        <v>37</v>
      </c>
      <c r="T8700" s="1" t="s">
        <v>14061</v>
      </c>
      <c r="U8700" s="1" t="str">
        <f>HYPERLINK("http://ictvonline.org/taxonomy/p/taxonomy-history?taxnode_id=202101995","ICTVonline=202101995")</f>
        <v>ICTVonline=202101995</v>
      </c>
    </row>
    <row r="8701" spans="1:21" x14ac:dyDescent="0.2">
      <c r="A8701" s="3">
        <v>8700</v>
      </c>
      <c r="B8701" s="1" t="s">
        <v>4226</v>
      </c>
      <c r="D8701" s="1" t="s">
        <v>5412</v>
      </c>
      <c r="F8701" s="1" t="s">
        <v>5637</v>
      </c>
      <c r="H8701" s="1" t="s">
        <v>5640</v>
      </c>
      <c r="J8701" s="1" t="s">
        <v>982</v>
      </c>
      <c r="L8701" s="1" t="s">
        <v>1024</v>
      </c>
      <c r="M8701" s="1" t="s">
        <v>13721</v>
      </c>
      <c r="N8701" s="1" t="s">
        <v>5702</v>
      </c>
      <c r="P8701" s="1" t="s">
        <v>5703</v>
      </c>
      <c r="Q8701" s="30" t="s">
        <v>2567</v>
      </c>
      <c r="R8701" s="33" t="s">
        <v>3474</v>
      </c>
      <c r="S8701">
        <v>37</v>
      </c>
      <c r="T8701" s="1" t="s">
        <v>14061</v>
      </c>
      <c r="U8701" s="1" t="str">
        <f>HYPERLINK("http://ictvonline.org/taxonomy/p/taxonomy-history?taxnode_id=202107254","ICTVonline=202107254")</f>
        <v>ICTVonline=202107254</v>
      </c>
    </row>
    <row r="8702" spans="1:21" x14ac:dyDescent="0.2">
      <c r="A8702" s="3">
        <v>8701</v>
      </c>
      <c r="B8702" s="1" t="s">
        <v>4226</v>
      </c>
      <c r="D8702" s="1" t="s">
        <v>5412</v>
      </c>
      <c r="F8702" s="1" t="s">
        <v>5637</v>
      </c>
      <c r="H8702" s="1" t="s">
        <v>5640</v>
      </c>
      <c r="J8702" s="1" t="s">
        <v>982</v>
      </c>
      <c r="L8702" s="1" t="s">
        <v>1024</v>
      </c>
      <c r="M8702" s="1" t="s">
        <v>13721</v>
      </c>
      <c r="N8702" s="1" t="s">
        <v>5724</v>
      </c>
      <c r="P8702" s="1" t="s">
        <v>5725</v>
      </c>
      <c r="Q8702" s="30" t="s">
        <v>2567</v>
      </c>
      <c r="R8702" s="33" t="s">
        <v>3474</v>
      </c>
      <c r="S8702">
        <v>37</v>
      </c>
      <c r="T8702" s="1" t="s">
        <v>14061</v>
      </c>
      <c r="U8702" s="1" t="str">
        <f>HYPERLINK("http://ictvonline.org/taxonomy/p/taxonomy-history?taxnode_id=202107410","ICTVonline=202107410")</f>
        <v>ICTVonline=202107410</v>
      </c>
    </row>
    <row r="8703" spans="1:21" x14ac:dyDescent="0.2">
      <c r="A8703" s="3">
        <v>8702</v>
      </c>
      <c r="B8703" s="1" t="s">
        <v>4226</v>
      </c>
      <c r="D8703" s="1" t="s">
        <v>5412</v>
      </c>
      <c r="F8703" s="1" t="s">
        <v>5637</v>
      </c>
      <c r="H8703" s="1" t="s">
        <v>5640</v>
      </c>
      <c r="J8703" s="1" t="s">
        <v>982</v>
      </c>
      <c r="L8703" s="1" t="s">
        <v>1024</v>
      </c>
      <c r="M8703" s="1" t="s">
        <v>13721</v>
      </c>
      <c r="N8703" s="1" t="s">
        <v>5724</v>
      </c>
      <c r="P8703" s="1" t="s">
        <v>5726</v>
      </c>
      <c r="Q8703" s="30" t="s">
        <v>2567</v>
      </c>
      <c r="R8703" s="33" t="s">
        <v>3474</v>
      </c>
      <c r="S8703">
        <v>37</v>
      </c>
      <c r="T8703" s="1" t="s">
        <v>14061</v>
      </c>
      <c r="U8703" s="1" t="str">
        <f>HYPERLINK("http://ictvonline.org/taxonomy/p/taxonomy-history?taxnode_id=202107411","ICTVonline=202107411")</f>
        <v>ICTVonline=202107411</v>
      </c>
    </row>
    <row r="8704" spans="1:21" x14ac:dyDescent="0.2">
      <c r="A8704" s="3">
        <v>8703</v>
      </c>
      <c r="B8704" s="1" t="s">
        <v>4226</v>
      </c>
      <c r="D8704" s="1" t="s">
        <v>5412</v>
      </c>
      <c r="F8704" s="1" t="s">
        <v>5637</v>
      </c>
      <c r="H8704" s="1" t="s">
        <v>5640</v>
      </c>
      <c r="J8704" s="1" t="s">
        <v>982</v>
      </c>
      <c r="L8704" s="1" t="s">
        <v>1024</v>
      </c>
      <c r="M8704" s="1" t="s">
        <v>13721</v>
      </c>
      <c r="N8704" s="1" t="s">
        <v>5724</v>
      </c>
      <c r="P8704" s="1" t="s">
        <v>5727</v>
      </c>
      <c r="Q8704" s="30" t="s">
        <v>2567</v>
      </c>
      <c r="R8704" s="33" t="s">
        <v>3474</v>
      </c>
      <c r="S8704">
        <v>37</v>
      </c>
      <c r="T8704" s="1" t="s">
        <v>14061</v>
      </c>
      <c r="U8704" s="1" t="str">
        <f>HYPERLINK("http://ictvonline.org/taxonomy/p/taxonomy-history?taxnode_id=202107412","ICTVonline=202107412")</f>
        <v>ICTVonline=202107412</v>
      </c>
    </row>
    <row r="8705" spans="1:21" x14ac:dyDescent="0.2">
      <c r="A8705" s="3">
        <v>8704</v>
      </c>
      <c r="B8705" s="1" t="s">
        <v>4226</v>
      </c>
      <c r="D8705" s="1" t="s">
        <v>5412</v>
      </c>
      <c r="F8705" s="1" t="s">
        <v>5637</v>
      </c>
      <c r="H8705" s="1" t="s">
        <v>5640</v>
      </c>
      <c r="J8705" s="1" t="s">
        <v>982</v>
      </c>
      <c r="L8705" s="1" t="s">
        <v>1024</v>
      </c>
      <c r="M8705" s="1" t="s">
        <v>13721</v>
      </c>
      <c r="N8705" s="1" t="s">
        <v>3258</v>
      </c>
      <c r="P8705" s="1" t="s">
        <v>3259</v>
      </c>
      <c r="Q8705" s="30" t="s">
        <v>2567</v>
      </c>
      <c r="R8705" s="33" t="s">
        <v>3474</v>
      </c>
      <c r="S8705">
        <v>37</v>
      </c>
      <c r="T8705" s="1" t="s">
        <v>14061</v>
      </c>
      <c r="U8705" s="1" t="str">
        <f>HYPERLINK("http://ictvonline.org/taxonomy/p/taxonomy-history?taxnode_id=202102049","ICTVonline=202102049")</f>
        <v>ICTVonline=202102049</v>
      </c>
    </row>
    <row r="8706" spans="1:21" x14ac:dyDescent="0.2">
      <c r="A8706" s="3">
        <v>8705</v>
      </c>
      <c r="B8706" s="1" t="s">
        <v>4226</v>
      </c>
      <c r="D8706" s="1" t="s">
        <v>5412</v>
      </c>
      <c r="F8706" s="1" t="s">
        <v>5637</v>
      </c>
      <c r="H8706" s="1" t="s">
        <v>5640</v>
      </c>
      <c r="J8706" s="1" t="s">
        <v>982</v>
      </c>
      <c r="L8706" s="1" t="s">
        <v>1024</v>
      </c>
      <c r="M8706" s="1" t="s">
        <v>13721</v>
      </c>
      <c r="N8706" s="1" t="s">
        <v>3258</v>
      </c>
      <c r="P8706" s="1" t="s">
        <v>4415</v>
      </c>
      <c r="Q8706" s="30" t="s">
        <v>2567</v>
      </c>
      <c r="R8706" s="33" t="s">
        <v>3474</v>
      </c>
      <c r="S8706">
        <v>37</v>
      </c>
      <c r="T8706" s="1" t="s">
        <v>14061</v>
      </c>
      <c r="U8706" s="1" t="str">
        <f>HYPERLINK("http://ictvonline.org/taxonomy/p/taxonomy-history?taxnode_id=202106420","ICTVonline=202106420")</f>
        <v>ICTVonline=202106420</v>
      </c>
    </row>
    <row r="8707" spans="1:21" x14ac:dyDescent="0.2">
      <c r="A8707" s="3">
        <v>8706</v>
      </c>
      <c r="B8707" s="1" t="s">
        <v>4226</v>
      </c>
      <c r="D8707" s="1" t="s">
        <v>5412</v>
      </c>
      <c r="F8707" s="1" t="s">
        <v>5637</v>
      </c>
      <c r="H8707" s="1" t="s">
        <v>5640</v>
      </c>
      <c r="J8707" s="1" t="s">
        <v>982</v>
      </c>
      <c r="L8707" s="1" t="s">
        <v>1024</v>
      </c>
      <c r="M8707" s="1" t="s">
        <v>13721</v>
      </c>
      <c r="N8707" s="1" t="s">
        <v>3258</v>
      </c>
      <c r="P8707" s="1" t="s">
        <v>4416</v>
      </c>
      <c r="Q8707" s="30" t="s">
        <v>2567</v>
      </c>
      <c r="R8707" s="33" t="s">
        <v>3474</v>
      </c>
      <c r="S8707">
        <v>37</v>
      </c>
      <c r="T8707" s="1" t="s">
        <v>14061</v>
      </c>
      <c r="U8707" s="1" t="str">
        <f>HYPERLINK("http://ictvonline.org/taxonomy/p/taxonomy-history?taxnode_id=202106421","ICTVonline=202106421")</f>
        <v>ICTVonline=202106421</v>
      </c>
    </row>
    <row r="8708" spans="1:21" x14ac:dyDescent="0.2">
      <c r="A8708" s="3">
        <v>8707</v>
      </c>
      <c r="B8708" s="1" t="s">
        <v>4226</v>
      </c>
      <c r="D8708" s="1" t="s">
        <v>5412</v>
      </c>
      <c r="F8708" s="1" t="s">
        <v>5637</v>
      </c>
      <c r="H8708" s="1" t="s">
        <v>5640</v>
      </c>
      <c r="J8708" s="1" t="s">
        <v>982</v>
      </c>
      <c r="L8708" s="1" t="s">
        <v>1024</v>
      </c>
      <c r="M8708" s="1" t="s">
        <v>13721</v>
      </c>
      <c r="N8708" s="1" t="s">
        <v>3258</v>
      </c>
      <c r="P8708" s="1" t="s">
        <v>4417</v>
      </c>
      <c r="Q8708" s="30" t="s">
        <v>2567</v>
      </c>
      <c r="R8708" s="33" t="s">
        <v>3474</v>
      </c>
      <c r="S8708">
        <v>37</v>
      </c>
      <c r="T8708" s="1" t="s">
        <v>14061</v>
      </c>
      <c r="U8708" s="1" t="str">
        <f>HYPERLINK("http://ictvonline.org/taxonomy/p/taxonomy-history?taxnode_id=202106422","ICTVonline=202106422")</f>
        <v>ICTVonline=202106422</v>
      </c>
    </row>
    <row r="8709" spans="1:21" x14ac:dyDescent="0.2">
      <c r="A8709" s="3">
        <v>8708</v>
      </c>
      <c r="B8709" s="1" t="s">
        <v>4226</v>
      </c>
      <c r="D8709" s="1" t="s">
        <v>5412</v>
      </c>
      <c r="F8709" s="1" t="s">
        <v>5637</v>
      </c>
      <c r="H8709" s="1" t="s">
        <v>5640</v>
      </c>
      <c r="J8709" s="1" t="s">
        <v>982</v>
      </c>
      <c r="L8709" s="1" t="s">
        <v>1024</v>
      </c>
      <c r="M8709" s="1" t="s">
        <v>13721</v>
      </c>
      <c r="N8709" s="1" t="s">
        <v>985</v>
      </c>
      <c r="P8709" s="1" t="s">
        <v>2471</v>
      </c>
      <c r="Q8709" s="30" t="s">
        <v>2567</v>
      </c>
      <c r="R8709" s="33" t="s">
        <v>3474</v>
      </c>
      <c r="S8709">
        <v>37</v>
      </c>
      <c r="T8709" s="1" t="s">
        <v>14061</v>
      </c>
      <c r="U8709" s="1" t="str">
        <f>HYPERLINK("http://ictvonline.org/taxonomy/p/taxonomy-history?taxnode_id=202102058","ICTVonline=202102058")</f>
        <v>ICTVonline=202102058</v>
      </c>
    </row>
    <row r="8710" spans="1:21" x14ac:dyDescent="0.2">
      <c r="A8710" s="3">
        <v>8709</v>
      </c>
      <c r="B8710" s="1" t="s">
        <v>4226</v>
      </c>
      <c r="D8710" s="1" t="s">
        <v>5412</v>
      </c>
      <c r="F8710" s="1" t="s">
        <v>5637</v>
      </c>
      <c r="H8710" s="1" t="s">
        <v>5640</v>
      </c>
      <c r="J8710" s="1" t="s">
        <v>982</v>
      </c>
      <c r="L8710" s="1" t="s">
        <v>1024</v>
      </c>
      <c r="M8710" s="1" t="s">
        <v>13721</v>
      </c>
      <c r="N8710" s="1" t="s">
        <v>985</v>
      </c>
      <c r="P8710" s="1" t="s">
        <v>2472</v>
      </c>
      <c r="Q8710" s="30" t="s">
        <v>2567</v>
      </c>
      <c r="R8710" s="33" t="s">
        <v>3474</v>
      </c>
      <c r="S8710">
        <v>37</v>
      </c>
      <c r="T8710" s="1" t="s">
        <v>14061</v>
      </c>
      <c r="U8710" s="1" t="str">
        <f>HYPERLINK("http://ictvonline.org/taxonomy/p/taxonomy-history?taxnode_id=202102059","ICTVonline=202102059")</f>
        <v>ICTVonline=202102059</v>
      </c>
    </row>
    <row r="8711" spans="1:21" x14ac:dyDescent="0.2">
      <c r="A8711" s="3">
        <v>8710</v>
      </c>
      <c r="B8711" s="1" t="s">
        <v>4226</v>
      </c>
      <c r="D8711" s="1" t="s">
        <v>5412</v>
      </c>
      <c r="F8711" s="1" t="s">
        <v>5637</v>
      </c>
      <c r="H8711" s="1" t="s">
        <v>5640</v>
      </c>
      <c r="J8711" s="1" t="s">
        <v>982</v>
      </c>
      <c r="L8711" s="1" t="s">
        <v>1024</v>
      </c>
      <c r="M8711" s="1" t="s">
        <v>13722</v>
      </c>
      <c r="N8711" s="1" t="s">
        <v>8318</v>
      </c>
      <c r="P8711" s="1" t="s">
        <v>8319</v>
      </c>
      <c r="Q8711" s="30" t="s">
        <v>2567</v>
      </c>
      <c r="R8711" s="33" t="s">
        <v>3474</v>
      </c>
      <c r="S8711">
        <v>37</v>
      </c>
      <c r="T8711" s="1" t="s">
        <v>14061</v>
      </c>
      <c r="U8711" s="1" t="str">
        <f>HYPERLINK("http://ictvonline.org/taxonomy/p/taxonomy-history?taxnode_id=202108772","ICTVonline=202108772")</f>
        <v>ICTVonline=202108772</v>
      </c>
    </row>
    <row r="8712" spans="1:21" x14ac:dyDescent="0.2">
      <c r="A8712" s="3">
        <v>8711</v>
      </c>
      <c r="B8712" s="1" t="s">
        <v>4226</v>
      </c>
      <c r="D8712" s="1" t="s">
        <v>5412</v>
      </c>
      <c r="F8712" s="1" t="s">
        <v>5637</v>
      </c>
      <c r="H8712" s="1" t="s">
        <v>5640</v>
      </c>
      <c r="J8712" s="1" t="s">
        <v>982</v>
      </c>
      <c r="L8712" s="1" t="s">
        <v>1024</v>
      </c>
      <c r="M8712" s="1" t="s">
        <v>13722</v>
      </c>
      <c r="N8712" s="1" t="s">
        <v>5697</v>
      </c>
      <c r="P8712" s="1" t="s">
        <v>5698</v>
      </c>
      <c r="Q8712" s="30" t="s">
        <v>2567</v>
      </c>
      <c r="R8712" s="33" t="s">
        <v>3474</v>
      </c>
      <c r="S8712">
        <v>37</v>
      </c>
      <c r="T8712" s="1" t="s">
        <v>14061</v>
      </c>
      <c r="U8712" s="1" t="str">
        <f>HYPERLINK("http://ictvonline.org/taxonomy/p/taxonomy-history?taxnode_id=202107132","ICTVonline=202107132")</f>
        <v>ICTVonline=202107132</v>
      </c>
    </row>
    <row r="8713" spans="1:21" x14ac:dyDescent="0.2">
      <c r="A8713" s="3">
        <v>8712</v>
      </c>
      <c r="B8713" s="1" t="s">
        <v>4226</v>
      </c>
      <c r="D8713" s="1" t="s">
        <v>5412</v>
      </c>
      <c r="F8713" s="1" t="s">
        <v>5637</v>
      </c>
      <c r="H8713" s="1" t="s">
        <v>5640</v>
      </c>
      <c r="J8713" s="1" t="s">
        <v>982</v>
      </c>
      <c r="L8713" s="1" t="s">
        <v>1024</v>
      </c>
      <c r="M8713" s="1" t="s">
        <v>13722</v>
      </c>
      <c r="N8713" s="1" t="s">
        <v>5704</v>
      </c>
      <c r="P8713" s="1" t="s">
        <v>5705</v>
      </c>
      <c r="Q8713" s="30" t="s">
        <v>2567</v>
      </c>
      <c r="R8713" s="33" t="s">
        <v>3474</v>
      </c>
      <c r="S8713">
        <v>37</v>
      </c>
      <c r="T8713" s="1" t="s">
        <v>14061</v>
      </c>
      <c r="U8713" s="1" t="str">
        <f>HYPERLINK("http://ictvonline.org/taxonomy/p/taxonomy-history?taxnode_id=202107267","ICTVonline=202107267")</f>
        <v>ICTVonline=202107267</v>
      </c>
    </row>
    <row r="8714" spans="1:21" x14ac:dyDescent="0.2">
      <c r="A8714" s="3">
        <v>8713</v>
      </c>
      <c r="B8714" s="1" t="s">
        <v>4226</v>
      </c>
      <c r="D8714" s="1" t="s">
        <v>5412</v>
      </c>
      <c r="F8714" s="1" t="s">
        <v>5637</v>
      </c>
      <c r="H8714" s="1" t="s">
        <v>5640</v>
      </c>
      <c r="J8714" s="1" t="s">
        <v>982</v>
      </c>
      <c r="L8714" s="1" t="s">
        <v>1024</v>
      </c>
      <c r="M8714" s="1" t="s">
        <v>13722</v>
      </c>
      <c r="N8714" s="1" t="s">
        <v>5704</v>
      </c>
      <c r="P8714" s="1" t="s">
        <v>5706</v>
      </c>
      <c r="Q8714" s="30" t="s">
        <v>2567</v>
      </c>
      <c r="R8714" s="33" t="s">
        <v>3474</v>
      </c>
      <c r="S8714">
        <v>37</v>
      </c>
      <c r="T8714" s="1" t="s">
        <v>14061</v>
      </c>
      <c r="U8714" s="1" t="str">
        <f>HYPERLINK("http://ictvonline.org/taxonomy/p/taxonomy-history?taxnode_id=202107268","ICTVonline=202107268")</f>
        <v>ICTVonline=202107268</v>
      </c>
    </row>
    <row r="8715" spans="1:21" x14ac:dyDescent="0.2">
      <c r="A8715" s="3">
        <v>8714</v>
      </c>
      <c r="B8715" s="1" t="s">
        <v>4226</v>
      </c>
      <c r="D8715" s="1" t="s">
        <v>5412</v>
      </c>
      <c r="F8715" s="1" t="s">
        <v>5637</v>
      </c>
      <c r="H8715" s="1" t="s">
        <v>5640</v>
      </c>
      <c r="J8715" s="1" t="s">
        <v>982</v>
      </c>
      <c r="L8715" s="1" t="s">
        <v>1024</v>
      </c>
      <c r="M8715" s="1" t="s">
        <v>13722</v>
      </c>
      <c r="N8715" s="1" t="s">
        <v>5704</v>
      </c>
      <c r="P8715" s="1" t="s">
        <v>5707</v>
      </c>
      <c r="Q8715" s="30" t="s">
        <v>2567</v>
      </c>
      <c r="R8715" s="33" t="s">
        <v>3474</v>
      </c>
      <c r="S8715">
        <v>37</v>
      </c>
      <c r="T8715" s="1" t="s">
        <v>14061</v>
      </c>
      <c r="U8715" s="1" t="str">
        <f>HYPERLINK("http://ictvonline.org/taxonomy/p/taxonomy-history?taxnode_id=202107269","ICTVonline=202107269")</f>
        <v>ICTVonline=202107269</v>
      </c>
    </row>
    <row r="8716" spans="1:21" x14ac:dyDescent="0.2">
      <c r="A8716" s="3">
        <v>8715</v>
      </c>
      <c r="B8716" s="1" t="s">
        <v>4226</v>
      </c>
      <c r="D8716" s="1" t="s">
        <v>5412</v>
      </c>
      <c r="F8716" s="1" t="s">
        <v>5637</v>
      </c>
      <c r="H8716" s="1" t="s">
        <v>5640</v>
      </c>
      <c r="J8716" s="1" t="s">
        <v>982</v>
      </c>
      <c r="L8716" s="1" t="s">
        <v>1024</v>
      </c>
      <c r="M8716" s="1" t="s">
        <v>13722</v>
      </c>
      <c r="N8716" s="1" t="s">
        <v>5704</v>
      </c>
      <c r="P8716" s="1" t="s">
        <v>5708</v>
      </c>
      <c r="Q8716" s="30" t="s">
        <v>2567</v>
      </c>
      <c r="R8716" s="33" t="s">
        <v>3474</v>
      </c>
      <c r="S8716">
        <v>37</v>
      </c>
      <c r="T8716" s="1" t="s">
        <v>14061</v>
      </c>
      <c r="U8716" s="1" t="str">
        <f>HYPERLINK("http://ictvonline.org/taxonomy/p/taxonomy-history?taxnode_id=202107270","ICTVonline=202107270")</f>
        <v>ICTVonline=202107270</v>
      </c>
    </row>
    <row r="8717" spans="1:21" x14ac:dyDescent="0.2">
      <c r="A8717" s="3">
        <v>8716</v>
      </c>
      <c r="B8717" s="1" t="s">
        <v>4226</v>
      </c>
      <c r="D8717" s="1" t="s">
        <v>5412</v>
      </c>
      <c r="F8717" s="1" t="s">
        <v>5637</v>
      </c>
      <c r="H8717" s="1" t="s">
        <v>5640</v>
      </c>
      <c r="J8717" s="1" t="s">
        <v>982</v>
      </c>
      <c r="L8717" s="1" t="s">
        <v>1024</v>
      </c>
      <c r="M8717" s="1" t="s">
        <v>13722</v>
      </c>
      <c r="N8717" s="1" t="s">
        <v>5704</v>
      </c>
      <c r="P8717" s="1" t="s">
        <v>5709</v>
      </c>
      <c r="Q8717" s="30" t="s">
        <v>2567</v>
      </c>
      <c r="R8717" s="33" t="s">
        <v>3474</v>
      </c>
      <c r="S8717">
        <v>37</v>
      </c>
      <c r="T8717" s="1" t="s">
        <v>14061</v>
      </c>
      <c r="U8717" s="1" t="str">
        <f>HYPERLINK("http://ictvonline.org/taxonomy/p/taxonomy-history?taxnode_id=202107271","ICTVonline=202107271")</f>
        <v>ICTVonline=202107271</v>
      </c>
    </row>
    <row r="8718" spans="1:21" x14ac:dyDescent="0.2">
      <c r="A8718" s="3">
        <v>8717</v>
      </c>
      <c r="B8718" s="1" t="s">
        <v>4226</v>
      </c>
      <c r="D8718" s="1" t="s">
        <v>5412</v>
      </c>
      <c r="F8718" s="1" t="s">
        <v>5637</v>
      </c>
      <c r="H8718" s="1" t="s">
        <v>5640</v>
      </c>
      <c r="J8718" s="1" t="s">
        <v>982</v>
      </c>
      <c r="L8718" s="1" t="s">
        <v>1024</v>
      </c>
      <c r="M8718" s="1" t="s">
        <v>13722</v>
      </c>
      <c r="N8718" s="1" t="s">
        <v>5704</v>
      </c>
      <c r="P8718" s="1" t="s">
        <v>8322</v>
      </c>
      <c r="Q8718" s="30" t="s">
        <v>2567</v>
      </c>
      <c r="R8718" s="33" t="s">
        <v>3474</v>
      </c>
      <c r="S8718">
        <v>37</v>
      </c>
      <c r="T8718" s="1" t="s">
        <v>14061</v>
      </c>
      <c r="U8718" s="1" t="str">
        <f>HYPERLINK("http://ictvonline.org/taxonomy/p/taxonomy-history?taxnode_id=202108844","ICTVonline=202108844")</f>
        <v>ICTVonline=202108844</v>
      </c>
    </row>
    <row r="8719" spans="1:21" x14ac:dyDescent="0.2">
      <c r="A8719" s="3">
        <v>8718</v>
      </c>
      <c r="B8719" s="1" t="s">
        <v>4226</v>
      </c>
      <c r="D8719" s="1" t="s">
        <v>5412</v>
      </c>
      <c r="F8719" s="1" t="s">
        <v>5637</v>
      </c>
      <c r="H8719" s="1" t="s">
        <v>5640</v>
      </c>
      <c r="J8719" s="1" t="s">
        <v>982</v>
      </c>
      <c r="L8719" s="1" t="s">
        <v>1024</v>
      </c>
      <c r="M8719" s="1" t="s">
        <v>13722</v>
      </c>
      <c r="N8719" s="1" t="s">
        <v>5710</v>
      </c>
      <c r="P8719" s="1" t="s">
        <v>5711</v>
      </c>
      <c r="Q8719" s="30" t="s">
        <v>2567</v>
      </c>
      <c r="R8719" s="33" t="s">
        <v>3474</v>
      </c>
      <c r="S8719">
        <v>37</v>
      </c>
      <c r="T8719" s="1" t="s">
        <v>14061</v>
      </c>
      <c r="U8719" s="1" t="str">
        <f>HYPERLINK("http://ictvonline.org/taxonomy/p/taxonomy-history?taxnode_id=202107134","ICTVonline=202107134")</f>
        <v>ICTVonline=202107134</v>
      </c>
    </row>
    <row r="8720" spans="1:21" x14ac:dyDescent="0.2">
      <c r="A8720" s="3">
        <v>8719</v>
      </c>
      <c r="B8720" s="1" t="s">
        <v>4226</v>
      </c>
      <c r="D8720" s="1" t="s">
        <v>5412</v>
      </c>
      <c r="F8720" s="1" t="s">
        <v>5637</v>
      </c>
      <c r="H8720" s="1" t="s">
        <v>5640</v>
      </c>
      <c r="J8720" s="1" t="s">
        <v>982</v>
      </c>
      <c r="L8720" s="1" t="s">
        <v>1024</v>
      </c>
      <c r="M8720" s="1" t="s">
        <v>13722</v>
      </c>
      <c r="N8720" s="1" t="s">
        <v>592</v>
      </c>
      <c r="P8720" s="1" t="s">
        <v>2464</v>
      </c>
      <c r="Q8720" s="30" t="s">
        <v>2567</v>
      </c>
      <c r="R8720" s="33" t="s">
        <v>3474</v>
      </c>
      <c r="S8720">
        <v>37</v>
      </c>
      <c r="T8720" s="1" t="s">
        <v>14061</v>
      </c>
      <c r="U8720" s="1" t="str">
        <f>HYPERLINK("http://ictvonline.org/taxonomy/p/taxonomy-history?taxnode_id=202102003","ICTVonline=202102003")</f>
        <v>ICTVonline=202102003</v>
      </c>
    </row>
    <row r="8721" spans="1:21" x14ac:dyDescent="0.2">
      <c r="A8721" s="3">
        <v>8720</v>
      </c>
      <c r="B8721" s="1" t="s">
        <v>4226</v>
      </c>
      <c r="D8721" s="1" t="s">
        <v>5412</v>
      </c>
      <c r="F8721" s="1" t="s">
        <v>5637</v>
      </c>
      <c r="H8721" s="1" t="s">
        <v>5640</v>
      </c>
      <c r="J8721" s="1" t="s">
        <v>982</v>
      </c>
      <c r="L8721" s="1" t="s">
        <v>1024</v>
      </c>
      <c r="M8721" s="1" t="s">
        <v>13722</v>
      </c>
      <c r="N8721" s="1" t="s">
        <v>592</v>
      </c>
      <c r="P8721" s="1" t="s">
        <v>3243</v>
      </c>
      <c r="Q8721" s="30" t="s">
        <v>2567</v>
      </c>
      <c r="R8721" s="33" t="s">
        <v>3474</v>
      </c>
      <c r="S8721">
        <v>37</v>
      </c>
      <c r="T8721" s="1" t="s">
        <v>14061</v>
      </c>
      <c r="U8721" s="1" t="str">
        <f>HYPERLINK("http://ictvonline.org/taxonomy/p/taxonomy-history?taxnode_id=202102004","ICTVonline=202102004")</f>
        <v>ICTVonline=202102004</v>
      </c>
    </row>
    <row r="8722" spans="1:21" x14ac:dyDescent="0.2">
      <c r="A8722" s="3">
        <v>8721</v>
      </c>
      <c r="B8722" s="1" t="s">
        <v>4226</v>
      </c>
      <c r="D8722" s="1" t="s">
        <v>5412</v>
      </c>
      <c r="F8722" s="1" t="s">
        <v>5637</v>
      </c>
      <c r="H8722" s="1" t="s">
        <v>5640</v>
      </c>
      <c r="J8722" s="1" t="s">
        <v>982</v>
      </c>
      <c r="L8722" s="1" t="s">
        <v>1024</v>
      </c>
      <c r="M8722" s="1" t="s">
        <v>13722</v>
      </c>
      <c r="N8722" s="1" t="s">
        <v>592</v>
      </c>
      <c r="P8722" s="1" t="s">
        <v>3244</v>
      </c>
      <c r="Q8722" s="30" t="s">
        <v>2567</v>
      </c>
      <c r="R8722" s="33" t="s">
        <v>3474</v>
      </c>
      <c r="S8722">
        <v>37</v>
      </c>
      <c r="T8722" s="1" t="s">
        <v>14061</v>
      </c>
      <c r="U8722" s="1" t="str">
        <f>HYPERLINK("http://ictvonline.org/taxonomy/p/taxonomy-history?taxnode_id=202102005","ICTVonline=202102005")</f>
        <v>ICTVonline=202102005</v>
      </c>
    </row>
    <row r="8723" spans="1:21" x14ac:dyDescent="0.2">
      <c r="A8723" s="3">
        <v>8722</v>
      </c>
      <c r="B8723" s="1" t="s">
        <v>4226</v>
      </c>
      <c r="D8723" s="1" t="s">
        <v>5412</v>
      </c>
      <c r="F8723" s="1" t="s">
        <v>5637</v>
      </c>
      <c r="H8723" s="1" t="s">
        <v>5640</v>
      </c>
      <c r="J8723" s="1" t="s">
        <v>982</v>
      </c>
      <c r="L8723" s="1" t="s">
        <v>1024</v>
      </c>
      <c r="M8723" s="1" t="s">
        <v>13722</v>
      </c>
      <c r="N8723" s="1" t="s">
        <v>592</v>
      </c>
      <c r="P8723" s="1" t="s">
        <v>3245</v>
      </c>
      <c r="Q8723" s="30" t="s">
        <v>2567</v>
      </c>
      <c r="R8723" s="33" t="s">
        <v>3474</v>
      </c>
      <c r="S8723">
        <v>37</v>
      </c>
      <c r="T8723" s="1" t="s">
        <v>14061</v>
      </c>
      <c r="U8723" s="1" t="str">
        <f>HYPERLINK("http://ictvonline.org/taxonomy/p/taxonomy-history?taxnode_id=202102006","ICTVonline=202102006")</f>
        <v>ICTVonline=202102006</v>
      </c>
    </row>
    <row r="8724" spans="1:21" x14ac:dyDescent="0.2">
      <c r="A8724" s="3">
        <v>8723</v>
      </c>
      <c r="B8724" s="1" t="s">
        <v>4226</v>
      </c>
      <c r="D8724" s="1" t="s">
        <v>5412</v>
      </c>
      <c r="F8724" s="1" t="s">
        <v>5637</v>
      </c>
      <c r="H8724" s="1" t="s">
        <v>5640</v>
      </c>
      <c r="J8724" s="1" t="s">
        <v>982</v>
      </c>
      <c r="L8724" s="1" t="s">
        <v>1024</v>
      </c>
      <c r="M8724" s="1" t="s">
        <v>13722</v>
      </c>
      <c r="N8724" s="1" t="s">
        <v>592</v>
      </c>
      <c r="P8724" s="1" t="s">
        <v>3246</v>
      </c>
      <c r="Q8724" s="30" t="s">
        <v>2567</v>
      </c>
      <c r="R8724" s="33" t="s">
        <v>3474</v>
      </c>
      <c r="S8724">
        <v>37</v>
      </c>
      <c r="T8724" s="1" t="s">
        <v>14061</v>
      </c>
      <c r="U8724" s="1" t="str">
        <f>HYPERLINK("http://ictvonline.org/taxonomy/p/taxonomy-history?taxnode_id=202102007","ICTVonline=202102007")</f>
        <v>ICTVonline=202102007</v>
      </c>
    </row>
    <row r="8725" spans="1:21" x14ac:dyDescent="0.2">
      <c r="A8725" s="3">
        <v>8724</v>
      </c>
      <c r="B8725" s="1" t="s">
        <v>4226</v>
      </c>
      <c r="D8725" s="1" t="s">
        <v>5412</v>
      </c>
      <c r="F8725" s="1" t="s">
        <v>5637</v>
      </c>
      <c r="H8725" s="1" t="s">
        <v>5640</v>
      </c>
      <c r="J8725" s="1" t="s">
        <v>982</v>
      </c>
      <c r="L8725" s="1" t="s">
        <v>1024</v>
      </c>
      <c r="M8725" s="1" t="s">
        <v>13722</v>
      </c>
      <c r="N8725" s="1" t="s">
        <v>592</v>
      </c>
      <c r="P8725" s="1" t="s">
        <v>3247</v>
      </c>
      <c r="Q8725" s="30" t="s">
        <v>2567</v>
      </c>
      <c r="R8725" s="33" t="s">
        <v>3474</v>
      </c>
      <c r="S8725">
        <v>37</v>
      </c>
      <c r="T8725" s="1" t="s">
        <v>14061</v>
      </c>
      <c r="U8725" s="1" t="str">
        <f>HYPERLINK("http://ictvonline.org/taxonomy/p/taxonomy-history?taxnode_id=202102008","ICTVonline=202102008")</f>
        <v>ICTVonline=202102008</v>
      </c>
    </row>
    <row r="8726" spans="1:21" x14ac:dyDescent="0.2">
      <c r="A8726" s="3">
        <v>8725</v>
      </c>
      <c r="B8726" s="1" t="s">
        <v>4226</v>
      </c>
      <c r="D8726" s="1" t="s">
        <v>5412</v>
      </c>
      <c r="F8726" s="1" t="s">
        <v>5637</v>
      </c>
      <c r="H8726" s="1" t="s">
        <v>5640</v>
      </c>
      <c r="J8726" s="1" t="s">
        <v>982</v>
      </c>
      <c r="L8726" s="1" t="s">
        <v>1024</v>
      </c>
      <c r="M8726" s="1" t="s">
        <v>13722</v>
      </c>
      <c r="N8726" s="1" t="s">
        <v>592</v>
      </c>
      <c r="P8726" s="1" t="s">
        <v>3248</v>
      </c>
      <c r="Q8726" s="30" t="s">
        <v>2567</v>
      </c>
      <c r="R8726" s="33" t="s">
        <v>3474</v>
      </c>
      <c r="S8726">
        <v>37</v>
      </c>
      <c r="T8726" s="1" t="s">
        <v>14061</v>
      </c>
      <c r="U8726" s="1" t="str">
        <f>HYPERLINK("http://ictvonline.org/taxonomy/p/taxonomy-history?taxnode_id=202102009","ICTVonline=202102009")</f>
        <v>ICTVonline=202102009</v>
      </c>
    </row>
    <row r="8727" spans="1:21" x14ac:dyDescent="0.2">
      <c r="A8727" s="3">
        <v>8726</v>
      </c>
      <c r="B8727" s="1" t="s">
        <v>4226</v>
      </c>
      <c r="D8727" s="1" t="s">
        <v>5412</v>
      </c>
      <c r="F8727" s="1" t="s">
        <v>5637</v>
      </c>
      <c r="H8727" s="1" t="s">
        <v>5640</v>
      </c>
      <c r="J8727" s="1" t="s">
        <v>982</v>
      </c>
      <c r="L8727" s="1" t="s">
        <v>1024</v>
      </c>
      <c r="M8727" s="1" t="s">
        <v>13722</v>
      </c>
      <c r="N8727" s="1" t="s">
        <v>592</v>
      </c>
      <c r="P8727" s="1" t="s">
        <v>3249</v>
      </c>
      <c r="Q8727" s="30" t="s">
        <v>2567</v>
      </c>
      <c r="R8727" s="33" t="s">
        <v>3474</v>
      </c>
      <c r="S8727">
        <v>37</v>
      </c>
      <c r="T8727" s="1" t="s">
        <v>14061</v>
      </c>
      <c r="U8727" s="1" t="str">
        <f>HYPERLINK("http://ictvonline.org/taxonomy/p/taxonomy-history?taxnode_id=202102010","ICTVonline=202102010")</f>
        <v>ICTVonline=202102010</v>
      </c>
    </row>
    <row r="8728" spans="1:21" x14ac:dyDescent="0.2">
      <c r="A8728" s="3">
        <v>8727</v>
      </c>
      <c r="B8728" s="1" t="s">
        <v>4226</v>
      </c>
      <c r="D8728" s="1" t="s">
        <v>5412</v>
      </c>
      <c r="F8728" s="1" t="s">
        <v>5637</v>
      </c>
      <c r="H8728" s="1" t="s">
        <v>5640</v>
      </c>
      <c r="J8728" s="1" t="s">
        <v>982</v>
      </c>
      <c r="L8728" s="1" t="s">
        <v>1024</v>
      </c>
      <c r="M8728" s="1" t="s">
        <v>13722</v>
      </c>
      <c r="N8728" s="1" t="s">
        <v>592</v>
      </c>
      <c r="P8728" s="1" t="s">
        <v>3250</v>
      </c>
      <c r="Q8728" s="30" t="s">
        <v>2567</v>
      </c>
      <c r="R8728" s="33" t="s">
        <v>3474</v>
      </c>
      <c r="S8728">
        <v>37</v>
      </c>
      <c r="T8728" s="1" t="s">
        <v>14061</v>
      </c>
      <c r="U8728" s="1" t="str">
        <f>HYPERLINK("http://ictvonline.org/taxonomy/p/taxonomy-history?taxnode_id=202102011","ICTVonline=202102011")</f>
        <v>ICTVonline=202102011</v>
      </c>
    </row>
    <row r="8729" spans="1:21" x14ac:dyDescent="0.2">
      <c r="A8729" s="3">
        <v>8728</v>
      </c>
      <c r="B8729" s="1" t="s">
        <v>4226</v>
      </c>
      <c r="D8729" s="1" t="s">
        <v>5412</v>
      </c>
      <c r="F8729" s="1" t="s">
        <v>5637</v>
      </c>
      <c r="H8729" s="1" t="s">
        <v>5640</v>
      </c>
      <c r="J8729" s="1" t="s">
        <v>982</v>
      </c>
      <c r="L8729" s="1" t="s">
        <v>1024</v>
      </c>
      <c r="M8729" s="1" t="s">
        <v>13722</v>
      </c>
      <c r="N8729" s="1" t="s">
        <v>5734</v>
      </c>
      <c r="P8729" s="1" t="s">
        <v>5735</v>
      </c>
      <c r="Q8729" s="30" t="s">
        <v>2567</v>
      </c>
      <c r="R8729" s="33" t="s">
        <v>3474</v>
      </c>
      <c r="S8729">
        <v>37</v>
      </c>
      <c r="T8729" s="1" t="s">
        <v>14061</v>
      </c>
      <c r="U8729" s="1" t="str">
        <f>HYPERLINK("http://ictvonline.org/taxonomy/p/taxonomy-history?taxnode_id=202107446","ICTVonline=202107446")</f>
        <v>ICTVonline=202107446</v>
      </c>
    </row>
    <row r="8730" spans="1:21" x14ac:dyDescent="0.2">
      <c r="A8730" s="3">
        <v>8729</v>
      </c>
      <c r="B8730" s="1" t="s">
        <v>4226</v>
      </c>
      <c r="D8730" s="1" t="s">
        <v>5412</v>
      </c>
      <c r="F8730" s="1" t="s">
        <v>5637</v>
      </c>
      <c r="H8730" s="1" t="s">
        <v>5640</v>
      </c>
      <c r="J8730" s="1" t="s">
        <v>982</v>
      </c>
      <c r="L8730" s="1" t="s">
        <v>1024</v>
      </c>
      <c r="M8730" s="1" t="s">
        <v>13722</v>
      </c>
      <c r="N8730" s="1" t="s">
        <v>917</v>
      </c>
      <c r="P8730" s="1" t="s">
        <v>2477</v>
      </c>
      <c r="Q8730" s="30" t="s">
        <v>2567</v>
      </c>
      <c r="R8730" s="33" t="s">
        <v>3474</v>
      </c>
      <c r="S8730">
        <v>37</v>
      </c>
      <c r="T8730" s="1" t="s">
        <v>14061</v>
      </c>
      <c r="U8730" s="1" t="str">
        <f>HYPERLINK("http://ictvonline.org/taxonomy/p/taxonomy-history?taxnode_id=202102069","ICTVonline=202102069")</f>
        <v>ICTVonline=202102069</v>
      </c>
    </row>
    <row r="8731" spans="1:21" x14ac:dyDescent="0.2">
      <c r="A8731" s="3">
        <v>8730</v>
      </c>
      <c r="B8731" s="1" t="s">
        <v>4226</v>
      </c>
      <c r="D8731" s="1" t="s">
        <v>5412</v>
      </c>
      <c r="F8731" s="1" t="s">
        <v>5637</v>
      </c>
      <c r="H8731" s="1" t="s">
        <v>5640</v>
      </c>
      <c r="J8731" s="1" t="s">
        <v>982</v>
      </c>
      <c r="L8731" s="1" t="s">
        <v>1024</v>
      </c>
      <c r="M8731" s="1" t="s">
        <v>13722</v>
      </c>
      <c r="N8731" s="1" t="s">
        <v>917</v>
      </c>
      <c r="P8731" s="1" t="s">
        <v>5739</v>
      </c>
      <c r="Q8731" s="30" t="s">
        <v>2567</v>
      </c>
      <c r="R8731" s="33" t="s">
        <v>3474</v>
      </c>
      <c r="S8731">
        <v>37</v>
      </c>
      <c r="T8731" s="1" t="s">
        <v>14061</v>
      </c>
      <c r="U8731" s="1" t="str">
        <f>HYPERLINK("http://ictvonline.org/taxonomy/p/taxonomy-history?taxnode_id=202107458","ICTVonline=202107458")</f>
        <v>ICTVonline=202107458</v>
      </c>
    </row>
    <row r="8732" spans="1:21" x14ac:dyDescent="0.2">
      <c r="A8732" s="3">
        <v>8731</v>
      </c>
      <c r="B8732" s="1" t="s">
        <v>4226</v>
      </c>
      <c r="D8732" s="1" t="s">
        <v>5412</v>
      </c>
      <c r="F8732" s="1" t="s">
        <v>5637</v>
      </c>
      <c r="H8732" s="1" t="s">
        <v>5640</v>
      </c>
      <c r="J8732" s="1" t="s">
        <v>982</v>
      </c>
      <c r="L8732" s="1" t="s">
        <v>1024</v>
      </c>
      <c r="M8732" s="1" t="s">
        <v>13723</v>
      </c>
      <c r="N8732" s="1" t="s">
        <v>8320</v>
      </c>
      <c r="P8732" s="1" t="s">
        <v>8321</v>
      </c>
      <c r="Q8732" s="30" t="s">
        <v>2567</v>
      </c>
      <c r="R8732" s="33" t="s">
        <v>3474</v>
      </c>
      <c r="S8732">
        <v>37</v>
      </c>
      <c r="T8732" s="1" t="s">
        <v>14061</v>
      </c>
      <c r="U8732" s="1" t="str">
        <f>HYPERLINK("http://ictvonline.org/taxonomy/p/taxonomy-history?taxnode_id=202108806","ICTVonline=202108806")</f>
        <v>ICTVonline=202108806</v>
      </c>
    </row>
    <row r="8733" spans="1:21" x14ac:dyDescent="0.2">
      <c r="A8733" s="3">
        <v>8732</v>
      </c>
      <c r="B8733" s="1" t="s">
        <v>4226</v>
      </c>
      <c r="D8733" s="1" t="s">
        <v>5412</v>
      </c>
      <c r="F8733" s="1" t="s">
        <v>5637</v>
      </c>
      <c r="H8733" s="1" t="s">
        <v>5640</v>
      </c>
      <c r="J8733" s="1" t="s">
        <v>982</v>
      </c>
      <c r="L8733" s="1" t="s">
        <v>1024</v>
      </c>
      <c r="M8733" s="1" t="s">
        <v>13723</v>
      </c>
      <c r="N8733" s="1" t="s">
        <v>2029</v>
      </c>
      <c r="P8733" s="1" t="s">
        <v>2030</v>
      </c>
      <c r="Q8733" s="30" t="s">
        <v>2567</v>
      </c>
      <c r="R8733" s="33" t="s">
        <v>3474</v>
      </c>
      <c r="S8733">
        <v>37</v>
      </c>
      <c r="T8733" s="1" t="s">
        <v>14061</v>
      </c>
      <c r="U8733" s="1" t="str">
        <f>HYPERLINK("http://ictvonline.org/taxonomy/p/taxonomy-history?taxnode_id=202101981","ICTVonline=202101981")</f>
        <v>ICTVonline=202101981</v>
      </c>
    </row>
    <row r="8734" spans="1:21" x14ac:dyDescent="0.2">
      <c r="A8734" s="3">
        <v>8733</v>
      </c>
      <c r="B8734" s="1" t="s">
        <v>4226</v>
      </c>
      <c r="D8734" s="1" t="s">
        <v>5412</v>
      </c>
      <c r="F8734" s="1" t="s">
        <v>5637</v>
      </c>
      <c r="H8734" s="1" t="s">
        <v>5640</v>
      </c>
      <c r="J8734" s="1" t="s">
        <v>982</v>
      </c>
      <c r="L8734" s="1" t="s">
        <v>1024</v>
      </c>
      <c r="M8734" s="1" t="s">
        <v>13723</v>
      </c>
      <c r="N8734" s="1" t="s">
        <v>2029</v>
      </c>
      <c r="P8734" s="1" t="s">
        <v>4405</v>
      </c>
      <c r="Q8734" s="30" t="s">
        <v>2567</v>
      </c>
      <c r="R8734" s="33" t="s">
        <v>3474</v>
      </c>
      <c r="S8734">
        <v>37</v>
      </c>
      <c r="T8734" s="1" t="s">
        <v>14061</v>
      </c>
      <c r="U8734" s="1" t="str">
        <f>HYPERLINK("http://ictvonline.org/taxonomy/p/taxonomy-history?taxnode_id=202106291","ICTVonline=202106291")</f>
        <v>ICTVonline=202106291</v>
      </c>
    </row>
    <row r="8735" spans="1:21" x14ac:dyDescent="0.2">
      <c r="A8735" s="3">
        <v>8734</v>
      </c>
      <c r="B8735" s="1" t="s">
        <v>4226</v>
      </c>
      <c r="D8735" s="1" t="s">
        <v>5412</v>
      </c>
      <c r="F8735" s="1" t="s">
        <v>5637</v>
      </c>
      <c r="H8735" s="1" t="s">
        <v>5640</v>
      </c>
      <c r="J8735" s="1" t="s">
        <v>982</v>
      </c>
      <c r="L8735" s="1" t="s">
        <v>1024</v>
      </c>
      <c r="M8735" s="1" t="s">
        <v>13723</v>
      </c>
      <c r="N8735" s="1" t="s">
        <v>2150</v>
      </c>
      <c r="P8735" s="1" t="s">
        <v>2151</v>
      </c>
      <c r="Q8735" s="30" t="s">
        <v>2567</v>
      </c>
      <c r="R8735" s="33" t="s">
        <v>3474</v>
      </c>
      <c r="S8735">
        <v>37</v>
      </c>
      <c r="T8735" s="1" t="s">
        <v>14061</v>
      </c>
      <c r="U8735" s="1" t="str">
        <f>HYPERLINK("http://ictvonline.org/taxonomy/p/taxonomy-history?taxnode_id=202101999","ICTVonline=202101999")</f>
        <v>ICTVonline=202101999</v>
      </c>
    </row>
    <row r="8736" spans="1:21" x14ac:dyDescent="0.2">
      <c r="A8736" s="3">
        <v>8735</v>
      </c>
      <c r="B8736" s="1" t="s">
        <v>4226</v>
      </c>
      <c r="D8736" s="1" t="s">
        <v>5412</v>
      </c>
      <c r="F8736" s="1" t="s">
        <v>5637</v>
      </c>
      <c r="H8736" s="1" t="s">
        <v>5640</v>
      </c>
      <c r="J8736" s="1" t="s">
        <v>982</v>
      </c>
      <c r="L8736" s="1" t="s">
        <v>1024</v>
      </c>
      <c r="M8736" s="1" t="s">
        <v>13723</v>
      </c>
      <c r="N8736" s="1" t="s">
        <v>5715</v>
      </c>
      <c r="P8736" s="1" t="s">
        <v>5716</v>
      </c>
      <c r="Q8736" s="30" t="s">
        <v>2567</v>
      </c>
      <c r="R8736" s="33" t="s">
        <v>3474</v>
      </c>
      <c r="S8736">
        <v>37</v>
      </c>
      <c r="T8736" s="1" t="s">
        <v>14061</v>
      </c>
      <c r="U8736" s="1" t="str">
        <f>HYPERLINK("http://ictvonline.org/taxonomy/p/taxonomy-history?taxnode_id=202107298","ICTVonline=202107298")</f>
        <v>ICTVonline=202107298</v>
      </c>
    </row>
    <row r="8737" spans="1:21" x14ac:dyDescent="0.2">
      <c r="A8737" s="3">
        <v>8736</v>
      </c>
      <c r="B8737" s="1" t="s">
        <v>4226</v>
      </c>
      <c r="D8737" s="1" t="s">
        <v>5412</v>
      </c>
      <c r="F8737" s="1" t="s">
        <v>5637</v>
      </c>
      <c r="H8737" s="1" t="s">
        <v>5640</v>
      </c>
      <c r="J8737" s="1" t="s">
        <v>982</v>
      </c>
      <c r="L8737" s="1" t="s">
        <v>1024</v>
      </c>
      <c r="M8737" s="1" t="s">
        <v>13723</v>
      </c>
      <c r="N8737" s="1" t="s">
        <v>593</v>
      </c>
      <c r="P8737" s="1" t="s">
        <v>2043</v>
      </c>
      <c r="Q8737" s="30" t="s">
        <v>2567</v>
      </c>
      <c r="R8737" s="33" t="s">
        <v>3474</v>
      </c>
      <c r="S8737">
        <v>37</v>
      </c>
      <c r="T8737" s="1" t="s">
        <v>14061</v>
      </c>
      <c r="U8737" s="1" t="str">
        <f>HYPERLINK("http://ictvonline.org/taxonomy/p/taxonomy-history?taxnode_id=202102015","ICTVonline=202102015")</f>
        <v>ICTVonline=202102015</v>
      </c>
    </row>
    <row r="8738" spans="1:21" x14ac:dyDescent="0.2">
      <c r="A8738" s="3">
        <v>8737</v>
      </c>
      <c r="B8738" s="1" t="s">
        <v>4226</v>
      </c>
      <c r="D8738" s="1" t="s">
        <v>5412</v>
      </c>
      <c r="F8738" s="1" t="s">
        <v>5637</v>
      </c>
      <c r="H8738" s="1" t="s">
        <v>5640</v>
      </c>
      <c r="J8738" s="1" t="s">
        <v>982</v>
      </c>
      <c r="L8738" s="1" t="s">
        <v>1024</v>
      </c>
      <c r="M8738" s="1" t="s">
        <v>13723</v>
      </c>
      <c r="N8738" s="1" t="s">
        <v>593</v>
      </c>
      <c r="P8738" s="1" t="s">
        <v>2044</v>
      </c>
      <c r="Q8738" s="30" t="s">
        <v>2567</v>
      </c>
      <c r="R8738" s="33" t="s">
        <v>3474</v>
      </c>
      <c r="S8738">
        <v>37</v>
      </c>
      <c r="T8738" s="1" t="s">
        <v>14061</v>
      </c>
      <c r="U8738" s="1" t="str">
        <f>HYPERLINK("http://ictvonline.org/taxonomy/p/taxonomy-history?taxnode_id=202102016","ICTVonline=202102016")</f>
        <v>ICTVonline=202102016</v>
      </c>
    </row>
    <row r="8739" spans="1:21" x14ac:dyDescent="0.2">
      <c r="A8739" s="3">
        <v>8738</v>
      </c>
      <c r="B8739" s="1" t="s">
        <v>4226</v>
      </c>
      <c r="D8739" s="1" t="s">
        <v>5412</v>
      </c>
      <c r="F8739" s="1" t="s">
        <v>5637</v>
      </c>
      <c r="H8739" s="1" t="s">
        <v>5640</v>
      </c>
      <c r="J8739" s="1" t="s">
        <v>982</v>
      </c>
      <c r="L8739" s="1" t="s">
        <v>1024</v>
      </c>
      <c r="M8739" s="1" t="s">
        <v>13723</v>
      </c>
      <c r="N8739" s="1" t="s">
        <v>593</v>
      </c>
      <c r="P8739" s="1" t="s">
        <v>2045</v>
      </c>
      <c r="Q8739" s="30" t="s">
        <v>2567</v>
      </c>
      <c r="R8739" s="33" t="s">
        <v>3474</v>
      </c>
      <c r="S8739">
        <v>37</v>
      </c>
      <c r="T8739" s="1" t="s">
        <v>14061</v>
      </c>
      <c r="U8739" s="1" t="str">
        <f>HYPERLINK("http://ictvonline.org/taxonomy/p/taxonomy-history?taxnode_id=202102017","ICTVonline=202102017")</f>
        <v>ICTVonline=202102017</v>
      </c>
    </row>
    <row r="8740" spans="1:21" x14ac:dyDescent="0.2">
      <c r="A8740" s="3">
        <v>8739</v>
      </c>
      <c r="B8740" s="1" t="s">
        <v>4226</v>
      </c>
      <c r="D8740" s="1" t="s">
        <v>5412</v>
      </c>
      <c r="F8740" s="1" t="s">
        <v>5637</v>
      </c>
      <c r="H8740" s="1" t="s">
        <v>5640</v>
      </c>
      <c r="J8740" s="1" t="s">
        <v>982</v>
      </c>
      <c r="L8740" s="1" t="s">
        <v>1024</v>
      </c>
      <c r="M8740" s="1" t="s">
        <v>13723</v>
      </c>
      <c r="N8740" s="1" t="s">
        <v>593</v>
      </c>
      <c r="P8740" s="1" t="s">
        <v>3251</v>
      </c>
      <c r="Q8740" s="30" t="s">
        <v>2567</v>
      </c>
      <c r="R8740" s="33" t="s">
        <v>3474</v>
      </c>
      <c r="S8740">
        <v>37</v>
      </c>
      <c r="T8740" s="1" t="s">
        <v>14061</v>
      </c>
      <c r="U8740" s="1" t="str">
        <f>HYPERLINK("http://ictvonline.org/taxonomy/p/taxonomy-history?taxnode_id=202102018","ICTVonline=202102018")</f>
        <v>ICTVonline=202102018</v>
      </c>
    </row>
    <row r="8741" spans="1:21" x14ac:dyDescent="0.2">
      <c r="A8741" s="3">
        <v>8740</v>
      </c>
      <c r="B8741" s="1" t="s">
        <v>4226</v>
      </c>
      <c r="D8741" s="1" t="s">
        <v>5412</v>
      </c>
      <c r="F8741" s="1" t="s">
        <v>5637</v>
      </c>
      <c r="H8741" s="1" t="s">
        <v>5640</v>
      </c>
      <c r="J8741" s="1" t="s">
        <v>982</v>
      </c>
      <c r="L8741" s="1" t="s">
        <v>1024</v>
      </c>
      <c r="M8741" s="1" t="s">
        <v>13723</v>
      </c>
      <c r="N8741" s="1" t="s">
        <v>593</v>
      </c>
      <c r="P8741" s="1" t="s">
        <v>3252</v>
      </c>
      <c r="Q8741" s="30" t="s">
        <v>2567</v>
      </c>
      <c r="R8741" s="33" t="s">
        <v>3474</v>
      </c>
      <c r="S8741">
        <v>37</v>
      </c>
      <c r="T8741" s="1" t="s">
        <v>14061</v>
      </c>
      <c r="U8741" s="1" t="str">
        <f>HYPERLINK("http://ictvonline.org/taxonomy/p/taxonomy-history?taxnode_id=202102019","ICTVonline=202102019")</f>
        <v>ICTVonline=202102019</v>
      </c>
    </row>
    <row r="8742" spans="1:21" x14ac:dyDescent="0.2">
      <c r="A8742" s="3">
        <v>8741</v>
      </c>
      <c r="B8742" s="1" t="s">
        <v>4226</v>
      </c>
      <c r="D8742" s="1" t="s">
        <v>5412</v>
      </c>
      <c r="F8742" s="1" t="s">
        <v>5637</v>
      </c>
      <c r="H8742" s="1" t="s">
        <v>5640</v>
      </c>
      <c r="J8742" s="1" t="s">
        <v>982</v>
      </c>
      <c r="L8742" s="1" t="s">
        <v>1024</v>
      </c>
      <c r="M8742" s="1" t="s">
        <v>13723</v>
      </c>
      <c r="N8742" s="1" t="s">
        <v>593</v>
      </c>
      <c r="P8742" s="1" t="s">
        <v>3253</v>
      </c>
      <c r="Q8742" s="30" t="s">
        <v>2567</v>
      </c>
      <c r="R8742" s="33" t="s">
        <v>3474</v>
      </c>
      <c r="S8742">
        <v>37</v>
      </c>
      <c r="T8742" s="1" t="s">
        <v>14061</v>
      </c>
      <c r="U8742" s="1" t="str">
        <f>HYPERLINK("http://ictvonline.org/taxonomy/p/taxonomy-history?taxnode_id=202102020","ICTVonline=202102020")</f>
        <v>ICTVonline=202102020</v>
      </c>
    </row>
    <row r="8743" spans="1:21" x14ac:dyDescent="0.2">
      <c r="A8743" s="3">
        <v>8742</v>
      </c>
      <c r="B8743" s="1" t="s">
        <v>4226</v>
      </c>
      <c r="D8743" s="1" t="s">
        <v>5412</v>
      </c>
      <c r="F8743" s="1" t="s">
        <v>5637</v>
      </c>
      <c r="H8743" s="1" t="s">
        <v>5640</v>
      </c>
      <c r="J8743" s="1" t="s">
        <v>982</v>
      </c>
      <c r="L8743" s="1" t="s">
        <v>1024</v>
      </c>
      <c r="M8743" s="1" t="s">
        <v>13723</v>
      </c>
      <c r="N8743" s="1" t="s">
        <v>4406</v>
      </c>
      <c r="P8743" s="1" t="s">
        <v>4407</v>
      </c>
      <c r="Q8743" s="30" t="s">
        <v>2567</v>
      </c>
      <c r="R8743" s="33" t="s">
        <v>3474</v>
      </c>
      <c r="S8743">
        <v>37</v>
      </c>
      <c r="T8743" s="1" t="s">
        <v>14061</v>
      </c>
      <c r="U8743" s="1" t="str">
        <f>HYPERLINK("http://ictvonline.org/taxonomy/p/taxonomy-history?taxnode_id=202106315","ICTVonline=202106315")</f>
        <v>ICTVonline=202106315</v>
      </c>
    </row>
    <row r="8744" spans="1:21" x14ac:dyDescent="0.2">
      <c r="A8744" s="3">
        <v>8743</v>
      </c>
      <c r="B8744" s="1" t="s">
        <v>4226</v>
      </c>
      <c r="D8744" s="1" t="s">
        <v>5412</v>
      </c>
      <c r="F8744" s="1" t="s">
        <v>5637</v>
      </c>
      <c r="H8744" s="1" t="s">
        <v>5640</v>
      </c>
      <c r="J8744" s="1" t="s">
        <v>982</v>
      </c>
      <c r="L8744" s="1" t="s">
        <v>1024</v>
      </c>
      <c r="M8744" s="1" t="s">
        <v>13723</v>
      </c>
      <c r="N8744" s="1" t="s">
        <v>5717</v>
      </c>
      <c r="P8744" s="1" t="s">
        <v>5718</v>
      </c>
      <c r="Q8744" s="30" t="s">
        <v>2567</v>
      </c>
      <c r="R8744" s="33" t="s">
        <v>3474</v>
      </c>
      <c r="S8744">
        <v>37</v>
      </c>
      <c r="T8744" s="1" t="s">
        <v>14061</v>
      </c>
      <c r="U8744" s="1" t="str">
        <f>HYPERLINK("http://ictvonline.org/taxonomy/p/taxonomy-history?taxnode_id=202107359","ICTVonline=202107359")</f>
        <v>ICTVonline=202107359</v>
      </c>
    </row>
    <row r="8745" spans="1:21" x14ac:dyDescent="0.2">
      <c r="A8745" s="3">
        <v>8744</v>
      </c>
      <c r="B8745" s="1" t="s">
        <v>4226</v>
      </c>
      <c r="D8745" s="1" t="s">
        <v>5412</v>
      </c>
      <c r="F8745" s="1" t="s">
        <v>5637</v>
      </c>
      <c r="H8745" s="1" t="s">
        <v>5640</v>
      </c>
      <c r="J8745" s="1" t="s">
        <v>982</v>
      </c>
      <c r="L8745" s="1" t="s">
        <v>1024</v>
      </c>
      <c r="M8745" s="1" t="s">
        <v>13723</v>
      </c>
      <c r="N8745" s="1" t="s">
        <v>2046</v>
      </c>
      <c r="P8745" s="1" t="s">
        <v>3610</v>
      </c>
      <c r="Q8745" s="30" t="s">
        <v>2567</v>
      </c>
      <c r="R8745" s="33" t="s">
        <v>3474</v>
      </c>
      <c r="S8745">
        <v>37</v>
      </c>
      <c r="T8745" s="1" t="s">
        <v>14061</v>
      </c>
      <c r="U8745" s="1" t="str">
        <f>HYPERLINK("http://ictvonline.org/taxonomy/p/taxonomy-history?taxnode_id=202102028","ICTVonline=202102028")</f>
        <v>ICTVonline=202102028</v>
      </c>
    </row>
    <row r="8746" spans="1:21" x14ac:dyDescent="0.2">
      <c r="A8746" s="3">
        <v>8745</v>
      </c>
      <c r="B8746" s="1" t="s">
        <v>4226</v>
      </c>
      <c r="D8746" s="1" t="s">
        <v>5412</v>
      </c>
      <c r="F8746" s="1" t="s">
        <v>5637</v>
      </c>
      <c r="H8746" s="1" t="s">
        <v>5640</v>
      </c>
      <c r="J8746" s="1" t="s">
        <v>982</v>
      </c>
      <c r="L8746" s="1" t="s">
        <v>1024</v>
      </c>
      <c r="M8746" s="1" t="s">
        <v>13723</v>
      </c>
      <c r="N8746" s="1" t="s">
        <v>2046</v>
      </c>
      <c r="P8746" s="1" t="s">
        <v>3611</v>
      </c>
      <c r="Q8746" s="30" t="s">
        <v>2567</v>
      </c>
      <c r="R8746" s="33" t="s">
        <v>3474</v>
      </c>
      <c r="S8746">
        <v>37</v>
      </c>
      <c r="T8746" s="1" t="s">
        <v>14061</v>
      </c>
      <c r="U8746" s="1" t="str">
        <f>HYPERLINK("http://ictvonline.org/taxonomy/p/taxonomy-history?taxnode_id=202105600","ICTVonline=202105600")</f>
        <v>ICTVonline=202105600</v>
      </c>
    </row>
    <row r="8747" spans="1:21" x14ac:dyDescent="0.2">
      <c r="A8747" s="3">
        <v>8746</v>
      </c>
      <c r="B8747" s="1" t="s">
        <v>4226</v>
      </c>
      <c r="D8747" s="1" t="s">
        <v>5412</v>
      </c>
      <c r="F8747" s="1" t="s">
        <v>5637</v>
      </c>
      <c r="H8747" s="1" t="s">
        <v>5640</v>
      </c>
      <c r="J8747" s="1" t="s">
        <v>982</v>
      </c>
      <c r="L8747" s="1" t="s">
        <v>1024</v>
      </c>
      <c r="M8747" s="1" t="s">
        <v>13723</v>
      </c>
      <c r="N8747" s="1" t="s">
        <v>2046</v>
      </c>
      <c r="P8747" s="1" t="s">
        <v>3612</v>
      </c>
      <c r="Q8747" s="30" t="s">
        <v>2567</v>
      </c>
      <c r="R8747" s="33" t="s">
        <v>3474</v>
      </c>
      <c r="S8747">
        <v>37</v>
      </c>
      <c r="T8747" s="1" t="s">
        <v>14061</v>
      </c>
      <c r="U8747" s="1" t="str">
        <f>HYPERLINK("http://ictvonline.org/taxonomy/p/taxonomy-history?taxnode_id=202105601","ICTVonline=202105601")</f>
        <v>ICTVonline=202105601</v>
      </c>
    </row>
    <row r="8748" spans="1:21" x14ac:dyDescent="0.2">
      <c r="A8748" s="3">
        <v>8747</v>
      </c>
      <c r="B8748" s="1" t="s">
        <v>4226</v>
      </c>
      <c r="D8748" s="1" t="s">
        <v>5412</v>
      </c>
      <c r="F8748" s="1" t="s">
        <v>5637</v>
      </c>
      <c r="H8748" s="1" t="s">
        <v>5640</v>
      </c>
      <c r="J8748" s="1" t="s">
        <v>982</v>
      </c>
      <c r="L8748" s="1" t="s">
        <v>1024</v>
      </c>
      <c r="M8748" s="1" t="s">
        <v>13723</v>
      </c>
      <c r="N8748" s="1" t="s">
        <v>2046</v>
      </c>
      <c r="P8748" s="1" t="s">
        <v>3613</v>
      </c>
      <c r="Q8748" s="30" t="s">
        <v>2567</v>
      </c>
      <c r="R8748" s="33" t="s">
        <v>3474</v>
      </c>
      <c r="S8748">
        <v>37</v>
      </c>
      <c r="T8748" s="1" t="s">
        <v>14061</v>
      </c>
      <c r="U8748" s="1" t="str">
        <f>HYPERLINK("http://ictvonline.org/taxonomy/p/taxonomy-history?taxnode_id=202105602","ICTVonline=202105602")</f>
        <v>ICTVonline=202105602</v>
      </c>
    </row>
    <row r="8749" spans="1:21" x14ac:dyDescent="0.2">
      <c r="A8749" s="3">
        <v>8748</v>
      </c>
      <c r="B8749" s="1" t="s">
        <v>4226</v>
      </c>
      <c r="D8749" s="1" t="s">
        <v>5412</v>
      </c>
      <c r="F8749" s="1" t="s">
        <v>5637</v>
      </c>
      <c r="H8749" s="1" t="s">
        <v>5640</v>
      </c>
      <c r="J8749" s="1" t="s">
        <v>982</v>
      </c>
      <c r="L8749" s="1" t="s">
        <v>1024</v>
      </c>
      <c r="M8749" s="1" t="s">
        <v>13723</v>
      </c>
      <c r="N8749" s="1" t="s">
        <v>2046</v>
      </c>
      <c r="P8749" s="1" t="s">
        <v>3614</v>
      </c>
      <c r="Q8749" s="30" t="s">
        <v>2567</v>
      </c>
      <c r="R8749" s="33" t="s">
        <v>3474</v>
      </c>
      <c r="S8749">
        <v>37</v>
      </c>
      <c r="T8749" s="1" t="s">
        <v>14061</v>
      </c>
      <c r="U8749" s="1" t="str">
        <f>HYPERLINK("http://ictvonline.org/taxonomy/p/taxonomy-history?taxnode_id=202105603","ICTVonline=202105603")</f>
        <v>ICTVonline=202105603</v>
      </c>
    </row>
    <row r="8750" spans="1:21" x14ac:dyDescent="0.2">
      <c r="A8750" s="3">
        <v>8749</v>
      </c>
      <c r="B8750" s="1" t="s">
        <v>4226</v>
      </c>
      <c r="D8750" s="1" t="s">
        <v>5412</v>
      </c>
      <c r="F8750" s="1" t="s">
        <v>5637</v>
      </c>
      <c r="H8750" s="1" t="s">
        <v>5640</v>
      </c>
      <c r="J8750" s="1" t="s">
        <v>982</v>
      </c>
      <c r="L8750" s="1" t="s">
        <v>1024</v>
      </c>
      <c r="M8750" s="1" t="s">
        <v>13723</v>
      </c>
      <c r="N8750" s="1" t="s">
        <v>5722</v>
      </c>
      <c r="P8750" s="1" t="s">
        <v>5723</v>
      </c>
      <c r="Q8750" s="30" t="s">
        <v>2567</v>
      </c>
      <c r="R8750" s="33" t="s">
        <v>3474</v>
      </c>
      <c r="S8750">
        <v>37</v>
      </c>
      <c r="T8750" s="1" t="s">
        <v>14061</v>
      </c>
      <c r="U8750" s="1" t="str">
        <f>HYPERLINK("http://ictvonline.org/taxonomy/p/taxonomy-history?taxnode_id=202107300","ICTVonline=202107300")</f>
        <v>ICTVonline=202107300</v>
      </c>
    </row>
    <row r="8751" spans="1:21" x14ac:dyDescent="0.2">
      <c r="A8751" s="3">
        <v>8750</v>
      </c>
      <c r="B8751" s="1" t="s">
        <v>4226</v>
      </c>
      <c r="D8751" s="1" t="s">
        <v>5412</v>
      </c>
      <c r="F8751" s="1" t="s">
        <v>5637</v>
      </c>
      <c r="H8751" s="1" t="s">
        <v>5640</v>
      </c>
      <c r="J8751" s="1" t="s">
        <v>982</v>
      </c>
      <c r="L8751" s="1" t="s">
        <v>1024</v>
      </c>
      <c r="M8751" s="1" t="s">
        <v>13723</v>
      </c>
      <c r="N8751" s="1" t="s">
        <v>2158</v>
      </c>
      <c r="P8751" s="1" t="s">
        <v>2159</v>
      </c>
      <c r="Q8751" s="30" t="s">
        <v>2567</v>
      </c>
      <c r="R8751" s="33" t="s">
        <v>3474</v>
      </c>
      <c r="S8751">
        <v>37</v>
      </c>
      <c r="T8751" s="1" t="s">
        <v>14061</v>
      </c>
      <c r="U8751" s="1" t="str">
        <f>HYPERLINK("http://ictvonline.org/taxonomy/p/taxonomy-history?taxnode_id=202102036","ICTVonline=202102036")</f>
        <v>ICTVonline=202102036</v>
      </c>
    </row>
    <row r="8752" spans="1:21" x14ac:dyDescent="0.2">
      <c r="A8752" s="3">
        <v>8751</v>
      </c>
      <c r="B8752" s="1" t="s">
        <v>4226</v>
      </c>
      <c r="D8752" s="1" t="s">
        <v>5412</v>
      </c>
      <c r="F8752" s="1" t="s">
        <v>5637</v>
      </c>
      <c r="H8752" s="1" t="s">
        <v>5640</v>
      </c>
      <c r="J8752" s="1" t="s">
        <v>982</v>
      </c>
      <c r="L8752" s="1" t="s">
        <v>1024</v>
      </c>
      <c r="M8752" s="1" t="s">
        <v>13723</v>
      </c>
      <c r="N8752" s="1" t="s">
        <v>2162</v>
      </c>
      <c r="P8752" s="1" t="s">
        <v>2163</v>
      </c>
      <c r="Q8752" s="30" t="s">
        <v>2567</v>
      </c>
      <c r="R8752" s="33" t="s">
        <v>3474</v>
      </c>
      <c r="S8752">
        <v>37</v>
      </c>
      <c r="T8752" s="1" t="s">
        <v>14061</v>
      </c>
      <c r="U8752" s="1" t="str">
        <f>HYPERLINK("http://ictvonline.org/taxonomy/p/taxonomy-history?taxnode_id=202102045","ICTVonline=202102045")</f>
        <v>ICTVonline=202102045</v>
      </c>
    </row>
    <row r="8753" spans="1:21" x14ac:dyDescent="0.2">
      <c r="A8753" s="3">
        <v>8752</v>
      </c>
      <c r="B8753" s="1" t="s">
        <v>4226</v>
      </c>
      <c r="D8753" s="1" t="s">
        <v>5412</v>
      </c>
      <c r="F8753" s="1" t="s">
        <v>5637</v>
      </c>
      <c r="H8753" s="1" t="s">
        <v>5640</v>
      </c>
      <c r="J8753" s="1" t="s">
        <v>982</v>
      </c>
      <c r="L8753" s="1" t="s">
        <v>1024</v>
      </c>
      <c r="M8753" s="1" t="s">
        <v>13723</v>
      </c>
      <c r="N8753" s="1" t="s">
        <v>2162</v>
      </c>
      <c r="P8753" s="1" t="s">
        <v>4412</v>
      </c>
      <c r="Q8753" s="30" t="s">
        <v>2567</v>
      </c>
      <c r="R8753" s="33" t="s">
        <v>3474</v>
      </c>
      <c r="S8753">
        <v>37</v>
      </c>
      <c r="T8753" s="1" t="s">
        <v>14061</v>
      </c>
      <c r="U8753" s="1" t="str">
        <f>HYPERLINK("http://ictvonline.org/taxonomy/p/taxonomy-history?taxnode_id=202106340","ICTVonline=202106340")</f>
        <v>ICTVonline=202106340</v>
      </c>
    </row>
    <row r="8754" spans="1:21" x14ac:dyDescent="0.2">
      <c r="A8754" s="3">
        <v>8753</v>
      </c>
      <c r="B8754" s="1" t="s">
        <v>4226</v>
      </c>
      <c r="D8754" s="1" t="s">
        <v>5412</v>
      </c>
      <c r="F8754" s="1" t="s">
        <v>5637</v>
      </c>
      <c r="H8754" s="1" t="s">
        <v>5640</v>
      </c>
      <c r="J8754" s="1" t="s">
        <v>982</v>
      </c>
      <c r="L8754" s="1" t="s">
        <v>1024</v>
      </c>
      <c r="M8754" s="1" t="s">
        <v>13723</v>
      </c>
      <c r="N8754" s="1" t="s">
        <v>5730</v>
      </c>
      <c r="P8754" s="1" t="s">
        <v>5731</v>
      </c>
      <c r="Q8754" s="30" t="s">
        <v>2567</v>
      </c>
      <c r="R8754" s="33" t="s">
        <v>3474</v>
      </c>
      <c r="S8754">
        <v>37</v>
      </c>
      <c r="T8754" s="1" t="s">
        <v>14061</v>
      </c>
      <c r="U8754" s="1" t="str">
        <f>HYPERLINK("http://ictvonline.org/taxonomy/p/taxonomy-history?taxnode_id=202107302","ICTVonline=202107302")</f>
        <v>ICTVonline=202107302</v>
      </c>
    </row>
    <row r="8755" spans="1:21" x14ac:dyDescent="0.2">
      <c r="A8755" s="3">
        <v>8754</v>
      </c>
      <c r="B8755" s="1" t="s">
        <v>4226</v>
      </c>
      <c r="D8755" s="1" t="s">
        <v>5412</v>
      </c>
      <c r="F8755" s="1" t="s">
        <v>5637</v>
      </c>
      <c r="H8755" s="1" t="s">
        <v>5640</v>
      </c>
      <c r="J8755" s="1" t="s">
        <v>982</v>
      </c>
      <c r="L8755" s="1" t="s">
        <v>1024</v>
      </c>
      <c r="M8755" s="1" t="s">
        <v>13723</v>
      </c>
      <c r="N8755" s="1" t="s">
        <v>5730</v>
      </c>
      <c r="P8755" s="1" t="s">
        <v>8328</v>
      </c>
      <c r="Q8755" s="30" t="s">
        <v>2567</v>
      </c>
      <c r="R8755" s="33" t="s">
        <v>3474</v>
      </c>
      <c r="S8755">
        <v>37</v>
      </c>
      <c r="T8755" s="1" t="s">
        <v>14061</v>
      </c>
      <c r="U8755" s="1" t="str">
        <f>HYPERLINK("http://ictvonline.org/taxonomy/p/taxonomy-history?taxnode_id=202109182","ICTVonline=202109182")</f>
        <v>ICTVonline=202109182</v>
      </c>
    </row>
    <row r="8756" spans="1:21" x14ac:dyDescent="0.2">
      <c r="A8756" s="3">
        <v>8755</v>
      </c>
      <c r="B8756" s="1" t="s">
        <v>4226</v>
      </c>
      <c r="D8756" s="1" t="s">
        <v>5412</v>
      </c>
      <c r="F8756" s="1" t="s">
        <v>5637</v>
      </c>
      <c r="H8756" s="1" t="s">
        <v>5640</v>
      </c>
      <c r="J8756" s="1" t="s">
        <v>982</v>
      </c>
      <c r="L8756" s="1" t="s">
        <v>1024</v>
      </c>
      <c r="M8756" s="1" t="s">
        <v>13723</v>
      </c>
      <c r="N8756" s="1" t="s">
        <v>4413</v>
      </c>
      <c r="P8756" s="1" t="s">
        <v>4414</v>
      </c>
      <c r="Q8756" s="30" t="s">
        <v>2567</v>
      </c>
      <c r="R8756" s="33" t="s">
        <v>3474</v>
      </c>
      <c r="S8756">
        <v>37</v>
      </c>
      <c r="T8756" s="1" t="s">
        <v>14061</v>
      </c>
      <c r="U8756" s="1" t="str">
        <f>HYPERLINK("http://ictvonline.org/taxonomy/p/taxonomy-history?taxnode_id=202106392","ICTVonline=202106392")</f>
        <v>ICTVonline=202106392</v>
      </c>
    </row>
    <row r="8757" spans="1:21" x14ac:dyDescent="0.2">
      <c r="A8757" s="3">
        <v>8756</v>
      </c>
      <c r="B8757" s="1" t="s">
        <v>4226</v>
      </c>
      <c r="D8757" s="1" t="s">
        <v>5412</v>
      </c>
      <c r="F8757" s="1" t="s">
        <v>5637</v>
      </c>
      <c r="H8757" s="1" t="s">
        <v>5640</v>
      </c>
      <c r="J8757" s="1" t="s">
        <v>982</v>
      </c>
      <c r="L8757" s="1" t="s">
        <v>1024</v>
      </c>
      <c r="M8757" s="1" t="s">
        <v>13723</v>
      </c>
      <c r="N8757" s="1" t="s">
        <v>8329</v>
      </c>
      <c r="P8757" s="1" t="s">
        <v>8330</v>
      </c>
      <c r="Q8757" s="30" t="s">
        <v>2567</v>
      </c>
      <c r="R8757" s="33" t="s">
        <v>3474</v>
      </c>
      <c r="S8757">
        <v>37</v>
      </c>
      <c r="T8757" s="1" t="s">
        <v>14061</v>
      </c>
      <c r="U8757" s="1" t="str">
        <f>HYPERLINK("http://ictvonline.org/taxonomy/p/taxonomy-history?taxnode_id=202108808","ICTVonline=202108808")</f>
        <v>ICTVonline=202108808</v>
      </c>
    </row>
    <row r="8758" spans="1:21" x14ac:dyDescent="0.2">
      <c r="A8758" s="3">
        <v>8757</v>
      </c>
      <c r="B8758" s="1" t="s">
        <v>4226</v>
      </c>
      <c r="D8758" s="1" t="s">
        <v>5412</v>
      </c>
      <c r="F8758" s="1" t="s">
        <v>5637</v>
      </c>
      <c r="H8758" s="1" t="s">
        <v>5640</v>
      </c>
      <c r="J8758" s="1" t="s">
        <v>982</v>
      </c>
      <c r="L8758" s="1" t="s">
        <v>1024</v>
      </c>
      <c r="M8758" s="1" t="s">
        <v>13723</v>
      </c>
      <c r="N8758" s="1" t="s">
        <v>4418</v>
      </c>
      <c r="P8758" s="1" t="s">
        <v>4419</v>
      </c>
      <c r="Q8758" s="30" t="s">
        <v>2567</v>
      </c>
      <c r="R8758" s="33" t="s">
        <v>3474</v>
      </c>
      <c r="S8758">
        <v>37</v>
      </c>
      <c r="T8758" s="1" t="s">
        <v>14061</v>
      </c>
      <c r="U8758" s="1" t="str">
        <f>HYPERLINK("http://ictvonline.org/taxonomy/p/taxonomy-history?taxnode_id=202106441","ICTVonline=202106441")</f>
        <v>ICTVonline=202106441</v>
      </c>
    </row>
    <row r="8759" spans="1:21" x14ac:dyDescent="0.2">
      <c r="A8759" s="3">
        <v>8758</v>
      </c>
      <c r="B8759" s="1" t="s">
        <v>4226</v>
      </c>
      <c r="D8759" s="1" t="s">
        <v>5412</v>
      </c>
      <c r="F8759" s="1" t="s">
        <v>5637</v>
      </c>
      <c r="H8759" s="1" t="s">
        <v>5640</v>
      </c>
      <c r="J8759" s="1" t="s">
        <v>982</v>
      </c>
      <c r="L8759" s="1" t="s">
        <v>1024</v>
      </c>
      <c r="M8759" s="1" t="s">
        <v>13723</v>
      </c>
      <c r="N8759" s="1" t="s">
        <v>4418</v>
      </c>
      <c r="P8759" s="1" t="s">
        <v>4420</v>
      </c>
      <c r="Q8759" s="30" t="s">
        <v>2567</v>
      </c>
      <c r="R8759" s="33" t="s">
        <v>3474</v>
      </c>
      <c r="S8759">
        <v>37</v>
      </c>
      <c r="T8759" s="1" t="s">
        <v>14061</v>
      </c>
      <c r="U8759" s="1" t="str">
        <f>HYPERLINK("http://ictvonline.org/taxonomy/p/taxonomy-history?taxnode_id=202106442","ICTVonline=202106442")</f>
        <v>ICTVonline=202106442</v>
      </c>
    </row>
    <row r="8760" spans="1:21" x14ac:dyDescent="0.2">
      <c r="A8760" s="3">
        <v>8759</v>
      </c>
      <c r="B8760" s="1" t="s">
        <v>4226</v>
      </c>
      <c r="D8760" s="1" t="s">
        <v>5412</v>
      </c>
      <c r="F8760" s="1" t="s">
        <v>5637</v>
      </c>
      <c r="H8760" s="1" t="s">
        <v>5640</v>
      </c>
      <c r="J8760" s="1" t="s">
        <v>982</v>
      </c>
      <c r="L8760" s="1" t="s">
        <v>1024</v>
      </c>
      <c r="M8760" s="1" t="s">
        <v>13723</v>
      </c>
      <c r="N8760" s="1" t="s">
        <v>4418</v>
      </c>
      <c r="P8760" s="1" t="s">
        <v>5733</v>
      </c>
      <c r="Q8760" s="30" t="s">
        <v>2567</v>
      </c>
      <c r="R8760" s="33" t="s">
        <v>3474</v>
      </c>
      <c r="S8760">
        <v>37</v>
      </c>
      <c r="T8760" s="1" t="s">
        <v>14061</v>
      </c>
      <c r="U8760" s="1" t="str">
        <f>HYPERLINK("http://ictvonline.org/taxonomy/p/taxonomy-history?taxnode_id=202107439","ICTVonline=202107439")</f>
        <v>ICTVonline=202107439</v>
      </c>
    </row>
    <row r="8761" spans="1:21" x14ac:dyDescent="0.2">
      <c r="A8761" s="3">
        <v>8760</v>
      </c>
      <c r="B8761" s="1" t="s">
        <v>4226</v>
      </c>
      <c r="D8761" s="1" t="s">
        <v>5412</v>
      </c>
      <c r="F8761" s="1" t="s">
        <v>5637</v>
      </c>
      <c r="H8761" s="1" t="s">
        <v>5640</v>
      </c>
      <c r="J8761" s="1" t="s">
        <v>982</v>
      </c>
      <c r="L8761" s="1" t="s">
        <v>1024</v>
      </c>
      <c r="M8761" s="1" t="s">
        <v>13723</v>
      </c>
      <c r="N8761" s="1" t="s">
        <v>8331</v>
      </c>
      <c r="P8761" s="1" t="s">
        <v>8332</v>
      </c>
      <c r="Q8761" s="30" t="s">
        <v>2567</v>
      </c>
      <c r="R8761" s="33" t="s">
        <v>3474</v>
      </c>
      <c r="S8761">
        <v>37</v>
      </c>
      <c r="T8761" s="1" t="s">
        <v>14061</v>
      </c>
      <c r="U8761" s="1" t="str">
        <f>HYPERLINK("http://ictvonline.org/taxonomy/p/taxonomy-history?taxnode_id=202108810","ICTVonline=202108810")</f>
        <v>ICTVonline=202108810</v>
      </c>
    </row>
    <row r="8762" spans="1:21" x14ac:dyDescent="0.2">
      <c r="A8762" s="3">
        <v>8761</v>
      </c>
      <c r="B8762" s="1" t="s">
        <v>4226</v>
      </c>
      <c r="D8762" s="1" t="s">
        <v>5412</v>
      </c>
      <c r="F8762" s="1" t="s">
        <v>5637</v>
      </c>
      <c r="H8762" s="1" t="s">
        <v>5640</v>
      </c>
      <c r="J8762" s="1" t="s">
        <v>982</v>
      </c>
      <c r="L8762" s="1" t="s">
        <v>1024</v>
      </c>
      <c r="M8762" s="1" t="s">
        <v>13723</v>
      </c>
      <c r="N8762" s="1" t="s">
        <v>2164</v>
      </c>
      <c r="P8762" s="1" t="s">
        <v>2165</v>
      </c>
      <c r="Q8762" s="30" t="s">
        <v>2567</v>
      </c>
      <c r="R8762" s="33" t="s">
        <v>3474</v>
      </c>
      <c r="S8762">
        <v>37</v>
      </c>
      <c r="T8762" s="1" t="s">
        <v>14061</v>
      </c>
      <c r="U8762" s="1" t="str">
        <f>HYPERLINK("http://ictvonline.org/taxonomy/p/taxonomy-history?taxnode_id=202102051","ICTVonline=202102051")</f>
        <v>ICTVonline=202102051</v>
      </c>
    </row>
    <row r="8763" spans="1:21" x14ac:dyDescent="0.2">
      <c r="A8763" s="3">
        <v>8762</v>
      </c>
      <c r="B8763" s="1" t="s">
        <v>4226</v>
      </c>
      <c r="D8763" s="1" t="s">
        <v>5412</v>
      </c>
      <c r="F8763" s="1" t="s">
        <v>5637</v>
      </c>
      <c r="H8763" s="1" t="s">
        <v>5640</v>
      </c>
      <c r="J8763" s="1" t="s">
        <v>982</v>
      </c>
      <c r="L8763" s="1" t="s">
        <v>1024</v>
      </c>
      <c r="M8763" s="1" t="s">
        <v>13723</v>
      </c>
      <c r="N8763" s="1" t="s">
        <v>2164</v>
      </c>
      <c r="P8763" s="1" t="s">
        <v>4421</v>
      </c>
      <c r="Q8763" s="30" t="s">
        <v>2567</v>
      </c>
      <c r="R8763" s="33" t="s">
        <v>3474</v>
      </c>
      <c r="S8763">
        <v>37</v>
      </c>
      <c r="T8763" s="1" t="s">
        <v>14061</v>
      </c>
      <c r="U8763" s="1" t="str">
        <f>HYPERLINK("http://ictvonline.org/taxonomy/p/taxonomy-history?taxnode_id=202106477","ICTVonline=202106477")</f>
        <v>ICTVonline=202106477</v>
      </c>
    </row>
    <row r="8764" spans="1:21" x14ac:dyDescent="0.2">
      <c r="A8764" s="3">
        <v>8763</v>
      </c>
      <c r="B8764" s="1" t="s">
        <v>4226</v>
      </c>
      <c r="D8764" s="1" t="s">
        <v>5412</v>
      </c>
      <c r="F8764" s="1" t="s">
        <v>5637</v>
      </c>
      <c r="H8764" s="1" t="s">
        <v>5640</v>
      </c>
      <c r="J8764" s="1" t="s">
        <v>982</v>
      </c>
      <c r="L8764" s="1" t="s">
        <v>1024</v>
      </c>
      <c r="M8764" s="1" t="s">
        <v>13723</v>
      </c>
      <c r="N8764" s="1" t="s">
        <v>2164</v>
      </c>
      <c r="P8764" s="1" t="s">
        <v>4422</v>
      </c>
      <c r="Q8764" s="30" t="s">
        <v>2567</v>
      </c>
      <c r="R8764" s="33" t="s">
        <v>3474</v>
      </c>
      <c r="S8764">
        <v>37</v>
      </c>
      <c r="T8764" s="1" t="s">
        <v>14061</v>
      </c>
      <c r="U8764" s="1" t="str">
        <f>HYPERLINK("http://ictvonline.org/taxonomy/p/taxonomy-history?taxnode_id=202106478","ICTVonline=202106478")</f>
        <v>ICTVonline=202106478</v>
      </c>
    </row>
    <row r="8765" spans="1:21" x14ac:dyDescent="0.2">
      <c r="A8765" s="3">
        <v>8764</v>
      </c>
      <c r="B8765" s="1" t="s">
        <v>4226</v>
      </c>
      <c r="D8765" s="1" t="s">
        <v>5412</v>
      </c>
      <c r="F8765" s="1" t="s">
        <v>5637</v>
      </c>
      <c r="H8765" s="1" t="s">
        <v>5640</v>
      </c>
      <c r="J8765" s="1" t="s">
        <v>982</v>
      </c>
      <c r="L8765" s="1" t="s">
        <v>1024</v>
      </c>
      <c r="M8765" s="1" t="s">
        <v>13723</v>
      </c>
      <c r="N8765" s="1" t="s">
        <v>2469</v>
      </c>
      <c r="P8765" s="1" t="s">
        <v>2470</v>
      </c>
      <c r="Q8765" s="30" t="s">
        <v>2567</v>
      </c>
      <c r="R8765" s="33" t="s">
        <v>3474</v>
      </c>
      <c r="S8765">
        <v>37</v>
      </c>
      <c r="T8765" s="1" t="s">
        <v>14061</v>
      </c>
      <c r="U8765" s="1" t="str">
        <f>HYPERLINK("http://ictvonline.org/taxonomy/p/taxonomy-history?taxnode_id=202102053","ICTVonline=202102053")</f>
        <v>ICTVonline=202102053</v>
      </c>
    </row>
    <row r="8766" spans="1:21" x14ac:dyDescent="0.2">
      <c r="A8766" s="3">
        <v>8765</v>
      </c>
      <c r="B8766" s="1" t="s">
        <v>4226</v>
      </c>
      <c r="D8766" s="1" t="s">
        <v>5412</v>
      </c>
      <c r="F8766" s="1" t="s">
        <v>5637</v>
      </c>
      <c r="H8766" s="1" t="s">
        <v>5640</v>
      </c>
      <c r="J8766" s="1" t="s">
        <v>982</v>
      </c>
      <c r="L8766" s="1" t="s">
        <v>1024</v>
      </c>
      <c r="M8766" s="1" t="s">
        <v>13723</v>
      </c>
      <c r="N8766" s="1" t="s">
        <v>2047</v>
      </c>
      <c r="P8766" s="1" t="s">
        <v>2048</v>
      </c>
      <c r="Q8766" s="30" t="s">
        <v>2567</v>
      </c>
      <c r="R8766" s="33" t="s">
        <v>3474</v>
      </c>
      <c r="S8766">
        <v>37</v>
      </c>
      <c r="T8766" s="1" t="s">
        <v>14061</v>
      </c>
      <c r="U8766" s="1" t="str">
        <f>HYPERLINK("http://ictvonline.org/taxonomy/p/taxonomy-history?taxnode_id=202102055","ICTVonline=202102055")</f>
        <v>ICTVonline=202102055</v>
      </c>
    </row>
    <row r="8767" spans="1:21" x14ac:dyDescent="0.2">
      <c r="A8767" s="3">
        <v>8766</v>
      </c>
      <c r="B8767" s="1" t="s">
        <v>4226</v>
      </c>
      <c r="D8767" s="1" t="s">
        <v>5412</v>
      </c>
      <c r="F8767" s="1" t="s">
        <v>5637</v>
      </c>
      <c r="H8767" s="1" t="s">
        <v>5640</v>
      </c>
      <c r="J8767" s="1" t="s">
        <v>982</v>
      </c>
      <c r="L8767" s="1" t="s">
        <v>1024</v>
      </c>
      <c r="M8767" s="1" t="s">
        <v>13723</v>
      </c>
      <c r="N8767" s="1" t="s">
        <v>2474</v>
      </c>
      <c r="P8767" s="1" t="s">
        <v>2475</v>
      </c>
      <c r="Q8767" s="30" t="s">
        <v>2567</v>
      </c>
      <c r="R8767" s="33" t="s">
        <v>3474</v>
      </c>
      <c r="S8767">
        <v>37</v>
      </c>
      <c r="T8767" s="1" t="s">
        <v>14061</v>
      </c>
      <c r="U8767" s="1" t="str">
        <f>HYPERLINK("http://ictvonline.org/taxonomy/p/taxonomy-history?taxnode_id=202102063","ICTVonline=202102063")</f>
        <v>ICTVonline=202102063</v>
      </c>
    </row>
    <row r="8768" spans="1:21" x14ac:dyDescent="0.2">
      <c r="A8768" s="3">
        <v>8767</v>
      </c>
      <c r="B8768" s="1" t="s">
        <v>4226</v>
      </c>
      <c r="D8768" s="1" t="s">
        <v>5412</v>
      </c>
      <c r="F8768" s="1" t="s">
        <v>5637</v>
      </c>
      <c r="H8768" s="1" t="s">
        <v>5640</v>
      </c>
      <c r="J8768" s="1" t="s">
        <v>982</v>
      </c>
      <c r="L8768" s="1" t="s">
        <v>1024</v>
      </c>
      <c r="M8768" s="1" t="s">
        <v>13723</v>
      </c>
      <c r="N8768" s="1" t="s">
        <v>5736</v>
      </c>
      <c r="P8768" s="1" t="s">
        <v>5737</v>
      </c>
      <c r="Q8768" s="30" t="s">
        <v>2567</v>
      </c>
      <c r="R8768" s="33" t="s">
        <v>3474</v>
      </c>
      <c r="S8768">
        <v>37</v>
      </c>
      <c r="T8768" s="1" t="s">
        <v>14061</v>
      </c>
      <c r="U8768" s="1" t="str">
        <f>HYPERLINK("http://ictvonline.org/taxonomy/p/taxonomy-history?taxnode_id=202107304","ICTVonline=202107304")</f>
        <v>ICTVonline=202107304</v>
      </c>
    </row>
    <row r="8769" spans="1:21" x14ac:dyDescent="0.2">
      <c r="A8769" s="3">
        <v>8768</v>
      </c>
      <c r="B8769" s="1" t="s">
        <v>4226</v>
      </c>
      <c r="D8769" s="1" t="s">
        <v>5412</v>
      </c>
      <c r="F8769" s="1" t="s">
        <v>5637</v>
      </c>
      <c r="H8769" s="1" t="s">
        <v>5640</v>
      </c>
      <c r="J8769" s="1" t="s">
        <v>982</v>
      </c>
      <c r="L8769" s="1" t="s">
        <v>1024</v>
      </c>
      <c r="M8769" s="1" t="s">
        <v>13723</v>
      </c>
      <c r="N8769" s="1" t="s">
        <v>5740</v>
      </c>
      <c r="P8769" s="1" t="s">
        <v>5741</v>
      </c>
      <c r="Q8769" s="30" t="s">
        <v>2567</v>
      </c>
      <c r="R8769" s="33" t="s">
        <v>3474</v>
      </c>
      <c r="S8769">
        <v>37</v>
      </c>
      <c r="T8769" s="1" t="s">
        <v>14061</v>
      </c>
      <c r="U8769" s="1" t="str">
        <f>HYPERLINK("http://ictvonline.org/taxonomy/p/taxonomy-history?taxnode_id=202107306","ICTVonline=202107306")</f>
        <v>ICTVonline=202107306</v>
      </c>
    </row>
    <row r="8770" spans="1:21" x14ac:dyDescent="0.2">
      <c r="A8770" s="3">
        <v>8769</v>
      </c>
      <c r="B8770" s="1" t="s">
        <v>4226</v>
      </c>
      <c r="D8770" s="1" t="s">
        <v>5412</v>
      </c>
      <c r="F8770" s="1" t="s">
        <v>5637</v>
      </c>
      <c r="H8770" s="1" t="s">
        <v>5640</v>
      </c>
      <c r="J8770" s="1" t="s">
        <v>982</v>
      </c>
      <c r="L8770" s="1" t="s">
        <v>1024</v>
      </c>
      <c r="M8770" s="1" t="s">
        <v>13723</v>
      </c>
      <c r="N8770" s="1" t="s">
        <v>5740</v>
      </c>
      <c r="P8770" s="1" t="s">
        <v>8333</v>
      </c>
      <c r="Q8770" s="30" t="s">
        <v>2567</v>
      </c>
      <c r="R8770" s="33" t="s">
        <v>3474</v>
      </c>
      <c r="S8770">
        <v>37</v>
      </c>
      <c r="T8770" s="1" t="s">
        <v>14061</v>
      </c>
      <c r="U8770" s="1" t="str">
        <f>HYPERLINK("http://ictvonline.org/taxonomy/p/taxonomy-history?taxnode_id=202109248","ICTVonline=202109248")</f>
        <v>ICTVonline=202109248</v>
      </c>
    </row>
    <row r="8771" spans="1:21" x14ac:dyDescent="0.2">
      <c r="A8771" s="3">
        <v>8770</v>
      </c>
      <c r="B8771" s="1" t="s">
        <v>4226</v>
      </c>
      <c r="D8771" s="1" t="s">
        <v>5412</v>
      </c>
      <c r="F8771" s="1" t="s">
        <v>5637</v>
      </c>
      <c r="H8771" s="1" t="s">
        <v>5640</v>
      </c>
      <c r="J8771" s="1" t="s">
        <v>982</v>
      </c>
      <c r="L8771" s="1" t="s">
        <v>1024</v>
      </c>
      <c r="M8771" s="1" t="s">
        <v>13724</v>
      </c>
      <c r="N8771" s="1" t="s">
        <v>3599</v>
      </c>
      <c r="P8771" s="1" t="s">
        <v>3600</v>
      </c>
      <c r="Q8771" s="30" t="s">
        <v>2567</v>
      </c>
      <c r="R8771" s="33" t="s">
        <v>3474</v>
      </c>
      <c r="S8771">
        <v>37</v>
      </c>
      <c r="T8771" s="1" t="s">
        <v>14061</v>
      </c>
      <c r="U8771" s="1" t="str">
        <f>HYPERLINK("http://ictvonline.org/taxonomy/p/taxonomy-history?taxnode_id=202105589","ICTVonline=202105589")</f>
        <v>ICTVonline=202105589</v>
      </c>
    </row>
    <row r="8772" spans="1:21" x14ac:dyDescent="0.2">
      <c r="A8772" s="3">
        <v>8771</v>
      </c>
      <c r="B8772" s="1" t="s">
        <v>4226</v>
      </c>
      <c r="D8772" s="1" t="s">
        <v>5412</v>
      </c>
      <c r="F8772" s="1" t="s">
        <v>5637</v>
      </c>
      <c r="H8772" s="1" t="s">
        <v>5640</v>
      </c>
      <c r="J8772" s="1" t="s">
        <v>982</v>
      </c>
      <c r="L8772" s="1" t="s">
        <v>1024</v>
      </c>
      <c r="M8772" s="1" t="s">
        <v>13724</v>
      </c>
      <c r="N8772" s="1" t="s">
        <v>2025</v>
      </c>
      <c r="P8772" s="1" t="s">
        <v>2026</v>
      </c>
      <c r="Q8772" s="30" t="s">
        <v>2567</v>
      </c>
      <c r="R8772" s="33" t="s">
        <v>3474</v>
      </c>
      <c r="S8772">
        <v>37</v>
      </c>
      <c r="T8772" s="1" t="s">
        <v>14061</v>
      </c>
      <c r="U8772" s="1" t="str">
        <f>HYPERLINK("http://ictvonline.org/taxonomy/p/taxonomy-history?taxnode_id=202101963","ICTVonline=202101963")</f>
        <v>ICTVonline=202101963</v>
      </c>
    </row>
    <row r="8773" spans="1:21" x14ac:dyDescent="0.2">
      <c r="A8773" s="3">
        <v>8772</v>
      </c>
      <c r="B8773" s="1" t="s">
        <v>4226</v>
      </c>
      <c r="D8773" s="1" t="s">
        <v>5412</v>
      </c>
      <c r="F8773" s="1" t="s">
        <v>5637</v>
      </c>
      <c r="H8773" s="1" t="s">
        <v>5640</v>
      </c>
      <c r="J8773" s="1" t="s">
        <v>982</v>
      </c>
      <c r="L8773" s="1" t="s">
        <v>1024</v>
      </c>
      <c r="M8773" s="1" t="s">
        <v>13724</v>
      </c>
      <c r="N8773" s="1" t="s">
        <v>987</v>
      </c>
      <c r="P8773" s="1" t="s">
        <v>2459</v>
      </c>
      <c r="Q8773" s="30" t="s">
        <v>2567</v>
      </c>
      <c r="R8773" s="33" t="s">
        <v>3474</v>
      </c>
      <c r="S8773">
        <v>37</v>
      </c>
      <c r="T8773" s="1" t="s">
        <v>14061</v>
      </c>
      <c r="U8773" s="1" t="str">
        <f>HYPERLINK("http://ictvonline.org/taxonomy/p/taxonomy-history?taxnode_id=202101965","ICTVonline=202101965")</f>
        <v>ICTVonline=202101965</v>
      </c>
    </row>
    <row r="8774" spans="1:21" x14ac:dyDescent="0.2">
      <c r="A8774" s="3">
        <v>8773</v>
      </c>
      <c r="B8774" s="1" t="s">
        <v>4226</v>
      </c>
      <c r="D8774" s="1" t="s">
        <v>5412</v>
      </c>
      <c r="F8774" s="1" t="s">
        <v>5637</v>
      </c>
      <c r="H8774" s="1" t="s">
        <v>5640</v>
      </c>
      <c r="J8774" s="1" t="s">
        <v>982</v>
      </c>
      <c r="L8774" s="1" t="s">
        <v>1024</v>
      </c>
      <c r="M8774" s="1" t="s">
        <v>13724</v>
      </c>
      <c r="N8774" s="1" t="s">
        <v>2148</v>
      </c>
      <c r="P8774" s="1" t="s">
        <v>2149</v>
      </c>
      <c r="Q8774" s="30" t="s">
        <v>2567</v>
      </c>
      <c r="R8774" s="33" t="s">
        <v>3474</v>
      </c>
      <c r="S8774">
        <v>37</v>
      </c>
      <c r="T8774" s="1" t="s">
        <v>14061</v>
      </c>
      <c r="U8774" s="1" t="str">
        <f>HYPERLINK("http://ictvonline.org/taxonomy/p/taxonomy-history?taxnode_id=202101967","ICTVonline=202101967")</f>
        <v>ICTVonline=202101967</v>
      </c>
    </row>
    <row r="8775" spans="1:21" x14ac:dyDescent="0.2">
      <c r="A8775" s="3">
        <v>8774</v>
      </c>
      <c r="B8775" s="1" t="s">
        <v>4226</v>
      </c>
      <c r="D8775" s="1" t="s">
        <v>5412</v>
      </c>
      <c r="F8775" s="1" t="s">
        <v>5637</v>
      </c>
      <c r="H8775" s="1" t="s">
        <v>5640</v>
      </c>
      <c r="J8775" s="1" t="s">
        <v>982</v>
      </c>
      <c r="L8775" s="1" t="s">
        <v>1024</v>
      </c>
      <c r="M8775" s="1" t="s">
        <v>13724</v>
      </c>
      <c r="N8775" s="1" t="s">
        <v>2148</v>
      </c>
      <c r="P8775" s="1" t="s">
        <v>3234</v>
      </c>
      <c r="Q8775" s="30" t="s">
        <v>2567</v>
      </c>
      <c r="R8775" s="33" t="s">
        <v>3474</v>
      </c>
      <c r="S8775">
        <v>37</v>
      </c>
      <c r="T8775" s="1" t="s">
        <v>14061</v>
      </c>
      <c r="U8775" s="1" t="str">
        <f>HYPERLINK("http://ictvonline.org/taxonomy/p/taxonomy-history?taxnode_id=202101968","ICTVonline=202101968")</f>
        <v>ICTVonline=202101968</v>
      </c>
    </row>
    <row r="8776" spans="1:21" x14ac:dyDescent="0.2">
      <c r="A8776" s="3">
        <v>8775</v>
      </c>
      <c r="B8776" s="1" t="s">
        <v>4226</v>
      </c>
      <c r="D8776" s="1" t="s">
        <v>5412</v>
      </c>
      <c r="F8776" s="1" t="s">
        <v>5637</v>
      </c>
      <c r="H8776" s="1" t="s">
        <v>5640</v>
      </c>
      <c r="J8776" s="1" t="s">
        <v>982</v>
      </c>
      <c r="L8776" s="1" t="s">
        <v>1024</v>
      </c>
      <c r="M8776" s="1" t="s">
        <v>13724</v>
      </c>
      <c r="N8776" s="1" t="s">
        <v>2148</v>
      </c>
      <c r="P8776" s="1" t="s">
        <v>3235</v>
      </c>
      <c r="Q8776" s="30" t="s">
        <v>2567</v>
      </c>
      <c r="R8776" s="33" t="s">
        <v>3474</v>
      </c>
      <c r="S8776">
        <v>37</v>
      </c>
      <c r="T8776" s="1" t="s">
        <v>14061</v>
      </c>
      <c r="U8776" s="1" t="str">
        <f>HYPERLINK("http://ictvonline.org/taxonomy/p/taxonomy-history?taxnode_id=202101969","ICTVonline=202101969")</f>
        <v>ICTVonline=202101969</v>
      </c>
    </row>
    <row r="8777" spans="1:21" x14ac:dyDescent="0.2">
      <c r="A8777" s="3">
        <v>8776</v>
      </c>
      <c r="B8777" s="1" t="s">
        <v>4226</v>
      </c>
      <c r="D8777" s="1" t="s">
        <v>5412</v>
      </c>
      <c r="F8777" s="1" t="s">
        <v>5637</v>
      </c>
      <c r="H8777" s="1" t="s">
        <v>5640</v>
      </c>
      <c r="J8777" s="1" t="s">
        <v>982</v>
      </c>
      <c r="L8777" s="1" t="s">
        <v>1024</v>
      </c>
      <c r="M8777" s="1" t="s">
        <v>13724</v>
      </c>
      <c r="N8777" s="1" t="s">
        <v>3603</v>
      </c>
      <c r="P8777" s="1" t="s">
        <v>3604</v>
      </c>
      <c r="Q8777" s="30" t="s">
        <v>2567</v>
      </c>
      <c r="R8777" s="33" t="s">
        <v>3474</v>
      </c>
      <c r="S8777">
        <v>37</v>
      </c>
      <c r="T8777" s="1" t="s">
        <v>14061</v>
      </c>
      <c r="U8777" s="1" t="str">
        <f>HYPERLINK("http://ictvonline.org/taxonomy/p/taxonomy-history?taxnode_id=202105593","ICTVonline=202105593")</f>
        <v>ICTVonline=202105593</v>
      </c>
    </row>
    <row r="8778" spans="1:21" x14ac:dyDescent="0.2">
      <c r="A8778" s="3">
        <v>8777</v>
      </c>
      <c r="B8778" s="1" t="s">
        <v>4226</v>
      </c>
      <c r="D8778" s="1" t="s">
        <v>5412</v>
      </c>
      <c r="F8778" s="1" t="s">
        <v>5637</v>
      </c>
      <c r="H8778" s="1" t="s">
        <v>5640</v>
      </c>
      <c r="J8778" s="1" t="s">
        <v>982</v>
      </c>
      <c r="L8778" s="1" t="s">
        <v>1024</v>
      </c>
      <c r="M8778" s="1" t="s">
        <v>13724</v>
      </c>
      <c r="N8778" s="1" t="s">
        <v>3603</v>
      </c>
      <c r="P8778" s="1" t="s">
        <v>3605</v>
      </c>
      <c r="Q8778" s="30" t="s">
        <v>2567</v>
      </c>
      <c r="R8778" s="33" t="s">
        <v>3474</v>
      </c>
      <c r="S8778">
        <v>37</v>
      </c>
      <c r="T8778" s="1" t="s">
        <v>14061</v>
      </c>
      <c r="U8778" s="1" t="str">
        <f>HYPERLINK("http://ictvonline.org/taxonomy/p/taxonomy-history?taxnode_id=202105594","ICTVonline=202105594")</f>
        <v>ICTVonline=202105594</v>
      </c>
    </row>
    <row r="8779" spans="1:21" x14ac:dyDescent="0.2">
      <c r="A8779" s="3">
        <v>8778</v>
      </c>
      <c r="B8779" s="1" t="s">
        <v>4226</v>
      </c>
      <c r="D8779" s="1" t="s">
        <v>5412</v>
      </c>
      <c r="F8779" s="1" t="s">
        <v>5637</v>
      </c>
      <c r="H8779" s="1" t="s">
        <v>5640</v>
      </c>
      <c r="J8779" s="1" t="s">
        <v>982</v>
      </c>
      <c r="L8779" s="1" t="s">
        <v>1024</v>
      </c>
      <c r="M8779" s="1" t="s">
        <v>13724</v>
      </c>
      <c r="N8779" s="1" t="s">
        <v>5712</v>
      </c>
      <c r="P8779" s="1" t="s">
        <v>5713</v>
      </c>
      <c r="Q8779" s="30" t="s">
        <v>2567</v>
      </c>
      <c r="R8779" s="33" t="s">
        <v>3474</v>
      </c>
      <c r="S8779">
        <v>37</v>
      </c>
      <c r="T8779" s="1" t="s">
        <v>14061</v>
      </c>
      <c r="U8779" s="1" t="str">
        <f>HYPERLINK("http://ictvonline.org/taxonomy/p/taxonomy-history?taxnode_id=202107284","ICTVonline=202107284")</f>
        <v>ICTVonline=202107284</v>
      </c>
    </row>
    <row r="8780" spans="1:21" x14ac:dyDescent="0.2">
      <c r="A8780" s="3">
        <v>8779</v>
      </c>
      <c r="B8780" s="1" t="s">
        <v>4226</v>
      </c>
      <c r="D8780" s="1" t="s">
        <v>5412</v>
      </c>
      <c r="F8780" s="1" t="s">
        <v>5637</v>
      </c>
      <c r="H8780" s="1" t="s">
        <v>5640</v>
      </c>
      <c r="J8780" s="1" t="s">
        <v>982</v>
      </c>
      <c r="L8780" s="1" t="s">
        <v>1024</v>
      </c>
      <c r="M8780" s="1" t="s">
        <v>13724</v>
      </c>
      <c r="N8780" s="1" t="s">
        <v>5712</v>
      </c>
      <c r="P8780" s="1" t="s">
        <v>5714</v>
      </c>
      <c r="Q8780" s="30" t="s">
        <v>2567</v>
      </c>
      <c r="R8780" s="33" t="s">
        <v>3474</v>
      </c>
      <c r="S8780">
        <v>37</v>
      </c>
      <c r="T8780" s="1" t="s">
        <v>14061</v>
      </c>
      <c r="U8780" s="1" t="str">
        <f>HYPERLINK("http://ictvonline.org/taxonomy/p/taxonomy-history?taxnode_id=202107285","ICTVonline=202107285")</f>
        <v>ICTVonline=202107285</v>
      </c>
    </row>
    <row r="8781" spans="1:21" x14ac:dyDescent="0.2">
      <c r="A8781" s="3">
        <v>8780</v>
      </c>
      <c r="B8781" s="1" t="s">
        <v>4226</v>
      </c>
      <c r="D8781" s="1" t="s">
        <v>5412</v>
      </c>
      <c r="F8781" s="1" t="s">
        <v>5637</v>
      </c>
      <c r="H8781" s="1" t="s">
        <v>5640</v>
      </c>
      <c r="J8781" s="1" t="s">
        <v>982</v>
      </c>
      <c r="L8781" s="1" t="s">
        <v>1024</v>
      </c>
      <c r="M8781" s="1" t="s">
        <v>13724</v>
      </c>
      <c r="N8781" s="1" t="s">
        <v>5712</v>
      </c>
      <c r="P8781" s="1" t="s">
        <v>8323</v>
      </c>
      <c r="Q8781" s="30" t="s">
        <v>2567</v>
      </c>
      <c r="R8781" s="33" t="s">
        <v>3474</v>
      </c>
      <c r="S8781">
        <v>37</v>
      </c>
      <c r="T8781" s="1" t="s">
        <v>14061</v>
      </c>
      <c r="U8781" s="1" t="str">
        <f>HYPERLINK("http://ictvonline.org/taxonomy/p/taxonomy-history?taxnode_id=202108913","ICTVonline=202108913")</f>
        <v>ICTVonline=202108913</v>
      </c>
    </row>
    <row r="8782" spans="1:21" x14ac:dyDescent="0.2">
      <c r="A8782" s="3">
        <v>8781</v>
      </c>
      <c r="B8782" s="1" t="s">
        <v>4226</v>
      </c>
      <c r="D8782" s="1" t="s">
        <v>5412</v>
      </c>
      <c r="F8782" s="1" t="s">
        <v>5637</v>
      </c>
      <c r="H8782" s="1" t="s">
        <v>5640</v>
      </c>
      <c r="J8782" s="1" t="s">
        <v>982</v>
      </c>
      <c r="L8782" s="1" t="s">
        <v>1024</v>
      </c>
      <c r="M8782" s="1" t="s">
        <v>13724</v>
      </c>
      <c r="N8782" s="1" t="s">
        <v>2465</v>
      </c>
      <c r="P8782" s="1" t="s">
        <v>2466</v>
      </c>
      <c r="Q8782" s="30" t="s">
        <v>2567</v>
      </c>
      <c r="R8782" s="33" t="s">
        <v>3474</v>
      </c>
      <c r="S8782">
        <v>37</v>
      </c>
      <c r="T8782" s="1" t="s">
        <v>14061</v>
      </c>
      <c r="U8782" s="1" t="str">
        <f>HYPERLINK("http://ictvonline.org/taxonomy/p/taxonomy-history?taxnode_id=202102022","ICTVonline=202102022")</f>
        <v>ICTVonline=202102022</v>
      </c>
    </row>
    <row r="8783" spans="1:21" x14ac:dyDescent="0.2">
      <c r="A8783" s="3">
        <v>8782</v>
      </c>
      <c r="B8783" s="1" t="s">
        <v>4226</v>
      </c>
      <c r="D8783" s="1" t="s">
        <v>5412</v>
      </c>
      <c r="F8783" s="1" t="s">
        <v>5637</v>
      </c>
      <c r="H8783" s="1" t="s">
        <v>5640</v>
      </c>
      <c r="J8783" s="1" t="s">
        <v>982</v>
      </c>
      <c r="L8783" s="1" t="s">
        <v>1024</v>
      </c>
      <c r="M8783" s="1" t="s">
        <v>13724</v>
      </c>
      <c r="N8783" s="1" t="s">
        <v>2465</v>
      </c>
      <c r="P8783" s="1" t="s">
        <v>3608</v>
      </c>
      <c r="Q8783" s="30" t="s">
        <v>2567</v>
      </c>
      <c r="R8783" s="33" t="s">
        <v>3474</v>
      </c>
      <c r="S8783">
        <v>37</v>
      </c>
      <c r="T8783" s="1" t="s">
        <v>14061</v>
      </c>
      <c r="U8783" s="1" t="str">
        <f>HYPERLINK("http://ictvonline.org/taxonomy/p/taxonomy-history?taxnode_id=202105598","ICTVonline=202105598")</f>
        <v>ICTVonline=202105598</v>
      </c>
    </row>
    <row r="8784" spans="1:21" x14ac:dyDescent="0.2">
      <c r="A8784" s="3">
        <v>8783</v>
      </c>
      <c r="B8784" s="1" t="s">
        <v>4226</v>
      </c>
      <c r="D8784" s="1" t="s">
        <v>5412</v>
      </c>
      <c r="F8784" s="1" t="s">
        <v>5637</v>
      </c>
      <c r="H8784" s="1" t="s">
        <v>5640</v>
      </c>
      <c r="J8784" s="1" t="s">
        <v>982</v>
      </c>
      <c r="L8784" s="1" t="s">
        <v>1024</v>
      </c>
      <c r="M8784" s="1" t="s">
        <v>13724</v>
      </c>
      <c r="N8784" s="1" t="s">
        <v>2465</v>
      </c>
      <c r="P8784" s="1" t="s">
        <v>3609</v>
      </c>
      <c r="Q8784" s="30" t="s">
        <v>2567</v>
      </c>
      <c r="R8784" s="33" t="s">
        <v>3474</v>
      </c>
      <c r="S8784">
        <v>37</v>
      </c>
      <c r="T8784" s="1" t="s">
        <v>14061</v>
      </c>
      <c r="U8784" s="1" t="str">
        <f>HYPERLINK("http://ictvonline.org/taxonomy/p/taxonomy-history?taxnode_id=202105599","ICTVonline=202105599")</f>
        <v>ICTVonline=202105599</v>
      </c>
    </row>
    <row r="8785" spans="1:21" x14ac:dyDescent="0.2">
      <c r="A8785" s="3">
        <v>8784</v>
      </c>
      <c r="B8785" s="1" t="s">
        <v>4226</v>
      </c>
      <c r="D8785" s="1" t="s">
        <v>5412</v>
      </c>
      <c r="F8785" s="1" t="s">
        <v>5637</v>
      </c>
      <c r="H8785" s="1" t="s">
        <v>5640</v>
      </c>
      <c r="J8785" s="1" t="s">
        <v>982</v>
      </c>
      <c r="L8785" s="1" t="s">
        <v>1024</v>
      </c>
      <c r="M8785" s="1" t="s">
        <v>13724</v>
      </c>
      <c r="N8785" s="1" t="s">
        <v>2784</v>
      </c>
      <c r="P8785" s="1" t="s">
        <v>2785</v>
      </c>
      <c r="Q8785" s="30" t="s">
        <v>2567</v>
      </c>
      <c r="R8785" s="33" t="s">
        <v>3474</v>
      </c>
      <c r="S8785">
        <v>37</v>
      </c>
      <c r="T8785" s="1" t="s">
        <v>14061</v>
      </c>
      <c r="U8785" s="1" t="str">
        <f>HYPERLINK("http://ictvonline.org/taxonomy/p/taxonomy-history?taxnode_id=202102024","ICTVonline=202102024")</f>
        <v>ICTVonline=202102024</v>
      </c>
    </row>
    <row r="8786" spans="1:21" x14ac:dyDescent="0.2">
      <c r="A8786" s="3">
        <v>8785</v>
      </c>
      <c r="B8786" s="1" t="s">
        <v>4226</v>
      </c>
      <c r="D8786" s="1" t="s">
        <v>5412</v>
      </c>
      <c r="F8786" s="1" t="s">
        <v>5637</v>
      </c>
      <c r="H8786" s="1" t="s">
        <v>5640</v>
      </c>
      <c r="J8786" s="1" t="s">
        <v>982</v>
      </c>
      <c r="L8786" s="1" t="s">
        <v>1024</v>
      </c>
      <c r="M8786" s="1" t="s">
        <v>13724</v>
      </c>
      <c r="N8786" s="1" t="s">
        <v>2784</v>
      </c>
      <c r="P8786" s="1" t="s">
        <v>2786</v>
      </c>
      <c r="Q8786" s="30" t="s">
        <v>2567</v>
      </c>
      <c r="R8786" s="33" t="s">
        <v>3474</v>
      </c>
      <c r="S8786">
        <v>37</v>
      </c>
      <c r="T8786" s="1" t="s">
        <v>14061</v>
      </c>
      <c r="U8786" s="1" t="str">
        <f>HYPERLINK("http://ictvonline.org/taxonomy/p/taxonomy-history?taxnode_id=202102025","ICTVonline=202102025")</f>
        <v>ICTVonline=202102025</v>
      </c>
    </row>
    <row r="8787" spans="1:21" x14ac:dyDescent="0.2">
      <c r="A8787" s="3">
        <v>8786</v>
      </c>
      <c r="B8787" s="1" t="s">
        <v>4226</v>
      </c>
      <c r="D8787" s="1" t="s">
        <v>5412</v>
      </c>
      <c r="F8787" s="1" t="s">
        <v>5637</v>
      </c>
      <c r="H8787" s="1" t="s">
        <v>5640</v>
      </c>
      <c r="J8787" s="1" t="s">
        <v>982</v>
      </c>
      <c r="L8787" s="1" t="s">
        <v>1024</v>
      </c>
      <c r="M8787" s="1" t="s">
        <v>13724</v>
      </c>
      <c r="N8787" s="1" t="s">
        <v>2784</v>
      </c>
      <c r="P8787" s="1" t="s">
        <v>2787</v>
      </c>
      <c r="Q8787" s="30" t="s">
        <v>2567</v>
      </c>
      <c r="R8787" s="33" t="s">
        <v>3474</v>
      </c>
      <c r="S8787">
        <v>37</v>
      </c>
      <c r="T8787" s="1" t="s">
        <v>14061</v>
      </c>
      <c r="U8787" s="1" t="str">
        <f>HYPERLINK("http://ictvonline.org/taxonomy/p/taxonomy-history?taxnode_id=202102026","ICTVonline=202102026")</f>
        <v>ICTVonline=202102026</v>
      </c>
    </row>
    <row r="8788" spans="1:21" x14ac:dyDescent="0.2">
      <c r="A8788" s="3">
        <v>8787</v>
      </c>
      <c r="B8788" s="1" t="s">
        <v>4226</v>
      </c>
      <c r="D8788" s="1" t="s">
        <v>5412</v>
      </c>
      <c r="F8788" s="1" t="s">
        <v>5637</v>
      </c>
      <c r="H8788" s="1" t="s">
        <v>5640</v>
      </c>
      <c r="J8788" s="1" t="s">
        <v>982</v>
      </c>
      <c r="L8788" s="1" t="s">
        <v>1024</v>
      </c>
      <c r="M8788" s="1" t="s">
        <v>13724</v>
      </c>
      <c r="N8788" s="1" t="s">
        <v>2784</v>
      </c>
      <c r="P8788" s="1" t="s">
        <v>8324</v>
      </c>
      <c r="Q8788" s="30" t="s">
        <v>2567</v>
      </c>
      <c r="R8788" s="33" t="s">
        <v>3474</v>
      </c>
      <c r="S8788">
        <v>37</v>
      </c>
      <c r="T8788" s="1" t="s">
        <v>14061</v>
      </c>
      <c r="U8788" s="1" t="str">
        <f>HYPERLINK("http://ictvonline.org/taxonomy/p/taxonomy-history?taxnode_id=202109108","ICTVonline=202109108")</f>
        <v>ICTVonline=202109108</v>
      </c>
    </row>
    <row r="8789" spans="1:21" x14ac:dyDescent="0.2">
      <c r="A8789" s="3">
        <v>8788</v>
      </c>
      <c r="B8789" s="1" t="s">
        <v>4226</v>
      </c>
      <c r="D8789" s="1" t="s">
        <v>5412</v>
      </c>
      <c r="F8789" s="1" t="s">
        <v>5637</v>
      </c>
      <c r="H8789" s="1" t="s">
        <v>5640</v>
      </c>
      <c r="J8789" s="1" t="s">
        <v>982</v>
      </c>
      <c r="L8789" s="1" t="s">
        <v>1024</v>
      </c>
      <c r="M8789" s="1" t="s">
        <v>13724</v>
      </c>
      <c r="N8789" s="1" t="s">
        <v>3615</v>
      </c>
      <c r="P8789" s="1" t="s">
        <v>3616</v>
      </c>
      <c r="Q8789" s="30" t="s">
        <v>2567</v>
      </c>
      <c r="R8789" s="33" t="s">
        <v>3474</v>
      </c>
      <c r="S8789">
        <v>37</v>
      </c>
      <c r="T8789" s="1" t="s">
        <v>14061</v>
      </c>
      <c r="U8789" s="1" t="str">
        <f>HYPERLINK("http://ictvonline.org/taxonomy/p/taxonomy-history?taxnode_id=202105604","ICTVonline=202105604")</f>
        <v>ICTVonline=202105604</v>
      </c>
    </row>
    <row r="8790" spans="1:21" x14ac:dyDescent="0.2">
      <c r="A8790" s="3">
        <v>8789</v>
      </c>
      <c r="B8790" s="1" t="s">
        <v>4226</v>
      </c>
      <c r="D8790" s="1" t="s">
        <v>5412</v>
      </c>
      <c r="F8790" s="1" t="s">
        <v>5637</v>
      </c>
      <c r="H8790" s="1" t="s">
        <v>5640</v>
      </c>
      <c r="J8790" s="1" t="s">
        <v>982</v>
      </c>
      <c r="L8790" s="1" t="s">
        <v>1024</v>
      </c>
      <c r="M8790" s="1" t="s">
        <v>13724</v>
      </c>
      <c r="N8790" s="1" t="s">
        <v>902</v>
      </c>
      <c r="P8790" s="1" t="s">
        <v>2467</v>
      </c>
      <c r="Q8790" s="30" t="s">
        <v>2567</v>
      </c>
      <c r="R8790" s="33" t="s">
        <v>3474</v>
      </c>
      <c r="S8790">
        <v>37</v>
      </c>
      <c r="T8790" s="1" t="s">
        <v>14061</v>
      </c>
      <c r="U8790" s="1" t="str">
        <f>HYPERLINK("http://ictvonline.org/taxonomy/p/taxonomy-history?taxnode_id=202102038","ICTVonline=202102038")</f>
        <v>ICTVonline=202102038</v>
      </c>
    </row>
    <row r="8791" spans="1:21" x14ac:dyDescent="0.2">
      <c r="A8791" s="3">
        <v>8790</v>
      </c>
      <c r="B8791" s="1" t="s">
        <v>4226</v>
      </c>
      <c r="D8791" s="1" t="s">
        <v>5412</v>
      </c>
      <c r="F8791" s="1" t="s">
        <v>5637</v>
      </c>
      <c r="H8791" s="1" t="s">
        <v>5640</v>
      </c>
      <c r="J8791" s="1" t="s">
        <v>982</v>
      </c>
      <c r="L8791" s="1" t="s">
        <v>1024</v>
      </c>
      <c r="M8791" s="1" t="s">
        <v>13724</v>
      </c>
      <c r="N8791" s="1" t="s">
        <v>902</v>
      </c>
      <c r="P8791" s="1" t="s">
        <v>2468</v>
      </c>
      <c r="Q8791" s="30" t="s">
        <v>2567</v>
      </c>
      <c r="R8791" s="33" t="s">
        <v>3474</v>
      </c>
      <c r="S8791">
        <v>37</v>
      </c>
      <c r="T8791" s="1" t="s">
        <v>14061</v>
      </c>
      <c r="U8791" s="1" t="str">
        <f>HYPERLINK("http://ictvonline.org/taxonomy/p/taxonomy-history?taxnode_id=202102039","ICTVonline=202102039")</f>
        <v>ICTVonline=202102039</v>
      </c>
    </row>
    <row r="8792" spans="1:21" x14ac:dyDescent="0.2">
      <c r="A8792" s="3">
        <v>8791</v>
      </c>
      <c r="B8792" s="1" t="s">
        <v>4226</v>
      </c>
      <c r="D8792" s="1" t="s">
        <v>5412</v>
      </c>
      <c r="F8792" s="1" t="s">
        <v>5637</v>
      </c>
      <c r="H8792" s="1" t="s">
        <v>5640</v>
      </c>
      <c r="J8792" s="1" t="s">
        <v>982</v>
      </c>
      <c r="L8792" s="1" t="s">
        <v>1024</v>
      </c>
      <c r="M8792" s="1" t="s">
        <v>13724</v>
      </c>
      <c r="N8792" s="1" t="s">
        <v>902</v>
      </c>
      <c r="P8792" s="1" t="s">
        <v>3256</v>
      </c>
      <c r="Q8792" s="30" t="s">
        <v>2567</v>
      </c>
      <c r="R8792" s="33" t="s">
        <v>3474</v>
      </c>
      <c r="S8792">
        <v>37</v>
      </c>
      <c r="T8792" s="1" t="s">
        <v>14061</v>
      </c>
      <c r="U8792" s="1" t="str">
        <f>HYPERLINK("http://ictvonline.org/taxonomy/p/taxonomy-history?taxnode_id=202102040","ICTVonline=202102040")</f>
        <v>ICTVonline=202102040</v>
      </c>
    </row>
    <row r="8793" spans="1:21" x14ac:dyDescent="0.2">
      <c r="A8793" s="3">
        <v>8792</v>
      </c>
      <c r="B8793" s="1" t="s">
        <v>4226</v>
      </c>
      <c r="D8793" s="1" t="s">
        <v>5412</v>
      </c>
      <c r="F8793" s="1" t="s">
        <v>5637</v>
      </c>
      <c r="H8793" s="1" t="s">
        <v>5640</v>
      </c>
      <c r="J8793" s="1" t="s">
        <v>982</v>
      </c>
      <c r="L8793" s="1" t="s">
        <v>1024</v>
      </c>
      <c r="M8793" s="1" t="s">
        <v>13724</v>
      </c>
      <c r="N8793" s="1" t="s">
        <v>902</v>
      </c>
      <c r="P8793" s="1" t="s">
        <v>3257</v>
      </c>
      <c r="Q8793" s="30" t="s">
        <v>2567</v>
      </c>
      <c r="R8793" s="33" t="s">
        <v>3474</v>
      </c>
      <c r="S8793">
        <v>37</v>
      </c>
      <c r="T8793" s="1" t="s">
        <v>14061</v>
      </c>
      <c r="U8793" s="1" t="str">
        <f>HYPERLINK("http://ictvonline.org/taxonomy/p/taxonomy-history?taxnode_id=202102041","ICTVonline=202102041")</f>
        <v>ICTVonline=202102041</v>
      </c>
    </row>
    <row r="8794" spans="1:21" x14ac:dyDescent="0.2">
      <c r="A8794" s="3">
        <v>8793</v>
      </c>
      <c r="B8794" s="1" t="s">
        <v>4226</v>
      </c>
      <c r="D8794" s="1" t="s">
        <v>5412</v>
      </c>
      <c r="F8794" s="1" t="s">
        <v>5637</v>
      </c>
      <c r="H8794" s="1" t="s">
        <v>5640</v>
      </c>
      <c r="J8794" s="1" t="s">
        <v>982</v>
      </c>
      <c r="L8794" s="1" t="s">
        <v>1024</v>
      </c>
      <c r="M8794" s="1" t="s">
        <v>13724</v>
      </c>
      <c r="N8794" s="1" t="s">
        <v>902</v>
      </c>
      <c r="P8794" s="1" t="s">
        <v>5728</v>
      </c>
      <c r="Q8794" s="30" t="s">
        <v>2567</v>
      </c>
      <c r="R8794" s="33" t="s">
        <v>3474</v>
      </c>
      <c r="S8794">
        <v>37</v>
      </c>
      <c r="T8794" s="1" t="s">
        <v>14061</v>
      </c>
      <c r="U8794" s="1" t="str">
        <f>HYPERLINK("http://ictvonline.org/taxonomy/p/taxonomy-history?taxnode_id=202107418","ICTVonline=202107418")</f>
        <v>ICTVonline=202107418</v>
      </c>
    </row>
    <row r="8795" spans="1:21" x14ac:dyDescent="0.2">
      <c r="A8795" s="3">
        <v>8794</v>
      </c>
      <c r="B8795" s="1" t="s">
        <v>4226</v>
      </c>
      <c r="D8795" s="1" t="s">
        <v>5412</v>
      </c>
      <c r="F8795" s="1" t="s">
        <v>5637</v>
      </c>
      <c r="H8795" s="1" t="s">
        <v>5640</v>
      </c>
      <c r="J8795" s="1" t="s">
        <v>982</v>
      </c>
      <c r="L8795" s="1" t="s">
        <v>1024</v>
      </c>
      <c r="M8795" s="1" t="s">
        <v>13724</v>
      </c>
      <c r="N8795" s="1" t="s">
        <v>902</v>
      </c>
      <c r="P8795" s="1" t="s">
        <v>5729</v>
      </c>
      <c r="Q8795" s="30" t="s">
        <v>2567</v>
      </c>
      <c r="R8795" s="33" t="s">
        <v>3474</v>
      </c>
      <c r="S8795">
        <v>37</v>
      </c>
      <c r="T8795" s="1" t="s">
        <v>14061</v>
      </c>
      <c r="U8795" s="1" t="str">
        <f>HYPERLINK("http://ictvonline.org/taxonomy/p/taxonomy-history?taxnode_id=202107419","ICTVonline=202107419")</f>
        <v>ICTVonline=202107419</v>
      </c>
    </row>
    <row r="8796" spans="1:21" x14ac:dyDescent="0.2">
      <c r="A8796" s="3">
        <v>8795</v>
      </c>
      <c r="B8796" s="1" t="s">
        <v>4226</v>
      </c>
      <c r="D8796" s="1" t="s">
        <v>5412</v>
      </c>
      <c r="F8796" s="1" t="s">
        <v>5637</v>
      </c>
      <c r="H8796" s="1" t="s">
        <v>5640</v>
      </c>
      <c r="J8796" s="1" t="s">
        <v>982</v>
      </c>
      <c r="L8796" s="1" t="s">
        <v>1024</v>
      </c>
      <c r="M8796" s="1" t="s">
        <v>13724</v>
      </c>
      <c r="N8796" s="1" t="s">
        <v>2160</v>
      </c>
      <c r="P8796" s="1" t="s">
        <v>2161</v>
      </c>
      <c r="Q8796" s="30" t="s">
        <v>2567</v>
      </c>
      <c r="R8796" s="33" t="s">
        <v>3474</v>
      </c>
      <c r="S8796">
        <v>37</v>
      </c>
      <c r="T8796" s="1" t="s">
        <v>14061</v>
      </c>
      <c r="U8796" s="1" t="str">
        <f>HYPERLINK("http://ictvonline.org/taxonomy/p/taxonomy-history?taxnode_id=202102043","ICTVonline=202102043")</f>
        <v>ICTVonline=202102043</v>
      </c>
    </row>
    <row r="8797" spans="1:21" x14ac:dyDescent="0.2">
      <c r="A8797" s="3">
        <v>8796</v>
      </c>
      <c r="B8797" s="1" t="s">
        <v>4226</v>
      </c>
      <c r="D8797" s="1" t="s">
        <v>5412</v>
      </c>
      <c r="F8797" s="1" t="s">
        <v>5637</v>
      </c>
      <c r="H8797" s="1" t="s">
        <v>5640</v>
      </c>
      <c r="J8797" s="1" t="s">
        <v>982</v>
      </c>
      <c r="L8797" s="1" t="s">
        <v>1024</v>
      </c>
      <c r="M8797" s="1" t="s">
        <v>13724</v>
      </c>
      <c r="N8797" s="1" t="s">
        <v>2788</v>
      </c>
      <c r="P8797" s="1" t="s">
        <v>2789</v>
      </c>
      <c r="Q8797" s="30" t="s">
        <v>2567</v>
      </c>
      <c r="R8797" s="33" t="s">
        <v>3474</v>
      </c>
      <c r="S8797">
        <v>37</v>
      </c>
      <c r="T8797" s="1" t="s">
        <v>14061</v>
      </c>
      <c r="U8797" s="1" t="str">
        <f>HYPERLINK("http://ictvonline.org/taxonomy/p/taxonomy-history?taxnode_id=202102047","ICTVonline=202102047")</f>
        <v>ICTVonline=202102047</v>
      </c>
    </row>
    <row r="8798" spans="1:21" x14ac:dyDescent="0.2">
      <c r="A8798" s="3">
        <v>8797</v>
      </c>
      <c r="B8798" s="1" t="s">
        <v>4226</v>
      </c>
      <c r="D8798" s="1" t="s">
        <v>5412</v>
      </c>
      <c r="F8798" s="1" t="s">
        <v>5637</v>
      </c>
      <c r="H8798" s="1" t="s">
        <v>5640</v>
      </c>
      <c r="J8798" s="1" t="s">
        <v>982</v>
      </c>
      <c r="L8798" s="1" t="s">
        <v>1024</v>
      </c>
      <c r="M8798" s="1" t="s">
        <v>13724</v>
      </c>
      <c r="N8798" s="1" t="s">
        <v>2788</v>
      </c>
      <c r="P8798" s="1" t="s">
        <v>5732</v>
      </c>
      <c r="Q8798" s="30" t="s">
        <v>2567</v>
      </c>
      <c r="R8798" s="33" t="s">
        <v>3474</v>
      </c>
      <c r="S8798">
        <v>37</v>
      </c>
      <c r="T8798" s="1" t="s">
        <v>14061</v>
      </c>
      <c r="U8798" s="1" t="str">
        <f>HYPERLINK("http://ictvonline.org/taxonomy/p/taxonomy-history?taxnode_id=202107428","ICTVonline=202107428")</f>
        <v>ICTVonline=202107428</v>
      </c>
    </row>
    <row r="8799" spans="1:21" x14ac:dyDescent="0.2">
      <c r="A8799" s="3">
        <v>8798</v>
      </c>
      <c r="B8799" s="1" t="s">
        <v>4226</v>
      </c>
      <c r="D8799" s="1" t="s">
        <v>5412</v>
      </c>
      <c r="F8799" s="1" t="s">
        <v>5637</v>
      </c>
      <c r="H8799" s="1" t="s">
        <v>5640</v>
      </c>
      <c r="J8799" s="1" t="s">
        <v>982</v>
      </c>
      <c r="L8799" s="1" t="s">
        <v>1024</v>
      </c>
      <c r="M8799" s="1" t="s">
        <v>13724</v>
      </c>
      <c r="N8799" s="1" t="s">
        <v>3617</v>
      </c>
      <c r="P8799" s="1" t="s">
        <v>3618</v>
      </c>
      <c r="Q8799" s="30" t="s">
        <v>2567</v>
      </c>
      <c r="R8799" s="33" t="s">
        <v>3474</v>
      </c>
      <c r="S8799">
        <v>37</v>
      </c>
      <c r="T8799" s="1" t="s">
        <v>14061</v>
      </c>
      <c r="U8799" s="1" t="str">
        <f>HYPERLINK("http://ictvonline.org/taxonomy/p/taxonomy-history?taxnode_id=202105606","ICTVonline=202105606")</f>
        <v>ICTVonline=202105606</v>
      </c>
    </row>
    <row r="8800" spans="1:21" x14ac:dyDescent="0.2">
      <c r="A8800" s="3">
        <v>8799</v>
      </c>
      <c r="B8800" s="1" t="s">
        <v>4226</v>
      </c>
      <c r="D8800" s="1" t="s">
        <v>5412</v>
      </c>
      <c r="F8800" s="1" t="s">
        <v>5637</v>
      </c>
      <c r="H8800" s="1" t="s">
        <v>5640</v>
      </c>
      <c r="J8800" s="1" t="s">
        <v>982</v>
      </c>
      <c r="L8800" s="1" t="s">
        <v>1024</v>
      </c>
      <c r="N8800" s="1" t="s">
        <v>3232</v>
      </c>
      <c r="P8800" s="1" t="s">
        <v>3233</v>
      </c>
      <c r="Q8800" s="30" t="s">
        <v>2567</v>
      </c>
      <c r="R8800" s="33" t="s">
        <v>8665</v>
      </c>
      <c r="S8800">
        <v>36</v>
      </c>
      <c r="T8800" s="1" t="s">
        <v>8661</v>
      </c>
      <c r="U8800" s="1" t="str">
        <f>HYPERLINK("http://ictvonline.org/taxonomy/p/taxonomy-history?taxnode_id=202101956","ICTVonline=202101956")</f>
        <v>ICTVonline=202101956</v>
      </c>
    </row>
    <row r="8801" spans="1:21" x14ac:dyDescent="0.2">
      <c r="A8801" s="3">
        <v>8800</v>
      </c>
      <c r="B8801" s="1" t="s">
        <v>4226</v>
      </c>
      <c r="D8801" s="1" t="s">
        <v>5412</v>
      </c>
      <c r="F8801" s="1" t="s">
        <v>5637</v>
      </c>
      <c r="H8801" s="1" t="s">
        <v>5640</v>
      </c>
      <c r="J8801" s="1" t="s">
        <v>982</v>
      </c>
      <c r="L8801" s="1" t="s">
        <v>1024</v>
      </c>
      <c r="N8801" s="1" t="s">
        <v>3241</v>
      </c>
      <c r="P8801" s="1" t="s">
        <v>3242</v>
      </c>
      <c r="Q8801" s="30" t="s">
        <v>2567</v>
      </c>
      <c r="R8801" s="33" t="s">
        <v>8665</v>
      </c>
      <c r="S8801">
        <v>36</v>
      </c>
      <c r="T8801" s="1" t="s">
        <v>8661</v>
      </c>
      <c r="U8801" s="1" t="str">
        <f>HYPERLINK("http://ictvonline.org/taxonomy/p/taxonomy-history?taxnode_id=202102001","ICTVonline=202102001")</f>
        <v>ICTVonline=202102001</v>
      </c>
    </row>
    <row r="8802" spans="1:21" x14ac:dyDescent="0.2">
      <c r="A8802" s="3">
        <v>8801</v>
      </c>
      <c r="B8802" s="1" t="s">
        <v>4226</v>
      </c>
      <c r="D8802" s="1" t="s">
        <v>5412</v>
      </c>
      <c r="F8802" s="1" t="s">
        <v>5637</v>
      </c>
      <c r="H8802" s="1" t="s">
        <v>5640</v>
      </c>
      <c r="J8802" s="1" t="s">
        <v>982</v>
      </c>
      <c r="L8802" s="1" t="s">
        <v>3619</v>
      </c>
      <c r="N8802" s="1" t="s">
        <v>3620</v>
      </c>
      <c r="P8802" s="1" t="s">
        <v>3621</v>
      </c>
      <c r="Q8802" s="30" t="s">
        <v>2567</v>
      </c>
      <c r="R8802" s="33" t="s">
        <v>8665</v>
      </c>
      <c r="S8802">
        <v>36</v>
      </c>
      <c r="T8802" s="1" t="s">
        <v>8661</v>
      </c>
      <c r="U8802" s="1" t="str">
        <f>HYPERLINK("http://ictvonline.org/taxonomy/p/taxonomy-history?taxnode_id=202105608","ICTVonline=202105608")</f>
        <v>ICTVonline=202105608</v>
      </c>
    </row>
    <row r="8803" spans="1:21" x14ac:dyDescent="0.2">
      <c r="A8803" s="3">
        <v>8802</v>
      </c>
      <c r="B8803" s="1" t="s">
        <v>4226</v>
      </c>
      <c r="D8803" s="1" t="s">
        <v>5412</v>
      </c>
      <c r="F8803" s="1" t="s">
        <v>5637</v>
      </c>
      <c r="H8803" s="1" t="s">
        <v>5640</v>
      </c>
      <c r="J8803" s="1" t="s">
        <v>982</v>
      </c>
      <c r="L8803" s="1" t="s">
        <v>3619</v>
      </c>
      <c r="N8803" s="1" t="s">
        <v>3620</v>
      </c>
      <c r="P8803" s="1" t="s">
        <v>3622</v>
      </c>
      <c r="Q8803" s="30" t="s">
        <v>2567</v>
      </c>
      <c r="R8803" s="33" t="s">
        <v>3474</v>
      </c>
      <c r="S8803">
        <v>35</v>
      </c>
      <c r="T8803" s="1" t="s">
        <v>5416</v>
      </c>
      <c r="U8803" s="1" t="str">
        <f>HYPERLINK("http://ictvonline.org/taxonomy/p/taxonomy-history?taxnode_id=202105609","ICTVonline=202105609")</f>
        <v>ICTVonline=202105609</v>
      </c>
    </row>
    <row r="8804" spans="1:21" x14ac:dyDescent="0.2">
      <c r="A8804" s="3">
        <v>8803</v>
      </c>
      <c r="B8804" s="1" t="s">
        <v>4226</v>
      </c>
      <c r="D8804" s="1" t="s">
        <v>5412</v>
      </c>
      <c r="F8804" s="1" t="s">
        <v>5637</v>
      </c>
      <c r="H8804" s="1" t="s">
        <v>5640</v>
      </c>
      <c r="J8804" s="1" t="s">
        <v>982</v>
      </c>
      <c r="L8804" s="1" t="s">
        <v>3619</v>
      </c>
      <c r="N8804" s="1" t="s">
        <v>3623</v>
      </c>
      <c r="P8804" s="1" t="s">
        <v>3624</v>
      </c>
      <c r="Q8804" s="30" t="s">
        <v>2567</v>
      </c>
      <c r="R8804" s="33" t="s">
        <v>8665</v>
      </c>
      <c r="S8804">
        <v>36</v>
      </c>
      <c r="T8804" s="1" t="s">
        <v>8661</v>
      </c>
      <c r="U8804" s="1" t="str">
        <f>HYPERLINK("http://ictvonline.org/taxonomy/p/taxonomy-history?taxnode_id=202105611","ICTVonline=202105611")</f>
        <v>ICTVonline=202105611</v>
      </c>
    </row>
    <row r="8805" spans="1:21" x14ac:dyDescent="0.2">
      <c r="A8805" s="3">
        <v>8804</v>
      </c>
      <c r="B8805" s="1" t="s">
        <v>4226</v>
      </c>
      <c r="D8805" s="1" t="s">
        <v>5412</v>
      </c>
      <c r="F8805" s="1" t="s">
        <v>5637</v>
      </c>
      <c r="H8805" s="1" t="s">
        <v>5640</v>
      </c>
      <c r="J8805" s="1" t="s">
        <v>982</v>
      </c>
      <c r="L8805" s="1" t="s">
        <v>3619</v>
      </c>
      <c r="N8805" s="1" t="s">
        <v>3625</v>
      </c>
      <c r="P8805" s="1" t="s">
        <v>3626</v>
      </c>
      <c r="Q8805" s="30" t="s">
        <v>2567</v>
      </c>
      <c r="R8805" s="33" t="s">
        <v>3474</v>
      </c>
      <c r="S8805">
        <v>35</v>
      </c>
      <c r="T8805" s="1" t="s">
        <v>5416</v>
      </c>
      <c r="U8805" s="1" t="str">
        <f>HYPERLINK("http://ictvonline.org/taxonomy/p/taxonomy-history?taxnode_id=202105613","ICTVonline=202105613")</f>
        <v>ICTVonline=202105613</v>
      </c>
    </row>
    <row r="8806" spans="1:21" x14ac:dyDescent="0.2">
      <c r="A8806" s="3">
        <v>8805</v>
      </c>
      <c r="B8806" s="1" t="s">
        <v>4226</v>
      </c>
      <c r="D8806" s="1" t="s">
        <v>5412</v>
      </c>
      <c r="F8806" s="1" t="s">
        <v>5637</v>
      </c>
      <c r="H8806" s="1" t="s">
        <v>5640</v>
      </c>
      <c r="J8806" s="1" t="s">
        <v>982</v>
      </c>
      <c r="L8806" s="1" t="s">
        <v>3619</v>
      </c>
      <c r="N8806" s="1" t="s">
        <v>3625</v>
      </c>
      <c r="P8806" s="1" t="s">
        <v>3627</v>
      </c>
      <c r="Q8806" s="30" t="s">
        <v>2567</v>
      </c>
      <c r="R8806" s="33" t="s">
        <v>3474</v>
      </c>
      <c r="S8806">
        <v>35</v>
      </c>
      <c r="T8806" s="1" t="s">
        <v>5416</v>
      </c>
      <c r="U8806" s="1" t="str">
        <f>HYPERLINK("http://ictvonline.org/taxonomy/p/taxonomy-history?taxnode_id=202105614","ICTVonline=202105614")</f>
        <v>ICTVonline=202105614</v>
      </c>
    </row>
    <row r="8807" spans="1:21" x14ac:dyDescent="0.2">
      <c r="A8807" s="3">
        <v>8806</v>
      </c>
      <c r="B8807" s="1" t="s">
        <v>4226</v>
      </c>
      <c r="D8807" s="1" t="s">
        <v>5412</v>
      </c>
      <c r="F8807" s="1" t="s">
        <v>5637</v>
      </c>
      <c r="H8807" s="1" t="s">
        <v>5640</v>
      </c>
      <c r="J8807" s="1" t="s">
        <v>982</v>
      </c>
      <c r="L8807" s="1" t="s">
        <v>3619</v>
      </c>
      <c r="N8807" s="1" t="s">
        <v>3625</v>
      </c>
      <c r="P8807" s="1" t="s">
        <v>3628</v>
      </c>
      <c r="Q8807" s="30" t="s">
        <v>2567</v>
      </c>
      <c r="R8807" s="33" t="s">
        <v>3474</v>
      </c>
      <c r="S8807">
        <v>35</v>
      </c>
      <c r="T8807" s="1" t="s">
        <v>5416</v>
      </c>
      <c r="U8807" s="1" t="str">
        <f>HYPERLINK("http://ictvonline.org/taxonomy/p/taxonomy-history?taxnode_id=202105615","ICTVonline=202105615")</f>
        <v>ICTVonline=202105615</v>
      </c>
    </row>
    <row r="8808" spans="1:21" x14ac:dyDescent="0.2">
      <c r="A8808" s="3">
        <v>8807</v>
      </c>
      <c r="B8808" s="1" t="s">
        <v>4226</v>
      </c>
      <c r="D8808" s="1" t="s">
        <v>5412</v>
      </c>
      <c r="F8808" s="1" t="s">
        <v>5637</v>
      </c>
      <c r="H8808" s="1" t="s">
        <v>5640</v>
      </c>
      <c r="J8808" s="1" t="s">
        <v>982</v>
      </c>
      <c r="L8808" s="1" t="s">
        <v>3619</v>
      </c>
      <c r="N8808" s="1" t="s">
        <v>3625</v>
      </c>
      <c r="P8808" s="1" t="s">
        <v>3629</v>
      </c>
      <c r="Q8808" s="30" t="s">
        <v>2567</v>
      </c>
      <c r="R8808" s="33" t="s">
        <v>3474</v>
      </c>
      <c r="S8808">
        <v>35</v>
      </c>
      <c r="T8808" s="1" t="s">
        <v>5416</v>
      </c>
      <c r="U8808" s="1" t="str">
        <f>HYPERLINK("http://ictvonline.org/taxonomy/p/taxonomy-history?taxnode_id=202105616","ICTVonline=202105616")</f>
        <v>ICTVonline=202105616</v>
      </c>
    </row>
    <row r="8809" spans="1:21" x14ac:dyDescent="0.2">
      <c r="A8809" s="3">
        <v>8808</v>
      </c>
      <c r="B8809" s="1" t="s">
        <v>4226</v>
      </c>
      <c r="D8809" s="1" t="s">
        <v>5412</v>
      </c>
      <c r="F8809" s="1" t="s">
        <v>5637</v>
      </c>
      <c r="H8809" s="1" t="s">
        <v>5640</v>
      </c>
      <c r="J8809" s="1" t="s">
        <v>982</v>
      </c>
      <c r="L8809" s="1" t="s">
        <v>3619</v>
      </c>
      <c r="N8809" s="1" t="s">
        <v>3625</v>
      </c>
      <c r="P8809" s="1" t="s">
        <v>3630</v>
      </c>
      <c r="Q8809" s="30" t="s">
        <v>2567</v>
      </c>
      <c r="R8809" s="33" t="s">
        <v>3474</v>
      </c>
      <c r="S8809">
        <v>35</v>
      </c>
      <c r="T8809" s="1" t="s">
        <v>5416</v>
      </c>
      <c r="U8809" s="1" t="str">
        <f>HYPERLINK("http://ictvonline.org/taxonomy/p/taxonomy-history?taxnode_id=202105617","ICTVonline=202105617")</f>
        <v>ICTVonline=202105617</v>
      </c>
    </row>
    <row r="8810" spans="1:21" x14ac:dyDescent="0.2">
      <c r="A8810" s="3">
        <v>8809</v>
      </c>
      <c r="B8810" s="1" t="s">
        <v>4226</v>
      </c>
      <c r="D8810" s="1" t="s">
        <v>5412</v>
      </c>
      <c r="F8810" s="1" t="s">
        <v>5637</v>
      </c>
      <c r="H8810" s="1" t="s">
        <v>5640</v>
      </c>
      <c r="J8810" s="1" t="s">
        <v>982</v>
      </c>
      <c r="L8810" s="1" t="s">
        <v>3619</v>
      </c>
      <c r="N8810" s="1" t="s">
        <v>3625</v>
      </c>
      <c r="P8810" s="1" t="s">
        <v>3631</v>
      </c>
      <c r="Q8810" s="30" t="s">
        <v>2567</v>
      </c>
      <c r="R8810" s="33" t="s">
        <v>3474</v>
      </c>
      <c r="S8810">
        <v>35</v>
      </c>
      <c r="T8810" s="1" t="s">
        <v>5416</v>
      </c>
      <c r="U8810" s="1" t="str">
        <f>HYPERLINK("http://ictvonline.org/taxonomy/p/taxonomy-history?taxnode_id=202105618","ICTVonline=202105618")</f>
        <v>ICTVonline=202105618</v>
      </c>
    </row>
    <row r="8811" spans="1:21" x14ac:dyDescent="0.2">
      <c r="A8811" s="3">
        <v>8810</v>
      </c>
      <c r="B8811" s="1" t="s">
        <v>4226</v>
      </c>
      <c r="D8811" s="1" t="s">
        <v>5412</v>
      </c>
      <c r="F8811" s="1" t="s">
        <v>5637</v>
      </c>
      <c r="H8811" s="1" t="s">
        <v>5640</v>
      </c>
      <c r="J8811" s="1" t="s">
        <v>982</v>
      </c>
      <c r="L8811" s="1" t="s">
        <v>3619</v>
      </c>
      <c r="N8811" s="1" t="s">
        <v>3625</v>
      </c>
      <c r="P8811" s="1" t="s">
        <v>3632</v>
      </c>
      <c r="Q8811" s="30" t="s">
        <v>2567</v>
      </c>
      <c r="R8811" s="33" t="s">
        <v>3474</v>
      </c>
      <c r="S8811">
        <v>35</v>
      </c>
      <c r="T8811" s="1" t="s">
        <v>5416</v>
      </c>
      <c r="U8811" s="1" t="str">
        <f>HYPERLINK("http://ictvonline.org/taxonomy/p/taxonomy-history?taxnode_id=202105619","ICTVonline=202105619")</f>
        <v>ICTVonline=202105619</v>
      </c>
    </row>
    <row r="8812" spans="1:21" x14ac:dyDescent="0.2">
      <c r="A8812" s="3">
        <v>8811</v>
      </c>
      <c r="B8812" s="1" t="s">
        <v>4226</v>
      </c>
      <c r="D8812" s="1" t="s">
        <v>5412</v>
      </c>
      <c r="F8812" s="1" t="s">
        <v>5637</v>
      </c>
      <c r="H8812" s="1" t="s">
        <v>5640</v>
      </c>
      <c r="J8812" s="1" t="s">
        <v>982</v>
      </c>
      <c r="L8812" s="1" t="s">
        <v>3619</v>
      </c>
      <c r="N8812" s="1" t="s">
        <v>3625</v>
      </c>
      <c r="P8812" s="1" t="s">
        <v>3633</v>
      </c>
      <c r="Q8812" s="30" t="s">
        <v>2567</v>
      </c>
      <c r="R8812" s="33" t="s">
        <v>3474</v>
      </c>
      <c r="S8812">
        <v>35</v>
      </c>
      <c r="T8812" s="1" t="s">
        <v>5416</v>
      </c>
      <c r="U8812" s="1" t="str">
        <f>HYPERLINK("http://ictvonline.org/taxonomy/p/taxonomy-history?taxnode_id=202105620","ICTVonline=202105620")</f>
        <v>ICTVonline=202105620</v>
      </c>
    </row>
    <row r="8813" spans="1:21" x14ac:dyDescent="0.2">
      <c r="A8813" s="3">
        <v>8812</v>
      </c>
      <c r="B8813" s="1" t="s">
        <v>4226</v>
      </c>
      <c r="D8813" s="1" t="s">
        <v>5412</v>
      </c>
      <c r="F8813" s="1" t="s">
        <v>5637</v>
      </c>
      <c r="H8813" s="1" t="s">
        <v>5640</v>
      </c>
      <c r="J8813" s="1" t="s">
        <v>982</v>
      </c>
      <c r="L8813" s="1" t="s">
        <v>3619</v>
      </c>
      <c r="N8813" s="1" t="s">
        <v>3625</v>
      </c>
      <c r="P8813" s="1" t="s">
        <v>3634</v>
      </c>
      <c r="Q8813" s="30" t="s">
        <v>2567</v>
      </c>
      <c r="R8813" s="33" t="s">
        <v>3474</v>
      </c>
      <c r="S8813">
        <v>35</v>
      </c>
      <c r="T8813" s="1" t="s">
        <v>5416</v>
      </c>
      <c r="U8813" s="1" t="str">
        <f>HYPERLINK("http://ictvonline.org/taxonomy/p/taxonomy-history?taxnode_id=202105621","ICTVonline=202105621")</f>
        <v>ICTVonline=202105621</v>
      </c>
    </row>
    <row r="8814" spans="1:21" x14ac:dyDescent="0.2">
      <c r="A8814" s="3">
        <v>8813</v>
      </c>
      <c r="B8814" s="1" t="s">
        <v>4226</v>
      </c>
      <c r="D8814" s="1" t="s">
        <v>5412</v>
      </c>
      <c r="F8814" s="1" t="s">
        <v>5637</v>
      </c>
      <c r="H8814" s="1" t="s">
        <v>5640</v>
      </c>
      <c r="J8814" s="1" t="s">
        <v>982</v>
      </c>
      <c r="L8814" s="1" t="s">
        <v>3619</v>
      </c>
      <c r="N8814" s="1" t="s">
        <v>3625</v>
      </c>
      <c r="P8814" s="1" t="s">
        <v>3635</v>
      </c>
      <c r="Q8814" s="30" t="s">
        <v>2567</v>
      </c>
      <c r="R8814" s="33" t="s">
        <v>8665</v>
      </c>
      <c r="S8814">
        <v>36</v>
      </c>
      <c r="T8814" s="1" t="s">
        <v>8661</v>
      </c>
      <c r="U8814" s="1" t="str">
        <f>HYPERLINK("http://ictvonline.org/taxonomy/p/taxonomy-history?taxnode_id=202105622","ICTVonline=202105622")</f>
        <v>ICTVonline=202105622</v>
      </c>
    </row>
    <row r="8815" spans="1:21" x14ac:dyDescent="0.2">
      <c r="A8815" s="3">
        <v>8814</v>
      </c>
      <c r="B8815" s="1" t="s">
        <v>4226</v>
      </c>
      <c r="D8815" s="1" t="s">
        <v>5412</v>
      </c>
      <c r="F8815" s="1" t="s">
        <v>5637</v>
      </c>
      <c r="H8815" s="1" t="s">
        <v>5640</v>
      </c>
      <c r="J8815" s="1" t="s">
        <v>982</v>
      </c>
      <c r="L8815" s="1" t="s">
        <v>3619</v>
      </c>
      <c r="N8815" s="1" t="s">
        <v>3625</v>
      </c>
      <c r="P8815" s="1" t="s">
        <v>3636</v>
      </c>
      <c r="Q8815" s="30" t="s">
        <v>2567</v>
      </c>
      <c r="R8815" s="33" t="s">
        <v>3474</v>
      </c>
      <c r="S8815">
        <v>35</v>
      </c>
      <c r="T8815" s="1" t="s">
        <v>5416</v>
      </c>
      <c r="U8815" s="1" t="str">
        <f>HYPERLINK("http://ictvonline.org/taxonomy/p/taxonomy-history?taxnode_id=202105623","ICTVonline=202105623")</f>
        <v>ICTVonline=202105623</v>
      </c>
    </row>
    <row r="8816" spans="1:21" x14ac:dyDescent="0.2">
      <c r="A8816" s="3">
        <v>8815</v>
      </c>
      <c r="B8816" s="1" t="s">
        <v>4226</v>
      </c>
      <c r="D8816" s="1" t="s">
        <v>5412</v>
      </c>
      <c r="F8816" s="1" t="s">
        <v>5637</v>
      </c>
      <c r="H8816" s="1" t="s">
        <v>5640</v>
      </c>
      <c r="J8816" s="1" t="s">
        <v>982</v>
      </c>
      <c r="L8816" s="1" t="s">
        <v>1865</v>
      </c>
      <c r="M8816" s="1" t="s">
        <v>1763</v>
      </c>
      <c r="N8816" s="1" t="s">
        <v>1760</v>
      </c>
      <c r="P8816" s="1" t="s">
        <v>650</v>
      </c>
      <c r="Q8816" s="30" t="s">
        <v>2567</v>
      </c>
      <c r="R8816" s="33" t="s">
        <v>3474</v>
      </c>
      <c r="S8816">
        <v>35</v>
      </c>
      <c r="T8816" s="1" t="s">
        <v>5416</v>
      </c>
      <c r="U8816" s="1" t="str">
        <f>HYPERLINK("http://ictvonline.org/taxonomy/p/taxonomy-history?taxnode_id=202102073","ICTVonline=202102073")</f>
        <v>ICTVonline=202102073</v>
      </c>
    </row>
    <row r="8817" spans="1:21" x14ac:dyDescent="0.2">
      <c r="A8817" s="3">
        <v>8816</v>
      </c>
      <c r="B8817" s="1" t="s">
        <v>4226</v>
      </c>
      <c r="D8817" s="1" t="s">
        <v>5412</v>
      </c>
      <c r="F8817" s="1" t="s">
        <v>5637</v>
      </c>
      <c r="H8817" s="1" t="s">
        <v>5640</v>
      </c>
      <c r="J8817" s="1" t="s">
        <v>982</v>
      </c>
      <c r="L8817" s="1" t="s">
        <v>1865</v>
      </c>
      <c r="M8817" s="1" t="s">
        <v>1763</v>
      </c>
      <c r="N8817" s="1" t="s">
        <v>1760</v>
      </c>
      <c r="P8817" s="1" t="s">
        <v>651</v>
      </c>
      <c r="Q8817" s="30" t="s">
        <v>2567</v>
      </c>
      <c r="R8817" s="33" t="s">
        <v>3474</v>
      </c>
      <c r="S8817">
        <v>35</v>
      </c>
      <c r="T8817" s="1" t="s">
        <v>5416</v>
      </c>
      <c r="U8817" s="1" t="str">
        <f>HYPERLINK("http://ictvonline.org/taxonomy/p/taxonomy-history?taxnode_id=202102074","ICTVonline=202102074")</f>
        <v>ICTVonline=202102074</v>
      </c>
    </row>
    <row r="8818" spans="1:21" x14ac:dyDescent="0.2">
      <c r="A8818" s="3">
        <v>8817</v>
      </c>
      <c r="B8818" s="1" t="s">
        <v>4226</v>
      </c>
      <c r="D8818" s="1" t="s">
        <v>5412</v>
      </c>
      <c r="F8818" s="1" t="s">
        <v>5637</v>
      </c>
      <c r="H8818" s="1" t="s">
        <v>5640</v>
      </c>
      <c r="J8818" s="1" t="s">
        <v>982</v>
      </c>
      <c r="L8818" s="1" t="s">
        <v>1865</v>
      </c>
      <c r="M8818" s="1" t="s">
        <v>1763</v>
      </c>
      <c r="N8818" s="1" t="s">
        <v>1760</v>
      </c>
      <c r="P8818" s="1" t="s">
        <v>652</v>
      </c>
      <c r="Q8818" s="30" t="s">
        <v>2567</v>
      </c>
      <c r="R8818" s="33" t="s">
        <v>3474</v>
      </c>
      <c r="S8818">
        <v>35</v>
      </c>
      <c r="T8818" s="1" t="s">
        <v>5416</v>
      </c>
      <c r="U8818" s="1" t="str">
        <f>HYPERLINK("http://ictvonline.org/taxonomy/p/taxonomy-history?taxnode_id=202102075","ICTVonline=202102075")</f>
        <v>ICTVonline=202102075</v>
      </c>
    </row>
    <row r="8819" spans="1:21" x14ac:dyDescent="0.2">
      <c r="A8819" s="3">
        <v>8818</v>
      </c>
      <c r="B8819" s="1" t="s">
        <v>4226</v>
      </c>
      <c r="D8819" s="1" t="s">
        <v>5412</v>
      </c>
      <c r="F8819" s="1" t="s">
        <v>5637</v>
      </c>
      <c r="H8819" s="1" t="s">
        <v>5640</v>
      </c>
      <c r="J8819" s="1" t="s">
        <v>982</v>
      </c>
      <c r="L8819" s="1" t="s">
        <v>1865</v>
      </c>
      <c r="M8819" s="1" t="s">
        <v>1763</v>
      </c>
      <c r="N8819" s="1" t="s">
        <v>1760</v>
      </c>
      <c r="P8819" s="1" t="s">
        <v>653</v>
      </c>
      <c r="Q8819" s="30" t="s">
        <v>2567</v>
      </c>
      <c r="R8819" s="33" t="s">
        <v>3474</v>
      </c>
      <c r="S8819">
        <v>35</v>
      </c>
      <c r="T8819" s="1" t="s">
        <v>5416</v>
      </c>
      <c r="U8819" s="1" t="str">
        <f>HYPERLINK("http://ictvonline.org/taxonomy/p/taxonomy-history?taxnode_id=202102076","ICTVonline=202102076")</f>
        <v>ICTVonline=202102076</v>
      </c>
    </row>
    <row r="8820" spans="1:21" x14ac:dyDescent="0.2">
      <c r="A8820" s="3">
        <v>8819</v>
      </c>
      <c r="B8820" s="1" t="s">
        <v>4226</v>
      </c>
      <c r="D8820" s="1" t="s">
        <v>5412</v>
      </c>
      <c r="F8820" s="1" t="s">
        <v>5637</v>
      </c>
      <c r="H8820" s="1" t="s">
        <v>5640</v>
      </c>
      <c r="J8820" s="1" t="s">
        <v>982</v>
      </c>
      <c r="L8820" s="1" t="s">
        <v>1865</v>
      </c>
      <c r="M8820" s="1" t="s">
        <v>1763</v>
      </c>
      <c r="N8820" s="1" t="s">
        <v>1760</v>
      </c>
      <c r="P8820" s="1" t="s">
        <v>983</v>
      </c>
      <c r="Q8820" s="30" t="s">
        <v>2567</v>
      </c>
      <c r="R8820" s="33" t="s">
        <v>3474</v>
      </c>
      <c r="S8820">
        <v>35</v>
      </c>
      <c r="T8820" s="1" t="s">
        <v>5416</v>
      </c>
      <c r="U8820" s="1" t="str">
        <f>HYPERLINK("http://ictvonline.org/taxonomy/p/taxonomy-history?taxnode_id=202102077","ICTVonline=202102077")</f>
        <v>ICTVonline=202102077</v>
      </c>
    </row>
    <row r="8821" spans="1:21" x14ac:dyDescent="0.2">
      <c r="A8821" s="3">
        <v>8820</v>
      </c>
      <c r="B8821" s="1" t="s">
        <v>4226</v>
      </c>
      <c r="D8821" s="1" t="s">
        <v>5412</v>
      </c>
      <c r="F8821" s="1" t="s">
        <v>5637</v>
      </c>
      <c r="H8821" s="1" t="s">
        <v>5640</v>
      </c>
      <c r="J8821" s="1" t="s">
        <v>982</v>
      </c>
      <c r="L8821" s="1" t="s">
        <v>1865</v>
      </c>
      <c r="M8821" s="1" t="s">
        <v>1763</v>
      </c>
      <c r="N8821" s="1" t="s">
        <v>1760</v>
      </c>
      <c r="P8821" s="1" t="s">
        <v>13725</v>
      </c>
      <c r="Q8821" s="30" t="s">
        <v>2567</v>
      </c>
      <c r="R8821" s="33" t="s">
        <v>3472</v>
      </c>
      <c r="S8821">
        <v>37</v>
      </c>
      <c r="T8821" s="1" t="s">
        <v>14062</v>
      </c>
      <c r="U8821" s="1" t="str">
        <f>HYPERLINK("http://ictvonline.org/taxonomy/p/taxonomy-history?taxnode_id=202113819","ICTVonline=202113819")</f>
        <v>ICTVonline=202113819</v>
      </c>
    </row>
    <row r="8822" spans="1:21" x14ac:dyDescent="0.2">
      <c r="A8822" s="3">
        <v>8821</v>
      </c>
      <c r="B8822" s="1" t="s">
        <v>4226</v>
      </c>
      <c r="D8822" s="1" t="s">
        <v>5412</v>
      </c>
      <c r="F8822" s="1" t="s">
        <v>5637</v>
      </c>
      <c r="H8822" s="1" t="s">
        <v>5640</v>
      </c>
      <c r="J8822" s="1" t="s">
        <v>982</v>
      </c>
      <c r="L8822" s="1" t="s">
        <v>1865</v>
      </c>
      <c r="M8822" s="1" t="s">
        <v>1763</v>
      </c>
      <c r="N8822" s="1" t="s">
        <v>1760</v>
      </c>
      <c r="P8822" s="1" t="s">
        <v>13726</v>
      </c>
      <c r="Q8822" s="30" t="s">
        <v>2567</v>
      </c>
      <c r="R8822" s="33" t="s">
        <v>3472</v>
      </c>
      <c r="S8822">
        <v>37</v>
      </c>
      <c r="T8822" s="1" t="s">
        <v>14062</v>
      </c>
      <c r="U8822" s="1" t="str">
        <f>HYPERLINK("http://ictvonline.org/taxonomy/p/taxonomy-history?taxnode_id=202113821","ICTVonline=202113821")</f>
        <v>ICTVonline=202113821</v>
      </c>
    </row>
    <row r="8823" spans="1:21" x14ac:dyDescent="0.2">
      <c r="A8823" s="3">
        <v>8822</v>
      </c>
      <c r="B8823" s="1" t="s">
        <v>4226</v>
      </c>
      <c r="D8823" s="1" t="s">
        <v>5412</v>
      </c>
      <c r="F8823" s="1" t="s">
        <v>5637</v>
      </c>
      <c r="H8823" s="1" t="s">
        <v>5640</v>
      </c>
      <c r="J8823" s="1" t="s">
        <v>982</v>
      </c>
      <c r="L8823" s="1" t="s">
        <v>1865</v>
      </c>
      <c r="M8823" s="1" t="s">
        <v>1763</v>
      </c>
      <c r="N8823" s="1" t="s">
        <v>1760</v>
      </c>
      <c r="P8823" s="1" t="s">
        <v>13727</v>
      </c>
      <c r="Q8823" s="30" t="s">
        <v>2567</v>
      </c>
      <c r="R8823" s="33" t="s">
        <v>3472</v>
      </c>
      <c r="S8823">
        <v>37</v>
      </c>
      <c r="T8823" s="1" t="s">
        <v>14062</v>
      </c>
      <c r="U8823" s="1" t="str">
        <f>HYPERLINK("http://ictvonline.org/taxonomy/p/taxonomy-history?taxnode_id=202113820","ICTVonline=202113820")</f>
        <v>ICTVonline=202113820</v>
      </c>
    </row>
    <row r="8824" spans="1:21" x14ac:dyDescent="0.2">
      <c r="A8824" s="3">
        <v>8823</v>
      </c>
      <c r="B8824" s="1" t="s">
        <v>4226</v>
      </c>
      <c r="D8824" s="1" t="s">
        <v>5412</v>
      </c>
      <c r="F8824" s="1" t="s">
        <v>5637</v>
      </c>
      <c r="H8824" s="1" t="s">
        <v>5640</v>
      </c>
      <c r="J8824" s="1" t="s">
        <v>982</v>
      </c>
      <c r="L8824" s="1" t="s">
        <v>1865</v>
      </c>
      <c r="M8824" s="1" t="s">
        <v>1763</v>
      </c>
      <c r="N8824" s="1" t="s">
        <v>1760</v>
      </c>
      <c r="P8824" s="1" t="s">
        <v>984</v>
      </c>
      <c r="Q8824" s="30" t="s">
        <v>2567</v>
      </c>
      <c r="R8824" s="33" t="s">
        <v>8665</v>
      </c>
      <c r="S8824">
        <v>36</v>
      </c>
      <c r="T8824" s="1" t="s">
        <v>8661</v>
      </c>
      <c r="U8824" s="1" t="str">
        <f>HYPERLINK("http://ictvonline.org/taxonomy/p/taxonomy-history?taxnode_id=202102078","ICTVonline=202102078")</f>
        <v>ICTVonline=202102078</v>
      </c>
    </row>
    <row r="8825" spans="1:21" x14ac:dyDescent="0.2">
      <c r="A8825" s="3">
        <v>8824</v>
      </c>
      <c r="B8825" s="1" t="s">
        <v>4226</v>
      </c>
      <c r="D8825" s="1" t="s">
        <v>5412</v>
      </c>
      <c r="F8825" s="1" t="s">
        <v>5637</v>
      </c>
      <c r="H8825" s="1" t="s">
        <v>5640</v>
      </c>
      <c r="J8825" s="1" t="s">
        <v>982</v>
      </c>
      <c r="L8825" s="1" t="s">
        <v>1865</v>
      </c>
      <c r="M8825" s="1" t="s">
        <v>1763</v>
      </c>
      <c r="N8825" s="1" t="s">
        <v>1760</v>
      </c>
      <c r="P8825" s="1" t="s">
        <v>654</v>
      </c>
      <c r="Q8825" s="30" t="s">
        <v>2567</v>
      </c>
      <c r="R8825" s="33" t="s">
        <v>3474</v>
      </c>
      <c r="S8825">
        <v>35</v>
      </c>
      <c r="T8825" s="1" t="s">
        <v>5416</v>
      </c>
      <c r="U8825" s="1" t="str">
        <f>HYPERLINK("http://ictvonline.org/taxonomy/p/taxonomy-history?taxnode_id=202102079","ICTVonline=202102079")</f>
        <v>ICTVonline=202102079</v>
      </c>
    </row>
    <row r="8826" spans="1:21" x14ac:dyDescent="0.2">
      <c r="A8826" s="3">
        <v>8825</v>
      </c>
      <c r="B8826" s="1" t="s">
        <v>4226</v>
      </c>
      <c r="D8826" s="1" t="s">
        <v>5412</v>
      </c>
      <c r="F8826" s="1" t="s">
        <v>5637</v>
      </c>
      <c r="H8826" s="1" t="s">
        <v>5640</v>
      </c>
      <c r="J8826" s="1" t="s">
        <v>982</v>
      </c>
      <c r="L8826" s="1" t="s">
        <v>1865</v>
      </c>
      <c r="M8826" s="1" t="s">
        <v>1763</v>
      </c>
      <c r="N8826" s="1" t="s">
        <v>1760</v>
      </c>
      <c r="P8826" s="1" t="s">
        <v>1058</v>
      </c>
      <c r="Q8826" s="30" t="s">
        <v>2567</v>
      </c>
      <c r="R8826" s="33" t="s">
        <v>3474</v>
      </c>
      <c r="S8826">
        <v>35</v>
      </c>
      <c r="T8826" s="1" t="s">
        <v>5416</v>
      </c>
      <c r="U8826" s="1" t="str">
        <f>HYPERLINK("http://ictvonline.org/taxonomy/p/taxonomy-history?taxnode_id=202102080","ICTVonline=202102080")</f>
        <v>ICTVonline=202102080</v>
      </c>
    </row>
    <row r="8827" spans="1:21" x14ac:dyDescent="0.2">
      <c r="A8827" s="3">
        <v>8826</v>
      </c>
      <c r="B8827" s="1" t="s">
        <v>4226</v>
      </c>
      <c r="D8827" s="1" t="s">
        <v>5412</v>
      </c>
      <c r="F8827" s="1" t="s">
        <v>5637</v>
      </c>
      <c r="H8827" s="1" t="s">
        <v>5640</v>
      </c>
      <c r="J8827" s="1" t="s">
        <v>982</v>
      </c>
      <c r="L8827" s="1" t="s">
        <v>1865</v>
      </c>
      <c r="M8827" s="1" t="s">
        <v>1763</v>
      </c>
      <c r="N8827" s="1" t="s">
        <v>1760</v>
      </c>
      <c r="P8827" s="1" t="s">
        <v>1059</v>
      </c>
      <c r="Q8827" s="30" t="s">
        <v>2567</v>
      </c>
      <c r="R8827" s="33" t="s">
        <v>3474</v>
      </c>
      <c r="S8827">
        <v>35</v>
      </c>
      <c r="T8827" s="1" t="s">
        <v>5416</v>
      </c>
      <c r="U8827" s="1" t="str">
        <f>HYPERLINK("http://ictvonline.org/taxonomy/p/taxonomy-history?taxnode_id=202102081","ICTVonline=202102081")</f>
        <v>ICTVonline=202102081</v>
      </c>
    </row>
    <row r="8828" spans="1:21" x14ac:dyDescent="0.2">
      <c r="A8828" s="3">
        <v>8827</v>
      </c>
      <c r="B8828" s="1" t="s">
        <v>4226</v>
      </c>
      <c r="D8828" s="1" t="s">
        <v>5412</v>
      </c>
      <c r="F8828" s="1" t="s">
        <v>5637</v>
      </c>
      <c r="H8828" s="1" t="s">
        <v>5640</v>
      </c>
      <c r="J8828" s="1" t="s">
        <v>982</v>
      </c>
      <c r="L8828" s="1" t="s">
        <v>1865</v>
      </c>
      <c r="M8828" s="1" t="s">
        <v>1763</v>
      </c>
      <c r="N8828" s="1" t="s">
        <v>1760</v>
      </c>
      <c r="P8828" s="1" t="s">
        <v>1253</v>
      </c>
      <c r="Q8828" s="30" t="s">
        <v>2567</v>
      </c>
      <c r="R8828" s="33" t="s">
        <v>3474</v>
      </c>
      <c r="S8828">
        <v>35</v>
      </c>
      <c r="T8828" s="1" t="s">
        <v>5416</v>
      </c>
      <c r="U8828" s="1" t="str">
        <f>HYPERLINK("http://ictvonline.org/taxonomy/p/taxonomy-history?taxnode_id=202102082","ICTVonline=202102082")</f>
        <v>ICTVonline=202102082</v>
      </c>
    </row>
    <row r="8829" spans="1:21" x14ac:dyDescent="0.2">
      <c r="A8829" s="3">
        <v>8828</v>
      </c>
      <c r="B8829" s="1" t="s">
        <v>4226</v>
      </c>
      <c r="D8829" s="1" t="s">
        <v>5412</v>
      </c>
      <c r="F8829" s="1" t="s">
        <v>5637</v>
      </c>
      <c r="H8829" s="1" t="s">
        <v>5640</v>
      </c>
      <c r="J8829" s="1" t="s">
        <v>982</v>
      </c>
      <c r="L8829" s="1" t="s">
        <v>1865</v>
      </c>
      <c r="M8829" s="1" t="s">
        <v>1763</v>
      </c>
      <c r="N8829" s="1" t="s">
        <v>1760</v>
      </c>
      <c r="P8829" s="1" t="s">
        <v>854</v>
      </c>
      <c r="Q8829" s="30" t="s">
        <v>2567</v>
      </c>
      <c r="R8829" s="33" t="s">
        <v>3474</v>
      </c>
      <c r="S8829">
        <v>35</v>
      </c>
      <c r="T8829" s="1" t="s">
        <v>5416</v>
      </c>
      <c r="U8829" s="1" t="str">
        <f>HYPERLINK("http://ictvonline.org/taxonomy/p/taxonomy-history?taxnode_id=202102083","ICTVonline=202102083")</f>
        <v>ICTVonline=202102083</v>
      </c>
    </row>
    <row r="8830" spans="1:21" x14ac:dyDescent="0.2">
      <c r="A8830" s="3">
        <v>8829</v>
      </c>
      <c r="B8830" s="1" t="s">
        <v>4226</v>
      </c>
      <c r="D8830" s="1" t="s">
        <v>5412</v>
      </c>
      <c r="F8830" s="1" t="s">
        <v>5637</v>
      </c>
      <c r="H8830" s="1" t="s">
        <v>5640</v>
      </c>
      <c r="J8830" s="1" t="s">
        <v>982</v>
      </c>
      <c r="L8830" s="1" t="s">
        <v>1865</v>
      </c>
      <c r="M8830" s="1" t="s">
        <v>1763</v>
      </c>
      <c r="N8830" s="1" t="s">
        <v>1760</v>
      </c>
      <c r="P8830" s="1" t="s">
        <v>855</v>
      </c>
      <c r="Q8830" s="30" t="s">
        <v>2567</v>
      </c>
      <c r="R8830" s="33" t="s">
        <v>3474</v>
      </c>
      <c r="S8830">
        <v>35</v>
      </c>
      <c r="T8830" s="1" t="s">
        <v>5416</v>
      </c>
      <c r="U8830" s="1" t="str">
        <f>HYPERLINK("http://ictvonline.org/taxonomy/p/taxonomy-history?taxnode_id=202102084","ICTVonline=202102084")</f>
        <v>ICTVonline=202102084</v>
      </c>
    </row>
    <row r="8831" spans="1:21" x14ac:dyDescent="0.2">
      <c r="A8831" s="3">
        <v>8830</v>
      </c>
      <c r="B8831" s="1" t="s">
        <v>4226</v>
      </c>
      <c r="D8831" s="1" t="s">
        <v>5412</v>
      </c>
      <c r="F8831" s="1" t="s">
        <v>5637</v>
      </c>
      <c r="H8831" s="1" t="s">
        <v>5640</v>
      </c>
      <c r="J8831" s="1" t="s">
        <v>982</v>
      </c>
      <c r="L8831" s="1" t="s">
        <v>1865</v>
      </c>
      <c r="M8831" s="1" t="s">
        <v>1763</v>
      </c>
      <c r="N8831" s="1" t="s">
        <v>1760</v>
      </c>
      <c r="P8831" s="1" t="s">
        <v>1255</v>
      </c>
      <c r="Q8831" s="30" t="s">
        <v>2567</v>
      </c>
      <c r="R8831" s="33" t="s">
        <v>3474</v>
      </c>
      <c r="S8831">
        <v>35</v>
      </c>
      <c r="T8831" s="1" t="s">
        <v>5416</v>
      </c>
      <c r="U8831" s="1" t="str">
        <f>HYPERLINK("http://ictvonline.org/taxonomy/p/taxonomy-history?taxnode_id=202102085","ICTVonline=202102085")</f>
        <v>ICTVonline=202102085</v>
      </c>
    </row>
    <row r="8832" spans="1:21" x14ac:dyDescent="0.2">
      <c r="A8832" s="3">
        <v>8831</v>
      </c>
      <c r="B8832" s="1" t="s">
        <v>4226</v>
      </c>
      <c r="D8832" s="1" t="s">
        <v>5412</v>
      </c>
      <c r="F8832" s="1" t="s">
        <v>5637</v>
      </c>
      <c r="H8832" s="1" t="s">
        <v>5640</v>
      </c>
      <c r="J8832" s="1" t="s">
        <v>982</v>
      </c>
      <c r="L8832" s="1" t="s">
        <v>1865</v>
      </c>
      <c r="M8832" s="1" t="s">
        <v>1763</v>
      </c>
      <c r="N8832" s="1" t="s">
        <v>1760</v>
      </c>
      <c r="P8832" s="1" t="s">
        <v>551</v>
      </c>
      <c r="Q8832" s="30" t="s">
        <v>2567</v>
      </c>
      <c r="R8832" s="33" t="s">
        <v>3474</v>
      </c>
      <c r="S8832">
        <v>35</v>
      </c>
      <c r="T8832" s="1" t="s">
        <v>5416</v>
      </c>
      <c r="U8832" s="1" t="str">
        <f>HYPERLINK("http://ictvonline.org/taxonomy/p/taxonomy-history?taxnode_id=202102086","ICTVonline=202102086")</f>
        <v>ICTVonline=202102086</v>
      </c>
    </row>
    <row r="8833" spans="1:21" x14ac:dyDescent="0.2">
      <c r="A8833" s="3">
        <v>8832</v>
      </c>
      <c r="B8833" s="1" t="s">
        <v>4226</v>
      </c>
      <c r="D8833" s="1" t="s">
        <v>5412</v>
      </c>
      <c r="F8833" s="1" t="s">
        <v>5637</v>
      </c>
      <c r="H8833" s="1" t="s">
        <v>5640</v>
      </c>
      <c r="J8833" s="1" t="s">
        <v>982</v>
      </c>
      <c r="L8833" s="1" t="s">
        <v>1865</v>
      </c>
      <c r="M8833" s="1" t="s">
        <v>1763</v>
      </c>
      <c r="N8833" s="1" t="s">
        <v>1760</v>
      </c>
      <c r="P8833" s="1" t="s">
        <v>552</v>
      </c>
      <c r="Q8833" s="30" t="s">
        <v>2567</v>
      </c>
      <c r="R8833" s="33" t="s">
        <v>3474</v>
      </c>
      <c r="S8833">
        <v>35</v>
      </c>
      <c r="T8833" s="1" t="s">
        <v>5416</v>
      </c>
      <c r="U8833" s="1" t="str">
        <f>HYPERLINK("http://ictvonline.org/taxonomy/p/taxonomy-history?taxnode_id=202102087","ICTVonline=202102087")</f>
        <v>ICTVonline=202102087</v>
      </c>
    </row>
    <row r="8834" spans="1:21" x14ac:dyDescent="0.2">
      <c r="A8834" s="3">
        <v>8833</v>
      </c>
      <c r="B8834" s="1" t="s">
        <v>4226</v>
      </c>
      <c r="D8834" s="1" t="s">
        <v>5412</v>
      </c>
      <c r="F8834" s="1" t="s">
        <v>5637</v>
      </c>
      <c r="H8834" s="1" t="s">
        <v>5640</v>
      </c>
      <c r="J8834" s="1" t="s">
        <v>982</v>
      </c>
      <c r="L8834" s="1" t="s">
        <v>1865</v>
      </c>
      <c r="M8834" s="1" t="s">
        <v>1763</v>
      </c>
      <c r="N8834" s="1" t="s">
        <v>1761</v>
      </c>
      <c r="P8834" s="1" t="s">
        <v>553</v>
      </c>
      <c r="Q8834" s="30" t="s">
        <v>2567</v>
      </c>
      <c r="R8834" s="33" t="s">
        <v>8665</v>
      </c>
      <c r="S8834">
        <v>36</v>
      </c>
      <c r="T8834" s="1" t="s">
        <v>8661</v>
      </c>
      <c r="U8834" s="1" t="str">
        <f>HYPERLINK("http://ictvonline.org/taxonomy/p/taxonomy-history?taxnode_id=202102089","ICTVonline=202102089")</f>
        <v>ICTVonline=202102089</v>
      </c>
    </row>
    <row r="8835" spans="1:21" x14ac:dyDescent="0.2">
      <c r="A8835" s="3">
        <v>8834</v>
      </c>
      <c r="B8835" s="1" t="s">
        <v>4226</v>
      </c>
      <c r="D8835" s="1" t="s">
        <v>5412</v>
      </c>
      <c r="F8835" s="1" t="s">
        <v>5637</v>
      </c>
      <c r="H8835" s="1" t="s">
        <v>5640</v>
      </c>
      <c r="J8835" s="1" t="s">
        <v>982</v>
      </c>
      <c r="L8835" s="1" t="s">
        <v>1865</v>
      </c>
      <c r="M8835" s="1" t="s">
        <v>1763</v>
      </c>
      <c r="N8835" s="1" t="s">
        <v>1761</v>
      </c>
      <c r="P8835" s="1" t="s">
        <v>554</v>
      </c>
      <c r="Q8835" s="30" t="s">
        <v>2567</v>
      </c>
      <c r="R8835" s="33" t="s">
        <v>3474</v>
      </c>
      <c r="S8835">
        <v>35</v>
      </c>
      <c r="T8835" s="1" t="s">
        <v>5416</v>
      </c>
      <c r="U8835" s="1" t="str">
        <f>HYPERLINK("http://ictvonline.org/taxonomy/p/taxonomy-history?taxnode_id=202102090","ICTVonline=202102090")</f>
        <v>ICTVonline=202102090</v>
      </c>
    </row>
    <row r="8836" spans="1:21" x14ac:dyDescent="0.2">
      <c r="A8836" s="3">
        <v>8835</v>
      </c>
      <c r="B8836" s="1" t="s">
        <v>4226</v>
      </c>
      <c r="D8836" s="1" t="s">
        <v>5412</v>
      </c>
      <c r="F8836" s="1" t="s">
        <v>5637</v>
      </c>
      <c r="H8836" s="1" t="s">
        <v>5640</v>
      </c>
      <c r="J8836" s="1" t="s">
        <v>982</v>
      </c>
      <c r="L8836" s="1" t="s">
        <v>1865</v>
      </c>
      <c r="M8836" s="1" t="s">
        <v>1763</v>
      </c>
      <c r="N8836" s="1" t="s">
        <v>1761</v>
      </c>
      <c r="P8836" s="1" t="s">
        <v>2049</v>
      </c>
      <c r="Q8836" s="30" t="s">
        <v>2567</v>
      </c>
      <c r="R8836" s="33" t="s">
        <v>3474</v>
      </c>
      <c r="S8836">
        <v>35</v>
      </c>
      <c r="T8836" s="1" t="s">
        <v>5416</v>
      </c>
      <c r="U8836" s="1" t="str">
        <f>HYPERLINK("http://ictvonline.org/taxonomy/p/taxonomy-history?taxnode_id=202102091","ICTVonline=202102091")</f>
        <v>ICTVonline=202102091</v>
      </c>
    </row>
    <row r="8837" spans="1:21" x14ac:dyDescent="0.2">
      <c r="A8837" s="3">
        <v>8836</v>
      </c>
      <c r="B8837" s="1" t="s">
        <v>4226</v>
      </c>
      <c r="D8837" s="1" t="s">
        <v>5412</v>
      </c>
      <c r="F8837" s="1" t="s">
        <v>5637</v>
      </c>
      <c r="H8837" s="1" t="s">
        <v>5640</v>
      </c>
      <c r="J8837" s="1" t="s">
        <v>982</v>
      </c>
      <c r="L8837" s="1" t="s">
        <v>1865</v>
      </c>
      <c r="M8837" s="1" t="s">
        <v>1763</v>
      </c>
      <c r="N8837" s="1" t="s">
        <v>1761</v>
      </c>
      <c r="P8837" s="1" t="s">
        <v>13728</v>
      </c>
      <c r="Q8837" s="30" t="s">
        <v>2567</v>
      </c>
      <c r="R8837" s="33" t="s">
        <v>3472</v>
      </c>
      <c r="S8837">
        <v>37</v>
      </c>
      <c r="T8837" s="1" t="s">
        <v>14062</v>
      </c>
      <c r="U8837" s="1" t="str">
        <f>HYPERLINK("http://ictvonline.org/taxonomy/p/taxonomy-history?taxnode_id=202113818","ICTVonline=202113818")</f>
        <v>ICTVonline=202113818</v>
      </c>
    </row>
    <row r="8838" spans="1:21" x14ac:dyDescent="0.2">
      <c r="A8838" s="3">
        <v>8837</v>
      </c>
      <c r="B8838" s="1" t="s">
        <v>4226</v>
      </c>
      <c r="D8838" s="1" t="s">
        <v>5412</v>
      </c>
      <c r="F8838" s="1" t="s">
        <v>5637</v>
      </c>
      <c r="H8838" s="1" t="s">
        <v>5640</v>
      </c>
      <c r="J8838" s="1" t="s">
        <v>982</v>
      </c>
      <c r="L8838" s="1" t="s">
        <v>1865</v>
      </c>
      <c r="M8838" s="1" t="s">
        <v>1763</v>
      </c>
      <c r="N8838" s="1" t="s">
        <v>1761</v>
      </c>
      <c r="P8838" s="1" t="s">
        <v>555</v>
      </c>
      <c r="Q8838" s="30" t="s">
        <v>2567</v>
      </c>
      <c r="R8838" s="33" t="s">
        <v>3474</v>
      </c>
      <c r="S8838">
        <v>35</v>
      </c>
      <c r="T8838" s="1" t="s">
        <v>5416</v>
      </c>
      <c r="U8838" s="1" t="str">
        <f>HYPERLINK("http://ictvonline.org/taxonomy/p/taxonomy-history?taxnode_id=202102092","ICTVonline=202102092")</f>
        <v>ICTVonline=202102092</v>
      </c>
    </row>
    <row r="8839" spans="1:21" x14ac:dyDescent="0.2">
      <c r="A8839" s="3">
        <v>8838</v>
      </c>
      <c r="B8839" s="1" t="s">
        <v>4226</v>
      </c>
      <c r="D8839" s="1" t="s">
        <v>5412</v>
      </c>
      <c r="F8839" s="1" t="s">
        <v>5637</v>
      </c>
      <c r="H8839" s="1" t="s">
        <v>5640</v>
      </c>
      <c r="J8839" s="1" t="s">
        <v>982</v>
      </c>
      <c r="L8839" s="1" t="s">
        <v>1865</v>
      </c>
      <c r="M8839" s="1" t="s">
        <v>1763</v>
      </c>
      <c r="N8839" s="1" t="s">
        <v>1761</v>
      </c>
      <c r="P8839" s="1" t="s">
        <v>3637</v>
      </c>
      <c r="Q8839" s="30" t="s">
        <v>2567</v>
      </c>
      <c r="R8839" s="33" t="s">
        <v>3474</v>
      </c>
      <c r="S8839">
        <v>35</v>
      </c>
      <c r="T8839" s="1" t="s">
        <v>5416</v>
      </c>
      <c r="U8839" s="1" t="str">
        <f>HYPERLINK("http://ictvonline.org/taxonomy/p/taxonomy-history?taxnode_id=202105626","ICTVonline=202105626")</f>
        <v>ICTVonline=202105626</v>
      </c>
    </row>
    <row r="8840" spans="1:21" x14ac:dyDescent="0.2">
      <c r="A8840" s="3">
        <v>8839</v>
      </c>
      <c r="B8840" s="1" t="s">
        <v>4226</v>
      </c>
      <c r="D8840" s="1" t="s">
        <v>5412</v>
      </c>
      <c r="F8840" s="1" t="s">
        <v>5637</v>
      </c>
      <c r="H8840" s="1" t="s">
        <v>5640</v>
      </c>
      <c r="J8840" s="1" t="s">
        <v>982</v>
      </c>
      <c r="L8840" s="1" t="s">
        <v>1865</v>
      </c>
      <c r="M8840" s="1" t="s">
        <v>1763</v>
      </c>
      <c r="N8840" s="1" t="s">
        <v>1761</v>
      </c>
      <c r="P8840" s="1" t="s">
        <v>860</v>
      </c>
      <c r="Q8840" s="30" t="s">
        <v>2567</v>
      </c>
      <c r="R8840" s="33" t="s">
        <v>3474</v>
      </c>
      <c r="S8840">
        <v>35</v>
      </c>
      <c r="T8840" s="1" t="s">
        <v>5416</v>
      </c>
      <c r="U8840" s="1" t="str">
        <f>HYPERLINK("http://ictvonline.org/taxonomy/p/taxonomy-history?taxnode_id=202102093","ICTVonline=202102093")</f>
        <v>ICTVonline=202102093</v>
      </c>
    </row>
    <row r="8841" spans="1:21" x14ac:dyDescent="0.2">
      <c r="A8841" s="3">
        <v>8840</v>
      </c>
      <c r="B8841" s="1" t="s">
        <v>4226</v>
      </c>
      <c r="D8841" s="1" t="s">
        <v>5412</v>
      </c>
      <c r="F8841" s="1" t="s">
        <v>5637</v>
      </c>
      <c r="H8841" s="1" t="s">
        <v>5640</v>
      </c>
      <c r="J8841" s="1" t="s">
        <v>982</v>
      </c>
      <c r="L8841" s="1" t="s">
        <v>1865</v>
      </c>
      <c r="M8841" s="1" t="s">
        <v>1763</v>
      </c>
      <c r="N8841" s="1" t="s">
        <v>1761</v>
      </c>
      <c r="P8841" s="1" t="s">
        <v>3638</v>
      </c>
      <c r="Q8841" s="30" t="s">
        <v>2567</v>
      </c>
      <c r="R8841" s="33" t="s">
        <v>3474</v>
      </c>
      <c r="S8841">
        <v>35</v>
      </c>
      <c r="T8841" s="1" t="s">
        <v>5416</v>
      </c>
      <c r="U8841" s="1" t="str">
        <f>HYPERLINK("http://ictvonline.org/taxonomy/p/taxonomy-history?taxnode_id=202105627","ICTVonline=202105627")</f>
        <v>ICTVonline=202105627</v>
      </c>
    </row>
    <row r="8842" spans="1:21" x14ac:dyDescent="0.2">
      <c r="A8842" s="3">
        <v>8841</v>
      </c>
      <c r="B8842" s="1" t="s">
        <v>4226</v>
      </c>
      <c r="D8842" s="1" t="s">
        <v>5412</v>
      </c>
      <c r="F8842" s="1" t="s">
        <v>5637</v>
      </c>
      <c r="H8842" s="1" t="s">
        <v>5640</v>
      </c>
      <c r="J8842" s="1" t="s">
        <v>982</v>
      </c>
      <c r="L8842" s="1" t="s">
        <v>1865</v>
      </c>
      <c r="M8842" s="1" t="s">
        <v>1763</v>
      </c>
      <c r="N8842" s="1" t="s">
        <v>1762</v>
      </c>
      <c r="P8842" s="1" t="s">
        <v>2790</v>
      </c>
      <c r="Q8842" s="30" t="s">
        <v>2567</v>
      </c>
      <c r="R8842" s="33" t="s">
        <v>3474</v>
      </c>
      <c r="S8842">
        <v>35</v>
      </c>
      <c r="T8842" s="1" t="s">
        <v>5416</v>
      </c>
      <c r="U8842" s="1" t="str">
        <f>HYPERLINK("http://ictvonline.org/taxonomy/p/taxonomy-history?taxnode_id=202102095","ICTVonline=202102095")</f>
        <v>ICTVonline=202102095</v>
      </c>
    </row>
    <row r="8843" spans="1:21" x14ac:dyDescent="0.2">
      <c r="A8843" s="3">
        <v>8842</v>
      </c>
      <c r="B8843" s="1" t="s">
        <v>4226</v>
      </c>
      <c r="D8843" s="1" t="s">
        <v>5412</v>
      </c>
      <c r="F8843" s="1" t="s">
        <v>5637</v>
      </c>
      <c r="H8843" s="1" t="s">
        <v>5640</v>
      </c>
      <c r="J8843" s="1" t="s">
        <v>982</v>
      </c>
      <c r="L8843" s="1" t="s">
        <v>1865</v>
      </c>
      <c r="M8843" s="1" t="s">
        <v>1763</v>
      </c>
      <c r="N8843" s="1" t="s">
        <v>1762</v>
      </c>
      <c r="P8843" s="1" t="s">
        <v>861</v>
      </c>
      <c r="Q8843" s="30" t="s">
        <v>2567</v>
      </c>
      <c r="R8843" s="33" t="s">
        <v>3474</v>
      </c>
      <c r="S8843">
        <v>35</v>
      </c>
      <c r="T8843" s="1" t="s">
        <v>5416</v>
      </c>
      <c r="U8843" s="1" t="str">
        <f>HYPERLINK("http://ictvonline.org/taxonomy/p/taxonomy-history?taxnode_id=202102096","ICTVonline=202102096")</f>
        <v>ICTVonline=202102096</v>
      </c>
    </row>
    <row r="8844" spans="1:21" x14ac:dyDescent="0.2">
      <c r="A8844" s="3">
        <v>8843</v>
      </c>
      <c r="B8844" s="1" t="s">
        <v>4226</v>
      </c>
      <c r="D8844" s="1" t="s">
        <v>5412</v>
      </c>
      <c r="F8844" s="1" t="s">
        <v>5637</v>
      </c>
      <c r="H8844" s="1" t="s">
        <v>5640</v>
      </c>
      <c r="J8844" s="1" t="s">
        <v>982</v>
      </c>
      <c r="L8844" s="1" t="s">
        <v>1865</v>
      </c>
      <c r="M8844" s="1" t="s">
        <v>1763</v>
      </c>
      <c r="N8844" s="1" t="s">
        <v>1762</v>
      </c>
      <c r="P8844" s="1" t="s">
        <v>862</v>
      </c>
      <c r="Q8844" s="30" t="s">
        <v>2567</v>
      </c>
      <c r="R8844" s="33" t="s">
        <v>3474</v>
      </c>
      <c r="S8844">
        <v>35</v>
      </c>
      <c r="T8844" s="1" t="s">
        <v>5416</v>
      </c>
      <c r="U8844" s="1" t="str">
        <f>HYPERLINK("http://ictvonline.org/taxonomy/p/taxonomy-history?taxnode_id=202102097","ICTVonline=202102097")</f>
        <v>ICTVonline=202102097</v>
      </c>
    </row>
    <row r="8845" spans="1:21" x14ac:dyDescent="0.2">
      <c r="A8845" s="3">
        <v>8844</v>
      </c>
      <c r="B8845" s="1" t="s">
        <v>4226</v>
      </c>
      <c r="D8845" s="1" t="s">
        <v>5412</v>
      </c>
      <c r="F8845" s="1" t="s">
        <v>5637</v>
      </c>
      <c r="H8845" s="1" t="s">
        <v>5640</v>
      </c>
      <c r="J8845" s="1" t="s">
        <v>982</v>
      </c>
      <c r="L8845" s="1" t="s">
        <v>1865</v>
      </c>
      <c r="M8845" s="1" t="s">
        <v>1763</v>
      </c>
      <c r="N8845" s="1" t="s">
        <v>1762</v>
      </c>
      <c r="P8845" s="1" t="s">
        <v>863</v>
      </c>
      <c r="Q8845" s="30" t="s">
        <v>2567</v>
      </c>
      <c r="R8845" s="33" t="s">
        <v>3474</v>
      </c>
      <c r="S8845">
        <v>35</v>
      </c>
      <c r="T8845" s="1" t="s">
        <v>5416</v>
      </c>
      <c r="U8845" s="1" t="str">
        <f>HYPERLINK("http://ictvonline.org/taxonomy/p/taxonomy-history?taxnode_id=202102098","ICTVonline=202102098")</f>
        <v>ICTVonline=202102098</v>
      </c>
    </row>
    <row r="8846" spans="1:21" x14ac:dyDescent="0.2">
      <c r="A8846" s="3">
        <v>8845</v>
      </c>
      <c r="B8846" s="1" t="s">
        <v>4226</v>
      </c>
      <c r="D8846" s="1" t="s">
        <v>5412</v>
      </c>
      <c r="F8846" s="1" t="s">
        <v>5637</v>
      </c>
      <c r="H8846" s="1" t="s">
        <v>5640</v>
      </c>
      <c r="J8846" s="1" t="s">
        <v>982</v>
      </c>
      <c r="L8846" s="1" t="s">
        <v>1865</v>
      </c>
      <c r="M8846" s="1" t="s">
        <v>1763</v>
      </c>
      <c r="N8846" s="1" t="s">
        <v>1762</v>
      </c>
      <c r="P8846" s="1" t="s">
        <v>557</v>
      </c>
      <c r="Q8846" s="30" t="s">
        <v>2567</v>
      </c>
      <c r="R8846" s="33" t="s">
        <v>3474</v>
      </c>
      <c r="S8846">
        <v>35</v>
      </c>
      <c r="T8846" s="1" t="s">
        <v>5416</v>
      </c>
      <c r="U8846" s="1" t="str">
        <f>HYPERLINK("http://ictvonline.org/taxonomy/p/taxonomy-history?taxnode_id=202102099","ICTVonline=202102099")</f>
        <v>ICTVonline=202102099</v>
      </c>
    </row>
    <row r="8847" spans="1:21" x14ac:dyDescent="0.2">
      <c r="A8847" s="3">
        <v>8846</v>
      </c>
      <c r="B8847" s="1" t="s">
        <v>4226</v>
      </c>
      <c r="D8847" s="1" t="s">
        <v>5412</v>
      </c>
      <c r="F8847" s="1" t="s">
        <v>5637</v>
      </c>
      <c r="H8847" s="1" t="s">
        <v>5640</v>
      </c>
      <c r="J8847" s="1" t="s">
        <v>982</v>
      </c>
      <c r="L8847" s="1" t="s">
        <v>1865</v>
      </c>
      <c r="M8847" s="1" t="s">
        <v>1763</v>
      </c>
      <c r="N8847" s="1" t="s">
        <v>1762</v>
      </c>
      <c r="P8847" s="1" t="s">
        <v>558</v>
      </c>
      <c r="Q8847" s="30" t="s">
        <v>2567</v>
      </c>
      <c r="R8847" s="33" t="s">
        <v>3474</v>
      </c>
      <c r="S8847">
        <v>35</v>
      </c>
      <c r="T8847" s="1" t="s">
        <v>5416</v>
      </c>
      <c r="U8847" s="1" t="str">
        <f>HYPERLINK("http://ictvonline.org/taxonomy/p/taxonomy-history?taxnode_id=202102100","ICTVonline=202102100")</f>
        <v>ICTVonline=202102100</v>
      </c>
    </row>
    <row r="8848" spans="1:21" x14ac:dyDescent="0.2">
      <c r="A8848" s="3">
        <v>8847</v>
      </c>
      <c r="B8848" s="1" t="s">
        <v>4226</v>
      </c>
      <c r="D8848" s="1" t="s">
        <v>5412</v>
      </c>
      <c r="F8848" s="1" t="s">
        <v>5637</v>
      </c>
      <c r="H8848" s="1" t="s">
        <v>5640</v>
      </c>
      <c r="J8848" s="1" t="s">
        <v>982</v>
      </c>
      <c r="L8848" s="1" t="s">
        <v>1865</v>
      </c>
      <c r="M8848" s="1" t="s">
        <v>1763</v>
      </c>
      <c r="N8848" s="1" t="s">
        <v>1762</v>
      </c>
      <c r="P8848" s="1" t="s">
        <v>559</v>
      </c>
      <c r="Q8848" s="30" t="s">
        <v>2567</v>
      </c>
      <c r="R8848" s="33" t="s">
        <v>3474</v>
      </c>
      <c r="S8848">
        <v>35</v>
      </c>
      <c r="T8848" s="1" t="s">
        <v>5416</v>
      </c>
      <c r="U8848" s="1" t="str">
        <f>HYPERLINK("http://ictvonline.org/taxonomy/p/taxonomy-history?taxnode_id=202102101","ICTVonline=202102101")</f>
        <v>ICTVonline=202102101</v>
      </c>
    </row>
    <row r="8849" spans="1:21" x14ac:dyDescent="0.2">
      <c r="A8849" s="3">
        <v>8848</v>
      </c>
      <c r="B8849" s="1" t="s">
        <v>4226</v>
      </c>
      <c r="D8849" s="1" t="s">
        <v>5412</v>
      </c>
      <c r="F8849" s="1" t="s">
        <v>5637</v>
      </c>
      <c r="H8849" s="1" t="s">
        <v>5640</v>
      </c>
      <c r="J8849" s="1" t="s">
        <v>982</v>
      </c>
      <c r="L8849" s="1" t="s">
        <v>1865</v>
      </c>
      <c r="M8849" s="1" t="s">
        <v>1763</v>
      </c>
      <c r="N8849" s="1" t="s">
        <v>1762</v>
      </c>
      <c r="P8849" s="1" t="s">
        <v>560</v>
      </c>
      <c r="Q8849" s="30" t="s">
        <v>2567</v>
      </c>
      <c r="R8849" s="33" t="s">
        <v>3474</v>
      </c>
      <c r="S8849">
        <v>35</v>
      </c>
      <c r="T8849" s="1" t="s">
        <v>5416</v>
      </c>
      <c r="U8849" s="1" t="str">
        <f>HYPERLINK("http://ictvonline.org/taxonomy/p/taxonomy-history?taxnode_id=202102102","ICTVonline=202102102")</f>
        <v>ICTVonline=202102102</v>
      </c>
    </row>
    <row r="8850" spans="1:21" x14ac:dyDescent="0.2">
      <c r="A8850" s="3">
        <v>8849</v>
      </c>
      <c r="B8850" s="1" t="s">
        <v>4226</v>
      </c>
      <c r="D8850" s="1" t="s">
        <v>5412</v>
      </c>
      <c r="F8850" s="1" t="s">
        <v>5637</v>
      </c>
      <c r="H8850" s="1" t="s">
        <v>5640</v>
      </c>
      <c r="J8850" s="1" t="s">
        <v>982</v>
      </c>
      <c r="L8850" s="1" t="s">
        <v>1865</v>
      </c>
      <c r="M8850" s="1" t="s">
        <v>1763</v>
      </c>
      <c r="N8850" s="1" t="s">
        <v>1762</v>
      </c>
      <c r="P8850" s="1" t="s">
        <v>561</v>
      </c>
      <c r="Q8850" s="30" t="s">
        <v>2567</v>
      </c>
      <c r="R8850" s="33" t="s">
        <v>3474</v>
      </c>
      <c r="S8850">
        <v>35</v>
      </c>
      <c r="T8850" s="1" t="s">
        <v>5416</v>
      </c>
      <c r="U8850" s="1" t="str">
        <f>HYPERLINK("http://ictvonline.org/taxonomy/p/taxonomy-history?taxnode_id=202102103","ICTVonline=202102103")</f>
        <v>ICTVonline=202102103</v>
      </c>
    </row>
    <row r="8851" spans="1:21" x14ac:dyDescent="0.2">
      <c r="A8851" s="3">
        <v>8850</v>
      </c>
      <c r="B8851" s="1" t="s">
        <v>4226</v>
      </c>
      <c r="D8851" s="1" t="s">
        <v>5412</v>
      </c>
      <c r="F8851" s="1" t="s">
        <v>5637</v>
      </c>
      <c r="H8851" s="1" t="s">
        <v>5640</v>
      </c>
      <c r="J8851" s="1" t="s">
        <v>982</v>
      </c>
      <c r="L8851" s="1" t="s">
        <v>1865</v>
      </c>
      <c r="M8851" s="1" t="s">
        <v>1763</v>
      </c>
      <c r="N8851" s="1" t="s">
        <v>1762</v>
      </c>
      <c r="P8851" s="1" t="s">
        <v>2050</v>
      </c>
      <c r="Q8851" s="30" t="s">
        <v>2567</v>
      </c>
      <c r="R8851" s="33" t="s">
        <v>3474</v>
      </c>
      <c r="S8851">
        <v>35</v>
      </c>
      <c r="T8851" s="1" t="s">
        <v>5416</v>
      </c>
      <c r="U8851" s="1" t="str">
        <f>HYPERLINK("http://ictvonline.org/taxonomy/p/taxonomy-history?taxnode_id=202102104","ICTVonline=202102104")</f>
        <v>ICTVonline=202102104</v>
      </c>
    </row>
    <row r="8852" spans="1:21" x14ac:dyDescent="0.2">
      <c r="A8852" s="3">
        <v>8851</v>
      </c>
      <c r="B8852" s="1" t="s">
        <v>4226</v>
      </c>
      <c r="D8852" s="1" t="s">
        <v>5412</v>
      </c>
      <c r="F8852" s="1" t="s">
        <v>5637</v>
      </c>
      <c r="H8852" s="1" t="s">
        <v>5640</v>
      </c>
      <c r="J8852" s="1" t="s">
        <v>982</v>
      </c>
      <c r="L8852" s="1" t="s">
        <v>1865</v>
      </c>
      <c r="M8852" s="1" t="s">
        <v>1763</v>
      </c>
      <c r="N8852" s="1" t="s">
        <v>1762</v>
      </c>
      <c r="P8852" s="1" t="s">
        <v>562</v>
      </c>
      <c r="Q8852" s="30" t="s">
        <v>2567</v>
      </c>
      <c r="R8852" s="33" t="s">
        <v>3474</v>
      </c>
      <c r="S8852">
        <v>35</v>
      </c>
      <c r="T8852" s="1" t="s">
        <v>5416</v>
      </c>
      <c r="U8852" s="1" t="str">
        <f>HYPERLINK("http://ictvonline.org/taxonomy/p/taxonomy-history?taxnode_id=202102105","ICTVonline=202102105")</f>
        <v>ICTVonline=202102105</v>
      </c>
    </row>
    <row r="8853" spans="1:21" x14ac:dyDescent="0.2">
      <c r="A8853" s="3">
        <v>8852</v>
      </c>
      <c r="B8853" s="1" t="s">
        <v>4226</v>
      </c>
      <c r="D8853" s="1" t="s">
        <v>5412</v>
      </c>
      <c r="F8853" s="1" t="s">
        <v>5637</v>
      </c>
      <c r="H8853" s="1" t="s">
        <v>5640</v>
      </c>
      <c r="J8853" s="1" t="s">
        <v>982</v>
      </c>
      <c r="L8853" s="1" t="s">
        <v>1865</v>
      </c>
      <c r="M8853" s="1" t="s">
        <v>1763</v>
      </c>
      <c r="N8853" s="1" t="s">
        <v>1762</v>
      </c>
      <c r="P8853" s="1" t="s">
        <v>563</v>
      </c>
      <c r="Q8853" s="30" t="s">
        <v>2567</v>
      </c>
      <c r="R8853" s="33" t="s">
        <v>3474</v>
      </c>
      <c r="S8853">
        <v>35</v>
      </c>
      <c r="T8853" s="1" t="s">
        <v>5416</v>
      </c>
      <c r="U8853" s="1" t="str">
        <f>HYPERLINK("http://ictvonline.org/taxonomy/p/taxonomy-history?taxnode_id=202102106","ICTVonline=202102106")</f>
        <v>ICTVonline=202102106</v>
      </c>
    </row>
    <row r="8854" spans="1:21" x14ac:dyDescent="0.2">
      <c r="A8854" s="3">
        <v>8853</v>
      </c>
      <c r="B8854" s="1" t="s">
        <v>4226</v>
      </c>
      <c r="D8854" s="1" t="s">
        <v>5412</v>
      </c>
      <c r="F8854" s="1" t="s">
        <v>5637</v>
      </c>
      <c r="H8854" s="1" t="s">
        <v>5640</v>
      </c>
      <c r="J8854" s="1" t="s">
        <v>982</v>
      </c>
      <c r="L8854" s="1" t="s">
        <v>1865</v>
      </c>
      <c r="M8854" s="1" t="s">
        <v>1763</v>
      </c>
      <c r="N8854" s="1" t="s">
        <v>1762</v>
      </c>
      <c r="P8854" s="1" t="s">
        <v>564</v>
      </c>
      <c r="Q8854" s="30" t="s">
        <v>2567</v>
      </c>
      <c r="R8854" s="33" t="s">
        <v>3474</v>
      </c>
      <c r="S8854">
        <v>35</v>
      </c>
      <c r="T8854" s="1" t="s">
        <v>5416</v>
      </c>
      <c r="U8854" s="1" t="str">
        <f>HYPERLINK("http://ictvonline.org/taxonomy/p/taxonomy-history?taxnode_id=202102107","ICTVonline=202102107")</f>
        <v>ICTVonline=202102107</v>
      </c>
    </row>
    <row r="8855" spans="1:21" x14ac:dyDescent="0.2">
      <c r="A8855" s="3">
        <v>8854</v>
      </c>
      <c r="B8855" s="1" t="s">
        <v>4226</v>
      </c>
      <c r="D8855" s="1" t="s">
        <v>5412</v>
      </c>
      <c r="F8855" s="1" t="s">
        <v>5637</v>
      </c>
      <c r="H8855" s="1" t="s">
        <v>5640</v>
      </c>
      <c r="J8855" s="1" t="s">
        <v>982</v>
      </c>
      <c r="L8855" s="1" t="s">
        <v>1865</v>
      </c>
      <c r="M8855" s="1" t="s">
        <v>1763</v>
      </c>
      <c r="N8855" s="1" t="s">
        <v>1762</v>
      </c>
      <c r="P8855" s="1" t="s">
        <v>1611</v>
      </c>
      <c r="Q8855" s="30" t="s">
        <v>2567</v>
      </c>
      <c r="R8855" s="33" t="s">
        <v>3474</v>
      </c>
      <c r="S8855">
        <v>35</v>
      </c>
      <c r="T8855" s="1" t="s">
        <v>5416</v>
      </c>
      <c r="U8855" s="1" t="str">
        <f>HYPERLINK("http://ictvonline.org/taxonomy/p/taxonomy-history?taxnode_id=202102108","ICTVonline=202102108")</f>
        <v>ICTVonline=202102108</v>
      </c>
    </row>
    <row r="8856" spans="1:21" x14ac:dyDescent="0.2">
      <c r="A8856" s="3">
        <v>8855</v>
      </c>
      <c r="B8856" s="1" t="s">
        <v>4226</v>
      </c>
      <c r="D8856" s="1" t="s">
        <v>5412</v>
      </c>
      <c r="F8856" s="1" t="s">
        <v>5637</v>
      </c>
      <c r="H8856" s="1" t="s">
        <v>5640</v>
      </c>
      <c r="J8856" s="1" t="s">
        <v>982</v>
      </c>
      <c r="L8856" s="1" t="s">
        <v>1865</v>
      </c>
      <c r="M8856" s="1" t="s">
        <v>1763</v>
      </c>
      <c r="N8856" s="1" t="s">
        <v>1762</v>
      </c>
      <c r="P8856" s="1" t="s">
        <v>1612</v>
      </c>
      <c r="Q8856" s="30" t="s">
        <v>2567</v>
      </c>
      <c r="R8856" s="33" t="s">
        <v>3474</v>
      </c>
      <c r="S8856">
        <v>35</v>
      </c>
      <c r="T8856" s="1" t="s">
        <v>5416</v>
      </c>
      <c r="U8856" s="1" t="str">
        <f>HYPERLINK("http://ictvonline.org/taxonomy/p/taxonomy-history?taxnode_id=202102109","ICTVonline=202102109")</f>
        <v>ICTVonline=202102109</v>
      </c>
    </row>
    <row r="8857" spans="1:21" x14ac:dyDescent="0.2">
      <c r="A8857" s="3">
        <v>8856</v>
      </c>
      <c r="B8857" s="1" t="s">
        <v>4226</v>
      </c>
      <c r="D8857" s="1" t="s">
        <v>5412</v>
      </c>
      <c r="F8857" s="1" t="s">
        <v>5637</v>
      </c>
      <c r="H8857" s="1" t="s">
        <v>5640</v>
      </c>
      <c r="J8857" s="1" t="s">
        <v>982</v>
      </c>
      <c r="L8857" s="1" t="s">
        <v>1865</v>
      </c>
      <c r="M8857" s="1" t="s">
        <v>1763</v>
      </c>
      <c r="N8857" s="1" t="s">
        <v>1762</v>
      </c>
      <c r="P8857" s="1" t="s">
        <v>1613</v>
      </c>
      <c r="Q8857" s="30" t="s">
        <v>2567</v>
      </c>
      <c r="R8857" s="33" t="s">
        <v>3474</v>
      </c>
      <c r="S8857">
        <v>35</v>
      </c>
      <c r="T8857" s="1" t="s">
        <v>5416</v>
      </c>
      <c r="U8857" s="1" t="str">
        <f>HYPERLINK("http://ictvonline.org/taxonomy/p/taxonomy-history?taxnode_id=202102110","ICTVonline=202102110")</f>
        <v>ICTVonline=202102110</v>
      </c>
    </row>
    <row r="8858" spans="1:21" x14ac:dyDescent="0.2">
      <c r="A8858" s="3">
        <v>8857</v>
      </c>
      <c r="B8858" s="1" t="s">
        <v>4226</v>
      </c>
      <c r="D8858" s="1" t="s">
        <v>5412</v>
      </c>
      <c r="F8858" s="1" t="s">
        <v>5637</v>
      </c>
      <c r="H8858" s="1" t="s">
        <v>5640</v>
      </c>
      <c r="J8858" s="1" t="s">
        <v>982</v>
      </c>
      <c r="L8858" s="1" t="s">
        <v>1865</v>
      </c>
      <c r="M8858" s="1" t="s">
        <v>1763</v>
      </c>
      <c r="N8858" s="1" t="s">
        <v>1762</v>
      </c>
      <c r="P8858" s="1" t="s">
        <v>1614</v>
      </c>
      <c r="Q8858" s="30" t="s">
        <v>2567</v>
      </c>
      <c r="R8858" s="33" t="s">
        <v>3474</v>
      </c>
      <c r="S8858">
        <v>35</v>
      </c>
      <c r="T8858" s="1" t="s">
        <v>5416</v>
      </c>
      <c r="U8858" s="1" t="str">
        <f>HYPERLINK("http://ictvonline.org/taxonomy/p/taxonomy-history?taxnode_id=202102111","ICTVonline=202102111")</f>
        <v>ICTVonline=202102111</v>
      </c>
    </row>
    <row r="8859" spans="1:21" x14ac:dyDescent="0.2">
      <c r="A8859" s="3">
        <v>8858</v>
      </c>
      <c r="B8859" s="1" t="s">
        <v>4226</v>
      </c>
      <c r="D8859" s="1" t="s">
        <v>5412</v>
      </c>
      <c r="F8859" s="1" t="s">
        <v>5637</v>
      </c>
      <c r="H8859" s="1" t="s">
        <v>5640</v>
      </c>
      <c r="J8859" s="1" t="s">
        <v>982</v>
      </c>
      <c r="L8859" s="1" t="s">
        <v>1865</v>
      </c>
      <c r="M8859" s="1" t="s">
        <v>1763</v>
      </c>
      <c r="N8859" s="1" t="s">
        <v>1762</v>
      </c>
      <c r="P8859" s="1" t="s">
        <v>1615</v>
      </c>
      <c r="Q8859" s="30" t="s">
        <v>2567</v>
      </c>
      <c r="R8859" s="33" t="s">
        <v>3474</v>
      </c>
      <c r="S8859">
        <v>35</v>
      </c>
      <c r="T8859" s="1" t="s">
        <v>5416</v>
      </c>
      <c r="U8859" s="1" t="str">
        <f>HYPERLINK("http://ictvonline.org/taxonomy/p/taxonomy-history?taxnode_id=202102112","ICTVonline=202102112")</f>
        <v>ICTVonline=202102112</v>
      </c>
    </row>
    <row r="8860" spans="1:21" x14ac:dyDescent="0.2">
      <c r="A8860" s="3">
        <v>8859</v>
      </c>
      <c r="B8860" s="1" t="s">
        <v>4226</v>
      </c>
      <c r="D8860" s="1" t="s">
        <v>5412</v>
      </c>
      <c r="F8860" s="1" t="s">
        <v>5637</v>
      </c>
      <c r="H8860" s="1" t="s">
        <v>5640</v>
      </c>
      <c r="J8860" s="1" t="s">
        <v>982</v>
      </c>
      <c r="L8860" s="1" t="s">
        <v>1865</v>
      </c>
      <c r="M8860" s="1" t="s">
        <v>1763</v>
      </c>
      <c r="N8860" s="1" t="s">
        <v>1762</v>
      </c>
      <c r="P8860" s="1" t="s">
        <v>1616</v>
      </c>
      <c r="Q8860" s="30" t="s">
        <v>2567</v>
      </c>
      <c r="R8860" s="33" t="s">
        <v>3474</v>
      </c>
      <c r="S8860">
        <v>35</v>
      </c>
      <c r="T8860" s="1" t="s">
        <v>5416</v>
      </c>
      <c r="U8860" s="1" t="str">
        <f>HYPERLINK("http://ictvonline.org/taxonomy/p/taxonomy-history?taxnode_id=202102113","ICTVonline=202102113")</f>
        <v>ICTVonline=202102113</v>
      </c>
    </row>
    <row r="8861" spans="1:21" x14ac:dyDescent="0.2">
      <c r="A8861" s="3">
        <v>8860</v>
      </c>
      <c r="B8861" s="1" t="s">
        <v>4226</v>
      </c>
      <c r="D8861" s="1" t="s">
        <v>5412</v>
      </c>
      <c r="F8861" s="1" t="s">
        <v>5637</v>
      </c>
      <c r="H8861" s="1" t="s">
        <v>5640</v>
      </c>
      <c r="J8861" s="1" t="s">
        <v>982</v>
      </c>
      <c r="L8861" s="1" t="s">
        <v>1865</v>
      </c>
      <c r="M8861" s="1" t="s">
        <v>1763</v>
      </c>
      <c r="N8861" s="1" t="s">
        <v>1762</v>
      </c>
      <c r="P8861" s="1" t="s">
        <v>1617</v>
      </c>
      <c r="Q8861" s="30" t="s">
        <v>2567</v>
      </c>
      <c r="R8861" s="33" t="s">
        <v>3474</v>
      </c>
      <c r="S8861">
        <v>35</v>
      </c>
      <c r="T8861" s="1" t="s">
        <v>5416</v>
      </c>
      <c r="U8861" s="1" t="str">
        <f>HYPERLINK("http://ictvonline.org/taxonomy/p/taxonomy-history?taxnode_id=202102114","ICTVonline=202102114")</f>
        <v>ICTVonline=202102114</v>
      </c>
    </row>
    <row r="8862" spans="1:21" x14ac:dyDescent="0.2">
      <c r="A8862" s="3">
        <v>8861</v>
      </c>
      <c r="B8862" s="1" t="s">
        <v>4226</v>
      </c>
      <c r="D8862" s="1" t="s">
        <v>5412</v>
      </c>
      <c r="F8862" s="1" t="s">
        <v>5637</v>
      </c>
      <c r="H8862" s="1" t="s">
        <v>5640</v>
      </c>
      <c r="J8862" s="1" t="s">
        <v>982</v>
      </c>
      <c r="L8862" s="1" t="s">
        <v>1865</v>
      </c>
      <c r="M8862" s="1" t="s">
        <v>1763</v>
      </c>
      <c r="N8862" s="1" t="s">
        <v>1762</v>
      </c>
      <c r="P8862" s="1" t="s">
        <v>1618</v>
      </c>
      <c r="Q8862" s="30" t="s">
        <v>2567</v>
      </c>
      <c r="R8862" s="33" t="s">
        <v>3474</v>
      </c>
      <c r="S8862">
        <v>35</v>
      </c>
      <c r="T8862" s="1" t="s">
        <v>5416</v>
      </c>
      <c r="U8862" s="1" t="str">
        <f>HYPERLINK("http://ictvonline.org/taxonomy/p/taxonomy-history?taxnode_id=202102115","ICTVonline=202102115")</f>
        <v>ICTVonline=202102115</v>
      </c>
    </row>
    <row r="8863" spans="1:21" x14ac:dyDescent="0.2">
      <c r="A8863" s="3">
        <v>8862</v>
      </c>
      <c r="B8863" s="1" t="s">
        <v>4226</v>
      </c>
      <c r="D8863" s="1" t="s">
        <v>5412</v>
      </c>
      <c r="F8863" s="1" t="s">
        <v>5637</v>
      </c>
      <c r="H8863" s="1" t="s">
        <v>5640</v>
      </c>
      <c r="J8863" s="1" t="s">
        <v>982</v>
      </c>
      <c r="L8863" s="1" t="s">
        <v>1865</v>
      </c>
      <c r="M8863" s="1" t="s">
        <v>1763</v>
      </c>
      <c r="N8863" s="1" t="s">
        <v>1762</v>
      </c>
      <c r="P8863" s="1" t="s">
        <v>1619</v>
      </c>
      <c r="Q8863" s="30" t="s">
        <v>2567</v>
      </c>
      <c r="R8863" s="33" t="s">
        <v>3474</v>
      </c>
      <c r="S8863">
        <v>35</v>
      </c>
      <c r="T8863" s="1" t="s">
        <v>5416</v>
      </c>
      <c r="U8863" s="1" t="str">
        <f>HYPERLINK("http://ictvonline.org/taxonomy/p/taxonomy-history?taxnode_id=202102116","ICTVonline=202102116")</f>
        <v>ICTVonline=202102116</v>
      </c>
    </row>
    <row r="8864" spans="1:21" x14ac:dyDescent="0.2">
      <c r="A8864" s="3">
        <v>8863</v>
      </c>
      <c r="B8864" s="1" t="s">
        <v>4226</v>
      </c>
      <c r="D8864" s="1" t="s">
        <v>5412</v>
      </c>
      <c r="F8864" s="1" t="s">
        <v>5637</v>
      </c>
      <c r="H8864" s="1" t="s">
        <v>5640</v>
      </c>
      <c r="J8864" s="1" t="s">
        <v>982</v>
      </c>
      <c r="L8864" s="1" t="s">
        <v>1865</v>
      </c>
      <c r="M8864" s="1" t="s">
        <v>1763</v>
      </c>
      <c r="N8864" s="1" t="s">
        <v>1762</v>
      </c>
      <c r="P8864" s="1" t="s">
        <v>1620</v>
      </c>
      <c r="Q8864" s="30" t="s">
        <v>2567</v>
      </c>
      <c r="R8864" s="33" t="s">
        <v>3474</v>
      </c>
      <c r="S8864">
        <v>35</v>
      </c>
      <c r="T8864" s="1" t="s">
        <v>5416</v>
      </c>
      <c r="U8864" s="1" t="str">
        <f>HYPERLINK("http://ictvonline.org/taxonomy/p/taxonomy-history?taxnode_id=202102117","ICTVonline=202102117")</f>
        <v>ICTVonline=202102117</v>
      </c>
    </row>
    <row r="8865" spans="1:21" x14ac:dyDescent="0.2">
      <c r="A8865" s="3">
        <v>8864</v>
      </c>
      <c r="B8865" s="1" t="s">
        <v>4226</v>
      </c>
      <c r="D8865" s="1" t="s">
        <v>5412</v>
      </c>
      <c r="F8865" s="1" t="s">
        <v>5637</v>
      </c>
      <c r="H8865" s="1" t="s">
        <v>5640</v>
      </c>
      <c r="J8865" s="1" t="s">
        <v>982</v>
      </c>
      <c r="L8865" s="1" t="s">
        <v>1865</v>
      </c>
      <c r="M8865" s="1" t="s">
        <v>1763</v>
      </c>
      <c r="N8865" s="1" t="s">
        <v>1762</v>
      </c>
      <c r="P8865" s="1" t="s">
        <v>1621</v>
      </c>
      <c r="Q8865" s="30" t="s">
        <v>2567</v>
      </c>
      <c r="R8865" s="33" t="s">
        <v>3474</v>
      </c>
      <c r="S8865">
        <v>35</v>
      </c>
      <c r="T8865" s="1" t="s">
        <v>5416</v>
      </c>
      <c r="U8865" s="1" t="str">
        <f>HYPERLINK("http://ictvonline.org/taxonomy/p/taxonomy-history?taxnode_id=202102118","ICTVonline=202102118")</f>
        <v>ICTVonline=202102118</v>
      </c>
    </row>
    <row r="8866" spans="1:21" x14ac:dyDescent="0.2">
      <c r="A8866" s="3">
        <v>8865</v>
      </c>
      <c r="B8866" s="1" t="s">
        <v>4226</v>
      </c>
      <c r="D8866" s="1" t="s">
        <v>5412</v>
      </c>
      <c r="F8866" s="1" t="s">
        <v>5637</v>
      </c>
      <c r="H8866" s="1" t="s">
        <v>5640</v>
      </c>
      <c r="J8866" s="1" t="s">
        <v>982</v>
      </c>
      <c r="L8866" s="1" t="s">
        <v>1865</v>
      </c>
      <c r="M8866" s="1" t="s">
        <v>1763</v>
      </c>
      <c r="N8866" s="1" t="s">
        <v>1762</v>
      </c>
      <c r="P8866" s="1" t="s">
        <v>1622</v>
      </c>
      <c r="Q8866" s="30" t="s">
        <v>2567</v>
      </c>
      <c r="R8866" s="33" t="s">
        <v>3474</v>
      </c>
      <c r="S8866">
        <v>35</v>
      </c>
      <c r="T8866" s="1" t="s">
        <v>5416</v>
      </c>
      <c r="U8866" s="1" t="str">
        <f>HYPERLINK("http://ictvonline.org/taxonomy/p/taxonomy-history?taxnode_id=202102119","ICTVonline=202102119")</f>
        <v>ICTVonline=202102119</v>
      </c>
    </row>
    <row r="8867" spans="1:21" x14ac:dyDescent="0.2">
      <c r="A8867" s="3">
        <v>8866</v>
      </c>
      <c r="B8867" s="1" t="s">
        <v>4226</v>
      </c>
      <c r="D8867" s="1" t="s">
        <v>5412</v>
      </c>
      <c r="F8867" s="1" t="s">
        <v>5637</v>
      </c>
      <c r="H8867" s="1" t="s">
        <v>5640</v>
      </c>
      <c r="J8867" s="1" t="s">
        <v>982</v>
      </c>
      <c r="L8867" s="1" t="s">
        <v>1865</v>
      </c>
      <c r="M8867" s="1" t="s">
        <v>1763</v>
      </c>
      <c r="N8867" s="1" t="s">
        <v>1762</v>
      </c>
      <c r="P8867" s="1" t="s">
        <v>1623</v>
      </c>
      <c r="Q8867" s="30" t="s">
        <v>2567</v>
      </c>
      <c r="R8867" s="33" t="s">
        <v>3474</v>
      </c>
      <c r="S8867">
        <v>35</v>
      </c>
      <c r="T8867" s="1" t="s">
        <v>5416</v>
      </c>
      <c r="U8867" s="1" t="str">
        <f>HYPERLINK("http://ictvonline.org/taxonomy/p/taxonomy-history?taxnode_id=202102120","ICTVonline=202102120")</f>
        <v>ICTVonline=202102120</v>
      </c>
    </row>
    <row r="8868" spans="1:21" x14ac:dyDescent="0.2">
      <c r="A8868" s="3">
        <v>8867</v>
      </c>
      <c r="B8868" s="1" t="s">
        <v>4226</v>
      </c>
      <c r="D8868" s="1" t="s">
        <v>5412</v>
      </c>
      <c r="F8868" s="1" t="s">
        <v>5637</v>
      </c>
      <c r="H8868" s="1" t="s">
        <v>5640</v>
      </c>
      <c r="J8868" s="1" t="s">
        <v>982</v>
      </c>
      <c r="L8868" s="1" t="s">
        <v>1865</v>
      </c>
      <c r="M8868" s="1" t="s">
        <v>1763</v>
      </c>
      <c r="N8868" s="1" t="s">
        <v>1762</v>
      </c>
      <c r="P8868" s="1" t="s">
        <v>5</v>
      </c>
      <c r="Q8868" s="30" t="s">
        <v>2567</v>
      </c>
      <c r="R8868" s="33" t="s">
        <v>3474</v>
      </c>
      <c r="S8868">
        <v>35</v>
      </c>
      <c r="T8868" s="1" t="s">
        <v>5416</v>
      </c>
      <c r="U8868" s="1" t="str">
        <f>HYPERLINK("http://ictvonline.org/taxonomy/p/taxonomy-history?taxnode_id=202102121","ICTVonline=202102121")</f>
        <v>ICTVonline=202102121</v>
      </c>
    </row>
    <row r="8869" spans="1:21" x14ac:dyDescent="0.2">
      <c r="A8869" s="3">
        <v>8868</v>
      </c>
      <c r="B8869" s="1" t="s">
        <v>4226</v>
      </c>
      <c r="D8869" s="1" t="s">
        <v>5412</v>
      </c>
      <c r="F8869" s="1" t="s">
        <v>5637</v>
      </c>
      <c r="H8869" s="1" t="s">
        <v>5640</v>
      </c>
      <c r="J8869" s="1" t="s">
        <v>982</v>
      </c>
      <c r="L8869" s="1" t="s">
        <v>1865</v>
      </c>
      <c r="M8869" s="1" t="s">
        <v>1763</v>
      </c>
      <c r="N8869" s="1" t="s">
        <v>1762</v>
      </c>
      <c r="P8869" s="1" t="s">
        <v>2791</v>
      </c>
      <c r="Q8869" s="30" t="s">
        <v>2567</v>
      </c>
      <c r="R8869" s="33" t="s">
        <v>3474</v>
      </c>
      <c r="S8869">
        <v>35</v>
      </c>
      <c r="T8869" s="1" t="s">
        <v>5416</v>
      </c>
      <c r="U8869" s="1" t="str">
        <f>HYPERLINK("http://ictvonline.org/taxonomy/p/taxonomy-history?taxnode_id=202102122","ICTVonline=202102122")</f>
        <v>ICTVonline=202102122</v>
      </c>
    </row>
    <row r="8870" spans="1:21" x14ac:dyDescent="0.2">
      <c r="A8870" s="3">
        <v>8869</v>
      </c>
      <c r="B8870" s="1" t="s">
        <v>4226</v>
      </c>
      <c r="D8870" s="1" t="s">
        <v>5412</v>
      </c>
      <c r="F8870" s="1" t="s">
        <v>5637</v>
      </c>
      <c r="H8870" s="1" t="s">
        <v>5640</v>
      </c>
      <c r="J8870" s="1" t="s">
        <v>982</v>
      </c>
      <c r="L8870" s="1" t="s">
        <v>1865</v>
      </c>
      <c r="M8870" s="1" t="s">
        <v>1763</v>
      </c>
      <c r="N8870" s="1" t="s">
        <v>1762</v>
      </c>
      <c r="P8870" s="1" t="s">
        <v>1624</v>
      </c>
      <c r="Q8870" s="30" t="s">
        <v>2567</v>
      </c>
      <c r="R8870" s="33" t="s">
        <v>3474</v>
      </c>
      <c r="S8870">
        <v>35</v>
      </c>
      <c r="T8870" s="1" t="s">
        <v>5416</v>
      </c>
      <c r="U8870" s="1" t="str">
        <f>HYPERLINK("http://ictvonline.org/taxonomy/p/taxonomy-history?taxnode_id=202102123","ICTVonline=202102123")</f>
        <v>ICTVonline=202102123</v>
      </c>
    </row>
    <row r="8871" spans="1:21" x14ac:dyDescent="0.2">
      <c r="A8871" s="3">
        <v>8870</v>
      </c>
      <c r="B8871" s="1" t="s">
        <v>4226</v>
      </c>
      <c r="D8871" s="1" t="s">
        <v>5412</v>
      </c>
      <c r="F8871" s="1" t="s">
        <v>5637</v>
      </c>
      <c r="H8871" s="1" t="s">
        <v>5640</v>
      </c>
      <c r="J8871" s="1" t="s">
        <v>982</v>
      </c>
      <c r="L8871" s="1" t="s">
        <v>1865</v>
      </c>
      <c r="M8871" s="1" t="s">
        <v>1763</v>
      </c>
      <c r="N8871" s="1" t="s">
        <v>1762</v>
      </c>
      <c r="P8871" s="1" t="s">
        <v>1625</v>
      </c>
      <c r="Q8871" s="30" t="s">
        <v>2567</v>
      </c>
      <c r="R8871" s="33" t="s">
        <v>3474</v>
      </c>
      <c r="S8871">
        <v>35</v>
      </c>
      <c r="T8871" s="1" t="s">
        <v>5416</v>
      </c>
      <c r="U8871" s="1" t="str">
        <f>HYPERLINK("http://ictvonline.org/taxonomy/p/taxonomy-history?taxnode_id=202102124","ICTVonline=202102124")</f>
        <v>ICTVonline=202102124</v>
      </c>
    </row>
    <row r="8872" spans="1:21" x14ac:dyDescent="0.2">
      <c r="A8872" s="3">
        <v>8871</v>
      </c>
      <c r="B8872" s="1" t="s">
        <v>4226</v>
      </c>
      <c r="D8872" s="1" t="s">
        <v>5412</v>
      </c>
      <c r="F8872" s="1" t="s">
        <v>5637</v>
      </c>
      <c r="H8872" s="1" t="s">
        <v>5640</v>
      </c>
      <c r="J8872" s="1" t="s">
        <v>982</v>
      </c>
      <c r="L8872" s="1" t="s">
        <v>1865</v>
      </c>
      <c r="M8872" s="1" t="s">
        <v>1763</v>
      </c>
      <c r="N8872" s="1" t="s">
        <v>1762</v>
      </c>
      <c r="P8872" s="1" t="s">
        <v>13729</v>
      </c>
      <c r="Q8872" s="30" t="s">
        <v>2567</v>
      </c>
      <c r="R8872" s="33" t="s">
        <v>3472</v>
      </c>
      <c r="S8872">
        <v>37</v>
      </c>
      <c r="T8872" s="1" t="s">
        <v>14062</v>
      </c>
      <c r="U8872" s="1" t="str">
        <f>HYPERLINK("http://ictvonline.org/taxonomy/p/taxonomy-history?taxnode_id=202112972","ICTVonline=202112972")</f>
        <v>ICTVonline=202112972</v>
      </c>
    </row>
    <row r="8873" spans="1:21" x14ac:dyDescent="0.2">
      <c r="A8873" s="3">
        <v>8872</v>
      </c>
      <c r="B8873" s="1" t="s">
        <v>4226</v>
      </c>
      <c r="D8873" s="1" t="s">
        <v>5412</v>
      </c>
      <c r="F8873" s="1" t="s">
        <v>5637</v>
      </c>
      <c r="H8873" s="1" t="s">
        <v>5640</v>
      </c>
      <c r="J8873" s="1" t="s">
        <v>982</v>
      </c>
      <c r="L8873" s="1" t="s">
        <v>1865</v>
      </c>
      <c r="M8873" s="1" t="s">
        <v>1763</v>
      </c>
      <c r="N8873" s="1" t="s">
        <v>1762</v>
      </c>
      <c r="P8873" s="1" t="s">
        <v>13730</v>
      </c>
      <c r="Q8873" s="30" t="s">
        <v>2567</v>
      </c>
      <c r="R8873" s="33" t="s">
        <v>3472</v>
      </c>
      <c r="S8873">
        <v>37</v>
      </c>
      <c r="T8873" s="1" t="s">
        <v>14062</v>
      </c>
      <c r="U8873" s="1" t="str">
        <f>HYPERLINK("http://ictvonline.org/taxonomy/p/taxonomy-history?taxnode_id=202113817","ICTVonline=202113817")</f>
        <v>ICTVonline=202113817</v>
      </c>
    </row>
    <row r="8874" spans="1:21" x14ac:dyDescent="0.2">
      <c r="A8874" s="3">
        <v>8873</v>
      </c>
      <c r="B8874" s="1" t="s">
        <v>4226</v>
      </c>
      <c r="D8874" s="1" t="s">
        <v>5412</v>
      </c>
      <c r="F8874" s="1" t="s">
        <v>5637</v>
      </c>
      <c r="H8874" s="1" t="s">
        <v>5640</v>
      </c>
      <c r="J8874" s="1" t="s">
        <v>982</v>
      </c>
      <c r="L8874" s="1" t="s">
        <v>1865</v>
      </c>
      <c r="M8874" s="1" t="s">
        <v>1763</v>
      </c>
      <c r="N8874" s="1" t="s">
        <v>1762</v>
      </c>
      <c r="P8874" s="1" t="s">
        <v>13731</v>
      </c>
      <c r="Q8874" s="30" t="s">
        <v>2567</v>
      </c>
      <c r="R8874" s="33" t="s">
        <v>3472</v>
      </c>
      <c r="S8874">
        <v>37</v>
      </c>
      <c r="T8874" s="1" t="s">
        <v>14062</v>
      </c>
      <c r="U8874" s="1" t="str">
        <f>HYPERLINK("http://ictvonline.org/taxonomy/p/taxonomy-history?taxnode_id=202113816","ICTVonline=202113816")</f>
        <v>ICTVonline=202113816</v>
      </c>
    </row>
    <row r="8875" spans="1:21" x14ac:dyDescent="0.2">
      <c r="A8875" s="3">
        <v>8874</v>
      </c>
      <c r="B8875" s="1" t="s">
        <v>4226</v>
      </c>
      <c r="D8875" s="1" t="s">
        <v>5412</v>
      </c>
      <c r="F8875" s="1" t="s">
        <v>5637</v>
      </c>
      <c r="H8875" s="1" t="s">
        <v>5640</v>
      </c>
      <c r="J8875" s="1" t="s">
        <v>982</v>
      </c>
      <c r="L8875" s="1" t="s">
        <v>1865</v>
      </c>
      <c r="M8875" s="1" t="s">
        <v>1763</v>
      </c>
      <c r="N8875" s="1" t="s">
        <v>1762</v>
      </c>
      <c r="P8875" s="1" t="s">
        <v>13732</v>
      </c>
      <c r="Q8875" s="30" t="s">
        <v>2567</v>
      </c>
      <c r="R8875" s="33" t="s">
        <v>3472</v>
      </c>
      <c r="S8875">
        <v>37</v>
      </c>
      <c r="T8875" s="1" t="s">
        <v>14062</v>
      </c>
      <c r="U8875" s="1" t="str">
        <f>HYPERLINK("http://ictvonline.org/taxonomy/p/taxonomy-history?taxnode_id=202112969","ICTVonline=202112969")</f>
        <v>ICTVonline=202112969</v>
      </c>
    </row>
    <row r="8876" spans="1:21" x14ac:dyDescent="0.2">
      <c r="A8876" s="3">
        <v>8875</v>
      </c>
      <c r="B8876" s="1" t="s">
        <v>4226</v>
      </c>
      <c r="D8876" s="1" t="s">
        <v>5412</v>
      </c>
      <c r="F8876" s="1" t="s">
        <v>5637</v>
      </c>
      <c r="H8876" s="1" t="s">
        <v>5640</v>
      </c>
      <c r="J8876" s="1" t="s">
        <v>982</v>
      </c>
      <c r="L8876" s="1" t="s">
        <v>1865</v>
      </c>
      <c r="M8876" s="1" t="s">
        <v>1763</v>
      </c>
      <c r="N8876" s="1" t="s">
        <v>1762</v>
      </c>
      <c r="P8876" s="1" t="s">
        <v>13733</v>
      </c>
      <c r="Q8876" s="30" t="s">
        <v>2567</v>
      </c>
      <c r="R8876" s="33" t="s">
        <v>3472</v>
      </c>
      <c r="S8876">
        <v>37</v>
      </c>
      <c r="T8876" s="1" t="s">
        <v>14062</v>
      </c>
      <c r="U8876" s="1" t="str">
        <f>HYPERLINK("http://ictvonline.org/taxonomy/p/taxonomy-history?taxnode_id=202112970","ICTVonline=202112970")</f>
        <v>ICTVonline=202112970</v>
      </c>
    </row>
    <row r="8877" spans="1:21" x14ac:dyDescent="0.2">
      <c r="A8877" s="3">
        <v>8876</v>
      </c>
      <c r="B8877" s="1" t="s">
        <v>4226</v>
      </c>
      <c r="D8877" s="1" t="s">
        <v>5412</v>
      </c>
      <c r="F8877" s="1" t="s">
        <v>5637</v>
      </c>
      <c r="H8877" s="1" t="s">
        <v>5640</v>
      </c>
      <c r="J8877" s="1" t="s">
        <v>982</v>
      </c>
      <c r="L8877" s="1" t="s">
        <v>1865</v>
      </c>
      <c r="M8877" s="1" t="s">
        <v>1763</v>
      </c>
      <c r="N8877" s="1" t="s">
        <v>1762</v>
      </c>
      <c r="P8877" s="1" t="s">
        <v>13734</v>
      </c>
      <c r="Q8877" s="30" t="s">
        <v>2567</v>
      </c>
      <c r="R8877" s="33" t="s">
        <v>3472</v>
      </c>
      <c r="S8877">
        <v>37</v>
      </c>
      <c r="T8877" s="1" t="s">
        <v>14062</v>
      </c>
      <c r="U8877" s="1" t="str">
        <f>HYPERLINK("http://ictvonline.org/taxonomy/p/taxonomy-history?taxnode_id=202112971","ICTVonline=202112971")</f>
        <v>ICTVonline=202112971</v>
      </c>
    </row>
    <row r="8878" spans="1:21" x14ac:dyDescent="0.2">
      <c r="A8878" s="3">
        <v>8877</v>
      </c>
      <c r="B8878" s="1" t="s">
        <v>4226</v>
      </c>
      <c r="D8878" s="1" t="s">
        <v>5412</v>
      </c>
      <c r="F8878" s="1" t="s">
        <v>5637</v>
      </c>
      <c r="H8878" s="1" t="s">
        <v>5640</v>
      </c>
      <c r="J8878" s="1" t="s">
        <v>982</v>
      </c>
      <c r="L8878" s="1" t="s">
        <v>1865</v>
      </c>
      <c r="M8878" s="1" t="s">
        <v>1763</v>
      </c>
      <c r="N8878" s="1" t="s">
        <v>1762</v>
      </c>
      <c r="P8878" s="1" t="s">
        <v>1310</v>
      </c>
      <c r="Q8878" s="30" t="s">
        <v>2567</v>
      </c>
      <c r="R8878" s="33" t="s">
        <v>3474</v>
      </c>
      <c r="S8878">
        <v>35</v>
      </c>
      <c r="T8878" s="1" t="s">
        <v>5416</v>
      </c>
      <c r="U8878" s="1" t="str">
        <f>HYPERLINK("http://ictvonline.org/taxonomy/p/taxonomy-history?taxnode_id=202102125","ICTVonline=202102125")</f>
        <v>ICTVonline=202102125</v>
      </c>
    </row>
    <row r="8879" spans="1:21" x14ac:dyDescent="0.2">
      <c r="A8879" s="3">
        <v>8878</v>
      </c>
      <c r="B8879" s="1" t="s">
        <v>4226</v>
      </c>
      <c r="D8879" s="1" t="s">
        <v>5412</v>
      </c>
      <c r="F8879" s="1" t="s">
        <v>5637</v>
      </c>
      <c r="H8879" s="1" t="s">
        <v>5640</v>
      </c>
      <c r="J8879" s="1" t="s">
        <v>982</v>
      </c>
      <c r="L8879" s="1" t="s">
        <v>1865</v>
      </c>
      <c r="M8879" s="1" t="s">
        <v>1763</v>
      </c>
      <c r="N8879" s="1" t="s">
        <v>1762</v>
      </c>
      <c r="P8879" s="1" t="s">
        <v>1311</v>
      </c>
      <c r="Q8879" s="30" t="s">
        <v>2567</v>
      </c>
      <c r="R8879" s="33" t="s">
        <v>3474</v>
      </c>
      <c r="S8879">
        <v>35</v>
      </c>
      <c r="T8879" s="1" t="s">
        <v>5416</v>
      </c>
      <c r="U8879" s="1" t="str">
        <f>HYPERLINK("http://ictvonline.org/taxonomy/p/taxonomy-history?taxnode_id=202102126","ICTVonline=202102126")</f>
        <v>ICTVonline=202102126</v>
      </c>
    </row>
    <row r="8880" spans="1:21" x14ac:dyDescent="0.2">
      <c r="A8880" s="3">
        <v>8879</v>
      </c>
      <c r="B8880" s="1" t="s">
        <v>4226</v>
      </c>
      <c r="D8880" s="1" t="s">
        <v>5412</v>
      </c>
      <c r="F8880" s="1" t="s">
        <v>5637</v>
      </c>
      <c r="H8880" s="1" t="s">
        <v>5640</v>
      </c>
      <c r="J8880" s="1" t="s">
        <v>982</v>
      </c>
      <c r="L8880" s="1" t="s">
        <v>1865</v>
      </c>
      <c r="M8880" s="1" t="s">
        <v>1763</v>
      </c>
      <c r="N8880" s="1" t="s">
        <v>1762</v>
      </c>
      <c r="P8880" s="1" t="s">
        <v>1312</v>
      </c>
      <c r="Q8880" s="30" t="s">
        <v>2567</v>
      </c>
      <c r="R8880" s="33" t="s">
        <v>3474</v>
      </c>
      <c r="S8880">
        <v>35</v>
      </c>
      <c r="T8880" s="1" t="s">
        <v>5416</v>
      </c>
      <c r="U8880" s="1" t="str">
        <f>HYPERLINK("http://ictvonline.org/taxonomy/p/taxonomy-history?taxnode_id=202102127","ICTVonline=202102127")</f>
        <v>ICTVonline=202102127</v>
      </c>
    </row>
    <row r="8881" spans="1:21" x14ac:dyDescent="0.2">
      <c r="A8881" s="3">
        <v>8880</v>
      </c>
      <c r="B8881" s="1" t="s">
        <v>4226</v>
      </c>
      <c r="D8881" s="1" t="s">
        <v>5412</v>
      </c>
      <c r="F8881" s="1" t="s">
        <v>5637</v>
      </c>
      <c r="H8881" s="1" t="s">
        <v>5640</v>
      </c>
      <c r="J8881" s="1" t="s">
        <v>982</v>
      </c>
      <c r="L8881" s="1" t="s">
        <v>1865</v>
      </c>
      <c r="M8881" s="1" t="s">
        <v>1763</v>
      </c>
      <c r="N8881" s="1" t="s">
        <v>1762</v>
      </c>
      <c r="P8881" s="1" t="s">
        <v>3639</v>
      </c>
      <c r="Q8881" s="30" t="s">
        <v>2567</v>
      </c>
      <c r="R8881" s="33" t="s">
        <v>3474</v>
      </c>
      <c r="S8881">
        <v>35</v>
      </c>
      <c r="T8881" s="1" t="s">
        <v>5416</v>
      </c>
      <c r="U8881" s="1" t="str">
        <f>HYPERLINK("http://ictvonline.org/taxonomy/p/taxonomy-history?taxnode_id=202105628","ICTVonline=202105628")</f>
        <v>ICTVonline=202105628</v>
      </c>
    </row>
    <row r="8882" spans="1:21" x14ac:dyDescent="0.2">
      <c r="A8882" s="3">
        <v>8881</v>
      </c>
      <c r="B8882" s="1" t="s">
        <v>4226</v>
      </c>
      <c r="D8882" s="1" t="s">
        <v>5412</v>
      </c>
      <c r="F8882" s="1" t="s">
        <v>5637</v>
      </c>
      <c r="H8882" s="1" t="s">
        <v>5640</v>
      </c>
      <c r="J8882" s="1" t="s">
        <v>982</v>
      </c>
      <c r="L8882" s="1" t="s">
        <v>1865</v>
      </c>
      <c r="M8882" s="1" t="s">
        <v>1763</v>
      </c>
      <c r="N8882" s="1" t="s">
        <v>1762</v>
      </c>
      <c r="P8882" s="1" t="s">
        <v>1313</v>
      </c>
      <c r="Q8882" s="30" t="s">
        <v>2567</v>
      </c>
      <c r="R8882" s="33" t="s">
        <v>3474</v>
      </c>
      <c r="S8882">
        <v>35</v>
      </c>
      <c r="T8882" s="1" t="s">
        <v>5416</v>
      </c>
      <c r="U8882" s="1" t="str">
        <f>HYPERLINK("http://ictvonline.org/taxonomy/p/taxonomy-history?taxnode_id=202102128","ICTVonline=202102128")</f>
        <v>ICTVonline=202102128</v>
      </c>
    </row>
    <row r="8883" spans="1:21" x14ac:dyDescent="0.2">
      <c r="A8883" s="3">
        <v>8882</v>
      </c>
      <c r="B8883" s="1" t="s">
        <v>4226</v>
      </c>
      <c r="D8883" s="1" t="s">
        <v>5412</v>
      </c>
      <c r="F8883" s="1" t="s">
        <v>5637</v>
      </c>
      <c r="H8883" s="1" t="s">
        <v>5640</v>
      </c>
      <c r="J8883" s="1" t="s">
        <v>982</v>
      </c>
      <c r="L8883" s="1" t="s">
        <v>1865</v>
      </c>
      <c r="M8883" s="1" t="s">
        <v>1763</v>
      </c>
      <c r="N8883" s="1" t="s">
        <v>1762</v>
      </c>
      <c r="P8883" s="1" t="s">
        <v>1314</v>
      </c>
      <c r="Q8883" s="30" t="s">
        <v>2567</v>
      </c>
      <c r="R8883" s="33" t="s">
        <v>3474</v>
      </c>
      <c r="S8883">
        <v>35</v>
      </c>
      <c r="T8883" s="1" t="s">
        <v>5416</v>
      </c>
      <c r="U8883" s="1" t="str">
        <f>HYPERLINK("http://ictvonline.org/taxonomy/p/taxonomy-history?taxnode_id=202102129","ICTVonline=202102129")</f>
        <v>ICTVonline=202102129</v>
      </c>
    </row>
    <row r="8884" spans="1:21" x14ac:dyDescent="0.2">
      <c r="A8884" s="3">
        <v>8883</v>
      </c>
      <c r="B8884" s="1" t="s">
        <v>4226</v>
      </c>
      <c r="D8884" s="1" t="s">
        <v>5412</v>
      </c>
      <c r="F8884" s="1" t="s">
        <v>5637</v>
      </c>
      <c r="H8884" s="1" t="s">
        <v>5640</v>
      </c>
      <c r="J8884" s="1" t="s">
        <v>982</v>
      </c>
      <c r="L8884" s="1" t="s">
        <v>1865</v>
      </c>
      <c r="M8884" s="1" t="s">
        <v>1763</v>
      </c>
      <c r="N8884" s="1" t="s">
        <v>1762</v>
      </c>
      <c r="P8884" s="1" t="s">
        <v>3640</v>
      </c>
      <c r="Q8884" s="30" t="s">
        <v>2567</v>
      </c>
      <c r="R8884" s="33" t="s">
        <v>3474</v>
      </c>
      <c r="S8884">
        <v>35</v>
      </c>
      <c r="T8884" s="1" t="s">
        <v>5416</v>
      </c>
      <c r="U8884" s="1" t="str">
        <f>HYPERLINK("http://ictvonline.org/taxonomy/p/taxonomy-history?taxnode_id=202105629","ICTVonline=202105629")</f>
        <v>ICTVonline=202105629</v>
      </c>
    </row>
    <row r="8885" spans="1:21" x14ac:dyDescent="0.2">
      <c r="A8885" s="3">
        <v>8884</v>
      </c>
      <c r="B8885" s="1" t="s">
        <v>4226</v>
      </c>
      <c r="D8885" s="1" t="s">
        <v>5412</v>
      </c>
      <c r="F8885" s="1" t="s">
        <v>5637</v>
      </c>
      <c r="H8885" s="1" t="s">
        <v>5640</v>
      </c>
      <c r="J8885" s="1" t="s">
        <v>982</v>
      </c>
      <c r="L8885" s="1" t="s">
        <v>1865</v>
      </c>
      <c r="M8885" s="1" t="s">
        <v>1763</v>
      </c>
      <c r="N8885" s="1" t="s">
        <v>1762</v>
      </c>
      <c r="P8885" s="1" t="s">
        <v>1318</v>
      </c>
      <c r="Q8885" s="30" t="s">
        <v>2567</v>
      </c>
      <c r="R8885" s="33" t="s">
        <v>8665</v>
      </c>
      <c r="S8885">
        <v>36</v>
      </c>
      <c r="T8885" s="1" t="s">
        <v>8661</v>
      </c>
      <c r="U8885" s="1" t="str">
        <f>HYPERLINK("http://ictvonline.org/taxonomy/p/taxonomy-history?taxnode_id=202102130","ICTVonline=202102130")</f>
        <v>ICTVonline=202102130</v>
      </c>
    </row>
    <row r="8886" spans="1:21" x14ac:dyDescent="0.2">
      <c r="A8886" s="3">
        <v>8885</v>
      </c>
      <c r="B8886" s="1" t="s">
        <v>4226</v>
      </c>
      <c r="D8886" s="1" t="s">
        <v>5412</v>
      </c>
      <c r="F8886" s="1" t="s">
        <v>5637</v>
      </c>
      <c r="H8886" s="1" t="s">
        <v>5640</v>
      </c>
      <c r="J8886" s="1" t="s">
        <v>982</v>
      </c>
      <c r="L8886" s="1" t="s">
        <v>1865</v>
      </c>
      <c r="M8886" s="1" t="s">
        <v>1763</v>
      </c>
      <c r="N8886" s="1" t="s">
        <v>1762</v>
      </c>
      <c r="P8886" s="1" t="s">
        <v>1319</v>
      </c>
      <c r="Q8886" s="30" t="s">
        <v>2567</v>
      </c>
      <c r="R8886" s="33" t="s">
        <v>3474</v>
      </c>
      <c r="S8886">
        <v>35</v>
      </c>
      <c r="T8886" s="1" t="s">
        <v>5416</v>
      </c>
      <c r="U8886" s="1" t="str">
        <f>HYPERLINK("http://ictvonline.org/taxonomy/p/taxonomy-history?taxnode_id=202102131","ICTVonline=202102131")</f>
        <v>ICTVonline=202102131</v>
      </c>
    </row>
    <row r="8887" spans="1:21" x14ac:dyDescent="0.2">
      <c r="A8887" s="3">
        <v>8886</v>
      </c>
      <c r="B8887" s="1" t="s">
        <v>4226</v>
      </c>
      <c r="D8887" s="1" t="s">
        <v>5412</v>
      </c>
      <c r="F8887" s="1" t="s">
        <v>5637</v>
      </c>
      <c r="H8887" s="1" t="s">
        <v>5640</v>
      </c>
      <c r="J8887" s="1" t="s">
        <v>982</v>
      </c>
      <c r="L8887" s="1" t="s">
        <v>1865</v>
      </c>
      <c r="M8887" s="1" t="s">
        <v>1763</v>
      </c>
      <c r="N8887" s="1" t="s">
        <v>1762</v>
      </c>
      <c r="P8887" s="1" t="s">
        <v>1320</v>
      </c>
      <c r="Q8887" s="30" t="s">
        <v>2567</v>
      </c>
      <c r="R8887" s="33" t="s">
        <v>3474</v>
      </c>
      <c r="S8887">
        <v>35</v>
      </c>
      <c r="T8887" s="1" t="s">
        <v>5416</v>
      </c>
      <c r="U8887" s="1" t="str">
        <f>HYPERLINK("http://ictvonline.org/taxonomy/p/taxonomy-history?taxnode_id=202102132","ICTVonline=202102132")</f>
        <v>ICTVonline=202102132</v>
      </c>
    </row>
    <row r="8888" spans="1:21" x14ac:dyDescent="0.2">
      <c r="A8888" s="3">
        <v>8887</v>
      </c>
      <c r="B8888" s="1" t="s">
        <v>4226</v>
      </c>
      <c r="D8888" s="1" t="s">
        <v>5412</v>
      </c>
      <c r="F8888" s="1" t="s">
        <v>5637</v>
      </c>
      <c r="H8888" s="1" t="s">
        <v>5640</v>
      </c>
      <c r="J8888" s="1" t="s">
        <v>982</v>
      </c>
      <c r="L8888" s="1" t="s">
        <v>1865</v>
      </c>
      <c r="N8888" s="1" t="s">
        <v>601</v>
      </c>
      <c r="P8888" s="1" t="s">
        <v>602</v>
      </c>
      <c r="Q8888" s="30" t="s">
        <v>2567</v>
      </c>
      <c r="R8888" s="33" t="s">
        <v>3474</v>
      </c>
      <c r="S8888">
        <v>35</v>
      </c>
      <c r="T8888" s="1" t="s">
        <v>5416</v>
      </c>
      <c r="U8888" s="1" t="str">
        <f>HYPERLINK("http://ictvonline.org/taxonomy/p/taxonomy-history?taxnode_id=202102135","ICTVonline=202102135")</f>
        <v>ICTVonline=202102135</v>
      </c>
    </row>
    <row r="8889" spans="1:21" x14ac:dyDescent="0.2">
      <c r="A8889" s="3">
        <v>8888</v>
      </c>
      <c r="B8889" s="1" t="s">
        <v>4226</v>
      </c>
      <c r="D8889" s="1" t="s">
        <v>5412</v>
      </c>
      <c r="F8889" s="1" t="s">
        <v>5637</v>
      </c>
      <c r="H8889" s="1" t="s">
        <v>5640</v>
      </c>
      <c r="J8889" s="1" t="s">
        <v>982</v>
      </c>
      <c r="L8889" s="1" t="s">
        <v>1865</v>
      </c>
      <c r="N8889" s="1" t="s">
        <v>601</v>
      </c>
      <c r="P8889" s="1" t="s">
        <v>2166</v>
      </c>
      <c r="Q8889" s="30" t="s">
        <v>2567</v>
      </c>
      <c r="R8889" s="33" t="s">
        <v>3474</v>
      </c>
      <c r="S8889">
        <v>35</v>
      </c>
      <c r="T8889" s="1" t="s">
        <v>5416</v>
      </c>
      <c r="U8889" s="1" t="str">
        <f>HYPERLINK("http://ictvonline.org/taxonomy/p/taxonomy-history?taxnode_id=202102136","ICTVonline=202102136")</f>
        <v>ICTVonline=202102136</v>
      </c>
    </row>
    <row r="8890" spans="1:21" x14ac:dyDescent="0.2">
      <c r="A8890" s="3">
        <v>8889</v>
      </c>
      <c r="B8890" s="1" t="s">
        <v>4226</v>
      </c>
      <c r="D8890" s="1" t="s">
        <v>5412</v>
      </c>
      <c r="F8890" s="1" t="s">
        <v>5637</v>
      </c>
      <c r="H8890" s="1" t="s">
        <v>5640</v>
      </c>
      <c r="J8890" s="1" t="s">
        <v>982</v>
      </c>
      <c r="L8890" s="1" t="s">
        <v>1865</v>
      </c>
      <c r="N8890" s="1" t="s">
        <v>601</v>
      </c>
      <c r="P8890" s="1" t="s">
        <v>603</v>
      </c>
      <c r="Q8890" s="30" t="s">
        <v>2567</v>
      </c>
      <c r="R8890" s="33" t="s">
        <v>8665</v>
      </c>
      <c r="S8890">
        <v>36</v>
      </c>
      <c r="T8890" s="1" t="s">
        <v>8661</v>
      </c>
      <c r="U8890" s="1" t="str">
        <f>HYPERLINK("http://ictvonline.org/taxonomy/p/taxonomy-history?taxnode_id=202102137","ICTVonline=202102137")</f>
        <v>ICTVonline=202102137</v>
      </c>
    </row>
    <row r="8891" spans="1:21" x14ac:dyDescent="0.2">
      <c r="A8891" s="3">
        <v>8890</v>
      </c>
      <c r="B8891" s="1" t="s">
        <v>4226</v>
      </c>
      <c r="D8891" s="1" t="s">
        <v>5412</v>
      </c>
      <c r="F8891" s="1" t="s">
        <v>5637</v>
      </c>
      <c r="H8891" s="1" t="s">
        <v>5640</v>
      </c>
      <c r="J8891" s="1" t="s">
        <v>982</v>
      </c>
      <c r="L8891" s="1" t="s">
        <v>1865</v>
      </c>
      <c r="N8891" s="1" t="s">
        <v>601</v>
      </c>
      <c r="P8891" s="1" t="s">
        <v>3262</v>
      </c>
      <c r="Q8891" s="30" t="s">
        <v>2567</v>
      </c>
      <c r="R8891" s="33" t="s">
        <v>3474</v>
      </c>
      <c r="S8891">
        <v>35</v>
      </c>
      <c r="T8891" s="1" t="s">
        <v>5416</v>
      </c>
      <c r="U8891" s="1" t="str">
        <f>HYPERLINK("http://ictvonline.org/taxonomy/p/taxonomy-history?taxnode_id=202102138","ICTVonline=202102138")</f>
        <v>ICTVonline=202102138</v>
      </c>
    </row>
    <row r="8892" spans="1:21" x14ac:dyDescent="0.2">
      <c r="A8892" s="3">
        <v>8891</v>
      </c>
      <c r="B8892" s="1" t="s">
        <v>4226</v>
      </c>
      <c r="D8892" s="1" t="s">
        <v>5412</v>
      </c>
      <c r="F8892" s="1" t="s">
        <v>5637</v>
      </c>
      <c r="H8892" s="1" t="s">
        <v>5640</v>
      </c>
      <c r="J8892" s="1" t="s">
        <v>982</v>
      </c>
      <c r="L8892" s="1" t="s">
        <v>1865</v>
      </c>
      <c r="N8892" s="1" t="s">
        <v>601</v>
      </c>
      <c r="P8892" s="1" t="s">
        <v>604</v>
      </c>
      <c r="Q8892" s="30" t="s">
        <v>2567</v>
      </c>
      <c r="R8892" s="33" t="s">
        <v>3474</v>
      </c>
      <c r="S8892">
        <v>35</v>
      </c>
      <c r="T8892" s="1" t="s">
        <v>5416</v>
      </c>
      <c r="U8892" s="1" t="str">
        <f>HYPERLINK("http://ictvonline.org/taxonomy/p/taxonomy-history?taxnode_id=202102139","ICTVonline=202102139")</f>
        <v>ICTVonline=202102139</v>
      </c>
    </row>
    <row r="8893" spans="1:21" x14ac:dyDescent="0.2">
      <c r="A8893" s="3">
        <v>8892</v>
      </c>
      <c r="B8893" s="1" t="s">
        <v>4226</v>
      </c>
      <c r="D8893" s="1" t="s">
        <v>5412</v>
      </c>
      <c r="F8893" s="1" t="s">
        <v>5637</v>
      </c>
      <c r="H8893" s="1" t="s">
        <v>5640</v>
      </c>
      <c r="J8893" s="1" t="s">
        <v>982</v>
      </c>
      <c r="L8893" s="1" t="s">
        <v>1865</v>
      </c>
      <c r="N8893" s="1" t="s">
        <v>1655</v>
      </c>
      <c r="O8893" s="1" t="s">
        <v>5742</v>
      </c>
      <c r="P8893" s="1" t="s">
        <v>3264</v>
      </c>
      <c r="Q8893" s="30" t="s">
        <v>2567</v>
      </c>
      <c r="R8893" s="33" t="s">
        <v>3474</v>
      </c>
      <c r="S8893">
        <v>35</v>
      </c>
      <c r="T8893" s="1" t="s">
        <v>5743</v>
      </c>
      <c r="U8893" s="1" t="str">
        <f>HYPERLINK("http://ictvonline.org/taxonomy/p/taxonomy-history?taxnode_id=202102155","ICTVonline=202102155")</f>
        <v>ICTVonline=202102155</v>
      </c>
    </row>
    <row r="8894" spans="1:21" x14ac:dyDescent="0.2">
      <c r="A8894" s="3">
        <v>8893</v>
      </c>
      <c r="B8894" s="1" t="s">
        <v>4226</v>
      </c>
      <c r="D8894" s="1" t="s">
        <v>5412</v>
      </c>
      <c r="F8894" s="1" t="s">
        <v>5637</v>
      </c>
      <c r="H8894" s="1" t="s">
        <v>5640</v>
      </c>
      <c r="J8894" s="1" t="s">
        <v>982</v>
      </c>
      <c r="L8894" s="1" t="s">
        <v>1865</v>
      </c>
      <c r="N8894" s="1" t="s">
        <v>1655</v>
      </c>
      <c r="O8894" s="1" t="s">
        <v>5742</v>
      </c>
      <c r="P8894" s="1" t="s">
        <v>3641</v>
      </c>
      <c r="Q8894" s="30" t="s">
        <v>2567</v>
      </c>
      <c r="R8894" s="33" t="s">
        <v>3474</v>
      </c>
      <c r="S8894">
        <v>35</v>
      </c>
      <c r="T8894" s="1" t="s">
        <v>5743</v>
      </c>
      <c r="U8894" s="1" t="str">
        <f>HYPERLINK("http://ictvonline.org/taxonomy/p/taxonomy-history?taxnode_id=202105630","ICTVonline=202105630")</f>
        <v>ICTVonline=202105630</v>
      </c>
    </row>
    <row r="8895" spans="1:21" x14ac:dyDescent="0.2">
      <c r="A8895" s="3">
        <v>8894</v>
      </c>
      <c r="B8895" s="1" t="s">
        <v>4226</v>
      </c>
      <c r="D8895" s="1" t="s">
        <v>5412</v>
      </c>
      <c r="F8895" s="1" t="s">
        <v>5637</v>
      </c>
      <c r="H8895" s="1" t="s">
        <v>5640</v>
      </c>
      <c r="J8895" s="1" t="s">
        <v>982</v>
      </c>
      <c r="L8895" s="1" t="s">
        <v>1865</v>
      </c>
      <c r="N8895" s="1" t="s">
        <v>1655</v>
      </c>
      <c r="O8895" s="1" t="s">
        <v>5742</v>
      </c>
      <c r="P8895" s="1" t="s">
        <v>13735</v>
      </c>
      <c r="Q8895" s="30" t="s">
        <v>2567</v>
      </c>
      <c r="R8895" s="33" t="s">
        <v>3472</v>
      </c>
      <c r="S8895">
        <v>37</v>
      </c>
      <c r="T8895" s="1" t="s">
        <v>14062</v>
      </c>
      <c r="U8895" s="1" t="str">
        <f>HYPERLINK("http://ictvonline.org/taxonomy/p/taxonomy-history?taxnode_id=202113822","ICTVonline=202113822")</f>
        <v>ICTVonline=202113822</v>
      </c>
    </row>
    <row r="8896" spans="1:21" x14ac:dyDescent="0.2">
      <c r="A8896" s="3">
        <v>8895</v>
      </c>
      <c r="B8896" s="1" t="s">
        <v>4226</v>
      </c>
      <c r="D8896" s="1" t="s">
        <v>5412</v>
      </c>
      <c r="F8896" s="1" t="s">
        <v>5637</v>
      </c>
      <c r="H8896" s="1" t="s">
        <v>5640</v>
      </c>
      <c r="J8896" s="1" t="s">
        <v>982</v>
      </c>
      <c r="L8896" s="1" t="s">
        <v>1865</v>
      </c>
      <c r="N8896" s="1" t="s">
        <v>1655</v>
      </c>
      <c r="O8896" s="1" t="s">
        <v>5744</v>
      </c>
      <c r="P8896" s="1" t="s">
        <v>1656</v>
      </c>
      <c r="Q8896" s="30" t="s">
        <v>2567</v>
      </c>
      <c r="R8896" s="33" t="s">
        <v>8665</v>
      </c>
      <c r="S8896">
        <v>36</v>
      </c>
      <c r="T8896" s="1" t="s">
        <v>8661</v>
      </c>
      <c r="U8896" s="1" t="str">
        <f>HYPERLINK("http://ictvonline.org/taxonomy/p/taxonomy-history?taxnode_id=202102141","ICTVonline=202102141")</f>
        <v>ICTVonline=202102141</v>
      </c>
    </row>
    <row r="8897" spans="1:21" x14ac:dyDescent="0.2">
      <c r="A8897" s="3">
        <v>8896</v>
      </c>
      <c r="B8897" s="1" t="s">
        <v>4226</v>
      </c>
      <c r="D8897" s="1" t="s">
        <v>5412</v>
      </c>
      <c r="F8897" s="1" t="s">
        <v>5637</v>
      </c>
      <c r="H8897" s="1" t="s">
        <v>5640</v>
      </c>
      <c r="J8897" s="1" t="s">
        <v>982</v>
      </c>
      <c r="L8897" s="1" t="s">
        <v>1865</v>
      </c>
      <c r="N8897" s="1" t="s">
        <v>1655</v>
      </c>
      <c r="O8897" s="1" t="s">
        <v>5745</v>
      </c>
      <c r="P8897" s="1" t="s">
        <v>2009</v>
      </c>
      <c r="Q8897" s="30" t="s">
        <v>2567</v>
      </c>
      <c r="R8897" s="33" t="s">
        <v>3474</v>
      </c>
      <c r="S8897">
        <v>35</v>
      </c>
      <c r="T8897" s="1" t="s">
        <v>5743</v>
      </c>
      <c r="U8897" s="1" t="str">
        <f>HYPERLINK("http://ictvonline.org/taxonomy/p/taxonomy-history?taxnode_id=202102154","ICTVonline=202102154")</f>
        <v>ICTVonline=202102154</v>
      </c>
    </row>
    <row r="8898" spans="1:21" x14ac:dyDescent="0.2">
      <c r="A8898" s="3">
        <v>8897</v>
      </c>
      <c r="B8898" s="1" t="s">
        <v>4226</v>
      </c>
      <c r="D8898" s="1" t="s">
        <v>5412</v>
      </c>
      <c r="F8898" s="1" t="s">
        <v>5637</v>
      </c>
      <c r="H8898" s="1" t="s">
        <v>5640</v>
      </c>
      <c r="J8898" s="1" t="s">
        <v>982</v>
      </c>
      <c r="L8898" s="1" t="s">
        <v>1865</v>
      </c>
      <c r="N8898" s="1" t="s">
        <v>1655</v>
      </c>
      <c r="O8898" s="1" t="s">
        <v>5745</v>
      </c>
      <c r="P8898" s="1" t="s">
        <v>13736</v>
      </c>
      <c r="Q8898" s="30" t="s">
        <v>2567</v>
      </c>
      <c r="R8898" s="33" t="s">
        <v>3472</v>
      </c>
      <c r="S8898">
        <v>37</v>
      </c>
      <c r="T8898" s="1" t="s">
        <v>14062</v>
      </c>
      <c r="U8898" s="1" t="str">
        <f>HYPERLINK("http://ictvonline.org/taxonomy/p/taxonomy-history?taxnode_id=202113823","ICTVonline=202113823")</f>
        <v>ICTVonline=202113823</v>
      </c>
    </row>
    <row r="8899" spans="1:21" x14ac:dyDescent="0.2">
      <c r="A8899" s="3">
        <v>8898</v>
      </c>
      <c r="B8899" s="1" t="s">
        <v>4226</v>
      </c>
      <c r="D8899" s="1" t="s">
        <v>5412</v>
      </c>
      <c r="F8899" s="1" t="s">
        <v>5637</v>
      </c>
      <c r="H8899" s="1" t="s">
        <v>5640</v>
      </c>
      <c r="J8899" s="1" t="s">
        <v>982</v>
      </c>
      <c r="L8899" s="1" t="s">
        <v>1865</v>
      </c>
      <c r="N8899" s="1" t="s">
        <v>1655</v>
      </c>
      <c r="O8899" s="1" t="s">
        <v>5745</v>
      </c>
      <c r="P8899" s="1" t="s">
        <v>1657</v>
      </c>
      <c r="Q8899" s="30" t="s">
        <v>2567</v>
      </c>
      <c r="R8899" s="33" t="s">
        <v>3474</v>
      </c>
      <c r="S8899">
        <v>35</v>
      </c>
      <c r="T8899" s="1" t="s">
        <v>5743</v>
      </c>
      <c r="U8899" s="1" t="str">
        <f>HYPERLINK("http://ictvonline.org/taxonomy/p/taxonomy-history?taxnode_id=202102157","ICTVonline=202102157")</f>
        <v>ICTVonline=202102157</v>
      </c>
    </row>
    <row r="8900" spans="1:21" x14ac:dyDescent="0.2">
      <c r="A8900" s="3">
        <v>8899</v>
      </c>
      <c r="B8900" s="1" t="s">
        <v>4226</v>
      </c>
      <c r="D8900" s="1" t="s">
        <v>5412</v>
      </c>
      <c r="F8900" s="1" t="s">
        <v>5637</v>
      </c>
      <c r="H8900" s="1" t="s">
        <v>5640</v>
      </c>
      <c r="J8900" s="1" t="s">
        <v>982</v>
      </c>
      <c r="L8900" s="1" t="s">
        <v>1865</v>
      </c>
      <c r="N8900" s="1" t="s">
        <v>597</v>
      </c>
      <c r="P8900" s="1" t="s">
        <v>2008</v>
      </c>
      <c r="Q8900" s="30" t="s">
        <v>2567</v>
      </c>
      <c r="R8900" s="33" t="s">
        <v>3474</v>
      </c>
      <c r="S8900">
        <v>35</v>
      </c>
      <c r="T8900" s="1" t="s">
        <v>5416</v>
      </c>
      <c r="U8900" s="1" t="str">
        <f>HYPERLINK("http://ictvonline.org/taxonomy/p/taxonomy-history?taxnode_id=202102143","ICTVonline=202102143")</f>
        <v>ICTVonline=202102143</v>
      </c>
    </row>
    <row r="8901" spans="1:21" x14ac:dyDescent="0.2">
      <c r="A8901" s="3">
        <v>8900</v>
      </c>
      <c r="B8901" s="1" t="s">
        <v>4226</v>
      </c>
      <c r="D8901" s="1" t="s">
        <v>5412</v>
      </c>
      <c r="F8901" s="1" t="s">
        <v>5637</v>
      </c>
      <c r="H8901" s="1" t="s">
        <v>5640</v>
      </c>
      <c r="J8901" s="1" t="s">
        <v>982</v>
      </c>
      <c r="L8901" s="1" t="s">
        <v>1865</v>
      </c>
      <c r="N8901" s="1" t="s">
        <v>597</v>
      </c>
      <c r="P8901" s="1" t="s">
        <v>598</v>
      </c>
      <c r="Q8901" s="30" t="s">
        <v>2567</v>
      </c>
      <c r="R8901" s="33" t="s">
        <v>3474</v>
      </c>
      <c r="S8901">
        <v>35</v>
      </c>
      <c r="T8901" s="1" t="s">
        <v>5416</v>
      </c>
      <c r="U8901" s="1" t="str">
        <f>HYPERLINK("http://ictvonline.org/taxonomy/p/taxonomy-history?taxnode_id=202102144","ICTVonline=202102144")</f>
        <v>ICTVonline=202102144</v>
      </c>
    </row>
    <row r="8902" spans="1:21" x14ac:dyDescent="0.2">
      <c r="A8902" s="3">
        <v>8901</v>
      </c>
      <c r="B8902" s="1" t="s">
        <v>4226</v>
      </c>
      <c r="D8902" s="1" t="s">
        <v>5412</v>
      </c>
      <c r="F8902" s="1" t="s">
        <v>5637</v>
      </c>
      <c r="H8902" s="1" t="s">
        <v>5640</v>
      </c>
      <c r="J8902" s="1" t="s">
        <v>982</v>
      </c>
      <c r="L8902" s="1" t="s">
        <v>1865</v>
      </c>
      <c r="N8902" s="1" t="s">
        <v>597</v>
      </c>
      <c r="P8902" s="1" t="s">
        <v>1402</v>
      </c>
      <c r="Q8902" s="30" t="s">
        <v>2567</v>
      </c>
      <c r="R8902" s="33" t="s">
        <v>8665</v>
      </c>
      <c r="S8902">
        <v>36</v>
      </c>
      <c r="T8902" s="1" t="s">
        <v>8661</v>
      </c>
      <c r="U8902" s="1" t="str">
        <f>HYPERLINK("http://ictvonline.org/taxonomy/p/taxonomy-history?taxnode_id=202102145","ICTVonline=202102145")</f>
        <v>ICTVonline=202102145</v>
      </c>
    </row>
    <row r="8903" spans="1:21" x14ac:dyDescent="0.2">
      <c r="A8903" s="3">
        <v>8902</v>
      </c>
      <c r="B8903" s="1" t="s">
        <v>4226</v>
      </c>
      <c r="D8903" s="1" t="s">
        <v>5412</v>
      </c>
      <c r="F8903" s="1" t="s">
        <v>5637</v>
      </c>
      <c r="H8903" s="1" t="s">
        <v>5640</v>
      </c>
      <c r="J8903" s="1" t="s">
        <v>982</v>
      </c>
      <c r="L8903" s="1" t="s">
        <v>1865</v>
      </c>
      <c r="N8903" s="1" t="s">
        <v>597</v>
      </c>
      <c r="P8903" s="1" t="s">
        <v>13737</v>
      </c>
      <c r="Q8903" s="30" t="s">
        <v>2567</v>
      </c>
      <c r="R8903" s="33" t="s">
        <v>3472</v>
      </c>
      <c r="S8903">
        <v>37</v>
      </c>
      <c r="T8903" s="1" t="s">
        <v>14062</v>
      </c>
      <c r="U8903" s="1" t="str">
        <f>HYPERLINK("http://ictvonline.org/taxonomy/p/taxonomy-history?taxnode_id=202113824","ICTVonline=202113824")</f>
        <v>ICTVonline=202113824</v>
      </c>
    </row>
    <row r="8904" spans="1:21" x14ac:dyDescent="0.2">
      <c r="A8904" s="3">
        <v>8903</v>
      </c>
      <c r="B8904" s="1" t="s">
        <v>4226</v>
      </c>
      <c r="D8904" s="1" t="s">
        <v>5412</v>
      </c>
      <c r="F8904" s="1" t="s">
        <v>5637</v>
      </c>
      <c r="H8904" s="1" t="s">
        <v>5640</v>
      </c>
      <c r="J8904" s="1" t="s">
        <v>982</v>
      </c>
      <c r="L8904" s="1" t="s">
        <v>1865</v>
      </c>
      <c r="N8904" s="1" t="s">
        <v>13738</v>
      </c>
      <c r="P8904" s="1" t="s">
        <v>13739</v>
      </c>
      <c r="Q8904" s="30" t="s">
        <v>2567</v>
      </c>
      <c r="R8904" s="33" t="s">
        <v>3472</v>
      </c>
      <c r="S8904">
        <v>37</v>
      </c>
      <c r="T8904" s="1" t="s">
        <v>14062</v>
      </c>
      <c r="U8904" s="1" t="str">
        <f>HYPERLINK("http://ictvonline.org/taxonomy/p/taxonomy-history?taxnode_id=202112968","ICTVonline=202112968")</f>
        <v>ICTVonline=202112968</v>
      </c>
    </row>
    <row r="8905" spans="1:21" x14ac:dyDescent="0.2">
      <c r="A8905" s="3">
        <v>8904</v>
      </c>
      <c r="B8905" s="1" t="s">
        <v>4226</v>
      </c>
      <c r="D8905" s="1" t="s">
        <v>5412</v>
      </c>
      <c r="F8905" s="1" t="s">
        <v>5637</v>
      </c>
      <c r="H8905" s="1" t="s">
        <v>5640</v>
      </c>
      <c r="J8905" s="1" t="s">
        <v>982</v>
      </c>
      <c r="L8905" s="1" t="s">
        <v>1865</v>
      </c>
      <c r="N8905" s="1" t="s">
        <v>13738</v>
      </c>
      <c r="P8905" s="1" t="s">
        <v>13740</v>
      </c>
      <c r="Q8905" s="30" t="s">
        <v>2567</v>
      </c>
      <c r="R8905" s="33" t="s">
        <v>3473</v>
      </c>
      <c r="S8905">
        <v>37</v>
      </c>
      <c r="T8905" s="1" t="s">
        <v>14062</v>
      </c>
      <c r="U8905" s="1" t="str">
        <f>HYPERLINK("http://ictvonline.org/taxonomy/p/taxonomy-history?taxnode_id=202102156","ICTVonline=202102156")</f>
        <v>ICTVonline=202102156</v>
      </c>
    </row>
    <row r="8906" spans="1:21" x14ac:dyDescent="0.2">
      <c r="A8906" s="3">
        <v>8905</v>
      </c>
      <c r="B8906" s="1" t="s">
        <v>4226</v>
      </c>
      <c r="D8906" s="1" t="s">
        <v>5412</v>
      </c>
      <c r="F8906" s="1" t="s">
        <v>5637</v>
      </c>
      <c r="H8906" s="1" t="s">
        <v>5640</v>
      </c>
      <c r="J8906" s="1" t="s">
        <v>982</v>
      </c>
      <c r="L8906" s="1" t="s">
        <v>1865</v>
      </c>
      <c r="N8906" s="1" t="s">
        <v>1862</v>
      </c>
      <c r="P8906" s="1" t="s">
        <v>2792</v>
      </c>
      <c r="Q8906" s="30" t="s">
        <v>2567</v>
      </c>
      <c r="R8906" s="33" t="s">
        <v>3474</v>
      </c>
      <c r="S8906">
        <v>35</v>
      </c>
      <c r="T8906" s="1" t="s">
        <v>5416</v>
      </c>
      <c r="U8906" s="1" t="str">
        <f>HYPERLINK("http://ictvonline.org/taxonomy/p/taxonomy-history?taxnode_id=202102147","ICTVonline=202102147")</f>
        <v>ICTVonline=202102147</v>
      </c>
    </row>
    <row r="8907" spans="1:21" x14ac:dyDescent="0.2">
      <c r="A8907" s="3">
        <v>8906</v>
      </c>
      <c r="B8907" s="1" t="s">
        <v>4226</v>
      </c>
      <c r="D8907" s="1" t="s">
        <v>5412</v>
      </c>
      <c r="F8907" s="1" t="s">
        <v>5637</v>
      </c>
      <c r="H8907" s="1" t="s">
        <v>5640</v>
      </c>
      <c r="J8907" s="1" t="s">
        <v>982</v>
      </c>
      <c r="L8907" s="1" t="s">
        <v>1865</v>
      </c>
      <c r="N8907" s="1" t="s">
        <v>1862</v>
      </c>
      <c r="P8907" s="1" t="s">
        <v>2478</v>
      </c>
      <c r="Q8907" s="30" t="s">
        <v>2567</v>
      </c>
      <c r="R8907" s="33" t="s">
        <v>3474</v>
      </c>
      <c r="S8907">
        <v>35</v>
      </c>
      <c r="T8907" s="1" t="s">
        <v>5416</v>
      </c>
      <c r="U8907" s="1" t="str">
        <f>HYPERLINK("http://ictvonline.org/taxonomy/p/taxonomy-history?taxnode_id=202102148","ICTVonline=202102148")</f>
        <v>ICTVonline=202102148</v>
      </c>
    </row>
    <row r="8908" spans="1:21" x14ac:dyDescent="0.2">
      <c r="A8908" s="3">
        <v>8907</v>
      </c>
      <c r="B8908" s="1" t="s">
        <v>4226</v>
      </c>
      <c r="D8908" s="1" t="s">
        <v>5412</v>
      </c>
      <c r="F8908" s="1" t="s">
        <v>5637</v>
      </c>
      <c r="H8908" s="1" t="s">
        <v>5640</v>
      </c>
      <c r="J8908" s="1" t="s">
        <v>982</v>
      </c>
      <c r="L8908" s="1" t="s">
        <v>1865</v>
      </c>
      <c r="N8908" s="1" t="s">
        <v>1862</v>
      </c>
      <c r="P8908" s="1" t="s">
        <v>2793</v>
      </c>
      <c r="Q8908" s="30" t="s">
        <v>2567</v>
      </c>
      <c r="R8908" s="33" t="s">
        <v>3474</v>
      </c>
      <c r="S8908">
        <v>35</v>
      </c>
      <c r="T8908" s="1" t="s">
        <v>5416</v>
      </c>
      <c r="U8908" s="1" t="str">
        <f>HYPERLINK("http://ictvonline.org/taxonomy/p/taxonomy-history?taxnode_id=202102149","ICTVonline=202102149")</f>
        <v>ICTVonline=202102149</v>
      </c>
    </row>
    <row r="8909" spans="1:21" x14ac:dyDescent="0.2">
      <c r="A8909" s="3">
        <v>8908</v>
      </c>
      <c r="B8909" s="1" t="s">
        <v>4226</v>
      </c>
      <c r="D8909" s="1" t="s">
        <v>5412</v>
      </c>
      <c r="F8909" s="1" t="s">
        <v>5637</v>
      </c>
      <c r="H8909" s="1" t="s">
        <v>5640</v>
      </c>
      <c r="J8909" s="1" t="s">
        <v>982</v>
      </c>
      <c r="L8909" s="1" t="s">
        <v>1865</v>
      </c>
      <c r="N8909" s="1" t="s">
        <v>1862</v>
      </c>
      <c r="P8909" s="1" t="s">
        <v>3263</v>
      </c>
      <c r="Q8909" s="30" t="s">
        <v>2567</v>
      </c>
      <c r="R8909" s="33" t="s">
        <v>3474</v>
      </c>
      <c r="S8909">
        <v>35</v>
      </c>
      <c r="T8909" s="1" t="s">
        <v>5416</v>
      </c>
      <c r="U8909" s="1" t="str">
        <f>HYPERLINK("http://ictvonline.org/taxonomy/p/taxonomy-history?taxnode_id=202102150","ICTVonline=202102150")</f>
        <v>ICTVonline=202102150</v>
      </c>
    </row>
    <row r="8910" spans="1:21" x14ac:dyDescent="0.2">
      <c r="A8910" s="3">
        <v>8909</v>
      </c>
      <c r="B8910" s="1" t="s">
        <v>4226</v>
      </c>
      <c r="D8910" s="1" t="s">
        <v>5412</v>
      </c>
      <c r="F8910" s="1" t="s">
        <v>5637</v>
      </c>
      <c r="H8910" s="1" t="s">
        <v>5640</v>
      </c>
      <c r="J8910" s="1" t="s">
        <v>982</v>
      </c>
      <c r="L8910" s="1" t="s">
        <v>1865</v>
      </c>
      <c r="N8910" s="1" t="s">
        <v>1862</v>
      </c>
      <c r="P8910" s="1" t="s">
        <v>1864</v>
      </c>
      <c r="Q8910" s="30" t="s">
        <v>2567</v>
      </c>
      <c r="R8910" s="33" t="s">
        <v>3474</v>
      </c>
      <c r="S8910">
        <v>35</v>
      </c>
      <c r="T8910" s="1" t="s">
        <v>5416</v>
      </c>
      <c r="U8910" s="1" t="str">
        <f>HYPERLINK("http://ictvonline.org/taxonomy/p/taxonomy-history?taxnode_id=202102151","ICTVonline=202102151")</f>
        <v>ICTVonline=202102151</v>
      </c>
    </row>
    <row r="8911" spans="1:21" x14ac:dyDescent="0.2">
      <c r="A8911" s="3">
        <v>8910</v>
      </c>
      <c r="B8911" s="1" t="s">
        <v>4226</v>
      </c>
      <c r="D8911" s="1" t="s">
        <v>5412</v>
      </c>
      <c r="F8911" s="1" t="s">
        <v>5637</v>
      </c>
      <c r="H8911" s="1" t="s">
        <v>5640</v>
      </c>
      <c r="J8911" s="1" t="s">
        <v>982</v>
      </c>
      <c r="L8911" s="1" t="s">
        <v>1865</v>
      </c>
      <c r="N8911" s="1" t="s">
        <v>1862</v>
      </c>
      <c r="P8911" s="1" t="s">
        <v>1863</v>
      </c>
      <c r="Q8911" s="30" t="s">
        <v>2567</v>
      </c>
      <c r="R8911" s="33" t="s">
        <v>8665</v>
      </c>
      <c r="S8911">
        <v>36</v>
      </c>
      <c r="T8911" s="1" t="s">
        <v>8661</v>
      </c>
      <c r="U8911" s="1" t="str">
        <f>HYPERLINK("http://ictvonline.org/taxonomy/p/taxonomy-history?taxnode_id=202102152","ICTVonline=202102152")</f>
        <v>ICTVonline=202102152</v>
      </c>
    </row>
    <row r="8912" spans="1:21" x14ac:dyDescent="0.2">
      <c r="A8912" s="3">
        <v>8911</v>
      </c>
      <c r="B8912" s="1" t="s">
        <v>4226</v>
      </c>
      <c r="D8912" s="1" t="s">
        <v>5412</v>
      </c>
      <c r="F8912" s="1" t="s">
        <v>5637</v>
      </c>
      <c r="H8912" s="1" t="s">
        <v>5640</v>
      </c>
      <c r="J8912" s="1" t="s">
        <v>982</v>
      </c>
      <c r="L8912" s="1" t="s">
        <v>1865</v>
      </c>
      <c r="N8912" s="1" t="s">
        <v>1759</v>
      </c>
      <c r="P8912" s="1" t="s">
        <v>599</v>
      </c>
      <c r="Q8912" s="30" t="s">
        <v>2567</v>
      </c>
      <c r="R8912" s="33" t="s">
        <v>3474</v>
      </c>
      <c r="S8912">
        <v>35</v>
      </c>
      <c r="T8912" s="1" t="s">
        <v>5416</v>
      </c>
      <c r="U8912" s="1" t="str">
        <f>HYPERLINK("http://ictvonline.org/taxonomy/p/taxonomy-history?taxnode_id=202102159","ICTVonline=202102159")</f>
        <v>ICTVonline=202102159</v>
      </c>
    </row>
    <row r="8913" spans="1:21" x14ac:dyDescent="0.2">
      <c r="A8913" s="3">
        <v>8912</v>
      </c>
      <c r="B8913" s="1" t="s">
        <v>4226</v>
      </c>
      <c r="D8913" s="1" t="s">
        <v>5412</v>
      </c>
      <c r="F8913" s="1" t="s">
        <v>5637</v>
      </c>
      <c r="H8913" s="1" t="s">
        <v>5640</v>
      </c>
      <c r="J8913" s="1" t="s">
        <v>982</v>
      </c>
      <c r="L8913" s="1" t="s">
        <v>1865</v>
      </c>
      <c r="N8913" s="1" t="s">
        <v>1759</v>
      </c>
      <c r="P8913" s="1" t="s">
        <v>3265</v>
      </c>
      <c r="Q8913" s="30" t="s">
        <v>2567</v>
      </c>
      <c r="R8913" s="33" t="s">
        <v>3474</v>
      </c>
      <c r="S8913">
        <v>35</v>
      </c>
      <c r="T8913" s="1" t="s">
        <v>5416</v>
      </c>
      <c r="U8913" s="1" t="str">
        <f>HYPERLINK("http://ictvonline.org/taxonomy/p/taxonomy-history?taxnode_id=202102160","ICTVonline=202102160")</f>
        <v>ICTVonline=202102160</v>
      </c>
    </row>
    <row r="8914" spans="1:21" x14ac:dyDescent="0.2">
      <c r="A8914" s="3">
        <v>8913</v>
      </c>
      <c r="B8914" s="1" t="s">
        <v>4226</v>
      </c>
      <c r="D8914" s="1" t="s">
        <v>5412</v>
      </c>
      <c r="F8914" s="1" t="s">
        <v>5637</v>
      </c>
      <c r="H8914" s="1" t="s">
        <v>5640</v>
      </c>
      <c r="J8914" s="1" t="s">
        <v>982</v>
      </c>
      <c r="L8914" s="1" t="s">
        <v>1865</v>
      </c>
      <c r="N8914" s="1" t="s">
        <v>1759</v>
      </c>
      <c r="P8914" s="1" t="s">
        <v>600</v>
      </c>
      <c r="Q8914" s="30" t="s">
        <v>2567</v>
      </c>
      <c r="R8914" s="33" t="s">
        <v>3474</v>
      </c>
      <c r="S8914">
        <v>35</v>
      </c>
      <c r="T8914" s="1" t="s">
        <v>5416</v>
      </c>
      <c r="U8914" s="1" t="str">
        <f>HYPERLINK("http://ictvonline.org/taxonomy/p/taxonomy-history?taxnode_id=202102161","ICTVonline=202102161")</f>
        <v>ICTVonline=202102161</v>
      </c>
    </row>
    <row r="8915" spans="1:21" x14ac:dyDescent="0.2">
      <c r="A8915" s="3">
        <v>8914</v>
      </c>
      <c r="B8915" s="1" t="s">
        <v>4226</v>
      </c>
      <c r="D8915" s="1" t="s">
        <v>5412</v>
      </c>
      <c r="F8915" s="1" t="s">
        <v>5637</v>
      </c>
      <c r="H8915" s="1" t="s">
        <v>5640</v>
      </c>
      <c r="J8915" s="1" t="s">
        <v>982</v>
      </c>
      <c r="L8915" s="1" t="s">
        <v>1865</v>
      </c>
      <c r="N8915" s="1" t="s">
        <v>1759</v>
      </c>
      <c r="P8915" s="1" t="s">
        <v>1403</v>
      </c>
      <c r="Q8915" s="30" t="s">
        <v>2567</v>
      </c>
      <c r="R8915" s="33" t="s">
        <v>8665</v>
      </c>
      <c r="S8915">
        <v>36</v>
      </c>
      <c r="T8915" s="1" t="s">
        <v>8661</v>
      </c>
      <c r="U8915" s="1" t="str">
        <f>HYPERLINK("http://ictvonline.org/taxonomy/p/taxonomy-history?taxnode_id=202102162","ICTVonline=202102162")</f>
        <v>ICTVonline=202102162</v>
      </c>
    </row>
    <row r="8916" spans="1:21" x14ac:dyDescent="0.2">
      <c r="A8916" s="3">
        <v>8915</v>
      </c>
      <c r="B8916" s="1" t="s">
        <v>4226</v>
      </c>
      <c r="D8916" s="1" t="s">
        <v>5412</v>
      </c>
      <c r="F8916" s="1" t="s">
        <v>5637</v>
      </c>
      <c r="H8916" s="1" t="s">
        <v>5640</v>
      </c>
      <c r="J8916" s="1" t="s">
        <v>982</v>
      </c>
      <c r="L8916" s="1" t="s">
        <v>1865</v>
      </c>
      <c r="N8916" s="1" t="s">
        <v>1759</v>
      </c>
      <c r="P8916" s="1" t="s">
        <v>13741</v>
      </c>
      <c r="Q8916" s="30" t="s">
        <v>2567</v>
      </c>
      <c r="R8916" s="33" t="s">
        <v>3472</v>
      </c>
      <c r="S8916">
        <v>37</v>
      </c>
      <c r="T8916" s="1" t="s">
        <v>14062</v>
      </c>
      <c r="U8916" s="1" t="str">
        <f>HYPERLINK("http://ictvonline.org/taxonomy/p/taxonomy-history?taxnode_id=202113829","ICTVonline=202113829")</f>
        <v>ICTVonline=202113829</v>
      </c>
    </row>
    <row r="8917" spans="1:21" x14ac:dyDescent="0.2">
      <c r="A8917" s="3">
        <v>8916</v>
      </c>
      <c r="B8917" s="1" t="s">
        <v>4226</v>
      </c>
      <c r="D8917" s="1" t="s">
        <v>5412</v>
      </c>
      <c r="F8917" s="1" t="s">
        <v>5637</v>
      </c>
      <c r="H8917" s="1" t="s">
        <v>5640</v>
      </c>
      <c r="J8917" s="1" t="s">
        <v>982</v>
      </c>
      <c r="L8917" s="1" t="s">
        <v>1865</v>
      </c>
      <c r="N8917" s="1" t="s">
        <v>1759</v>
      </c>
      <c r="P8917" s="1" t="s">
        <v>13742</v>
      </c>
      <c r="Q8917" s="30" t="s">
        <v>2567</v>
      </c>
      <c r="R8917" s="33" t="s">
        <v>3472</v>
      </c>
      <c r="S8917">
        <v>37</v>
      </c>
      <c r="T8917" s="1" t="s">
        <v>14062</v>
      </c>
      <c r="U8917" s="1" t="str">
        <f>HYPERLINK("http://ictvonline.org/taxonomy/p/taxonomy-history?taxnode_id=202113828","ICTVonline=202113828")</f>
        <v>ICTVonline=202113828</v>
      </c>
    </row>
    <row r="8918" spans="1:21" x14ac:dyDescent="0.2">
      <c r="A8918" s="3">
        <v>8917</v>
      </c>
      <c r="B8918" s="1" t="s">
        <v>4226</v>
      </c>
      <c r="D8918" s="1" t="s">
        <v>5412</v>
      </c>
      <c r="F8918" s="1" t="s">
        <v>5637</v>
      </c>
      <c r="H8918" s="1" t="s">
        <v>5640</v>
      </c>
      <c r="J8918" s="1" t="s">
        <v>982</v>
      </c>
      <c r="L8918" s="1" t="s">
        <v>1865</v>
      </c>
      <c r="N8918" s="1" t="s">
        <v>1759</v>
      </c>
      <c r="P8918" s="1" t="s">
        <v>13743</v>
      </c>
      <c r="Q8918" s="30" t="s">
        <v>2567</v>
      </c>
      <c r="R8918" s="33" t="s">
        <v>3472</v>
      </c>
      <c r="S8918">
        <v>37</v>
      </c>
      <c r="T8918" s="1" t="s">
        <v>14062</v>
      </c>
      <c r="U8918" s="1" t="str">
        <f>HYPERLINK("http://ictvonline.org/taxonomy/p/taxonomy-history?taxnode_id=202113827","ICTVonline=202113827")</f>
        <v>ICTVonline=202113827</v>
      </c>
    </row>
    <row r="8919" spans="1:21" x14ac:dyDescent="0.2">
      <c r="A8919" s="3">
        <v>8918</v>
      </c>
      <c r="B8919" s="1" t="s">
        <v>4226</v>
      </c>
      <c r="D8919" s="1" t="s">
        <v>5412</v>
      </c>
      <c r="F8919" s="1" t="s">
        <v>5637</v>
      </c>
      <c r="H8919" s="1" t="s">
        <v>5640</v>
      </c>
      <c r="J8919" s="1" t="s">
        <v>982</v>
      </c>
      <c r="L8919" s="1" t="s">
        <v>1865</v>
      </c>
      <c r="N8919" s="1" t="s">
        <v>1759</v>
      </c>
      <c r="P8919" s="1" t="s">
        <v>13744</v>
      </c>
      <c r="Q8919" s="30" t="s">
        <v>2567</v>
      </c>
      <c r="R8919" s="33" t="s">
        <v>3472</v>
      </c>
      <c r="S8919">
        <v>37</v>
      </c>
      <c r="T8919" s="1" t="s">
        <v>14062</v>
      </c>
      <c r="U8919" s="1" t="str">
        <f>HYPERLINK("http://ictvonline.org/taxonomy/p/taxonomy-history?taxnode_id=202113830","ICTVonline=202113830")</f>
        <v>ICTVonline=202113830</v>
      </c>
    </row>
    <row r="8920" spans="1:21" x14ac:dyDescent="0.2">
      <c r="A8920" s="3">
        <v>8919</v>
      </c>
      <c r="B8920" s="1" t="s">
        <v>4226</v>
      </c>
      <c r="D8920" s="1" t="s">
        <v>5412</v>
      </c>
      <c r="F8920" s="1" t="s">
        <v>5637</v>
      </c>
      <c r="H8920" s="1" t="s">
        <v>5640</v>
      </c>
      <c r="J8920" s="1" t="s">
        <v>982</v>
      </c>
      <c r="L8920" s="1" t="s">
        <v>1865</v>
      </c>
      <c r="N8920" s="1" t="s">
        <v>1759</v>
      </c>
      <c r="P8920" s="1" t="s">
        <v>13745</v>
      </c>
      <c r="Q8920" s="30" t="s">
        <v>2567</v>
      </c>
      <c r="R8920" s="33" t="s">
        <v>3472</v>
      </c>
      <c r="S8920">
        <v>37</v>
      </c>
      <c r="T8920" s="1" t="s">
        <v>14062</v>
      </c>
      <c r="U8920" s="1" t="str">
        <f>HYPERLINK("http://ictvonline.org/taxonomy/p/taxonomy-history?taxnode_id=202113825","ICTVonline=202113825")</f>
        <v>ICTVonline=202113825</v>
      </c>
    </row>
    <row r="8921" spans="1:21" x14ac:dyDescent="0.2">
      <c r="A8921" s="3">
        <v>8920</v>
      </c>
      <c r="B8921" s="1" t="s">
        <v>4226</v>
      </c>
      <c r="D8921" s="1" t="s">
        <v>5412</v>
      </c>
      <c r="F8921" s="1" t="s">
        <v>5637</v>
      </c>
      <c r="H8921" s="1" t="s">
        <v>5640</v>
      </c>
      <c r="J8921" s="1" t="s">
        <v>982</v>
      </c>
      <c r="L8921" s="1" t="s">
        <v>1865</v>
      </c>
      <c r="N8921" s="1" t="s">
        <v>1759</v>
      </c>
      <c r="P8921" s="1" t="s">
        <v>13746</v>
      </c>
      <c r="Q8921" s="30" t="s">
        <v>2567</v>
      </c>
      <c r="R8921" s="33" t="s">
        <v>3472</v>
      </c>
      <c r="S8921">
        <v>37</v>
      </c>
      <c r="T8921" s="1" t="s">
        <v>14062</v>
      </c>
      <c r="U8921" s="1" t="str">
        <f>HYPERLINK("http://ictvonline.org/taxonomy/p/taxonomy-history?taxnode_id=202113826","ICTVonline=202113826")</f>
        <v>ICTVonline=202113826</v>
      </c>
    </row>
    <row r="8922" spans="1:21" x14ac:dyDescent="0.2">
      <c r="A8922" s="3">
        <v>8921</v>
      </c>
      <c r="B8922" s="1" t="s">
        <v>4226</v>
      </c>
      <c r="D8922" s="1" t="s">
        <v>5412</v>
      </c>
      <c r="F8922" s="1" t="s">
        <v>5637</v>
      </c>
      <c r="H8922" s="1" t="s">
        <v>5640</v>
      </c>
      <c r="J8922" s="1" t="s">
        <v>982</v>
      </c>
      <c r="L8922" s="1" t="s">
        <v>3387</v>
      </c>
      <c r="N8922" s="1" t="s">
        <v>3388</v>
      </c>
      <c r="P8922" s="1" t="s">
        <v>3389</v>
      </c>
      <c r="Q8922" s="30" t="s">
        <v>2567</v>
      </c>
      <c r="R8922" s="33" t="s">
        <v>8665</v>
      </c>
      <c r="S8922">
        <v>36</v>
      </c>
      <c r="T8922" s="1" t="s">
        <v>8661</v>
      </c>
      <c r="U8922" s="1" t="str">
        <f>HYPERLINK("http://ictvonline.org/taxonomy/p/taxonomy-history?taxnode_id=202105051","ICTVonline=202105051")</f>
        <v>ICTVonline=202105051</v>
      </c>
    </row>
    <row r="8923" spans="1:21" x14ac:dyDescent="0.2">
      <c r="A8923" s="3">
        <v>8922</v>
      </c>
      <c r="B8923" s="1" t="s">
        <v>4226</v>
      </c>
      <c r="D8923" s="1" t="s">
        <v>5412</v>
      </c>
      <c r="F8923" s="1" t="s">
        <v>5637</v>
      </c>
      <c r="H8923" s="1" t="s">
        <v>5640</v>
      </c>
      <c r="J8923" s="1" t="s">
        <v>982</v>
      </c>
      <c r="L8923" s="1" t="s">
        <v>3387</v>
      </c>
      <c r="N8923" s="1" t="s">
        <v>3390</v>
      </c>
      <c r="P8923" s="1" t="s">
        <v>3391</v>
      </c>
      <c r="Q8923" s="30" t="s">
        <v>2567</v>
      </c>
      <c r="R8923" s="33" t="s">
        <v>8665</v>
      </c>
      <c r="S8923">
        <v>36</v>
      </c>
      <c r="T8923" s="1" t="s">
        <v>8661</v>
      </c>
      <c r="U8923" s="1" t="str">
        <f>HYPERLINK("http://ictvonline.org/taxonomy/p/taxonomy-history?taxnode_id=202105053","ICTVonline=202105053")</f>
        <v>ICTVonline=202105053</v>
      </c>
    </row>
    <row r="8924" spans="1:21" x14ac:dyDescent="0.2">
      <c r="A8924" s="3">
        <v>8923</v>
      </c>
      <c r="B8924" s="1" t="s">
        <v>4226</v>
      </c>
      <c r="D8924" s="1" t="s">
        <v>5412</v>
      </c>
      <c r="F8924" s="1" t="s">
        <v>5637</v>
      </c>
      <c r="H8924" s="1" t="s">
        <v>5640</v>
      </c>
      <c r="J8924" s="1" t="s">
        <v>5746</v>
      </c>
      <c r="L8924" s="1" t="s">
        <v>19</v>
      </c>
      <c r="N8924" s="1" t="s">
        <v>20</v>
      </c>
      <c r="P8924" s="1" t="s">
        <v>21</v>
      </c>
      <c r="Q8924" s="30" t="s">
        <v>2567</v>
      </c>
      <c r="R8924" s="33" t="s">
        <v>8665</v>
      </c>
      <c r="S8924">
        <v>36</v>
      </c>
      <c r="T8924" s="1" t="s">
        <v>8661</v>
      </c>
      <c r="U8924" s="1" t="str">
        <f>HYPERLINK("http://ictvonline.org/taxonomy/p/taxonomy-history?taxnode_id=202102473","ICTVonline=202102473")</f>
        <v>ICTVonline=202102473</v>
      </c>
    </row>
    <row r="8925" spans="1:21" x14ac:dyDescent="0.2">
      <c r="A8925" s="3">
        <v>8924</v>
      </c>
      <c r="B8925" s="1" t="s">
        <v>4226</v>
      </c>
      <c r="D8925" s="1" t="s">
        <v>5412</v>
      </c>
      <c r="F8925" s="1" t="s">
        <v>5637</v>
      </c>
      <c r="H8925" s="1" t="s">
        <v>5640</v>
      </c>
      <c r="J8925" s="1" t="s">
        <v>5746</v>
      </c>
      <c r="L8925" s="1" t="s">
        <v>1644</v>
      </c>
      <c r="N8925" s="1" t="s">
        <v>1645</v>
      </c>
      <c r="P8925" s="1" t="s">
        <v>1646</v>
      </c>
      <c r="Q8925" s="30" t="s">
        <v>2567</v>
      </c>
      <c r="R8925" s="33" t="s">
        <v>8665</v>
      </c>
      <c r="S8925">
        <v>36</v>
      </c>
      <c r="T8925" s="1" t="s">
        <v>8661</v>
      </c>
      <c r="U8925" s="1" t="str">
        <f>HYPERLINK("http://ictvonline.org/taxonomy/p/taxonomy-history?taxnode_id=202102729","ICTVonline=202102729")</f>
        <v>ICTVonline=202102729</v>
      </c>
    </row>
    <row r="8926" spans="1:21" x14ac:dyDescent="0.2">
      <c r="A8926" s="3">
        <v>8925</v>
      </c>
      <c r="B8926" s="1" t="s">
        <v>4226</v>
      </c>
      <c r="D8926" s="1" t="s">
        <v>5412</v>
      </c>
      <c r="F8926" s="1" t="s">
        <v>5637</v>
      </c>
      <c r="H8926" s="1" t="s">
        <v>5640</v>
      </c>
      <c r="J8926" s="1" t="s">
        <v>5746</v>
      </c>
      <c r="L8926" s="1" t="s">
        <v>3963</v>
      </c>
      <c r="N8926" s="1" t="s">
        <v>1030</v>
      </c>
      <c r="P8926" s="1" t="s">
        <v>3375</v>
      </c>
      <c r="Q8926" s="30" t="s">
        <v>2567</v>
      </c>
      <c r="R8926" s="33" t="s">
        <v>3474</v>
      </c>
      <c r="S8926">
        <v>36</v>
      </c>
      <c r="T8926" s="1" t="s">
        <v>6721</v>
      </c>
      <c r="U8926" s="1" t="str">
        <f>HYPERLINK("http://ictvonline.org/taxonomy/p/taxonomy-history?taxnode_id=202103762","ICTVonline=202103762")</f>
        <v>ICTVonline=202103762</v>
      </c>
    </row>
    <row r="8927" spans="1:21" x14ac:dyDescent="0.2">
      <c r="A8927" s="3">
        <v>8926</v>
      </c>
      <c r="B8927" s="1" t="s">
        <v>4226</v>
      </c>
      <c r="D8927" s="1" t="s">
        <v>5412</v>
      </c>
      <c r="F8927" s="1" t="s">
        <v>5637</v>
      </c>
      <c r="H8927" s="1" t="s">
        <v>5640</v>
      </c>
      <c r="J8927" s="1" t="s">
        <v>5746</v>
      </c>
      <c r="L8927" s="1" t="s">
        <v>3963</v>
      </c>
      <c r="N8927" s="1" t="s">
        <v>1030</v>
      </c>
      <c r="P8927" s="1" t="s">
        <v>5460</v>
      </c>
      <c r="Q8927" s="30" t="s">
        <v>2567</v>
      </c>
      <c r="R8927" s="33" t="s">
        <v>3474</v>
      </c>
      <c r="S8927">
        <v>36</v>
      </c>
      <c r="T8927" s="1" t="s">
        <v>6721</v>
      </c>
      <c r="U8927" s="1" t="str">
        <f>HYPERLINK("http://ictvonline.org/taxonomy/p/taxonomy-history?taxnode_id=202107408","ICTVonline=202107408")</f>
        <v>ICTVonline=202107408</v>
      </c>
    </row>
    <row r="8928" spans="1:21" x14ac:dyDescent="0.2">
      <c r="A8928" s="3">
        <v>8927</v>
      </c>
      <c r="B8928" s="1" t="s">
        <v>4226</v>
      </c>
      <c r="D8928" s="1" t="s">
        <v>5412</v>
      </c>
      <c r="F8928" s="1" t="s">
        <v>5637</v>
      </c>
      <c r="H8928" s="1" t="s">
        <v>5640</v>
      </c>
      <c r="J8928" s="1" t="s">
        <v>5746</v>
      </c>
      <c r="L8928" s="1" t="s">
        <v>3963</v>
      </c>
      <c r="N8928" s="1" t="s">
        <v>1030</v>
      </c>
      <c r="P8928" s="1" t="s">
        <v>4471</v>
      </c>
      <c r="Q8928" s="30" t="s">
        <v>2567</v>
      </c>
      <c r="R8928" s="33" t="s">
        <v>3474</v>
      </c>
      <c r="S8928">
        <v>36</v>
      </c>
      <c r="T8928" s="1" t="s">
        <v>6721</v>
      </c>
      <c r="U8928" s="1" t="str">
        <f>HYPERLINK("http://ictvonline.org/taxonomy/p/taxonomy-history?taxnode_id=202106590","ICTVonline=202106590")</f>
        <v>ICTVonline=202106590</v>
      </c>
    </row>
    <row r="8929" spans="1:21" x14ac:dyDescent="0.2">
      <c r="A8929" s="3">
        <v>8928</v>
      </c>
      <c r="B8929" s="1" t="s">
        <v>4226</v>
      </c>
      <c r="D8929" s="1" t="s">
        <v>5412</v>
      </c>
      <c r="F8929" s="1" t="s">
        <v>5637</v>
      </c>
      <c r="H8929" s="1" t="s">
        <v>5640</v>
      </c>
      <c r="J8929" s="1" t="s">
        <v>5746</v>
      </c>
      <c r="L8929" s="1" t="s">
        <v>3963</v>
      </c>
      <c r="N8929" s="1" t="s">
        <v>1030</v>
      </c>
      <c r="P8929" s="1" t="s">
        <v>4472</v>
      </c>
      <c r="Q8929" s="30" t="s">
        <v>2567</v>
      </c>
      <c r="R8929" s="33" t="s">
        <v>3474</v>
      </c>
      <c r="S8929">
        <v>36</v>
      </c>
      <c r="T8929" s="1" t="s">
        <v>6721</v>
      </c>
      <c r="U8929" s="1" t="str">
        <f>HYPERLINK("http://ictvonline.org/taxonomy/p/taxonomy-history?taxnode_id=202106585","ICTVonline=202106585")</f>
        <v>ICTVonline=202106585</v>
      </c>
    </row>
    <row r="8930" spans="1:21" x14ac:dyDescent="0.2">
      <c r="A8930" s="3">
        <v>8929</v>
      </c>
      <c r="B8930" s="1" t="s">
        <v>4226</v>
      </c>
      <c r="D8930" s="1" t="s">
        <v>5412</v>
      </c>
      <c r="F8930" s="1" t="s">
        <v>5637</v>
      </c>
      <c r="H8930" s="1" t="s">
        <v>5640</v>
      </c>
      <c r="J8930" s="1" t="s">
        <v>5746</v>
      </c>
      <c r="L8930" s="1" t="s">
        <v>3963</v>
      </c>
      <c r="N8930" s="1" t="s">
        <v>1030</v>
      </c>
      <c r="P8930" s="1" t="s">
        <v>2313</v>
      </c>
      <c r="Q8930" s="30" t="s">
        <v>2567</v>
      </c>
      <c r="R8930" s="33" t="s">
        <v>8660</v>
      </c>
      <c r="S8930">
        <v>36</v>
      </c>
      <c r="T8930" s="1" t="s">
        <v>8661</v>
      </c>
      <c r="U8930" s="1" t="str">
        <f>HYPERLINK("http://ictvonline.org/taxonomy/p/taxonomy-history?taxnode_id=202103763","ICTVonline=202103763")</f>
        <v>ICTVonline=202103763</v>
      </c>
    </row>
    <row r="8931" spans="1:21" x14ac:dyDescent="0.2">
      <c r="A8931" s="3">
        <v>8930</v>
      </c>
      <c r="B8931" s="1" t="s">
        <v>4226</v>
      </c>
      <c r="D8931" s="1" t="s">
        <v>5412</v>
      </c>
      <c r="F8931" s="1" t="s">
        <v>5637</v>
      </c>
      <c r="H8931" s="1" t="s">
        <v>5640</v>
      </c>
      <c r="J8931" s="1" t="s">
        <v>5746</v>
      </c>
      <c r="L8931" s="1" t="s">
        <v>3963</v>
      </c>
      <c r="N8931" s="1" t="s">
        <v>378</v>
      </c>
      <c r="P8931" s="1" t="s">
        <v>379</v>
      </c>
      <c r="Q8931" s="30" t="s">
        <v>2567</v>
      </c>
      <c r="R8931" s="33" t="s">
        <v>8665</v>
      </c>
      <c r="S8931">
        <v>36</v>
      </c>
      <c r="T8931" s="1" t="s">
        <v>8661</v>
      </c>
      <c r="U8931" s="1" t="str">
        <f>HYPERLINK("http://ictvonline.org/taxonomy/p/taxonomy-history?taxnode_id=202105362","ICTVonline=202105362")</f>
        <v>ICTVonline=202105362</v>
      </c>
    </row>
    <row r="8932" spans="1:21" x14ac:dyDescent="0.2">
      <c r="A8932" s="3">
        <v>8931</v>
      </c>
      <c r="B8932" s="1" t="s">
        <v>4226</v>
      </c>
      <c r="D8932" s="1" t="s">
        <v>5412</v>
      </c>
      <c r="F8932" s="1" t="s">
        <v>5637</v>
      </c>
      <c r="H8932" s="1" t="s">
        <v>5640</v>
      </c>
      <c r="J8932" s="1" t="s">
        <v>5746</v>
      </c>
      <c r="L8932" s="1" t="s">
        <v>3963</v>
      </c>
      <c r="N8932" s="1" t="s">
        <v>1517</v>
      </c>
      <c r="P8932" s="1" t="s">
        <v>1518</v>
      </c>
      <c r="Q8932" s="30" t="s">
        <v>2567</v>
      </c>
      <c r="R8932" s="33" t="s">
        <v>3474</v>
      </c>
      <c r="S8932">
        <v>36</v>
      </c>
      <c r="T8932" s="1" t="s">
        <v>6721</v>
      </c>
      <c r="U8932" s="1" t="str">
        <f>HYPERLINK("http://ictvonline.org/taxonomy/p/taxonomy-history?taxnode_id=202103774","ICTVonline=202103774")</f>
        <v>ICTVonline=202103774</v>
      </c>
    </row>
    <row r="8933" spans="1:21" x14ac:dyDescent="0.2">
      <c r="A8933" s="3">
        <v>8932</v>
      </c>
      <c r="B8933" s="1" t="s">
        <v>4226</v>
      </c>
      <c r="D8933" s="1" t="s">
        <v>5412</v>
      </c>
      <c r="F8933" s="1" t="s">
        <v>5637</v>
      </c>
      <c r="H8933" s="1" t="s">
        <v>5640</v>
      </c>
      <c r="J8933" s="1" t="s">
        <v>5746</v>
      </c>
      <c r="L8933" s="1" t="s">
        <v>3963</v>
      </c>
      <c r="N8933" s="1" t="s">
        <v>1517</v>
      </c>
      <c r="P8933" s="1" t="s">
        <v>1840</v>
      </c>
      <c r="Q8933" s="30" t="s">
        <v>2567</v>
      </c>
      <c r="R8933" s="33" t="s">
        <v>3474</v>
      </c>
      <c r="S8933">
        <v>36</v>
      </c>
      <c r="T8933" s="1" t="s">
        <v>6721</v>
      </c>
      <c r="U8933" s="1" t="str">
        <f>HYPERLINK("http://ictvonline.org/taxonomy/p/taxonomy-history?taxnode_id=202103775","ICTVonline=202103775")</f>
        <v>ICTVonline=202103775</v>
      </c>
    </row>
    <row r="8934" spans="1:21" x14ac:dyDescent="0.2">
      <c r="A8934" s="3">
        <v>8933</v>
      </c>
      <c r="B8934" s="1" t="s">
        <v>4226</v>
      </c>
      <c r="D8934" s="1" t="s">
        <v>5412</v>
      </c>
      <c r="F8934" s="1" t="s">
        <v>5637</v>
      </c>
      <c r="H8934" s="1" t="s">
        <v>5640</v>
      </c>
      <c r="J8934" s="1" t="s">
        <v>5746</v>
      </c>
      <c r="L8934" s="1" t="s">
        <v>3963</v>
      </c>
      <c r="N8934" s="1" t="s">
        <v>1517</v>
      </c>
      <c r="P8934" s="1" t="s">
        <v>1519</v>
      </c>
      <c r="Q8934" s="30" t="s">
        <v>2567</v>
      </c>
      <c r="R8934" s="33" t="s">
        <v>3474</v>
      </c>
      <c r="S8934">
        <v>36</v>
      </c>
      <c r="T8934" s="1" t="s">
        <v>6721</v>
      </c>
      <c r="U8934" s="1" t="str">
        <f>HYPERLINK("http://ictvonline.org/taxonomy/p/taxonomy-history?taxnode_id=202103776","ICTVonline=202103776")</f>
        <v>ICTVonline=202103776</v>
      </c>
    </row>
    <row r="8935" spans="1:21" x14ac:dyDescent="0.2">
      <c r="A8935" s="3">
        <v>8934</v>
      </c>
      <c r="B8935" s="1" t="s">
        <v>4226</v>
      </c>
      <c r="D8935" s="1" t="s">
        <v>5412</v>
      </c>
      <c r="F8935" s="1" t="s">
        <v>5637</v>
      </c>
      <c r="H8935" s="1" t="s">
        <v>5640</v>
      </c>
      <c r="J8935" s="1" t="s">
        <v>5746</v>
      </c>
      <c r="L8935" s="1" t="s">
        <v>3963</v>
      </c>
      <c r="N8935" s="1" t="s">
        <v>1517</v>
      </c>
      <c r="P8935" s="1" t="s">
        <v>1520</v>
      </c>
      <c r="Q8935" s="30" t="s">
        <v>2567</v>
      </c>
      <c r="R8935" s="33" t="s">
        <v>3474</v>
      </c>
      <c r="S8935">
        <v>36</v>
      </c>
      <c r="T8935" s="1" t="s">
        <v>6721</v>
      </c>
      <c r="U8935" s="1" t="str">
        <f>HYPERLINK("http://ictvonline.org/taxonomy/p/taxonomy-history?taxnode_id=202103777","ICTVonline=202103777")</f>
        <v>ICTVonline=202103777</v>
      </c>
    </row>
    <row r="8936" spans="1:21" x14ac:dyDescent="0.2">
      <c r="A8936" s="3">
        <v>8935</v>
      </c>
      <c r="B8936" s="1" t="s">
        <v>4226</v>
      </c>
      <c r="D8936" s="1" t="s">
        <v>5412</v>
      </c>
      <c r="F8936" s="1" t="s">
        <v>5637</v>
      </c>
      <c r="H8936" s="1" t="s">
        <v>5640</v>
      </c>
      <c r="J8936" s="1" t="s">
        <v>5746</v>
      </c>
      <c r="L8936" s="1" t="s">
        <v>3963</v>
      </c>
      <c r="N8936" s="1" t="s">
        <v>1517</v>
      </c>
      <c r="P8936" s="1" t="s">
        <v>3884</v>
      </c>
      <c r="Q8936" s="30" t="s">
        <v>2567</v>
      </c>
      <c r="R8936" s="33" t="s">
        <v>3474</v>
      </c>
      <c r="S8936">
        <v>36</v>
      </c>
      <c r="T8936" s="1" t="s">
        <v>6721</v>
      </c>
      <c r="U8936" s="1" t="str">
        <f>HYPERLINK("http://ictvonline.org/taxonomy/p/taxonomy-history?taxnode_id=202103778","ICTVonline=202103778")</f>
        <v>ICTVonline=202103778</v>
      </c>
    </row>
    <row r="8937" spans="1:21" x14ac:dyDescent="0.2">
      <c r="A8937" s="3">
        <v>8936</v>
      </c>
      <c r="B8937" s="1" t="s">
        <v>4226</v>
      </c>
      <c r="D8937" s="1" t="s">
        <v>5412</v>
      </c>
      <c r="F8937" s="1" t="s">
        <v>5637</v>
      </c>
      <c r="H8937" s="1" t="s">
        <v>5640</v>
      </c>
      <c r="J8937" s="1" t="s">
        <v>5746</v>
      </c>
      <c r="L8937" s="1" t="s">
        <v>3963</v>
      </c>
      <c r="N8937" s="1" t="s">
        <v>1517</v>
      </c>
      <c r="P8937" s="1" t="s">
        <v>3885</v>
      </c>
      <c r="Q8937" s="30" t="s">
        <v>2567</v>
      </c>
      <c r="R8937" s="33" t="s">
        <v>3474</v>
      </c>
      <c r="S8937">
        <v>36</v>
      </c>
      <c r="T8937" s="1" t="s">
        <v>8661</v>
      </c>
      <c r="U8937" s="1" t="str">
        <f>HYPERLINK("http://ictvonline.org/taxonomy/p/taxonomy-history?taxnode_id=202103779","ICTVonline=202103779")</f>
        <v>ICTVonline=202103779</v>
      </c>
    </row>
    <row r="8938" spans="1:21" x14ac:dyDescent="0.2">
      <c r="A8938" s="3">
        <v>8937</v>
      </c>
      <c r="B8938" s="1" t="s">
        <v>4226</v>
      </c>
      <c r="D8938" s="1" t="s">
        <v>5412</v>
      </c>
      <c r="F8938" s="1" t="s">
        <v>5637</v>
      </c>
      <c r="H8938" s="1" t="s">
        <v>5640</v>
      </c>
      <c r="J8938" s="1" t="s">
        <v>5746</v>
      </c>
      <c r="L8938" s="1" t="s">
        <v>3963</v>
      </c>
      <c r="N8938" s="1" t="s">
        <v>1517</v>
      </c>
      <c r="P8938" s="1" t="s">
        <v>525</v>
      </c>
      <c r="Q8938" s="30" t="s">
        <v>2567</v>
      </c>
      <c r="R8938" s="33" t="s">
        <v>3474</v>
      </c>
      <c r="S8938">
        <v>36</v>
      </c>
      <c r="T8938" s="1" t="s">
        <v>6721</v>
      </c>
      <c r="U8938" s="1" t="str">
        <f>HYPERLINK("http://ictvonline.org/taxonomy/p/taxonomy-history?taxnode_id=202103780","ICTVonline=202103780")</f>
        <v>ICTVonline=202103780</v>
      </c>
    </row>
    <row r="8939" spans="1:21" x14ac:dyDescent="0.2">
      <c r="A8939" s="3">
        <v>8938</v>
      </c>
      <c r="B8939" s="1" t="s">
        <v>4226</v>
      </c>
      <c r="D8939" s="1" t="s">
        <v>5412</v>
      </c>
      <c r="F8939" s="1" t="s">
        <v>5637</v>
      </c>
      <c r="H8939" s="1" t="s">
        <v>5640</v>
      </c>
      <c r="J8939" s="1" t="s">
        <v>5746</v>
      </c>
      <c r="L8939" s="1" t="s">
        <v>3963</v>
      </c>
      <c r="N8939" s="1" t="s">
        <v>1517</v>
      </c>
      <c r="P8939" s="1" t="s">
        <v>2314</v>
      </c>
      <c r="Q8939" s="30" t="s">
        <v>2567</v>
      </c>
      <c r="R8939" s="33" t="s">
        <v>3474</v>
      </c>
      <c r="S8939">
        <v>36</v>
      </c>
      <c r="T8939" s="1" t="s">
        <v>6721</v>
      </c>
      <c r="U8939" s="1" t="str">
        <f>HYPERLINK("http://ictvonline.org/taxonomy/p/taxonomy-history?taxnode_id=202103781","ICTVonline=202103781")</f>
        <v>ICTVonline=202103781</v>
      </c>
    </row>
    <row r="8940" spans="1:21" x14ac:dyDescent="0.2">
      <c r="A8940" s="3">
        <v>8939</v>
      </c>
      <c r="B8940" s="1" t="s">
        <v>4226</v>
      </c>
      <c r="D8940" s="1" t="s">
        <v>5412</v>
      </c>
      <c r="F8940" s="1" t="s">
        <v>5637</v>
      </c>
      <c r="H8940" s="1" t="s">
        <v>5640</v>
      </c>
      <c r="J8940" s="1" t="s">
        <v>5746</v>
      </c>
      <c r="L8940" s="1" t="s">
        <v>3963</v>
      </c>
      <c r="N8940" s="1" t="s">
        <v>1517</v>
      </c>
      <c r="P8940" s="1" t="s">
        <v>1521</v>
      </c>
      <c r="Q8940" s="30" t="s">
        <v>2567</v>
      </c>
      <c r="R8940" s="33" t="s">
        <v>3474</v>
      </c>
      <c r="S8940">
        <v>36</v>
      </c>
      <c r="T8940" s="1" t="s">
        <v>6721</v>
      </c>
      <c r="U8940" s="1" t="str">
        <f>HYPERLINK("http://ictvonline.org/taxonomy/p/taxonomy-history?taxnode_id=202103782","ICTVonline=202103782")</f>
        <v>ICTVonline=202103782</v>
      </c>
    </row>
    <row r="8941" spans="1:21" x14ac:dyDescent="0.2">
      <c r="A8941" s="3">
        <v>8940</v>
      </c>
      <c r="B8941" s="1" t="s">
        <v>4226</v>
      </c>
      <c r="D8941" s="1" t="s">
        <v>5412</v>
      </c>
      <c r="F8941" s="1" t="s">
        <v>5637</v>
      </c>
      <c r="H8941" s="1" t="s">
        <v>5640</v>
      </c>
      <c r="J8941" s="1" t="s">
        <v>5746</v>
      </c>
      <c r="L8941" s="1" t="s">
        <v>3963</v>
      </c>
      <c r="N8941" s="1" t="s">
        <v>1517</v>
      </c>
      <c r="P8941" s="1" t="s">
        <v>5464</v>
      </c>
      <c r="Q8941" s="30" t="s">
        <v>2567</v>
      </c>
      <c r="R8941" s="33" t="s">
        <v>3474</v>
      </c>
      <c r="S8941">
        <v>36</v>
      </c>
      <c r="T8941" s="1" t="s">
        <v>6721</v>
      </c>
      <c r="U8941" s="1" t="str">
        <f>HYPERLINK("http://ictvonline.org/taxonomy/p/taxonomy-history?taxnode_id=202107417","ICTVonline=202107417")</f>
        <v>ICTVonline=202107417</v>
      </c>
    </row>
    <row r="8942" spans="1:21" x14ac:dyDescent="0.2">
      <c r="A8942" s="3">
        <v>8941</v>
      </c>
      <c r="B8942" s="1" t="s">
        <v>4226</v>
      </c>
      <c r="D8942" s="1" t="s">
        <v>5412</v>
      </c>
      <c r="F8942" s="1" t="s">
        <v>5637</v>
      </c>
      <c r="H8942" s="1" t="s">
        <v>5640</v>
      </c>
      <c r="J8942" s="1" t="s">
        <v>5746</v>
      </c>
      <c r="L8942" s="1" t="s">
        <v>3963</v>
      </c>
      <c r="N8942" s="1" t="s">
        <v>1517</v>
      </c>
      <c r="P8942" s="1" t="s">
        <v>3886</v>
      </c>
      <c r="Q8942" s="30" t="s">
        <v>2567</v>
      </c>
      <c r="R8942" s="33" t="s">
        <v>3474</v>
      </c>
      <c r="S8942">
        <v>36</v>
      </c>
      <c r="T8942" s="1" t="s">
        <v>8661</v>
      </c>
      <c r="U8942" s="1" t="str">
        <f>HYPERLINK("http://ictvonline.org/taxonomy/p/taxonomy-history?taxnode_id=202103783","ICTVonline=202103783")</f>
        <v>ICTVonline=202103783</v>
      </c>
    </row>
    <row r="8943" spans="1:21" x14ac:dyDescent="0.2">
      <c r="A8943" s="3">
        <v>8942</v>
      </c>
      <c r="B8943" s="1" t="s">
        <v>4226</v>
      </c>
      <c r="D8943" s="1" t="s">
        <v>5412</v>
      </c>
      <c r="F8943" s="1" t="s">
        <v>5637</v>
      </c>
      <c r="H8943" s="1" t="s">
        <v>5640</v>
      </c>
      <c r="J8943" s="1" t="s">
        <v>5746</v>
      </c>
      <c r="L8943" s="1" t="s">
        <v>3963</v>
      </c>
      <c r="N8943" s="1" t="s">
        <v>1517</v>
      </c>
      <c r="P8943" s="1" t="s">
        <v>3887</v>
      </c>
      <c r="Q8943" s="30" t="s">
        <v>2567</v>
      </c>
      <c r="R8943" s="33" t="s">
        <v>3474</v>
      </c>
      <c r="S8943">
        <v>36</v>
      </c>
      <c r="T8943" s="1" t="s">
        <v>6721</v>
      </c>
      <c r="U8943" s="1" t="str">
        <f>HYPERLINK("http://ictvonline.org/taxonomy/p/taxonomy-history?taxnode_id=202105862","ICTVonline=202105862")</f>
        <v>ICTVonline=202105862</v>
      </c>
    </row>
    <row r="8944" spans="1:21" x14ac:dyDescent="0.2">
      <c r="A8944" s="3">
        <v>8943</v>
      </c>
      <c r="B8944" s="1" t="s">
        <v>4226</v>
      </c>
      <c r="D8944" s="1" t="s">
        <v>5412</v>
      </c>
      <c r="F8944" s="1" t="s">
        <v>5637</v>
      </c>
      <c r="H8944" s="1" t="s">
        <v>5640</v>
      </c>
      <c r="J8944" s="1" t="s">
        <v>5746</v>
      </c>
      <c r="L8944" s="1" t="s">
        <v>3963</v>
      </c>
      <c r="N8944" s="1" t="s">
        <v>1517</v>
      </c>
      <c r="P8944" s="1" t="s">
        <v>526</v>
      </c>
      <c r="Q8944" s="30" t="s">
        <v>2567</v>
      </c>
      <c r="R8944" s="33" t="s">
        <v>3474</v>
      </c>
      <c r="S8944">
        <v>36</v>
      </c>
      <c r="T8944" s="1" t="s">
        <v>6721</v>
      </c>
      <c r="U8944" s="1" t="str">
        <f>HYPERLINK("http://ictvonline.org/taxonomy/p/taxonomy-history?taxnode_id=202103784","ICTVonline=202103784")</f>
        <v>ICTVonline=202103784</v>
      </c>
    </row>
    <row r="8945" spans="1:21" x14ac:dyDescent="0.2">
      <c r="A8945" s="3">
        <v>8944</v>
      </c>
      <c r="B8945" s="1" t="s">
        <v>4226</v>
      </c>
      <c r="D8945" s="1" t="s">
        <v>5412</v>
      </c>
      <c r="F8945" s="1" t="s">
        <v>5637</v>
      </c>
      <c r="H8945" s="1" t="s">
        <v>5640</v>
      </c>
      <c r="J8945" s="1" t="s">
        <v>5746</v>
      </c>
      <c r="L8945" s="1" t="s">
        <v>3963</v>
      </c>
      <c r="N8945" s="1" t="s">
        <v>1517</v>
      </c>
      <c r="P8945" s="1" t="s">
        <v>3888</v>
      </c>
      <c r="Q8945" s="30" t="s">
        <v>2567</v>
      </c>
      <c r="R8945" s="33" t="s">
        <v>3474</v>
      </c>
      <c r="S8945">
        <v>36</v>
      </c>
      <c r="T8945" s="1" t="s">
        <v>6721</v>
      </c>
      <c r="U8945" s="1" t="str">
        <f>HYPERLINK("http://ictvonline.org/taxonomy/p/taxonomy-history?taxnode_id=202105863","ICTVonline=202105863")</f>
        <v>ICTVonline=202105863</v>
      </c>
    </row>
    <row r="8946" spans="1:21" x14ac:dyDescent="0.2">
      <c r="A8946" s="3">
        <v>8945</v>
      </c>
      <c r="B8946" s="1" t="s">
        <v>4226</v>
      </c>
      <c r="D8946" s="1" t="s">
        <v>5412</v>
      </c>
      <c r="F8946" s="1" t="s">
        <v>5637</v>
      </c>
      <c r="H8946" s="1" t="s">
        <v>5640</v>
      </c>
      <c r="J8946" s="1" t="s">
        <v>5746</v>
      </c>
      <c r="L8946" s="1" t="s">
        <v>3963</v>
      </c>
      <c r="N8946" s="1" t="s">
        <v>1517</v>
      </c>
      <c r="P8946" s="1" t="s">
        <v>4475</v>
      </c>
      <c r="Q8946" s="30" t="s">
        <v>2567</v>
      </c>
      <c r="R8946" s="33" t="s">
        <v>3474</v>
      </c>
      <c r="S8946">
        <v>36</v>
      </c>
      <c r="T8946" s="1" t="s">
        <v>6721</v>
      </c>
      <c r="U8946" s="1" t="str">
        <f>HYPERLINK("http://ictvonline.org/taxonomy/p/taxonomy-history?taxnode_id=202103785","ICTVonline=202103785")</f>
        <v>ICTVonline=202103785</v>
      </c>
    </row>
    <row r="8947" spans="1:21" x14ac:dyDescent="0.2">
      <c r="A8947" s="3">
        <v>8946</v>
      </c>
      <c r="B8947" s="1" t="s">
        <v>4226</v>
      </c>
      <c r="D8947" s="1" t="s">
        <v>5412</v>
      </c>
      <c r="F8947" s="1" t="s">
        <v>5637</v>
      </c>
      <c r="H8947" s="1" t="s">
        <v>5640</v>
      </c>
      <c r="J8947" s="1" t="s">
        <v>5746</v>
      </c>
      <c r="L8947" s="1" t="s">
        <v>3963</v>
      </c>
      <c r="N8947" s="1" t="s">
        <v>1517</v>
      </c>
      <c r="P8947" s="1" t="s">
        <v>4476</v>
      </c>
      <c r="Q8947" s="30" t="s">
        <v>2567</v>
      </c>
      <c r="R8947" s="33" t="s">
        <v>3474</v>
      </c>
      <c r="S8947">
        <v>36</v>
      </c>
      <c r="T8947" s="1" t="s">
        <v>6721</v>
      </c>
      <c r="U8947" s="1" t="str">
        <f>HYPERLINK("http://ictvonline.org/taxonomy/p/taxonomy-history?taxnode_id=202106621","ICTVonline=202106621")</f>
        <v>ICTVonline=202106621</v>
      </c>
    </row>
    <row r="8948" spans="1:21" x14ac:dyDescent="0.2">
      <c r="A8948" s="3">
        <v>8947</v>
      </c>
      <c r="B8948" s="1" t="s">
        <v>4226</v>
      </c>
      <c r="D8948" s="1" t="s">
        <v>5412</v>
      </c>
      <c r="F8948" s="1" t="s">
        <v>5637</v>
      </c>
      <c r="H8948" s="1" t="s">
        <v>5640</v>
      </c>
      <c r="J8948" s="1" t="s">
        <v>5746</v>
      </c>
      <c r="L8948" s="1" t="s">
        <v>3963</v>
      </c>
      <c r="N8948" s="1" t="s">
        <v>1517</v>
      </c>
      <c r="P8948" s="1" t="s">
        <v>4477</v>
      </c>
      <c r="Q8948" s="30" t="s">
        <v>2567</v>
      </c>
      <c r="R8948" s="33" t="s">
        <v>3474</v>
      </c>
      <c r="S8948">
        <v>36</v>
      </c>
      <c r="T8948" s="1" t="s">
        <v>6721</v>
      </c>
      <c r="U8948" s="1" t="str">
        <f>HYPERLINK("http://ictvonline.org/taxonomy/p/taxonomy-history?taxnode_id=202106622","ICTVonline=202106622")</f>
        <v>ICTVonline=202106622</v>
      </c>
    </row>
    <row r="8949" spans="1:21" x14ac:dyDescent="0.2">
      <c r="A8949" s="3">
        <v>8948</v>
      </c>
      <c r="B8949" s="1" t="s">
        <v>4226</v>
      </c>
      <c r="D8949" s="1" t="s">
        <v>5412</v>
      </c>
      <c r="F8949" s="1" t="s">
        <v>5637</v>
      </c>
      <c r="H8949" s="1" t="s">
        <v>5640</v>
      </c>
      <c r="J8949" s="1" t="s">
        <v>5746</v>
      </c>
      <c r="L8949" s="1" t="s">
        <v>3963</v>
      </c>
      <c r="N8949" s="1" t="s">
        <v>1517</v>
      </c>
      <c r="P8949" s="1" t="s">
        <v>4478</v>
      </c>
      <c r="Q8949" s="30" t="s">
        <v>2567</v>
      </c>
      <c r="R8949" s="33" t="s">
        <v>3474</v>
      </c>
      <c r="S8949">
        <v>36</v>
      </c>
      <c r="T8949" s="1" t="s">
        <v>6721</v>
      </c>
      <c r="U8949" s="1" t="str">
        <f>HYPERLINK("http://ictvonline.org/taxonomy/p/taxonomy-history?taxnode_id=202106623","ICTVonline=202106623")</f>
        <v>ICTVonline=202106623</v>
      </c>
    </row>
    <row r="8950" spans="1:21" x14ac:dyDescent="0.2">
      <c r="A8950" s="3">
        <v>8949</v>
      </c>
      <c r="B8950" s="1" t="s">
        <v>4226</v>
      </c>
      <c r="D8950" s="1" t="s">
        <v>5412</v>
      </c>
      <c r="F8950" s="1" t="s">
        <v>5637</v>
      </c>
      <c r="H8950" s="1" t="s">
        <v>5640</v>
      </c>
      <c r="J8950" s="1" t="s">
        <v>5746</v>
      </c>
      <c r="L8950" s="1" t="s">
        <v>3963</v>
      </c>
      <c r="N8950" s="1" t="s">
        <v>1517</v>
      </c>
      <c r="P8950" s="1" t="s">
        <v>4479</v>
      </c>
      <c r="Q8950" s="30" t="s">
        <v>2567</v>
      </c>
      <c r="R8950" s="33" t="s">
        <v>3474</v>
      </c>
      <c r="S8950">
        <v>36</v>
      </c>
      <c r="T8950" s="1" t="s">
        <v>6721</v>
      </c>
      <c r="U8950" s="1" t="str">
        <f>HYPERLINK("http://ictvonline.org/taxonomy/p/taxonomy-history?taxnode_id=202106624","ICTVonline=202106624")</f>
        <v>ICTVonline=202106624</v>
      </c>
    </row>
    <row r="8951" spans="1:21" x14ac:dyDescent="0.2">
      <c r="A8951" s="3">
        <v>8950</v>
      </c>
      <c r="B8951" s="1" t="s">
        <v>4226</v>
      </c>
      <c r="D8951" s="1" t="s">
        <v>5412</v>
      </c>
      <c r="F8951" s="1" t="s">
        <v>5637</v>
      </c>
      <c r="H8951" s="1" t="s">
        <v>5640</v>
      </c>
      <c r="J8951" s="1" t="s">
        <v>5746</v>
      </c>
      <c r="L8951" s="1" t="s">
        <v>3963</v>
      </c>
      <c r="N8951" s="1" t="s">
        <v>1517</v>
      </c>
      <c r="P8951" s="1" t="s">
        <v>4480</v>
      </c>
      <c r="Q8951" s="30" t="s">
        <v>2567</v>
      </c>
      <c r="R8951" s="33" t="s">
        <v>3474</v>
      </c>
      <c r="S8951">
        <v>36</v>
      </c>
      <c r="T8951" s="1" t="s">
        <v>6721</v>
      </c>
      <c r="U8951" s="1" t="str">
        <f>HYPERLINK("http://ictvonline.org/taxonomy/p/taxonomy-history?taxnode_id=202106625","ICTVonline=202106625")</f>
        <v>ICTVonline=202106625</v>
      </c>
    </row>
    <row r="8952" spans="1:21" x14ac:dyDescent="0.2">
      <c r="A8952" s="3">
        <v>8951</v>
      </c>
      <c r="B8952" s="1" t="s">
        <v>4226</v>
      </c>
      <c r="D8952" s="1" t="s">
        <v>5412</v>
      </c>
      <c r="F8952" s="1" t="s">
        <v>5637</v>
      </c>
      <c r="H8952" s="1" t="s">
        <v>5640</v>
      </c>
      <c r="J8952" s="1" t="s">
        <v>5746</v>
      </c>
      <c r="L8952" s="1" t="s">
        <v>3963</v>
      </c>
      <c r="N8952" s="1" t="s">
        <v>1517</v>
      </c>
      <c r="P8952" s="1" t="s">
        <v>1522</v>
      </c>
      <c r="Q8952" s="30" t="s">
        <v>2567</v>
      </c>
      <c r="R8952" s="33" t="s">
        <v>8660</v>
      </c>
      <c r="S8952">
        <v>36</v>
      </c>
      <c r="T8952" s="1" t="s">
        <v>8661</v>
      </c>
      <c r="U8952" s="1" t="str">
        <f>HYPERLINK("http://ictvonline.org/taxonomy/p/taxonomy-history?taxnode_id=202103786","ICTVonline=202103786")</f>
        <v>ICTVonline=202103786</v>
      </c>
    </row>
    <row r="8953" spans="1:21" x14ac:dyDescent="0.2">
      <c r="A8953" s="3">
        <v>8952</v>
      </c>
      <c r="B8953" s="1" t="s">
        <v>4226</v>
      </c>
      <c r="D8953" s="1" t="s">
        <v>5412</v>
      </c>
      <c r="F8953" s="1" t="s">
        <v>5637</v>
      </c>
      <c r="H8953" s="1" t="s">
        <v>5640</v>
      </c>
      <c r="J8953" s="1" t="s">
        <v>5746</v>
      </c>
      <c r="L8953" s="1" t="s">
        <v>3963</v>
      </c>
      <c r="N8953" s="1" t="s">
        <v>1517</v>
      </c>
      <c r="P8953" s="1" t="s">
        <v>5465</v>
      </c>
      <c r="Q8953" s="30" t="s">
        <v>2567</v>
      </c>
      <c r="R8953" s="33" t="s">
        <v>3474</v>
      </c>
      <c r="S8953">
        <v>36</v>
      </c>
      <c r="T8953" s="1" t="s">
        <v>6721</v>
      </c>
      <c r="U8953" s="1" t="str">
        <f>HYPERLINK("http://ictvonline.org/taxonomy/p/taxonomy-history?taxnode_id=202107553","ICTVonline=202107553")</f>
        <v>ICTVonline=202107553</v>
      </c>
    </row>
    <row r="8954" spans="1:21" x14ac:dyDescent="0.2">
      <c r="A8954" s="3">
        <v>8953</v>
      </c>
      <c r="B8954" s="1" t="s">
        <v>4226</v>
      </c>
      <c r="D8954" s="1" t="s">
        <v>5412</v>
      </c>
      <c r="F8954" s="1" t="s">
        <v>5637</v>
      </c>
      <c r="H8954" s="1" t="s">
        <v>5640</v>
      </c>
      <c r="J8954" s="1" t="s">
        <v>5746</v>
      </c>
      <c r="L8954" s="1" t="s">
        <v>3963</v>
      </c>
      <c r="N8954" s="1" t="s">
        <v>1517</v>
      </c>
      <c r="P8954" s="1" t="s">
        <v>2315</v>
      </c>
      <c r="Q8954" s="30" t="s">
        <v>2567</v>
      </c>
      <c r="R8954" s="33" t="s">
        <v>3474</v>
      </c>
      <c r="S8954">
        <v>36</v>
      </c>
      <c r="T8954" s="1" t="s">
        <v>6721</v>
      </c>
      <c r="U8954" s="1" t="str">
        <f>HYPERLINK("http://ictvonline.org/taxonomy/p/taxonomy-history?taxnode_id=202103787","ICTVonline=202103787")</f>
        <v>ICTVonline=202103787</v>
      </c>
    </row>
    <row r="8955" spans="1:21" x14ac:dyDescent="0.2">
      <c r="A8955" s="3">
        <v>8954</v>
      </c>
      <c r="B8955" s="1" t="s">
        <v>4226</v>
      </c>
      <c r="D8955" s="1" t="s">
        <v>5412</v>
      </c>
      <c r="F8955" s="1" t="s">
        <v>5637</v>
      </c>
      <c r="H8955" s="1" t="s">
        <v>5640</v>
      </c>
      <c r="J8955" s="1" t="s">
        <v>5746</v>
      </c>
      <c r="L8955" s="1" t="s">
        <v>3963</v>
      </c>
      <c r="N8955" s="1" t="s">
        <v>1517</v>
      </c>
      <c r="P8955" s="1" t="s">
        <v>1523</v>
      </c>
      <c r="Q8955" s="30" t="s">
        <v>2567</v>
      </c>
      <c r="R8955" s="33" t="s">
        <v>3474</v>
      </c>
      <c r="S8955">
        <v>36</v>
      </c>
      <c r="T8955" s="1" t="s">
        <v>6721</v>
      </c>
      <c r="U8955" s="1" t="str">
        <f>HYPERLINK("http://ictvonline.org/taxonomy/p/taxonomy-history?taxnode_id=202103788","ICTVonline=202103788")</f>
        <v>ICTVonline=202103788</v>
      </c>
    </row>
    <row r="8956" spans="1:21" x14ac:dyDescent="0.2">
      <c r="A8956" s="3">
        <v>8955</v>
      </c>
      <c r="B8956" s="1" t="s">
        <v>4226</v>
      </c>
      <c r="D8956" s="1" t="s">
        <v>5412</v>
      </c>
      <c r="F8956" s="1" t="s">
        <v>5637</v>
      </c>
      <c r="H8956" s="1" t="s">
        <v>5640</v>
      </c>
      <c r="J8956" s="1" t="s">
        <v>5746</v>
      </c>
      <c r="L8956" s="1" t="s">
        <v>3963</v>
      </c>
      <c r="N8956" s="1" t="s">
        <v>1517</v>
      </c>
      <c r="P8956" s="1" t="s">
        <v>1526</v>
      </c>
      <c r="Q8956" s="30" t="s">
        <v>2567</v>
      </c>
      <c r="R8956" s="33" t="s">
        <v>3474</v>
      </c>
      <c r="S8956">
        <v>36</v>
      </c>
      <c r="T8956" s="1" t="s">
        <v>6721</v>
      </c>
      <c r="U8956" s="1" t="str">
        <f>HYPERLINK("http://ictvonline.org/taxonomy/p/taxonomy-history?taxnode_id=202103789","ICTVonline=202103789")</f>
        <v>ICTVonline=202103789</v>
      </c>
    </row>
    <row r="8957" spans="1:21" x14ac:dyDescent="0.2">
      <c r="A8957" s="3">
        <v>8956</v>
      </c>
      <c r="B8957" s="1" t="s">
        <v>4226</v>
      </c>
      <c r="D8957" s="1" t="s">
        <v>5412</v>
      </c>
      <c r="F8957" s="1" t="s">
        <v>5637</v>
      </c>
      <c r="H8957" s="1" t="s">
        <v>5640</v>
      </c>
      <c r="J8957" s="1" t="s">
        <v>5746</v>
      </c>
      <c r="L8957" s="1" t="s">
        <v>3963</v>
      </c>
      <c r="N8957" s="1" t="s">
        <v>1517</v>
      </c>
      <c r="P8957" s="1" t="s">
        <v>1524</v>
      </c>
      <c r="Q8957" s="30" t="s">
        <v>2567</v>
      </c>
      <c r="R8957" s="33" t="s">
        <v>3474</v>
      </c>
      <c r="S8957">
        <v>36</v>
      </c>
      <c r="T8957" s="1" t="s">
        <v>6721</v>
      </c>
      <c r="U8957" s="1" t="str">
        <f>HYPERLINK("http://ictvonline.org/taxonomy/p/taxonomy-history?taxnode_id=202103790","ICTVonline=202103790")</f>
        <v>ICTVonline=202103790</v>
      </c>
    </row>
    <row r="8958" spans="1:21" x14ac:dyDescent="0.2">
      <c r="A8958" s="3">
        <v>8957</v>
      </c>
      <c r="B8958" s="1" t="s">
        <v>4226</v>
      </c>
      <c r="D8958" s="1" t="s">
        <v>5412</v>
      </c>
      <c r="F8958" s="1" t="s">
        <v>5637</v>
      </c>
      <c r="H8958" s="1" t="s">
        <v>5640</v>
      </c>
      <c r="J8958" s="1" t="s">
        <v>5746</v>
      </c>
      <c r="L8958" s="1" t="s">
        <v>3963</v>
      </c>
      <c r="N8958" s="1" t="s">
        <v>924</v>
      </c>
      <c r="P8958" s="1" t="s">
        <v>3051</v>
      </c>
      <c r="Q8958" s="30" t="s">
        <v>2567</v>
      </c>
      <c r="R8958" s="33" t="s">
        <v>3474</v>
      </c>
      <c r="S8958">
        <v>35</v>
      </c>
      <c r="T8958" s="1" t="s">
        <v>5416</v>
      </c>
      <c r="U8958" s="1" t="str">
        <f>HYPERLINK("http://ictvonline.org/taxonomy/p/taxonomy-history?taxnode_id=202105371","ICTVonline=202105371")</f>
        <v>ICTVonline=202105371</v>
      </c>
    </row>
    <row r="8959" spans="1:21" x14ac:dyDescent="0.2">
      <c r="A8959" s="3">
        <v>8958</v>
      </c>
      <c r="B8959" s="1" t="s">
        <v>4226</v>
      </c>
      <c r="D8959" s="1" t="s">
        <v>5412</v>
      </c>
      <c r="F8959" s="1" t="s">
        <v>5637</v>
      </c>
      <c r="H8959" s="1" t="s">
        <v>5640</v>
      </c>
      <c r="J8959" s="1" t="s">
        <v>5746</v>
      </c>
      <c r="L8959" s="1" t="s">
        <v>3963</v>
      </c>
      <c r="N8959" s="1" t="s">
        <v>924</v>
      </c>
      <c r="P8959" s="1" t="s">
        <v>925</v>
      </c>
      <c r="Q8959" s="30" t="s">
        <v>2567</v>
      </c>
      <c r="R8959" s="33" t="s">
        <v>3474</v>
      </c>
      <c r="S8959">
        <v>35</v>
      </c>
      <c r="T8959" s="1" t="s">
        <v>5416</v>
      </c>
      <c r="U8959" s="1" t="str">
        <f>HYPERLINK("http://ictvonline.org/taxonomy/p/taxonomy-history?taxnode_id=202105372","ICTVonline=202105372")</f>
        <v>ICTVonline=202105372</v>
      </c>
    </row>
    <row r="8960" spans="1:21" x14ac:dyDescent="0.2">
      <c r="A8960" s="3">
        <v>8959</v>
      </c>
      <c r="B8960" s="1" t="s">
        <v>4226</v>
      </c>
      <c r="D8960" s="1" t="s">
        <v>5412</v>
      </c>
      <c r="F8960" s="1" t="s">
        <v>5637</v>
      </c>
      <c r="H8960" s="1" t="s">
        <v>5640</v>
      </c>
      <c r="J8960" s="1" t="s">
        <v>5746</v>
      </c>
      <c r="L8960" s="1" t="s">
        <v>3963</v>
      </c>
      <c r="N8960" s="1" t="s">
        <v>924</v>
      </c>
      <c r="P8960" s="1" t="s">
        <v>926</v>
      </c>
      <c r="Q8960" s="30" t="s">
        <v>2567</v>
      </c>
      <c r="R8960" s="33" t="s">
        <v>3474</v>
      </c>
      <c r="S8960">
        <v>35</v>
      </c>
      <c r="T8960" s="1" t="s">
        <v>5416</v>
      </c>
      <c r="U8960" s="1" t="str">
        <f>HYPERLINK("http://ictvonline.org/taxonomy/p/taxonomy-history?taxnode_id=202105373","ICTVonline=202105373")</f>
        <v>ICTVonline=202105373</v>
      </c>
    </row>
    <row r="8961" spans="1:21" x14ac:dyDescent="0.2">
      <c r="A8961" s="3">
        <v>8960</v>
      </c>
      <c r="B8961" s="1" t="s">
        <v>4226</v>
      </c>
      <c r="D8961" s="1" t="s">
        <v>5412</v>
      </c>
      <c r="F8961" s="1" t="s">
        <v>5637</v>
      </c>
      <c r="H8961" s="1" t="s">
        <v>5640</v>
      </c>
      <c r="J8961" s="1" t="s">
        <v>5746</v>
      </c>
      <c r="L8961" s="1" t="s">
        <v>3963</v>
      </c>
      <c r="N8961" s="1" t="s">
        <v>924</v>
      </c>
      <c r="P8961" s="1" t="s">
        <v>3052</v>
      </c>
      <c r="Q8961" s="30" t="s">
        <v>2567</v>
      </c>
      <c r="R8961" s="33" t="s">
        <v>3474</v>
      </c>
      <c r="S8961">
        <v>35</v>
      </c>
      <c r="T8961" s="1" t="s">
        <v>5416</v>
      </c>
      <c r="U8961" s="1" t="str">
        <f>HYPERLINK("http://ictvonline.org/taxonomy/p/taxonomy-history?taxnode_id=202105374","ICTVonline=202105374")</f>
        <v>ICTVonline=202105374</v>
      </c>
    </row>
    <row r="8962" spans="1:21" x14ac:dyDescent="0.2">
      <c r="A8962" s="3">
        <v>8961</v>
      </c>
      <c r="B8962" s="1" t="s">
        <v>4226</v>
      </c>
      <c r="D8962" s="1" t="s">
        <v>5412</v>
      </c>
      <c r="F8962" s="1" t="s">
        <v>5637</v>
      </c>
      <c r="H8962" s="1" t="s">
        <v>5640</v>
      </c>
      <c r="J8962" s="1" t="s">
        <v>5746</v>
      </c>
      <c r="L8962" s="1" t="s">
        <v>3963</v>
      </c>
      <c r="N8962" s="1" t="s">
        <v>924</v>
      </c>
      <c r="P8962" s="1" t="s">
        <v>210</v>
      </c>
      <c r="Q8962" s="30" t="s">
        <v>2567</v>
      </c>
      <c r="R8962" s="33" t="s">
        <v>3474</v>
      </c>
      <c r="S8962">
        <v>35</v>
      </c>
      <c r="T8962" s="1" t="s">
        <v>5416</v>
      </c>
      <c r="U8962" s="1" t="str">
        <f>HYPERLINK("http://ictvonline.org/taxonomy/p/taxonomy-history?taxnode_id=202105375","ICTVonline=202105375")</f>
        <v>ICTVonline=202105375</v>
      </c>
    </row>
    <row r="8963" spans="1:21" x14ac:dyDescent="0.2">
      <c r="A8963" s="3">
        <v>8962</v>
      </c>
      <c r="B8963" s="1" t="s">
        <v>4226</v>
      </c>
      <c r="D8963" s="1" t="s">
        <v>5412</v>
      </c>
      <c r="F8963" s="1" t="s">
        <v>5637</v>
      </c>
      <c r="H8963" s="1" t="s">
        <v>5640</v>
      </c>
      <c r="J8963" s="1" t="s">
        <v>5746</v>
      </c>
      <c r="L8963" s="1" t="s">
        <v>3963</v>
      </c>
      <c r="N8963" s="1" t="s">
        <v>924</v>
      </c>
      <c r="P8963" s="1" t="s">
        <v>927</v>
      </c>
      <c r="Q8963" s="30" t="s">
        <v>2567</v>
      </c>
      <c r="R8963" s="33" t="s">
        <v>3474</v>
      </c>
      <c r="S8963">
        <v>35</v>
      </c>
      <c r="T8963" s="1" t="s">
        <v>5416</v>
      </c>
      <c r="U8963" s="1" t="str">
        <f>HYPERLINK("http://ictvonline.org/taxonomy/p/taxonomy-history?taxnode_id=202105376","ICTVonline=202105376")</f>
        <v>ICTVonline=202105376</v>
      </c>
    </row>
    <row r="8964" spans="1:21" x14ac:dyDescent="0.2">
      <c r="A8964" s="3">
        <v>8963</v>
      </c>
      <c r="B8964" s="1" t="s">
        <v>4226</v>
      </c>
      <c r="D8964" s="1" t="s">
        <v>5412</v>
      </c>
      <c r="F8964" s="1" t="s">
        <v>5637</v>
      </c>
      <c r="H8964" s="1" t="s">
        <v>5640</v>
      </c>
      <c r="J8964" s="1" t="s">
        <v>5746</v>
      </c>
      <c r="L8964" s="1" t="s">
        <v>3963</v>
      </c>
      <c r="N8964" s="1" t="s">
        <v>924</v>
      </c>
      <c r="P8964" s="1" t="s">
        <v>3053</v>
      </c>
      <c r="Q8964" s="30" t="s">
        <v>2567</v>
      </c>
      <c r="R8964" s="33" t="s">
        <v>3474</v>
      </c>
      <c r="S8964">
        <v>35</v>
      </c>
      <c r="T8964" s="1" t="s">
        <v>5416</v>
      </c>
      <c r="U8964" s="1" t="str">
        <f>HYPERLINK("http://ictvonline.org/taxonomy/p/taxonomy-history?taxnode_id=202105377","ICTVonline=202105377")</f>
        <v>ICTVonline=202105377</v>
      </c>
    </row>
    <row r="8965" spans="1:21" x14ac:dyDescent="0.2">
      <c r="A8965" s="3">
        <v>8964</v>
      </c>
      <c r="B8965" s="1" t="s">
        <v>4226</v>
      </c>
      <c r="D8965" s="1" t="s">
        <v>5412</v>
      </c>
      <c r="F8965" s="1" t="s">
        <v>5637</v>
      </c>
      <c r="H8965" s="1" t="s">
        <v>5640</v>
      </c>
      <c r="J8965" s="1" t="s">
        <v>5746</v>
      </c>
      <c r="L8965" s="1" t="s">
        <v>3963</v>
      </c>
      <c r="N8965" s="1" t="s">
        <v>924</v>
      </c>
      <c r="P8965" s="1" t="s">
        <v>8334</v>
      </c>
      <c r="Q8965" s="30" t="s">
        <v>2567</v>
      </c>
      <c r="R8965" s="33" t="s">
        <v>3472</v>
      </c>
      <c r="S8965">
        <v>36</v>
      </c>
      <c r="T8965" s="1" t="s">
        <v>8335</v>
      </c>
      <c r="U8965" s="1" t="str">
        <f>HYPERLINK("http://ictvonline.org/taxonomy/p/taxonomy-history?taxnode_id=202109704","ICTVonline=202109704")</f>
        <v>ICTVonline=202109704</v>
      </c>
    </row>
    <row r="8966" spans="1:21" x14ac:dyDescent="0.2">
      <c r="A8966" s="3">
        <v>8965</v>
      </c>
      <c r="B8966" s="1" t="s">
        <v>4226</v>
      </c>
      <c r="D8966" s="1" t="s">
        <v>5412</v>
      </c>
      <c r="F8966" s="1" t="s">
        <v>5637</v>
      </c>
      <c r="H8966" s="1" t="s">
        <v>5640</v>
      </c>
      <c r="J8966" s="1" t="s">
        <v>5746</v>
      </c>
      <c r="L8966" s="1" t="s">
        <v>3963</v>
      </c>
      <c r="N8966" s="1" t="s">
        <v>924</v>
      </c>
      <c r="P8966" s="1" t="s">
        <v>928</v>
      </c>
      <c r="Q8966" s="30" t="s">
        <v>2567</v>
      </c>
      <c r="R8966" s="33" t="s">
        <v>3474</v>
      </c>
      <c r="S8966">
        <v>35</v>
      </c>
      <c r="T8966" s="1" t="s">
        <v>5416</v>
      </c>
      <c r="U8966" s="1" t="str">
        <f>HYPERLINK("http://ictvonline.org/taxonomy/p/taxonomy-history?taxnode_id=202105378","ICTVonline=202105378")</f>
        <v>ICTVonline=202105378</v>
      </c>
    </row>
    <row r="8967" spans="1:21" x14ac:dyDescent="0.2">
      <c r="A8967" s="3">
        <v>8966</v>
      </c>
      <c r="B8967" s="1" t="s">
        <v>4226</v>
      </c>
      <c r="D8967" s="1" t="s">
        <v>5412</v>
      </c>
      <c r="F8967" s="1" t="s">
        <v>5637</v>
      </c>
      <c r="H8967" s="1" t="s">
        <v>5640</v>
      </c>
      <c r="J8967" s="1" t="s">
        <v>5746</v>
      </c>
      <c r="L8967" s="1" t="s">
        <v>3963</v>
      </c>
      <c r="N8967" s="1" t="s">
        <v>924</v>
      </c>
      <c r="P8967" s="1" t="s">
        <v>3054</v>
      </c>
      <c r="Q8967" s="30" t="s">
        <v>2567</v>
      </c>
      <c r="R8967" s="33" t="s">
        <v>3474</v>
      </c>
      <c r="S8967">
        <v>35</v>
      </c>
      <c r="T8967" s="1" t="s">
        <v>5416</v>
      </c>
      <c r="U8967" s="1" t="str">
        <f>HYPERLINK("http://ictvonline.org/taxonomy/p/taxonomy-history?taxnode_id=202105379","ICTVonline=202105379")</f>
        <v>ICTVonline=202105379</v>
      </c>
    </row>
    <row r="8968" spans="1:21" x14ac:dyDescent="0.2">
      <c r="A8968" s="3">
        <v>8967</v>
      </c>
      <c r="B8968" s="1" t="s">
        <v>4226</v>
      </c>
      <c r="D8968" s="1" t="s">
        <v>5412</v>
      </c>
      <c r="F8968" s="1" t="s">
        <v>5637</v>
      </c>
      <c r="H8968" s="1" t="s">
        <v>5640</v>
      </c>
      <c r="J8968" s="1" t="s">
        <v>5746</v>
      </c>
      <c r="L8968" s="1" t="s">
        <v>3963</v>
      </c>
      <c r="N8968" s="1" t="s">
        <v>924</v>
      </c>
      <c r="P8968" s="1" t="s">
        <v>929</v>
      </c>
      <c r="Q8968" s="30" t="s">
        <v>2567</v>
      </c>
      <c r="R8968" s="33" t="s">
        <v>3474</v>
      </c>
      <c r="S8968">
        <v>35</v>
      </c>
      <c r="T8968" s="1" t="s">
        <v>5416</v>
      </c>
      <c r="U8968" s="1" t="str">
        <f>HYPERLINK("http://ictvonline.org/taxonomy/p/taxonomy-history?taxnode_id=202105380","ICTVonline=202105380")</f>
        <v>ICTVonline=202105380</v>
      </c>
    </row>
    <row r="8969" spans="1:21" x14ac:dyDescent="0.2">
      <c r="A8969" s="3">
        <v>8968</v>
      </c>
      <c r="B8969" s="1" t="s">
        <v>4226</v>
      </c>
      <c r="D8969" s="1" t="s">
        <v>5412</v>
      </c>
      <c r="F8969" s="1" t="s">
        <v>5637</v>
      </c>
      <c r="H8969" s="1" t="s">
        <v>5640</v>
      </c>
      <c r="J8969" s="1" t="s">
        <v>5746</v>
      </c>
      <c r="L8969" s="1" t="s">
        <v>3963</v>
      </c>
      <c r="N8969" s="1" t="s">
        <v>924</v>
      </c>
      <c r="P8969" s="1" t="s">
        <v>1306</v>
      </c>
      <c r="Q8969" s="30" t="s">
        <v>2567</v>
      </c>
      <c r="R8969" s="33" t="s">
        <v>3474</v>
      </c>
      <c r="S8969">
        <v>35</v>
      </c>
      <c r="T8969" s="1" t="s">
        <v>5416</v>
      </c>
      <c r="U8969" s="1" t="str">
        <f>HYPERLINK("http://ictvonline.org/taxonomy/p/taxonomy-history?taxnode_id=202105381","ICTVonline=202105381")</f>
        <v>ICTVonline=202105381</v>
      </c>
    </row>
    <row r="8970" spans="1:21" x14ac:dyDescent="0.2">
      <c r="A8970" s="3">
        <v>8969</v>
      </c>
      <c r="B8970" s="1" t="s">
        <v>4226</v>
      </c>
      <c r="D8970" s="1" t="s">
        <v>5412</v>
      </c>
      <c r="F8970" s="1" t="s">
        <v>5637</v>
      </c>
      <c r="H8970" s="1" t="s">
        <v>5640</v>
      </c>
      <c r="J8970" s="1" t="s">
        <v>5746</v>
      </c>
      <c r="L8970" s="1" t="s">
        <v>3963</v>
      </c>
      <c r="N8970" s="1" t="s">
        <v>924</v>
      </c>
      <c r="P8970" s="1" t="s">
        <v>13747</v>
      </c>
      <c r="Q8970" s="30" t="s">
        <v>2567</v>
      </c>
      <c r="R8970" s="33" t="s">
        <v>3472</v>
      </c>
      <c r="S8970">
        <v>37</v>
      </c>
      <c r="T8970" s="1" t="s">
        <v>14063</v>
      </c>
      <c r="U8970" s="1" t="str">
        <f>HYPERLINK("http://ictvonline.org/taxonomy/p/taxonomy-history?taxnode_id=202113863","ICTVonline=202113863")</f>
        <v>ICTVonline=202113863</v>
      </c>
    </row>
    <row r="8971" spans="1:21" x14ac:dyDescent="0.2">
      <c r="A8971" s="3">
        <v>8970</v>
      </c>
      <c r="B8971" s="1" t="s">
        <v>4226</v>
      </c>
      <c r="D8971" s="1" t="s">
        <v>5412</v>
      </c>
      <c r="F8971" s="1" t="s">
        <v>5637</v>
      </c>
      <c r="H8971" s="1" t="s">
        <v>5640</v>
      </c>
      <c r="J8971" s="1" t="s">
        <v>5746</v>
      </c>
      <c r="L8971" s="1" t="s">
        <v>3963</v>
      </c>
      <c r="N8971" s="1" t="s">
        <v>924</v>
      </c>
      <c r="P8971" s="1" t="s">
        <v>1307</v>
      </c>
      <c r="Q8971" s="30" t="s">
        <v>2567</v>
      </c>
      <c r="R8971" s="33" t="s">
        <v>3474</v>
      </c>
      <c r="S8971">
        <v>35</v>
      </c>
      <c r="T8971" s="1" t="s">
        <v>5416</v>
      </c>
      <c r="U8971" s="1" t="str">
        <f>HYPERLINK("http://ictvonline.org/taxonomy/p/taxonomy-history?taxnode_id=202105382","ICTVonline=202105382")</f>
        <v>ICTVonline=202105382</v>
      </c>
    </row>
    <row r="8972" spans="1:21" x14ac:dyDescent="0.2">
      <c r="A8972" s="3">
        <v>8971</v>
      </c>
      <c r="B8972" s="1" t="s">
        <v>4226</v>
      </c>
      <c r="D8972" s="1" t="s">
        <v>5412</v>
      </c>
      <c r="F8972" s="1" t="s">
        <v>5637</v>
      </c>
      <c r="H8972" s="1" t="s">
        <v>5640</v>
      </c>
      <c r="J8972" s="1" t="s">
        <v>5746</v>
      </c>
      <c r="L8972" s="1" t="s">
        <v>3963</v>
      </c>
      <c r="N8972" s="1" t="s">
        <v>924</v>
      </c>
      <c r="P8972" s="1" t="s">
        <v>1308</v>
      </c>
      <c r="Q8972" s="30" t="s">
        <v>2567</v>
      </c>
      <c r="R8972" s="33" t="s">
        <v>8665</v>
      </c>
      <c r="S8972">
        <v>36</v>
      </c>
      <c r="T8972" s="1" t="s">
        <v>8661</v>
      </c>
      <c r="U8972" s="1" t="str">
        <f>HYPERLINK("http://ictvonline.org/taxonomy/p/taxonomy-history?taxnode_id=202105383","ICTVonline=202105383")</f>
        <v>ICTVonline=202105383</v>
      </c>
    </row>
    <row r="8973" spans="1:21" x14ac:dyDescent="0.2">
      <c r="A8973" s="3">
        <v>8972</v>
      </c>
      <c r="B8973" s="1" t="s">
        <v>4226</v>
      </c>
      <c r="D8973" s="1" t="s">
        <v>5412</v>
      </c>
      <c r="F8973" s="1" t="s">
        <v>5637</v>
      </c>
      <c r="H8973" s="1" t="s">
        <v>5640</v>
      </c>
      <c r="J8973" s="1" t="s">
        <v>5746</v>
      </c>
      <c r="L8973" s="1" t="s">
        <v>3963</v>
      </c>
      <c r="N8973" s="1" t="s">
        <v>924</v>
      </c>
      <c r="P8973" s="1" t="s">
        <v>1309</v>
      </c>
      <c r="Q8973" s="30" t="s">
        <v>2567</v>
      </c>
      <c r="R8973" s="33" t="s">
        <v>3474</v>
      </c>
      <c r="S8973">
        <v>35</v>
      </c>
      <c r="T8973" s="1" t="s">
        <v>5416</v>
      </c>
      <c r="U8973" s="1" t="str">
        <f>HYPERLINK("http://ictvonline.org/taxonomy/p/taxonomy-history?taxnode_id=202105384","ICTVonline=202105384")</f>
        <v>ICTVonline=202105384</v>
      </c>
    </row>
    <row r="8974" spans="1:21" x14ac:dyDescent="0.2">
      <c r="A8974" s="3">
        <v>8973</v>
      </c>
      <c r="B8974" s="1" t="s">
        <v>4226</v>
      </c>
      <c r="D8974" s="1" t="s">
        <v>5412</v>
      </c>
      <c r="F8974" s="1" t="s">
        <v>5637</v>
      </c>
      <c r="H8974" s="1" t="s">
        <v>5640</v>
      </c>
      <c r="J8974" s="1" t="s">
        <v>5746</v>
      </c>
      <c r="L8974" s="1" t="s">
        <v>3963</v>
      </c>
      <c r="N8974" s="1" t="s">
        <v>924</v>
      </c>
      <c r="P8974" s="1" t="s">
        <v>989</v>
      </c>
      <c r="Q8974" s="30" t="s">
        <v>2567</v>
      </c>
      <c r="R8974" s="33" t="s">
        <v>3474</v>
      </c>
      <c r="S8974">
        <v>35</v>
      </c>
      <c r="T8974" s="1" t="s">
        <v>5416</v>
      </c>
      <c r="U8974" s="1" t="str">
        <f>HYPERLINK("http://ictvonline.org/taxonomy/p/taxonomy-history?taxnode_id=202105385","ICTVonline=202105385")</f>
        <v>ICTVonline=202105385</v>
      </c>
    </row>
    <row r="8975" spans="1:21" x14ac:dyDescent="0.2">
      <c r="A8975" s="3">
        <v>8974</v>
      </c>
      <c r="B8975" s="1" t="s">
        <v>4226</v>
      </c>
      <c r="D8975" s="1" t="s">
        <v>5412</v>
      </c>
      <c r="F8975" s="1" t="s">
        <v>5637</v>
      </c>
      <c r="H8975" s="1" t="s">
        <v>5640</v>
      </c>
      <c r="J8975" s="1" t="s">
        <v>5746</v>
      </c>
      <c r="L8975" s="1" t="s">
        <v>3963</v>
      </c>
      <c r="N8975" s="1" t="s">
        <v>924</v>
      </c>
      <c r="P8975" s="1" t="s">
        <v>3055</v>
      </c>
      <c r="Q8975" s="30" t="s">
        <v>2567</v>
      </c>
      <c r="R8975" s="33" t="s">
        <v>3474</v>
      </c>
      <c r="S8975">
        <v>35</v>
      </c>
      <c r="T8975" s="1" t="s">
        <v>5416</v>
      </c>
      <c r="U8975" s="1" t="str">
        <f>HYPERLINK("http://ictvonline.org/taxonomy/p/taxonomy-history?taxnode_id=202105386","ICTVonline=202105386")</f>
        <v>ICTVonline=202105386</v>
      </c>
    </row>
    <row r="8976" spans="1:21" x14ac:dyDescent="0.2">
      <c r="A8976" s="3">
        <v>8975</v>
      </c>
      <c r="B8976" s="1" t="s">
        <v>4226</v>
      </c>
      <c r="D8976" s="1" t="s">
        <v>5412</v>
      </c>
      <c r="F8976" s="1" t="s">
        <v>5637</v>
      </c>
      <c r="H8976" s="1" t="s">
        <v>5640</v>
      </c>
      <c r="J8976" s="1" t="s">
        <v>5746</v>
      </c>
      <c r="L8976" s="1" t="s">
        <v>3963</v>
      </c>
      <c r="N8976" s="1" t="s">
        <v>924</v>
      </c>
      <c r="P8976" s="1" t="s">
        <v>990</v>
      </c>
      <c r="Q8976" s="30" t="s">
        <v>2567</v>
      </c>
      <c r="R8976" s="33" t="s">
        <v>3474</v>
      </c>
      <c r="S8976">
        <v>35</v>
      </c>
      <c r="T8976" s="1" t="s">
        <v>5416</v>
      </c>
      <c r="U8976" s="1" t="str">
        <f>HYPERLINK("http://ictvonline.org/taxonomy/p/taxonomy-history?taxnode_id=202105387","ICTVonline=202105387")</f>
        <v>ICTVonline=202105387</v>
      </c>
    </row>
    <row r="8977" spans="1:21" x14ac:dyDescent="0.2">
      <c r="A8977" s="3">
        <v>8976</v>
      </c>
      <c r="B8977" s="1" t="s">
        <v>4226</v>
      </c>
      <c r="D8977" s="1" t="s">
        <v>5412</v>
      </c>
      <c r="F8977" s="1" t="s">
        <v>5637</v>
      </c>
      <c r="H8977" s="1" t="s">
        <v>5640</v>
      </c>
      <c r="J8977" s="1" t="s">
        <v>5746</v>
      </c>
      <c r="L8977" s="1" t="s">
        <v>3963</v>
      </c>
      <c r="N8977" s="1" t="s">
        <v>924</v>
      </c>
      <c r="P8977" s="1" t="s">
        <v>991</v>
      </c>
      <c r="Q8977" s="30" t="s">
        <v>2567</v>
      </c>
      <c r="R8977" s="33" t="s">
        <v>3474</v>
      </c>
      <c r="S8977">
        <v>35</v>
      </c>
      <c r="T8977" s="1" t="s">
        <v>5416</v>
      </c>
      <c r="U8977" s="1" t="str">
        <f>HYPERLINK("http://ictvonline.org/taxonomy/p/taxonomy-history?taxnode_id=202105388","ICTVonline=202105388")</f>
        <v>ICTVonline=202105388</v>
      </c>
    </row>
    <row r="8978" spans="1:21" x14ac:dyDescent="0.2">
      <c r="A8978" s="3">
        <v>8977</v>
      </c>
      <c r="B8978" s="1" t="s">
        <v>4226</v>
      </c>
      <c r="D8978" s="1" t="s">
        <v>5412</v>
      </c>
      <c r="F8978" s="1" t="s">
        <v>5637</v>
      </c>
      <c r="H8978" s="1" t="s">
        <v>5640</v>
      </c>
      <c r="J8978" s="1" t="s">
        <v>5746</v>
      </c>
      <c r="L8978" s="1" t="s">
        <v>3963</v>
      </c>
      <c r="N8978" s="1" t="s">
        <v>924</v>
      </c>
      <c r="P8978" s="1" t="s">
        <v>992</v>
      </c>
      <c r="Q8978" s="30" t="s">
        <v>2567</v>
      </c>
      <c r="R8978" s="33" t="s">
        <v>3474</v>
      </c>
      <c r="S8978">
        <v>35</v>
      </c>
      <c r="T8978" s="1" t="s">
        <v>5416</v>
      </c>
      <c r="U8978" s="1" t="str">
        <f>HYPERLINK("http://ictvonline.org/taxonomy/p/taxonomy-history?taxnode_id=202105389","ICTVonline=202105389")</f>
        <v>ICTVonline=202105389</v>
      </c>
    </row>
    <row r="8979" spans="1:21" x14ac:dyDescent="0.2">
      <c r="A8979" s="3">
        <v>8978</v>
      </c>
      <c r="B8979" s="1" t="s">
        <v>4226</v>
      </c>
      <c r="D8979" s="1" t="s">
        <v>5412</v>
      </c>
      <c r="F8979" s="1" t="s">
        <v>5637</v>
      </c>
      <c r="H8979" s="1" t="s">
        <v>5640</v>
      </c>
      <c r="J8979" s="1" t="s">
        <v>5746</v>
      </c>
      <c r="L8979" s="1" t="s">
        <v>3963</v>
      </c>
      <c r="P8979" s="1" t="s">
        <v>3889</v>
      </c>
      <c r="Q8979" s="30" t="s">
        <v>2567</v>
      </c>
      <c r="R8979" s="33" t="s">
        <v>3474</v>
      </c>
      <c r="S8979">
        <v>36</v>
      </c>
      <c r="T8979" s="1" t="s">
        <v>6721</v>
      </c>
      <c r="U8979" s="1" t="str">
        <f>HYPERLINK("http://ictvonline.org/taxonomy/p/taxonomy-history?taxnode_id=202103792","ICTVonline=202103792")</f>
        <v>ICTVonline=202103792</v>
      </c>
    </row>
    <row r="8980" spans="1:21" x14ac:dyDescent="0.2">
      <c r="A8980" s="3">
        <v>8979</v>
      </c>
      <c r="B8980" s="1" t="s">
        <v>4226</v>
      </c>
      <c r="D8980" s="1" t="s">
        <v>5412</v>
      </c>
      <c r="F8980" s="1" t="s">
        <v>5637</v>
      </c>
      <c r="H8980" s="1" t="s">
        <v>5640</v>
      </c>
      <c r="J8980" s="1" t="s">
        <v>5746</v>
      </c>
      <c r="L8980" s="1" t="s">
        <v>3963</v>
      </c>
      <c r="P8980" s="1" t="s">
        <v>3890</v>
      </c>
      <c r="Q8980" s="30" t="s">
        <v>2567</v>
      </c>
      <c r="R8980" s="33" t="s">
        <v>3474</v>
      </c>
      <c r="S8980">
        <v>36</v>
      </c>
      <c r="T8980" s="1" t="s">
        <v>8661</v>
      </c>
      <c r="U8980" s="1" t="str">
        <f>HYPERLINK("http://ictvonline.org/taxonomy/p/taxonomy-history?taxnode_id=202103793","ICTVonline=202103793")</f>
        <v>ICTVonline=202103793</v>
      </c>
    </row>
    <row r="8981" spans="1:21" x14ac:dyDescent="0.2">
      <c r="A8981" s="3">
        <v>8980</v>
      </c>
      <c r="B8981" s="1" t="s">
        <v>4226</v>
      </c>
      <c r="D8981" s="1" t="s">
        <v>5412</v>
      </c>
      <c r="F8981" s="1" t="s">
        <v>5637</v>
      </c>
      <c r="H8981" s="1" t="s">
        <v>5640</v>
      </c>
      <c r="J8981" s="1" t="s">
        <v>5746</v>
      </c>
      <c r="L8981" s="1" t="s">
        <v>3963</v>
      </c>
      <c r="P8981" s="1" t="s">
        <v>1033</v>
      </c>
      <c r="Q8981" s="30" t="s">
        <v>2567</v>
      </c>
      <c r="R8981" s="33" t="s">
        <v>3474</v>
      </c>
      <c r="S8981">
        <v>36</v>
      </c>
      <c r="T8981" s="1" t="s">
        <v>6721</v>
      </c>
      <c r="U8981" s="1" t="str">
        <f>HYPERLINK("http://ictvonline.org/taxonomy/p/taxonomy-history?taxnode_id=202103794","ICTVonline=202103794")</f>
        <v>ICTVonline=202103794</v>
      </c>
    </row>
    <row r="8982" spans="1:21" x14ac:dyDescent="0.2">
      <c r="A8982" s="3">
        <v>8981</v>
      </c>
      <c r="B8982" s="1" t="s">
        <v>4226</v>
      </c>
      <c r="D8982" s="1" t="s">
        <v>5412</v>
      </c>
      <c r="F8982" s="1" t="s">
        <v>5637</v>
      </c>
      <c r="H8982" s="1" t="s">
        <v>5640</v>
      </c>
      <c r="J8982" s="1" t="s">
        <v>5746</v>
      </c>
      <c r="L8982" s="1" t="s">
        <v>3963</v>
      </c>
      <c r="P8982" s="1" t="s">
        <v>1842</v>
      </c>
      <c r="Q8982" s="30" t="s">
        <v>2567</v>
      </c>
      <c r="R8982" s="33" t="s">
        <v>3474</v>
      </c>
      <c r="S8982">
        <v>36</v>
      </c>
      <c r="T8982" s="1" t="s">
        <v>6721</v>
      </c>
      <c r="U8982" s="1" t="str">
        <f>HYPERLINK("http://ictvonline.org/taxonomy/p/taxonomy-history?taxnode_id=202103795","ICTVonline=202103795")</f>
        <v>ICTVonline=202103795</v>
      </c>
    </row>
    <row r="8983" spans="1:21" x14ac:dyDescent="0.2">
      <c r="A8983" s="3">
        <v>8982</v>
      </c>
      <c r="B8983" s="1" t="s">
        <v>4226</v>
      </c>
      <c r="D8983" s="1" t="s">
        <v>5412</v>
      </c>
      <c r="F8983" s="1" t="s">
        <v>5637</v>
      </c>
      <c r="H8983" s="1" t="s">
        <v>5640</v>
      </c>
      <c r="J8983" s="1" t="s">
        <v>5746</v>
      </c>
      <c r="L8983" s="1" t="s">
        <v>3963</v>
      </c>
      <c r="P8983" s="1" t="s">
        <v>1843</v>
      </c>
      <c r="Q8983" s="30" t="s">
        <v>2567</v>
      </c>
      <c r="R8983" s="33" t="s">
        <v>3474</v>
      </c>
      <c r="S8983">
        <v>36</v>
      </c>
      <c r="T8983" s="1" t="s">
        <v>6721</v>
      </c>
      <c r="U8983" s="1" t="str">
        <f>HYPERLINK("http://ictvonline.org/taxonomy/p/taxonomy-history?taxnode_id=202103796","ICTVonline=202103796")</f>
        <v>ICTVonline=202103796</v>
      </c>
    </row>
    <row r="8984" spans="1:21" x14ac:dyDescent="0.2">
      <c r="A8984" s="3">
        <v>8983</v>
      </c>
      <c r="B8984" s="1" t="s">
        <v>4226</v>
      </c>
      <c r="D8984" s="1" t="s">
        <v>5412</v>
      </c>
      <c r="F8984" s="1" t="s">
        <v>5637</v>
      </c>
      <c r="H8984" s="1" t="s">
        <v>5640</v>
      </c>
      <c r="J8984" s="1" t="s">
        <v>5746</v>
      </c>
      <c r="L8984" s="1" t="s">
        <v>3963</v>
      </c>
      <c r="P8984" s="1" t="s">
        <v>1844</v>
      </c>
      <c r="Q8984" s="30" t="s">
        <v>2567</v>
      </c>
      <c r="R8984" s="33" t="s">
        <v>3474</v>
      </c>
      <c r="S8984">
        <v>36</v>
      </c>
      <c r="T8984" s="1" t="s">
        <v>6721</v>
      </c>
      <c r="U8984" s="1" t="str">
        <f>HYPERLINK("http://ictvonline.org/taxonomy/p/taxonomy-history?taxnode_id=202103797","ICTVonline=202103797")</f>
        <v>ICTVonline=202103797</v>
      </c>
    </row>
    <row r="8985" spans="1:21" x14ac:dyDescent="0.2">
      <c r="A8985" s="3">
        <v>8984</v>
      </c>
      <c r="B8985" s="1" t="s">
        <v>4226</v>
      </c>
      <c r="D8985" s="1" t="s">
        <v>5412</v>
      </c>
      <c r="F8985" s="1" t="s">
        <v>5637</v>
      </c>
      <c r="H8985" s="1" t="s">
        <v>5640</v>
      </c>
      <c r="J8985" s="1" t="s">
        <v>5746</v>
      </c>
      <c r="L8985" s="1" t="s">
        <v>3963</v>
      </c>
      <c r="P8985" s="1" t="s">
        <v>1845</v>
      </c>
      <c r="Q8985" s="30" t="s">
        <v>2567</v>
      </c>
      <c r="R8985" s="33" t="s">
        <v>3474</v>
      </c>
      <c r="S8985">
        <v>36</v>
      </c>
      <c r="T8985" s="1" t="s">
        <v>6721</v>
      </c>
      <c r="U8985" s="1" t="str">
        <f>HYPERLINK("http://ictvonline.org/taxonomy/p/taxonomy-history?taxnode_id=202103798","ICTVonline=202103798")</f>
        <v>ICTVonline=202103798</v>
      </c>
    </row>
    <row r="8986" spans="1:21" x14ac:dyDescent="0.2">
      <c r="A8986" s="3">
        <v>8985</v>
      </c>
      <c r="B8986" s="1" t="s">
        <v>4226</v>
      </c>
      <c r="D8986" s="1" t="s">
        <v>5412</v>
      </c>
      <c r="F8986" s="1" t="s">
        <v>5637</v>
      </c>
      <c r="H8986" s="1" t="s">
        <v>5747</v>
      </c>
      <c r="J8986" s="1" t="s">
        <v>5748</v>
      </c>
      <c r="L8986" s="1" t="s">
        <v>460</v>
      </c>
      <c r="N8986" s="1" t="s">
        <v>5749</v>
      </c>
      <c r="P8986" s="1" t="s">
        <v>5750</v>
      </c>
      <c r="Q8986" s="30" t="s">
        <v>2567</v>
      </c>
      <c r="R8986" s="33" t="s">
        <v>3472</v>
      </c>
      <c r="S8986">
        <v>35</v>
      </c>
      <c r="T8986" s="1" t="s">
        <v>5751</v>
      </c>
      <c r="U8986" s="1" t="str">
        <f>HYPERLINK("http://ictvonline.org/taxonomy/p/taxonomy-history?taxnode_id=202107457","ICTVonline=202107457")</f>
        <v>ICTVonline=202107457</v>
      </c>
    </row>
    <row r="8987" spans="1:21" x14ac:dyDescent="0.2">
      <c r="A8987" s="3">
        <v>8986</v>
      </c>
      <c r="B8987" s="1" t="s">
        <v>4226</v>
      </c>
      <c r="D8987" s="1" t="s">
        <v>5412</v>
      </c>
      <c r="F8987" s="1" t="s">
        <v>5637</v>
      </c>
      <c r="H8987" s="1" t="s">
        <v>5747</v>
      </c>
      <c r="J8987" s="1" t="s">
        <v>5748</v>
      </c>
      <c r="L8987" s="1" t="s">
        <v>460</v>
      </c>
      <c r="N8987" s="1" t="s">
        <v>5749</v>
      </c>
      <c r="P8987" s="1" t="s">
        <v>5752</v>
      </c>
      <c r="Q8987" s="30" t="s">
        <v>2567</v>
      </c>
      <c r="R8987" s="33" t="s">
        <v>8665</v>
      </c>
      <c r="S8987">
        <v>36</v>
      </c>
      <c r="T8987" s="1" t="s">
        <v>8661</v>
      </c>
      <c r="U8987" s="1" t="str">
        <f>HYPERLINK("http://ictvonline.org/taxonomy/p/taxonomy-history?taxnode_id=202107456","ICTVonline=202107456")</f>
        <v>ICTVonline=202107456</v>
      </c>
    </row>
    <row r="8988" spans="1:21" x14ac:dyDescent="0.2">
      <c r="A8988" s="3">
        <v>8987</v>
      </c>
      <c r="B8988" s="1" t="s">
        <v>4226</v>
      </c>
      <c r="D8988" s="1" t="s">
        <v>5412</v>
      </c>
      <c r="F8988" s="1" t="s">
        <v>5637</v>
      </c>
      <c r="H8988" s="1" t="s">
        <v>5747</v>
      </c>
      <c r="J8988" s="1" t="s">
        <v>5748</v>
      </c>
      <c r="L8988" s="1" t="s">
        <v>460</v>
      </c>
      <c r="N8988" s="1" t="s">
        <v>3940</v>
      </c>
      <c r="P8988" s="1" t="s">
        <v>3941</v>
      </c>
      <c r="Q8988" s="30" t="s">
        <v>2567</v>
      </c>
      <c r="R8988" s="33" t="s">
        <v>8665</v>
      </c>
      <c r="S8988">
        <v>36</v>
      </c>
      <c r="T8988" s="1" t="s">
        <v>8661</v>
      </c>
      <c r="U8988" s="1" t="str">
        <f>HYPERLINK("http://ictvonline.org/taxonomy/p/taxonomy-history?taxnode_id=202105915","ICTVonline=202105915")</f>
        <v>ICTVonline=202105915</v>
      </c>
    </row>
    <row r="8989" spans="1:21" x14ac:dyDescent="0.2">
      <c r="A8989" s="3">
        <v>8988</v>
      </c>
      <c r="B8989" s="1" t="s">
        <v>4226</v>
      </c>
      <c r="D8989" s="1" t="s">
        <v>5412</v>
      </c>
      <c r="F8989" s="1" t="s">
        <v>5637</v>
      </c>
      <c r="H8989" s="1" t="s">
        <v>5747</v>
      </c>
      <c r="J8989" s="1" t="s">
        <v>5748</v>
      </c>
      <c r="L8989" s="1" t="s">
        <v>460</v>
      </c>
      <c r="N8989" s="1" t="s">
        <v>527</v>
      </c>
      <c r="P8989" s="1" t="s">
        <v>528</v>
      </c>
      <c r="Q8989" s="30" t="s">
        <v>2567</v>
      </c>
      <c r="R8989" s="33" t="s">
        <v>8665</v>
      </c>
      <c r="S8989">
        <v>36</v>
      </c>
      <c r="T8989" s="1" t="s">
        <v>8661</v>
      </c>
      <c r="U8989" s="1" t="str">
        <f>HYPERLINK("http://ictvonline.org/taxonomy/p/taxonomy-history?taxnode_id=202104534","ICTVonline=202104534")</f>
        <v>ICTVonline=202104534</v>
      </c>
    </row>
    <row r="8990" spans="1:21" x14ac:dyDescent="0.2">
      <c r="A8990" s="3">
        <v>8989</v>
      </c>
      <c r="B8990" s="1" t="s">
        <v>4226</v>
      </c>
      <c r="D8990" s="1" t="s">
        <v>5412</v>
      </c>
      <c r="F8990" s="1" t="s">
        <v>5637</v>
      </c>
      <c r="H8990" s="1" t="s">
        <v>5747</v>
      </c>
      <c r="J8990" s="1" t="s">
        <v>5748</v>
      </c>
      <c r="L8990" s="1" t="s">
        <v>460</v>
      </c>
      <c r="N8990" s="1" t="s">
        <v>461</v>
      </c>
      <c r="P8990" s="1" t="s">
        <v>462</v>
      </c>
      <c r="Q8990" s="30" t="s">
        <v>2567</v>
      </c>
      <c r="R8990" s="33" t="s">
        <v>3474</v>
      </c>
      <c r="S8990">
        <v>35</v>
      </c>
      <c r="T8990" s="1" t="s">
        <v>5416</v>
      </c>
      <c r="U8990" s="1" t="str">
        <f>HYPERLINK("http://ictvonline.org/taxonomy/p/taxonomy-history?taxnode_id=202104536","ICTVonline=202104536")</f>
        <v>ICTVonline=202104536</v>
      </c>
    </row>
    <row r="8991" spans="1:21" x14ac:dyDescent="0.2">
      <c r="A8991" s="3">
        <v>8990</v>
      </c>
      <c r="B8991" s="1" t="s">
        <v>4226</v>
      </c>
      <c r="D8991" s="1" t="s">
        <v>5412</v>
      </c>
      <c r="F8991" s="1" t="s">
        <v>5637</v>
      </c>
      <c r="H8991" s="1" t="s">
        <v>5747</v>
      </c>
      <c r="J8991" s="1" t="s">
        <v>5748</v>
      </c>
      <c r="L8991" s="1" t="s">
        <v>460</v>
      </c>
      <c r="N8991" s="1" t="s">
        <v>461</v>
      </c>
      <c r="P8991" s="1" t="s">
        <v>463</v>
      </c>
      <c r="Q8991" s="30" t="s">
        <v>2567</v>
      </c>
      <c r="R8991" s="33" t="s">
        <v>8665</v>
      </c>
      <c r="S8991">
        <v>36</v>
      </c>
      <c r="T8991" s="1" t="s">
        <v>8661</v>
      </c>
      <c r="U8991" s="1" t="str">
        <f>HYPERLINK("http://ictvonline.org/taxonomy/p/taxonomy-history?taxnode_id=202104537","ICTVonline=202104537")</f>
        <v>ICTVonline=202104537</v>
      </c>
    </row>
    <row r="8992" spans="1:21" x14ac:dyDescent="0.2">
      <c r="A8992" s="3">
        <v>8991</v>
      </c>
      <c r="B8992" s="1" t="s">
        <v>4226</v>
      </c>
      <c r="D8992" s="1" t="s">
        <v>5412</v>
      </c>
      <c r="F8992" s="1" t="s">
        <v>5637</v>
      </c>
      <c r="H8992" s="1" t="s">
        <v>5747</v>
      </c>
      <c r="J8992" s="1" t="s">
        <v>5748</v>
      </c>
      <c r="L8992" s="1" t="s">
        <v>460</v>
      </c>
      <c r="N8992" s="1" t="s">
        <v>461</v>
      </c>
      <c r="P8992" s="1" t="s">
        <v>1440</v>
      </c>
      <c r="Q8992" s="30" t="s">
        <v>2567</v>
      </c>
      <c r="R8992" s="33" t="s">
        <v>3474</v>
      </c>
      <c r="S8992">
        <v>35</v>
      </c>
      <c r="T8992" s="1" t="s">
        <v>5416</v>
      </c>
      <c r="U8992" s="1" t="str">
        <f>HYPERLINK("http://ictvonline.org/taxonomy/p/taxonomy-history?taxnode_id=202104538","ICTVonline=202104538")</f>
        <v>ICTVonline=202104538</v>
      </c>
    </row>
    <row r="8993" spans="1:21" x14ac:dyDescent="0.2">
      <c r="A8993" s="3">
        <v>8992</v>
      </c>
      <c r="B8993" s="1" t="s">
        <v>4226</v>
      </c>
      <c r="D8993" s="1" t="s">
        <v>5412</v>
      </c>
      <c r="F8993" s="1" t="s">
        <v>5637</v>
      </c>
      <c r="H8993" s="1" t="s">
        <v>5747</v>
      </c>
      <c r="J8993" s="1" t="s">
        <v>5748</v>
      </c>
      <c r="L8993" s="1" t="s">
        <v>460</v>
      </c>
      <c r="N8993" s="1" t="s">
        <v>461</v>
      </c>
      <c r="P8993" s="1" t="s">
        <v>859</v>
      </c>
      <c r="Q8993" s="30" t="s">
        <v>2567</v>
      </c>
      <c r="R8993" s="33" t="s">
        <v>3474</v>
      </c>
      <c r="S8993">
        <v>35</v>
      </c>
      <c r="T8993" s="1" t="s">
        <v>5416</v>
      </c>
      <c r="U8993" s="1" t="str">
        <f>HYPERLINK("http://ictvonline.org/taxonomy/p/taxonomy-history?taxnode_id=202104539","ICTVonline=202104539")</f>
        <v>ICTVonline=202104539</v>
      </c>
    </row>
    <row r="8994" spans="1:21" x14ac:dyDescent="0.2">
      <c r="A8994" s="3">
        <v>8993</v>
      </c>
      <c r="B8994" s="1" t="s">
        <v>4226</v>
      </c>
      <c r="D8994" s="1" t="s">
        <v>5412</v>
      </c>
      <c r="F8994" s="1" t="s">
        <v>5637</v>
      </c>
      <c r="H8994" s="1" t="s">
        <v>5747</v>
      </c>
      <c r="J8994" s="1" t="s">
        <v>5748</v>
      </c>
      <c r="L8994" s="1" t="s">
        <v>460</v>
      </c>
      <c r="N8994" s="1" t="s">
        <v>461</v>
      </c>
      <c r="P8994" s="1" t="s">
        <v>793</v>
      </c>
      <c r="Q8994" s="30" t="s">
        <v>2567</v>
      </c>
      <c r="R8994" s="33" t="s">
        <v>3474</v>
      </c>
      <c r="S8994">
        <v>35</v>
      </c>
      <c r="T8994" s="1" t="s">
        <v>5416</v>
      </c>
      <c r="U8994" s="1" t="str">
        <f>HYPERLINK("http://ictvonline.org/taxonomy/p/taxonomy-history?taxnode_id=202104540","ICTVonline=202104540")</f>
        <v>ICTVonline=202104540</v>
      </c>
    </row>
    <row r="8995" spans="1:21" x14ac:dyDescent="0.2">
      <c r="A8995" s="3">
        <v>8994</v>
      </c>
      <c r="B8995" s="1" t="s">
        <v>4226</v>
      </c>
      <c r="D8995" s="1" t="s">
        <v>5412</v>
      </c>
      <c r="F8995" s="1" t="s">
        <v>5637</v>
      </c>
      <c r="H8995" s="1" t="s">
        <v>5747</v>
      </c>
      <c r="J8995" s="1" t="s">
        <v>5748</v>
      </c>
      <c r="L8995" s="1" t="s">
        <v>460</v>
      </c>
      <c r="N8995" s="1" t="s">
        <v>461</v>
      </c>
      <c r="P8995" s="1" t="s">
        <v>794</v>
      </c>
      <c r="Q8995" s="30" t="s">
        <v>2567</v>
      </c>
      <c r="R8995" s="33" t="s">
        <v>3474</v>
      </c>
      <c r="S8995">
        <v>35</v>
      </c>
      <c r="T8995" s="1" t="s">
        <v>5416</v>
      </c>
      <c r="U8995" s="1" t="str">
        <f>HYPERLINK("http://ictvonline.org/taxonomy/p/taxonomy-history?taxnode_id=202104541","ICTVonline=202104541")</f>
        <v>ICTVonline=202104541</v>
      </c>
    </row>
    <row r="8996" spans="1:21" x14ac:dyDescent="0.2">
      <c r="A8996" s="3">
        <v>8995</v>
      </c>
      <c r="B8996" s="1" t="s">
        <v>4226</v>
      </c>
      <c r="D8996" s="1" t="s">
        <v>5412</v>
      </c>
      <c r="F8996" s="1" t="s">
        <v>5637</v>
      </c>
      <c r="H8996" s="1" t="s">
        <v>5747</v>
      </c>
      <c r="J8996" s="1" t="s">
        <v>5748</v>
      </c>
      <c r="L8996" s="1" t="s">
        <v>460</v>
      </c>
      <c r="N8996" s="1" t="s">
        <v>5753</v>
      </c>
      <c r="P8996" s="1" t="s">
        <v>5754</v>
      </c>
      <c r="Q8996" s="30" t="s">
        <v>2567</v>
      </c>
      <c r="R8996" s="33" t="s">
        <v>8665</v>
      </c>
      <c r="S8996">
        <v>36</v>
      </c>
      <c r="T8996" s="1" t="s">
        <v>8661</v>
      </c>
      <c r="U8996" s="1" t="str">
        <f>HYPERLINK("http://ictvonline.org/taxonomy/p/taxonomy-history?taxnode_id=202107463","ICTVonline=202107463")</f>
        <v>ICTVonline=202107463</v>
      </c>
    </row>
    <row r="8997" spans="1:21" x14ac:dyDescent="0.2">
      <c r="A8997" s="3">
        <v>8996</v>
      </c>
      <c r="B8997" s="1" t="s">
        <v>4226</v>
      </c>
      <c r="D8997" s="1" t="s">
        <v>5412</v>
      </c>
      <c r="F8997" s="1" t="s">
        <v>5637</v>
      </c>
      <c r="H8997" s="1" t="s">
        <v>5747</v>
      </c>
      <c r="J8997" s="1" t="s">
        <v>5748</v>
      </c>
      <c r="L8997" s="1" t="s">
        <v>460</v>
      </c>
      <c r="N8997" s="1" t="s">
        <v>795</v>
      </c>
      <c r="P8997" s="1" t="s">
        <v>864</v>
      </c>
      <c r="Q8997" s="30" t="s">
        <v>2567</v>
      </c>
      <c r="R8997" s="33" t="s">
        <v>3474</v>
      </c>
      <c r="S8997">
        <v>35</v>
      </c>
      <c r="T8997" s="1" t="s">
        <v>5416</v>
      </c>
      <c r="U8997" s="1" t="str">
        <f>HYPERLINK("http://ictvonline.org/taxonomy/p/taxonomy-history?taxnode_id=202104543","ICTVonline=202104543")</f>
        <v>ICTVonline=202104543</v>
      </c>
    </row>
    <row r="8998" spans="1:21" x14ac:dyDescent="0.2">
      <c r="A8998" s="3">
        <v>8997</v>
      </c>
      <c r="B8998" s="1" t="s">
        <v>4226</v>
      </c>
      <c r="D8998" s="1" t="s">
        <v>5412</v>
      </c>
      <c r="F8998" s="1" t="s">
        <v>5637</v>
      </c>
      <c r="H8998" s="1" t="s">
        <v>5747</v>
      </c>
      <c r="J8998" s="1" t="s">
        <v>5748</v>
      </c>
      <c r="L8998" s="1" t="s">
        <v>460</v>
      </c>
      <c r="N8998" s="1" t="s">
        <v>795</v>
      </c>
      <c r="P8998" s="1" t="s">
        <v>3942</v>
      </c>
      <c r="Q8998" s="30" t="s">
        <v>2567</v>
      </c>
      <c r="R8998" s="33" t="s">
        <v>3474</v>
      </c>
      <c r="S8998">
        <v>35</v>
      </c>
      <c r="T8998" s="1" t="s">
        <v>5416</v>
      </c>
      <c r="U8998" s="1" t="str">
        <f>HYPERLINK("http://ictvonline.org/taxonomy/p/taxonomy-history?taxnode_id=202105917","ICTVonline=202105917")</f>
        <v>ICTVonline=202105917</v>
      </c>
    </row>
    <row r="8999" spans="1:21" x14ac:dyDescent="0.2">
      <c r="A8999" s="3">
        <v>8998</v>
      </c>
      <c r="B8999" s="1" t="s">
        <v>4226</v>
      </c>
      <c r="D8999" s="1" t="s">
        <v>5412</v>
      </c>
      <c r="F8999" s="1" t="s">
        <v>5637</v>
      </c>
      <c r="H8999" s="1" t="s">
        <v>5747</v>
      </c>
      <c r="J8999" s="1" t="s">
        <v>5748</v>
      </c>
      <c r="L8999" s="1" t="s">
        <v>460</v>
      </c>
      <c r="N8999" s="1" t="s">
        <v>795</v>
      </c>
      <c r="P8999" s="1" t="s">
        <v>865</v>
      </c>
      <c r="Q8999" s="30" t="s">
        <v>2567</v>
      </c>
      <c r="R8999" s="33" t="s">
        <v>3474</v>
      </c>
      <c r="S8999">
        <v>35</v>
      </c>
      <c r="T8999" s="1" t="s">
        <v>5416</v>
      </c>
      <c r="U8999" s="1" t="str">
        <f>HYPERLINK("http://ictvonline.org/taxonomy/p/taxonomy-history?taxnode_id=202104544","ICTVonline=202104544")</f>
        <v>ICTVonline=202104544</v>
      </c>
    </row>
    <row r="9000" spans="1:21" x14ac:dyDescent="0.2">
      <c r="A9000" s="3">
        <v>8999</v>
      </c>
      <c r="B9000" s="1" t="s">
        <v>4226</v>
      </c>
      <c r="D9000" s="1" t="s">
        <v>5412</v>
      </c>
      <c r="F9000" s="1" t="s">
        <v>5637</v>
      </c>
      <c r="H9000" s="1" t="s">
        <v>5747</v>
      </c>
      <c r="J9000" s="1" t="s">
        <v>5748</v>
      </c>
      <c r="L9000" s="1" t="s">
        <v>460</v>
      </c>
      <c r="N9000" s="1" t="s">
        <v>795</v>
      </c>
      <c r="P9000" s="1" t="s">
        <v>866</v>
      </c>
      <c r="Q9000" s="30" t="s">
        <v>2567</v>
      </c>
      <c r="R9000" s="33" t="s">
        <v>3474</v>
      </c>
      <c r="S9000">
        <v>35</v>
      </c>
      <c r="T9000" s="1" t="s">
        <v>5416</v>
      </c>
      <c r="U9000" s="1" t="str">
        <f>HYPERLINK("http://ictvonline.org/taxonomy/p/taxonomy-history?taxnode_id=202104545","ICTVonline=202104545")</f>
        <v>ICTVonline=202104545</v>
      </c>
    </row>
    <row r="9001" spans="1:21" x14ac:dyDescent="0.2">
      <c r="A9001" s="3">
        <v>9000</v>
      </c>
      <c r="B9001" s="1" t="s">
        <v>4226</v>
      </c>
      <c r="D9001" s="1" t="s">
        <v>5412</v>
      </c>
      <c r="F9001" s="1" t="s">
        <v>5637</v>
      </c>
      <c r="H9001" s="1" t="s">
        <v>5747</v>
      </c>
      <c r="J9001" s="1" t="s">
        <v>5748</v>
      </c>
      <c r="L9001" s="1" t="s">
        <v>460</v>
      </c>
      <c r="N9001" s="1" t="s">
        <v>795</v>
      </c>
      <c r="P9001" s="1" t="s">
        <v>867</v>
      </c>
      <c r="Q9001" s="30" t="s">
        <v>2567</v>
      </c>
      <c r="R9001" s="33" t="s">
        <v>8665</v>
      </c>
      <c r="S9001">
        <v>36</v>
      </c>
      <c r="T9001" s="1" t="s">
        <v>8661</v>
      </c>
      <c r="U9001" s="1" t="str">
        <f>HYPERLINK("http://ictvonline.org/taxonomy/p/taxonomy-history?taxnode_id=202104546","ICTVonline=202104546")</f>
        <v>ICTVonline=202104546</v>
      </c>
    </row>
    <row r="9002" spans="1:21" x14ac:dyDescent="0.2">
      <c r="A9002" s="3">
        <v>9001</v>
      </c>
      <c r="B9002" s="1" t="s">
        <v>4226</v>
      </c>
      <c r="D9002" s="1" t="s">
        <v>5412</v>
      </c>
      <c r="F9002" s="1" t="s">
        <v>5637</v>
      </c>
      <c r="H9002" s="1" t="s">
        <v>5747</v>
      </c>
      <c r="J9002" s="1" t="s">
        <v>5748</v>
      </c>
      <c r="L9002" s="1" t="s">
        <v>460</v>
      </c>
      <c r="N9002" s="1" t="s">
        <v>795</v>
      </c>
      <c r="P9002" s="1" t="s">
        <v>1943</v>
      </c>
      <c r="Q9002" s="30" t="s">
        <v>2567</v>
      </c>
      <c r="R9002" s="33" t="s">
        <v>3474</v>
      </c>
      <c r="S9002">
        <v>35</v>
      </c>
      <c r="T9002" s="1" t="s">
        <v>5416</v>
      </c>
      <c r="U9002" s="1" t="str">
        <f>HYPERLINK("http://ictvonline.org/taxonomy/p/taxonomy-history?taxnode_id=202104547","ICTVonline=202104547")</f>
        <v>ICTVonline=202104547</v>
      </c>
    </row>
    <row r="9003" spans="1:21" x14ac:dyDescent="0.2">
      <c r="A9003" s="3">
        <v>9002</v>
      </c>
      <c r="B9003" s="1" t="s">
        <v>4226</v>
      </c>
      <c r="D9003" s="1" t="s">
        <v>5412</v>
      </c>
      <c r="F9003" s="1" t="s">
        <v>5637</v>
      </c>
      <c r="H9003" s="1" t="s">
        <v>5747</v>
      </c>
      <c r="J9003" s="1" t="s">
        <v>5748</v>
      </c>
      <c r="L9003" s="1" t="s">
        <v>460</v>
      </c>
      <c r="N9003" s="1" t="s">
        <v>795</v>
      </c>
      <c r="P9003" s="1" t="s">
        <v>189</v>
      </c>
      <c r="Q9003" s="30" t="s">
        <v>2567</v>
      </c>
      <c r="R9003" s="33" t="s">
        <v>3474</v>
      </c>
      <c r="S9003">
        <v>35</v>
      </c>
      <c r="T9003" s="1" t="s">
        <v>5416</v>
      </c>
      <c r="U9003" s="1" t="str">
        <f>HYPERLINK("http://ictvonline.org/taxonomy/p/taxonomy-history?taxnode_id=202104548","ICTVonline=202104548")</f>
        <v>ICTVonline=202104548</v>
      </c>
    </row>
    <row r="9004" spans="1:21" x14ac:dyDescent="0.2">
      <c r="A9004" s="3">
        <v>9003</v>
      </c>
      <c r="B9004" s="1" t="s">
        <v>4226</v>
      </c>
      <c r="D9004" s="1" t="s">
        <v>5412</v>
      </c>
      <c r="F9004" s="1" t="s">
        <v>5637</v>
      </c>
      <c r="H9004" s="1" t="s">
        <v>5747</v>
      </c>
      <c r="J9004" s="1" t="s">
        <v>5748</v>
      </c>
      <c r="L9004" s="1" t="s">
        <v>460</v>
      </c>
      <c r="N9004" s="1" t="s">
        <v>868</v>
      </c>
      <c r="P9004" s="1" t="s">
        <v>869</v>
      </c>
      <c r="Q9004" s="30" t="s">
        <v>2567</v>
      </c>
      <c r="R9004" s="33" t="s">
        <v>3474</v>
      </c>
      <c r="S9004">
        <v>35</v>
      </c>
      <c r="T9004" s="1" t="s">
        <v>5416</v>
      </c>
      <c r="U9004" s="1" t="str">
        <f>HYPERLINK("http://ictvonline.org/taxonomy/p/taxonomy-history?taxnode_id=202104550","ICTVonline=202104550")</f>
        <v>ICTVonline=202104550</v>
      </c>
    </row>
    <row r="9005" spans="1:21" x14ac:dyDescent="0.2">
      <c r="A9005" s="3">
        <v>9004</v>
      </c>
      <c r="B9005" s="1" t="s">
        <v>4226</v>
      </c>
      <c r="D9005" s="1" t="s">
        <v>5412</v>
      </c>
      <c r="F9005" s="1" t="s">
        <v>5637</v>
      </c>
      <c r="H9005" s="1" t="s">
        <v>5747</v>
      </c>
      <c r="J9005" s="1" t="s">
        <v>5748</v>
      </c>
      <c r="L9005" s="1" t="s">
        <v>460</v>
      </c>
      <c r="N9005" s="1" t="s">
        <v>868</v>
      </c>
      <c r="P9005" s="1" t="s">
        <v>5755</v>
      </c>
      <c r="Q9005" s="30" t="s">
        <v>2567</v>
      </c>
      <c r="R9005" s="33" t="s">
        <v>3472</v>
      </c>
      <c r="S9005">
        <v>35</v>
      </c>
      <c r="T9005" s="1" t="s">
        <v>5756</v>
      </c>
      <c r="U9005" s="1" t="str">
        <f>HYPERLINK("http://ictvonline.org/taxonomy/p/taxonomy-history?taxnode_id=202107443","ICTVonline=202107443")</f>
        <v>ICTVonline=202107443</v>
      </c>
    </row>
    <row r="9006" spans="1:21" x14ac:dyDescent="0.2">
      <c r="A9006" s="3">
        <v>9005</v>
      </c>
      <c r="B9006" s="1" t="s">
        <v>4226</v>
      </c>
      <c r="D9006" s="1" t="s">
        <v>5412</v>
      </c>
      <c r="F9006" s="1" t="s">
        <v>5637</v>
      </c>
      <c r="H9006" s="1" t="s">
        <v>5747</v>
      </c>
      <c r="J9006" s="1" t="s">
        <v>5748</v>
      </c>
      <c r="L9006" s="1" t="s">
        <v>460</v>
      </c>
      <c r="N9006" s="1" t="s">
        <v>868</v>
      </c>
      <c r="P9006" s="1" t="s">
        <v>573</v>
      </c>
      <c r="Q9006" s="30" t="s">
        <v>2567</v>
      </c>
      <c r="R9006" s="33" t="s">
        <v>3474</v>
      </c>
      <c r="S9006">
        <v>35</v>
      </c>
      <c r="T9006" s="1" t="s">
        <v>5416</v>
      </c>
      <c r="U9006" s="1" t="str">
        <f>HYPERLINK("http://ictvonline.org/taxonomy/p/taxonomy-history?taxnode_id=202104551","ICTVonline=202104551")</f>
        <v>ICTVonline=202104551</v>
      </c>
    </row>
    <row r="9007" spans="1:21" x14ac:dyDescent="0.2">
      <c r="A9007" s="3">
        <v>9006</v>
      </c>
      <c r="B9007" s="1" t="s">
        <v>4226</v>
      </c>
      <c r="D9007" s="1" t="s">
        <v>5412</v>
      </c>
      <c r="F9007" s="1" t="s">
        <v>5637</v>
      </c>
      <c r="H9007" s="1" t="s">
        <v>5747</v>
      </c>
      <c r="J9007" s="1" t="s">
        <v>5748</v>
      </c>
      <c r="L9007" s="1" t="s">
        <v>460</v>
      </c>
      <c r="N9007" s="1" t="s">
        <v>868</v>
      </c>
      <c r="P9007" s="1" t="s">
        <v>3376</v>
      </c>
      <c r="Q9007" s="30" t="s">
        <v>2567</v>
      </c>
      <c r="R9007" s="33" t="s">
        <v>3474</v>
      </c>
      <c r="S9007">
        <v>35</v>
      </c>
      <c r="T9007" s="1" t="s">
        <v>5416</v>
      </c>
      <c r="U9007" s="1" t="str">
        <f>HYPERLINK("http://ictvonline.org/taxonomy/p/taxonomy-history?taxnode_id=202104552","ICTVonline=202104552")</f>
        <v>ICTVonline=202104552</v>
      </c>
    </row>
    <row r="9008" spans="1:21" x14ac:dyDescent="0.2">
      <c r="A9008" s="3">
        <v>9007</v>
      </c>
      <c r="B9008" s="1" t="s">
        <v>4226</v>
      </c>
      <c r="D9008" s="1" t="s">
        <v>5412</v>
      </c>
      <c r="F9008" s="1" t="s">
        <v>5637</v>
      </c>
      <c r="H9008" s="1" t="s">
        <v>5747</v>
      </c>
      <c r="J9008" s="1" t="s">
        <v>5748</v>
      </c>
      <c r="L9008" s="1" t="s">
        <v>460</v>
      </c>
      <c r="N9008" s="1" t="s">
        <v>868</v>
      </c>
      <c r="P9008" s="1" t="s">
        <v>870</v>
      </c>
      <c r="Q9008" s="30" t="s">
        <v>2567</v>
      </c>
      <c r="R9008" s="33" t="s">
        <v>3474</v>
      </c>
      <c r="S9008">
        <v>35</v>
      </c>
      <c r="T9008" s="1" t="s">
        <v>5416</v>
      </c>
      <c r="U9008" s="1" t="str">
        <f>HYPERLINK("http://ictvonline.org/taxonomy/p/taxonomy-history?taxnode_id=202104553","ICTVonline=202104553")</f>
        <v>ICTVonline=202104553</v>
      </c>
    </row>
    <row r="9009" spans="1:21" x14ac:dyDescent="0.2">
      <c r="A9009" s="3">
        <v>9008</v>
      </c>
      <c r="B9009" s="1" t="s">
        <v>4226</v>
      </c>
      <c r="D9009" s="1" t="s">
        <v>5412</v>
      </c>
      <c r="F9009" s="1" t="s">
        <v>5637</v>
      </c>
      <c r="H9009" s="1" t="s">
        <v>5747</v>
      </c>
      <c r="J9009" s="1" t="s">
        <v>5748</v>
      </c>
      <c r="L9009" s="1" t="s">
        <v>460</v>
      </c>
      <c r="N9009" s="1" t="s">
        <v>868</v>
      </c>
      <c r="P9009" s="1" t="s">
        <v>871</v>
      </c>
      <c r="Q9009" s="30" t="s">
        <v>2567</v>
      </c>
      <c r="R9009" s="33" t="s">
        <v>3474</v>
      </c>
      <c r="S9009">
        <v>35</v>
      </c>
      <c r="T9009" s="1" t="s">
        <v>5416</v>
      </c>
      <c r="U9009" s="1" t="str">
        <f>HYPERLINK("http://ictvonline.org/taxonomy/p/taxonomy-history?taxnode_id=202104554","ICTVonline=202104554")</f>
        <v>ICTVonline=202104554</v>
      </c>
    </row>
    <row r="9010" spans="1:21" x14ac:dyDescent="0.2">
      <c r="A9010" s="3">
        <v>9009</v>
      </c>
      <c r="B9010" s="1" t="s">
        <v>4226</v>
      </c>
      <c r="D9010" s="1" t="s">
        <v>5412</v>
      </c>
      <c r="F9010" s="1" t="s">
        <v>5637</v>
      </c>
      <c r="H9010" s="1" t="s">
        <v>5747</v>
      </c>
      <c r="J9010" s="1" t="s">
        <v>5748</v>
      </c>
      <c r="L9010" s="1" t="s">
        <v>460</v>
      </c>
      <c r="N9010" s="1" t="s">
        <v>868</v>
      </c>
      <c r="P9010" s="1" t="s">
        <v>565</v>
      </c>
      <c r="Q9010" s="30" t="s">
        <v>2567</v>
      </c>
      <c r="R9010" s="33" t="s">
        <v>8665</v>
      </c>
      <c r="S9010">
        <v>36</v>
      </c>
      <c r="T9010" s="1" t="s">
        <v>8661</v>
      </c>
      <c r="U9010" s="1" t="str">
        <f>HYPERLINK("http://ictvonline.org/taxonomy/p/taxonomy-history?taxnode_id=202104555","ICTVonline=202104555")</f>
        <v>ICTVonline=202104555</v>
      </c>
    </row>
    <row r="9011" spans="1:21" x14ac:dyDescent="0.2">
      <c r="A9011" s="3">
        <v>9010</v>
      </c>
      <c r="B9011" s="1" t="s">
        <v>4226</v>
      </c>
      <c r="D9011" s="1" t="s">
        <v>5412</v>
      </c>
      <c r="F9011" s="1" t="s">
        <v>5637</v>
      </c>
      <c r="H9011" s="1" t="s">
        <v>5747</v>
      </c>
      <c r="J9011" s="1" t="s">
        <v>5748</v>
      </c>
      <c r="L9011" s="1" t="s">
        <v>460</v>
      </c>
      <c r="N9011" s="1" t="s">
        <v>868</v>
      </c>
      <c r="P9011" s="1" t="s">
        <v>566</v>
      </c>
      <c r="Q9011" s="30" t="s">
        <v>2567</v>
      </c>
      <c r="R9011" s="33" t="s">
        <v>3474</v>
      </c>
      <c r="S9011">
        <v>35</v>
      </c>
      <c r="T9011" s="1" t="s">
        <v>5416</v>
      </c>
      <c r="U9011" s="1" t="str">
        <f>HYPERLINK("http://ictvonline.org/taxonomy/p/taxonomy-history?taxnode_id=202104556","ICTVonline=202104556")</f>
        <v>ICTVonline=202104556</v>
      </c>
    </row>
    <row r="9012" spans="1:21" x14ac:dyDescent="0.2">
      <c r="A9012" s="3">
        <v>9011</v>
      </c>
      <c r="B9012" s="1" t="s">
        <v>4226</v>
      </c>
      <c r="D9012" s="1" t="s">
        <v>5412</v>
      </c>
      <c r="F9012" s="1" t="s">
        <v>5637</v>
      </c>
      <c r="H9012" s="1" t="s">
        <v>5747</v>
      </c>
      <c r="J9012" s="1" t="s">
        <v>5748</v>
      </c>
      <c r="L9012" s="1" t="s">
        <v>460</v>
      </c>
      <c r="N9012" s="1" t="s">
        <v>868</v>
      </c>
      <c r="P9012" s="1" t="s">
        <v>3377</v>
      </c>
      <c r="Q9012" s="30" t="s">
        <v>2567</v>
      </c>
      <c r="R9012" s="33" t="s">
        <v>3474</v>
      </c>
      <c r="S9012">
        <v>35</v>
      </c>
      <c r="T9012" s="1" t="s">
        <v>5416</v>
      </c>
      <c r="U9012" s="1" t="str">
        <f>HYPERLINK("http://ictvonline.org/taxonomy/p/taxonomy-history?taxnode_id=202104557","ICTVonline=202104557")</f>
        <v>ICTVonline=202104557</v>
      </c>
    </row>
    <row r="9013" spans="1:21" x14ac:dyDescent="0.2">
      <c r="A9013" s="3">
        <v>9012</v>
      </c>
      <c r="B9013" s="1" t="s">
        <v>4226</v>
      </c>
      <c r="D9013" s="1" t="s">
        <v>5412</v>
      </c>
      <c r="F9013" s="1" t="s">
        <v>5637</v>
      </c>
      <c r="H9013" s="1" t="s">
        <v>5747</v>
      </c>
      <c r="J9013" s="1" t="s">
        <v>5748</v>
      </c>
      <c r="L9013" s="1" t="s">
        <v>460</v>
      </c>
      <c r="N9013" s="1" t="s">
        <v>868</v>
      </c>
      <c r="P9013" s="1" t="s">
        <v>5757</v>
      </c>
      <c r="Q9013" s="30" t="s">
        <v>2567</v>
      </c>
      <c r="R9013" s="33" t="s">
        <v>3472</v>
      </c>
      <c r="S9013">
        <v>35</v>
      </c>
      <c r="T9013" s="1" t="s">
        <v>5756</v>
      </c>
      <c r="U9013" s="1" t="str">
        <f>HYPERLINK("http://ictvonline.org/taxonomy/p/taxonomy-history?taxnode_id=202107444","ICTVonline=202107444")</f>
        <v>ICTVonline=202107444</v>
      </c>
    </row>
    <row r="9014" spans="1:21" x14ac:dyDescent="0.2">
      <c r="A9014" s="3">
        <v>9013</v>
      </c>
      <c r="B9014" s="1" t="s">
        <v>4226</v>
      </c>
      <c r="D9014" s="1" t="s">
        <v>5412</v>
      </c>
      <c r="F9014" s="1" t="s">
        <v>5637</v>
      </c>
      <c r="H9014" s="1" t="s">
        <v>5747</v>
      </c>
      <c r="J9014" s="1" t="s">
        <v>5748</v>
      </c>
      <c r="L9014" s="1" t="s">
        <v>460</v>
      </c>
      <c r="N9014" s="1" t="s">
        <v>190</v>
      </c>
      <c r="P9014" s="1" t="s">
        <v>3022</v>
      </c>
      <c r="Q9014" s="30" t="s">
        <v>2567</v>
      </c>
      <c r="R9014" s="33" t="s">
        <v>3474</v>
      </c>
      <c r="S9014">
        <v>35</v>
      </c>
      <c r="T9014" s="1" t="s">
        <v>5416</v>
      </c>
      <c r="U9014" s="1" t="str">
        <f>HYPERLINK("http://ictvonline.org/taxonomy/p/taxonomy-history?taxnode_id=202104559","ICTVonline=202104559")</f>
        <v>ICTVonline=202104559</v>
      </c>
    </row>
    <row r="9015" spans="1:21" x14ac:dyDescent="0.2">
      <c r="A9015" s="3">
        <v>9014</v>
      </c>
      <c r="B9015" s="1" t="s">
        <v>4226</v>
      </c>
      <c r="D9015" s="1" t="s">
        <v>5412</v>
      </c>
      <c r="F9015" s="1" t="s">
        <v>5637</v>
      </c>
      <c r="H9015" s="1" t="s">
        <v>5747</v>
      </c>
      <c r="J9015" s="1" t="s">
        <v>5748</v>
      </c>
      <c r="L9015" s="1" t="s">
        <v>460</v>
      </c>
      <c r="N9015" s="1" t="s">
        <v>190</v>
      </c>
      <c r="P9015" s="1" t="s">
        <v>473</v>
      </c>
      <c r="Q9015" s="30" t="s">
        <v>2567</v>
      </c>
      <c r="R9015" s="33" t="s">
        <v>3474</v>
      </c>
      <c r="S9015">
        <v>35</v>
      </c>
      <c r="T9015" s="1" t="s">
        <v>5416</v>
      </c>
      <c r="U9015" s="1" t="str">
        <f>HYPERLINK("http://ictvonline.org/taxonomy/p/taxonomy-history?taxnode_id=202104560","ICTVonline=202104560")</f>
        <v>ICTVonline=202104560</v>
      </c>
    </row>
    <row r="9016" spans="1:21" x14ac:dyDescent="0.2">
      <c r="A9016" s="3">
        <v>9015</v>
      </c>
      <c r="B9016" s="1" t="s">
        <v>4226</v>
      </c>
      <c r="D9016" s="1" t="s">
        <v>5412</v>
      </c>
      <c r="F9016" s="1" t="s">
        <v>5637</v>
      </c>
      <c r="H9016" s="1" t="s">
        <v>5747</v>
      </c>
      <c r="J9016" s="1" t="s">
        <v>5748</v>
      </c>
      <c r="L9016" s="1" t="s">
        <v>460</v>
      </c>
      <c r="N9016" s="1" t="s">
        <v>190</v>
      </c>
      <c r="P9016" s="1" t="s">
        <v>191</v>
      </c>
      <c r="Q9016" s="30" t="s">
        <v>2567</v>
      </c>
      <c r="R9016" s="33" t="s">
        <v>8665</v>
      </c>
      <c r="S9016">
        <v>36</v>
      </c>
      <c r="T9016" s="1" t="s">
        <v>8661</v>
      </c>
      <c r="U9016" s="1" t="str">
        <f>HYPERLINK("http://ictvonline.org/taxonomy/p/taxonomy-history?taxnode_id=202104561","ICTVonline=202104561")</f>
        <v>ICTVonline=202104561</v>
      </c>
    </row>
    <row r="9017" spans="1:21" x14ac:dyDescent="0.2">
      <c r="A9017" s="3">
        <v>9016</v>
      </c>
      <c r="B9017" s="1" t="s">
        <v>4226</v>
      </c>
      <c r="D9017" s="1" t="s">
        <v>5412</v>
      </c>
      <c r="F9017" s="1" t="s">
        <v>5637</v>
      </c>
      <c r="H9017" s="1" t="s">
        <v>5747</v>
      </c>
      <c r="J9017" s="1" t="s">
        <v>5748</v>
      </c>
      <c r="L9017" s="1" t="s">
        <v>460</v>
      </c>
      <c r="N9017" s="1" t="s">
        <v>567</v>
      </c>
      <c r="P9017" s="1" t="s">
        <v>4482</v>
      </c>
      <c r="Q9017" s="30" t="s">
        <v>2567</v>
      </c>
      <c r="R9017" s="33" t="s">
        <v>3474</v>
      </c>
      <c r="S9017">
        <v>35</v>
      </c>
      <c r="T9017" s="1" t="s">
        <v>5416</v>
      </c>
      <c r="U9017" s="1" t="str">
        <f>HYPERLINK("http://ictvonline.org/taxonomy/p/taxonomy-history?taxnode_id=202106671","ICTVonline=202106671")</f>
        <v>ICTVonline=202106671</v>
      </c>
    </row>
    <row r="9018" spans="1:21" x14ac:dyDescent="0.2">
      <c r="A9018" s="3">
        <v>9017</v>
      </c>
      <c r="B9018" s="1" t="s">
        <v>4226</v>
      </c>
      <c r="D9018" s="1" t="s">
        <v>5412</v>
      </c>
      <c r="F9018" s="1" t="s">
        <v>5637</v>
      </c>
      <c r="H9018" s="1" t="s">
        <v>5747</v>
      </c>
      <c r="J9018" s="1" t="s">
        <v>5748</v>
      </c>
      <c r="L9018" s="1" t="s">
        <v>460</v>
      </c>
      <c r="N9018" s="1" t="s">
        <v>567</v>
      </c>
      <c r="P9018" s="1" t="s">
        <v>1973</v>
      </c>
      <c r="Q9018" s="30" t="s">
        <v>2567</v>
      </c>
      <c r="R9018" s="33" t="s">
        <v>3474</v>
      </c>
      <c r="S9018">
        <v>35</v>
      </c>
      <c r="T9018" s="1" t="s">
        <v>5416</v>
      </c>
      <c r="U9018" s="1" t="str">
        <f>HYPERLINK("http://ictvonline.org/taxonomy/p/taxonomy-history?taxnode_id=202104563","ICTVonline=202104563")</f>
        <v>ICTVonline=202104563</v>
      </c>
    </row>
    <row r="9019" spans="1:21" x14ac:dyDescent="0.2">
      <c r="A9019" s="3">
        <v>9018</v>
      </c>
      <c r="B9019" s="1" t="s">
        <v>4226</v>
      </c>
      <c r="D9019" s="1" t="s">
        <v>5412</v>
      </c>
      <c r="F9019" s="1" t="s">
        <v>5637</v>
      </c>
      <c r="H9019" s="1" t="s">
        <v>5747</v>
      </c>
      <c r="J9019" s="1" t="s">
        <v>5748</v>
      </c>
      <c r="L9019" s="1" t="s">
        <v>460</v>
      </c>
      <c r="N9019" s="1" t="s">
        <v>567</v>
      </c>
      <c r="P9019" s="1" t="s">
        <v>568</v>
      </c>
      <c r="Q9019" s="30" t="s">
        <v>2567</v>
      </c>
      <c r="R9019" s="33" t="s">
        <v>3474</v>
      </c>
      <c r="S9019">
        <v>35</v>
      </c>
      <c r="T9019" s="1" t="s">
        <v>5416</v>
      </c>
      <c r="U9019" s="1" t="str">
        <f>HYPERLINK("http://ictvonline.org/taxonomy/p/taxonomy-history?taxnode_id=202104564","ICTVonline=202104564")</f>
        <v>ICTVonline=202104564</v>
      </c>
    </row>
    <row r="9020" spans="1:21" x14ac:dyDescent="0.2">
      <c r="A9020" s="3">
        <v>9019</v>
      </c>
      <c r="B9020" s="1" t="s">
        <v>4226</v>
      </c>
      <c r="D9020" s="1" t="s">
        <v>5412</v>
      </c>
      <c r="F9020" s="1" t="s">
        <v>5637</v>
      </c>
      <c r="H9020" s="1" t="s">
        <v>5747</v>
      </c>
      <c r="J9020" s="1" t="s">
        <v>5748</v>
      </c>
      <c r="L9020" s="1" t="s">
        <v>460</v>
      </c>
      <c r="N9020" s="1" t="s">
        <v>567</v>
      </c>
      <c r="P9020" s="1" t="s">
        <v>1974</v>
      </c>
      <c r="Q9020" s="30" t="s">
        <v>2567</v>
      </c>
      <c r="R9020" s="33" t="s">
        <v>3474</v>
      </c>
      <c r="S9020">
        <v>35</v>
      </c>
      <c r="T9020" s="1" t="s">
        <v>5416</v>
      </c>
      <c r="U9020" s="1" t="str">
        <f>HYPERLINK("http://ictvonline.org/taxonomy/p/taxonomy-history?taxnode_id=202104565","ICTVonline=202104565")</f>
        <v>ICTVonline=202104565</v>
      </c>
    </row>
    <row r="9021" spans="1:21" x14ac:dyDescent="0.2">
      <c r="A9021" s="3">
        <v>9020</v>
      </c>
      <c r="B9021" s="1" t="s">
        <v>4226</v>
      </c>
      <c r="D9021" s="1" t="s">
        <v>5412</v>
      </c>
      <c r="F9021" s="1" t="s">
        <v>5637</v>
      </c>
      <c r="H9021" s="1" t="s">
        <v>5747</v>
      </c>
      <c r="J9021" s="1" t="s">
        <v>5748</v>
      </c>
      <c r="L9021" s="1" t="s">
        <v>460</v>
      </c>
      <c r="N9021" s="1" t="s">
        <v>567</v>
      </c>
      <c r="P9021" s="1" t="s">
        <v>569</v>
      </c>
      <c r="Q9021" s="30" t="s">
        <v>2567</v>
      </c>
      <c r="R9021" s="33" t="s">
        <v>3474</v>
      </c>
      <c r="S9021">
        <v>35</v>
      </c>
      <c r="T9021" s="1" t="s">
        <v>5416</v>
      </c>
      <c r="U9021" s="1" t="str">
        <f>HYPERLINK("http://ictvonline.org/taxonomy/p/taxonomy-history?taxnode_id=202104566","ICTVonline=202104566")</f>
        <v>ICTVonline=202104566</v>
      </c>
    </row>
    <row r="9022" spans="1:21" x14ac:dyDescent="0.2">
      <c r="A9022" s="3">
        <v>9021</v>
      </c>
      <c r="B9022" s="1" t="s">
        <v>4226</v>
      </c>
      <c r="D9022" s="1" t="s">
        <v>5412</v>
      </c>
      <c r="F9022" s="1" t="s">
        <v>5637</v>
      </c>
      <c r="H9022" s="1" t="s">
        <v>5747</v>
      </c>
      <c r="J9022" s="1" t="s">
        <v>5748</v>
      </c>
      <c r="L9022" s="1" t="s">
        <v>460</v>
      </c>
      <c r="N9022" s="1" t="s">
        <v>567</v>
      </c>
      <c r="P9022" s="1" t="s">
        <v>570</v>
      </c>
      <c r="Q9022" s="30" t="s">
        <v>2567</v>
      </c>
      <c r="R9022" s="33" t="s">
        <v>3474</v>
      </c>
      <c r="S9022">
        <v>35</v>
      </c>
      <c r="T9022" s="1" t="s">
        <v>5416</v>
      </c>
      <c r="U9022" s="1" t="str">
        <f>HYPERLINK("http://ictvonline.org/taxonomy/p/taxonomy-history?taxnode_id=202104567","ICTVonline=202104567")</f>
        <v>ICTVonline=202104567</v>
      </c>
    </row>
    <row r="9023" spans="1:21" x14ac:dyDescent="0.2">
      <c r="A9023" s="3">
        <v>9022</v>
      </c>
      <c r="B9023" s="1" t="s">
        <v>4226</v>
      </c>
      <c r="D9023" s="1" t="s">
        <v>5412</v>
      </c>
      <c r="F9023" s="1" t="s">
        <v>5637</v>
      </c>
      <c r="H9023" s="1" t="s">
        <v>5747</v>
      </c>
      <c r="J9023" s="1" t="s">
        <v>5748</v>
      </c>
      <c r="L9023" s="1" t="s">
        <v>460</v>
      </c>
      <c r="N9023" s="1" t="s">
        <v>567</v>
      </c>
      <c r="P9023" s="1" t="s">
        <v>1975</v>
      </c>
      <c r="Q9023" s="30" t="s">
        <v>2567</v>
      </c>
      <c r="R9023" s="33" t="s">
        <v>3474</v>
      </c>
      <c r="S9023">
        <v>35</v>
      </c>
      <c r="T9023" s="1" t="s">
        <v>5416</v>
      </c>
      <c r="U9023" s="1" t="str">
        <f>HYPERLINK("http://ictvonline.org/taxonomy/p/taxonomy-history?taxnode_id=202104568","ICTVonline=202104568")</f>
        <v>ICTVonline=202104568</v>
      </c>
    </row>
    <row r="9024" spans="1:21" x14ac:dyDescent="0.2">
      <c r="A9024" s="3">
        <v>9023</v>
      </c>
      <c r="B9024" s="1" t="s">
        <v>4226</v>
      </c>
      <c r="D9024" s="1" t="s">
        <v>5412</v>
      </c>
      <c r="F9024" s="1" t="s">
        <v>5637</v>
      </c>
      <c r="H9024" s="1" t="s">
        <v>5747</v>
      </c>
      <c r="J9024" s="1" t="s">
        <v>5748</v>
      </c>
      <c r="L9024" s="1" t="s">
        <v>460</v>
      </c>
      <c r="N9024" s="1" t="s">
        <v>567</v>
      </c>
      <c r="P9024" s="1" t="s">
        <v>571</v>
      </c>
      <c r="Q9024" s="30" t="s">
        <v>2567</v>
      </c>
      <c r="R9024" s="33" t="s">
        <v>3474</v>
      </c>
      <c r="S9024">
        <v>35</v>
      </c>
      <c r="T9024" s="1" t="s">
        <v>5416</v>
      </c>
      <c r="U9024" s="1" t="str">
        <f>HYPERLINK("http://ictvonline.org/taxonomy/p/taxonomy-history?taxnode_id=202104569","ICTVonline=202104569")</f>
        <v>ICTVonline=202104569</v>
      </c>
    </row>
    <row r="9025" spans="1:21" x14ac:dyDescent="0.2">
      <c r="A9025" s="3">
        <v>9024</v>
      </c>
      <c r="B9025" s="1" t="s">
        <v>4226</v>
      </c>
      <c r="D9025" s="1" t="s">
        <v>5412</v>
      </c>
      <c r="F9025" s="1" t="s">
        <v>5637</v>
      </c>
      <c r="H9025" s="1" t="s">
        <v>5747</v>
      </c>
      <c r="J9025" s="1" t="s">
        <v>5748</v>
      </c>
      <c r="L9025" s="1" t="s">
        <v>460</v>
      </c>
      <c r="N9025" s="1" t="s">
        <v>567</v>
      </c>
      <c r="P9025" s="1" t="s">
        <v>572</v>
      </c>
      <c r="Q9025" s="30" t="s">
        <v>2567</v>
      </c>
      <c r="R9025" s="33" t="s">
        <v>3474</v>
      </c>
      <c r="S9025">
        <v>35</v>
      </c>
      <c r="T9025" s="1" t="s">
        <v>5416</v>
      </c>
      <c r="U9025" s="1" t="str">
        <f>HYPERLINK("http://ictvonline.org/taxonomy/p/taxonomy-history?taxnode_id=202104570","ICTVonline=202104570")</f>
        <v>ICTVonline=202104570</v>
      </c>
    </row>
    <row r="9026" spans="1:21" x14ac:dyDescent="0.2">
      <c r="A9026" s="3">
        <v>9025</v>
      </c>
      <c r="B9026" s="1" t="s">
        <v>4226</v>
      </c>
      <c r="D9026" s="1" t="s">
        <v>5412</v>
      </c>
      <c r="F9026" s="1" t="s">
        <v>5637</v>
      </c>
      <c r="H9026" s="1" t="s">
        <v>5747</v>
      </c>
      <c r="J9026" s="1" t="s">
        <v>5748</v>
      </c>
      <c r="L9026" s="1" t="s">
        <v>460</v>
      </c>
      <c r="N9026" s="1" t="s">
        <v>567</v>
      </c>
      <c r="P9026" s="1" t="s">
        <v>1999</v>
      </c>
      <c r="Q9026" s="30" t="s">
        <v>2567</v>
      </c>
      <c r="R9026" s="33" t="s">
        <v>3474</v>
      </c>
      <c r="S9026">
        <v>35</v>
      </c>
      <c r="T9026" s="1" t="s">
        <v>5416</v>
      </c>
      <c r="U9026" s="1" t="str">
        <f>HYPERLINK("http://ictvonline.org/taxonomy/p/taxonomy-history?taxnode_id=202104571","ICTVonline=202104571")</f>
        <v>ICTVonline=202104571</v>
      </c>
    </row>
    <row r="9027" spans="1:21" x14ac:dyDescent="0.2">
      <c r="A9027" s="3">
        <v>9026</v>
      </c>
      <c r="B9027" s="1" t="s">
        <v>4226</v>
      </c>
      <c r="D9027" s="1" t="s">
        <v>5412</v>
      </c>
      <c r="F9027" s="1" t="s">
        <v>5637</v>
      </c>
      <c r="H9027" s="1" t="s">
        <v>5747</v>
      </c>
      <c r="J9027" s="1" t="s">
        <v>5748</v>
      </c>
      <c r="L9027" s="1" t="s">
        <v>460</v>
      </c>
      <c r="N9027" s="1" t="s">
        <v>567</v>
      </c>
      <c r="P9027" s="1" t="s">
        <v>574</v>
      </c>
      <c r="Q9027" s="30" t="s">
        <v>2567</v>
      </c>
      <c r="R9027" s="33" t="s">
        <v>3474</v>
      </c>
      <c r="S9027">
        <v>35</v>
      </c>
      <c r="T9027" s="1" t="s">
        <v>5416</v>
      </c>
      <c r="U9027" s="1" t="str">
        <f>HYPERLINK("http://ictvonline.org/taxonomy/p/taxonomy-history?taxnode_id=202104572","ICTVonline=202104572")</f>
        <v>ICTVonline=202104572</v>
      </c>
    </row>
    <row r="9028" spans="1:21" x14ac:dyDescent="0.2">
      <c r="A9028" s="3">
        <v>9027</v>
      </c>
      <c r="B9028" s="1" t="s">
        <v>4226</v>
      </c>
      <c r="D9028" s="1" t="s">
        <v>5412</v>
      </c>
      <c r="F9028" s="1" t="s">
        <v>5637</v>
      </c>
      <c r="H9028" s="1" t="s">
        <v>5747</v>
      </c>
      <c r="J9028" s="1" t="s">
        <v>5748</v>
      </c>
      <c r="L9028" s="1" t="s">
        <v>460</v>
      </c>
      <c r="N9028" s="1" t="s">
        <v>567</v>
      </c>
      <c r="P9028" s="1" t="s">
        <v>575</v>
      </c>
      <c r="Q9028" s="30" t="s">
        <v>2567</v>
      </c>
      <c r="R9028" s="33" t="s">
        <v>3474</v>
      </c>
      <c r="S9028">
        <v>35</v>
      </c>
      <c r="T9028" s="1" t="s">
        <v>5416</v>
      </c>
      <c r="U9028" s="1" t="str">
        <f>HYPERLINK("http://ictvonline.org/taxonomy/p/taxonomy-history?taxnode_id=202104573","ICTVonline=202104573")</f>
        <v>ICTVonline=202104573</v>
      </c>
    </row>
    <row r="9029" spans="1:21" x14ac:dyDescent="0.2">
      <c r="A9029" s="3">
        <v>9028</v>
      </c>
      <c r="B9029" s="1" t="s">
        <v>4226</v>
      </c>
      <c r="D9029" s="1" t="s">
        <v>5412</v>
      </c>
      <c r="F9029" s="1" t="s">
        <v>5637</v>
      </c>
      <c r="H9029" s="1" t="s">
        <v>5747</v>
      </c>
      <c r="J9029" s="1" t="s">
        <v>5748</v>
      </c>
      <c r="L9029" s="1" t="s">
        <v>460</v>
      </c>
      <c r="N9029" s="1" t="s">
        <v>567</v>
      </c>
      <c r="P9029" s="1" t="s">
        <v>3943</v>
      </c>
      <c r="Q9029" s="30" t="s">
        <v>2567</v>
      </c>
      <c r="R9029" s="33" t="s">
        <v>3474</v>
      </c>
      <c r="S9029">
        <v>35</v>
      </c>
      <c r="T9029" s="1" t="s">
        <v>5416</v>
      </c>
      <c r="U9029" s="1" t="str">
        <f>HYPERLINK("http://ictvonline.org/taxonomy/p/taxonomy-history?taxnode_id=202105918","ICTVonline=202105918")</f>
        <v>ICTVonline=202105918</v>
      </c>
    </row>
    <row r="9030" spans="1:21" x14ac:dyDescent="0.2">
      <c r="A9030" s="3">
        <v>9029</v>
      </c>
      <c r="B9030" s="1" t="s">
        <v>4226</v>
      </c>
      <c r="D9030" s="1" t="s">
        <v>5412</v>
      </c>
      <c r="F9030" s="1" t="s">
        <v>5637</v>
      </c>
      <c r="H9030" s="1" t="s">
        <v>5747</v>
      </c>
      <c r="J9030" s="1" t="s">
        <v>5748</v>
      </c>
      <c r="L9030" s="1" t="s">
        <v>460</v>
      </c>
      <c r="N9030" s="1" t="s">
        <v>567</v>
      </c>
      <c r="P9030" s="1" t="s">
        <v>576</v>
      </c>
      <c r="Q9030" s="30" t="s">
        <v>2567</v>
      </c>
      <c r="R9030" s="33" t="s">
        <v>3474</v>
      </c>
      <c r="S9030">
        <v>35</v>
      </c>
      <c r="T9030" s="1" t="s">
        <v>5416</v>
      </c>
      <c r="U9030" s="1" t="str">
        <f>HYPERLINK("http://ictvonline.org/taxonomy/p/taxonomy-history?taxnode_id=202104574","ICTVonline=202104574")</f>
        <v>ICTVonline=202104574</v>
      </c>
    </row>
    <row r="9031" spans="1:21" x14ac:dyDescent="0.2">
      <c r="A9031" s="3">
        <v>9030</v>
      </c>
      <c r="B9031" s="1" t="s">
        <v>4226</v>
      </c>
      <c r="D9031" s="1" t="s">
        <v>5412</v>
      </c>
      <c r="F9031" s="1" t="s">
        <v>5637</v>
      </c>
      <c r="H9031" s="1" t="s">
        <v>5747</v>
      </c>
      <c r="J9031" s="1" t="s">
        <v>5748</v>
      </c>
      <c r="L9031" s="1" t="s">
        <v>460</v>
      </c>
      <c r="N9031" s="1" t="s">
        <v>567</v>
      </c>
      <c r="P9031" s="1" t="s">
        <v>577</v>
      </c>
      <c r="Q9031" s="30" t="s">
        <v>2567</v>
      </c>
      <c r="R9031" s="33" t="s">
        <v>3474</v>
      </c>
      <c r="S9031">
        <v>35</v>
      </c>
      <c r="T9031" s="1" t="s">
        <v>5416</v>
      </c>
      <c r="U9031" s="1" t="str">
        <f>HYPERLINK("http://ictvonline.org/taxonomy/p/taxonomy-history?taxnode_id=202104575","ICTVonline=202104575")</f>
        <v>ICTVonline=202104575</v>
      </c>
    </row>
    <row r="9032" spans="1:21" x14ac:dyDescent="0.2">
      <c r="A9032" s="3">
        <v>9031</v>
      </c>
      <c r="B9032" s="1" t="s">
        <v>4226</v>
      </c>
      <c r="D9032" s="1" t="s">
        <v>5412</v>
      </c>
      <c r="F9032" s="1" t="s">
        <v>5637</v>
      </c>
      <c r="H9032" s="1" t="s">
        <v>5747</v>
      </c>
      <c r="J9032" s="1" t="s">
        <v>5748</v>
      </c>
      <c r="L9032" s="1" t="s">
        <v>460</v>
      </c>
      <c r="N9032" s="1" t="s">
        <v>567</v>
      </c>
      <c r="P9032" s="1" t="s">
        <v>578</v>
      </c>
      <c r="Q9032" s="30" t="s">
        <v>2567</v>
      </c>
      <c r="R9032" s="33" t="s">
        <v>3474</v>
      </c>
      <c r="S9032">
        <v>35</v>
      </c>
      <c r="T9032" s="1" t="s">
        <v>5416</v>
      </c>
      <c r="U9032" s="1" t="str">
        <f>HYPERLINK("http://ictvonline.org/taxonomy/p/taxonomy-history?taxnode_id=202104576","ICTVonline=202104576")</f>
        <v>ICTVonline=202104576</v>
      </c>
    </row>
    <row r="9033" spans="1:21" x14ac:dyDescent="0.2">
      <c r="A9033" s="3">
        <v>9032</v>
      </c>
      <c r="B9033" s="1" t="s">
        <v>4226</v>
      </c>
      <c r="D9033" s="1" t="s">
        <v>5412</v>
      </c>
      <c r="F9033" s="1" t="s">
        <v>5637</v>
      </c>
      <c r="H9033" s="1" t="s">
        <v>5747</v>
      </c>
      <c r="J9033" s="1" t="s">
        <v>5748</v>
      </c>
      <c r="L9033" s="1" t="s">
        <v>460</v>
      </c>
      <c r="N9033" s="1" t="s">
        <v>567</v>
      </c>
      <c r="P9033" s="1" t="s">
        <v>579</v>
      </c>
      <c r="Q9033" s="30" t="s">
        <v>2567</v>
      </c>
      <c r="R9033" s="33" t="s">
        <v>3474</v>
      </c>
      <c r="S9033">
        <v>35</v>
      </c>
      <c r="T9033" s="1" t="s">
        <v>5416</v>
      </c>
      <c r="U9033" s="1" t="str">
        <f>HYPERLINK("http://ictvonline.org/taxonomy/p/taxonomy-history?taxnode_id=202104577","ICTVonline=202104577")</f>
        <v>ICTVonline=202104577</v>
      </c>
    </row>
    <row r="9034" spans="1:21" x14ac:dyDescent="0.2">
      <c r="A9034" s="3">
        <v>9033</v>
      </c>
      <c r="B9034" s="1" t="s">
        <v>4226</v>
      </c>
      <c r="D9034" s="1" t="s">
        <v>5412</v>
      </c>
      <c r="F9034" s="1" t="s">
        <v>5637</v>
      </c>
      <c r="H9034" s="1" t="s">
        <v>5747</v>
      </c>
      <c r="J9034" s="1" t="s">
        <v>5748</v>
      </c>
      <c r="L9034" s="1" t="s">
        <v>460</v>
      </c>
      <c r="N9034" s="1" t="s">
        <v>567</v>
      </c>
      <c r="P9034" s="1" t="s">
        <v>580</v>
      </c>
      <c r="Q9034" s="30" t="s">
        <v>2567</v>
      </c>
      <c r="R9034" s="33" t="s">
        <v>3474</v>
      </c>
      <c r="S9034">
        <v>35</v>
      </c>
      <c r="T9034" s="1" t="s">
        <v>5416</v>
      </c>
      <c r="U9034" s="1" t="str">
        <f>HYPERLINK("http://ictvonline.org/taxonomy/p/taxonomy-history?taxnode_id=202104578","ICTVonline=202104578")</f>
        <v>ICTVonline=202104578</v>
      </c>
    </row>
    <row r="9035" spans="1:21" x14ac:dyDescent="0.2">
      <c r="A9035" s="3">
        <v>9034</v>
      </c>
      <c r="B9035" s="1" t="s">
        <v>4226</v>
      </c>
      <c r="D9035" s="1" t="s">
        <v>5412</v>
      </c>
      <c r="F9035" s="1" t="s">
        <v>5637</v>
      </c>
      <c r="H9035" s="1" t="s">
        <v>5747</v>
      </c>
      <c r="J9035" s="1" t="s">
        <v>5748</v>
      </c>
      <c r="L9035" s="1" t="s">
        <v>460</v>
      </c>
      <c r="N9035" s="1" t="s">
        <v>567</v>
      </c>
      <c r="P9035" s="1" t="s">
        <v>8336</v>
      </c>
      <c r="Q9035" s="30" t="s">
        <v>2567</v>
      </c>
      <c r="R9035" s="33" t="s">
        <v>3472</v>
      </c>
      <c r="S9035">
        <v>36</v>
      </c>
      <c r="T9035" s="1" t="s">
        <v>8337</v>
      </c>
      <c r="U9035" s="1" t="str">
        <f>HYPERLINK("http://ictvonline.org/taxonomy/p/taxonomy-history?taxnode_id=202109669","ICTVonline=202109669")</f>
        <v>ICTVonline=202109669</v>
      </c>
    </row>
    <row r="9036" spans="1:21" x14ac:dyDescent="0.2">
      <c r="A9036" s="3">
        <v>9035</v>
      </c>
      <c r="B9036" s="1" t="s">
        <v>4226</v>
      </c>
      <c r="D9036" s="1" t="s">
        <v>5412</v>
      </c>
      <c r="F9036" s="1" t="s">
        <v>5637</v>
      </c>
      <c r="H9036" s="1" t="s">
        <v>5747</v>
      </c>
      <c r="J9036" s="1" t="s">
        <v>5748</v>
      </c>
      <c r="L9036" s="1" t="s">
        <v>460</v>
      </c>
      <c r="N9036" s="1" t="s">
        <v>567</v>
      </c>
      <c r="P9036" s="1" t="s">
        <v>2521</v>
      </c>
      <c r="Q9036" s="30" t="s">
        <v>2567</v>
      </c>
      <c r="R9036" s="33" t="s">
        <v>3474</v>
      </c>
      <c r="S9036">
        <v>35</v>
      </c>
      <c r="T9036" s="1" t="s">
        <v>5416</v>
      </c>
      <c r="U9036" s="1" t="str">
        <f>HYPERLINK("http://ictvonline.org/taxonomy/p/taxonomy-history?taxnode_id=202104579","ICTVonline=202104579")</f>
        <v>ICTVonline=202104579</v>
      </c>
    </row>
    <row r="9037" spans="1:21" x14ac:dyDescent="0.2">
      <c r="A9037" s="3">
        <v>9036</v>
      </c>
      <c r="B9037" s="1" t="s">
        <v>4226</v>
      </c>
      <c r="D9037" s="1" t="s">
        <v>5412</v>
      </c>
      <c r="F9037" s="1" t="s">
        <v>5637</v>
      </c>
      <c r="H9037" s="1" t="s">
        <v>5747</v>
      </c>
      <c r="J9037" s="1" t="s">
        <v>5748</v>
      </c>
      <c r="L9037" s="1" t="s">
        <v>460</v>
      </c>
      <c r="N9037" s="1" t="s">
        <v>567</v>
      </c>
      <c r="P9037" s="1" t="s">
        <v>581</v>
      </c>
      <c r="Q9037" s="30" t="s">
        <v>2567</v>
      </c>
      <c r="R9037" s="33" t="s">
        <v>3474</v>
      </c>
      <c r="S9037">
        <v>35</v>
      </c>
      <c r="T9037" s="1" t="s">
        <v>5416</v>
      </c>
      <c r="U9037" s="1" t="str">
        <f>HYPERLINK("http://ictvonline.org/taxonomy/p/taxonomy-history?taxnode_id=202104580","ICTVonline=202104580")</f>
        <v>ICTVonline=202104580</v>
      </c>
    </row>
    <row r="9038" spans="1:21" x14ac:dyDescent="0.2">
      <c r="A9038" s="3">
        <v>9037</v>
      </c>
      <c r="B9038" s="1" t="s">
        <v>4226</v>
      </c>
      <c r="D9038" s="1" t="s">
        <v>5412</v>
      </c>
      <c r="F9038" s="1" t="s">
        <v>5637</v>
      </c>
      <c r="H9038" s="1" t="s">
        <v>5747</v>
      </c>
      <c r="J9038" s="1" t="s">
        <v>5748</v>
      </c>
      <c r="L9038" s="1" t="s">
        <v>460</v>
      </c>
      <c r="N9038" s="1" t="s">
        <v>567</v>
      </c>
      <c r="P9038" s="1" t="s">
        <v>2522</v>
      </c>
      <c r="Q9038" s="30" t="s">
        <v>2567</v>
      </c>
      <c r="R9038" s="33" t="s">
        <v>3474</v>
      </c>
      <c r="S9038">
        <v>35</v>
      </c>
      <c r="T9038" s="1" t="s">
        <v>5416</v>
      </c>
      <c r="U9038" s="1" t="str">
        <f>HYPERLINK("http://ictvonline.org/taxonomy/p/taxonomy-history?taxnode_id=202104581","ICTVonline=202104581")</f>
        <v>ICTVonline=202104581</v>
      </c>
    </row>
    <row r="9039" spans="1:21" x14ac:dyDescent="0.2">
      <c r="A9039" s="3">
        <v>9038</v>
      </c>
      <c r="B9039" s="1" t="s">
        <v>4226</v>
      </c>
      <c r="D9039" s="1" t="s">
        <v>5412</v>
      </c>
      <c r="F9039" s="1" t="s">
        <v>5637</v>
      </c>
      <c r="H9039" s="1" t="s">
        <v>5747</v>
      </c>
      <c r="J9039" s="1" t="s">
        <v>5748</v>
      </c>
      <c r="L9039" s="1" t="s">
        <v>460</v>
      </c>
      <c r="N9039" s="1" t="s">
        <v>567</v>
      </c>
      <c r="P9039" s="1" t="s">
        <v>2523</v>
      </c>
      <c r="Q9039" s="30" t="s">
        <v>2567</v>
      </c>
      <c r="R9039" s="33" t="s">
        <v>3474</v>
      </c>
      <c r="S9039">
        <v>35</v>
      </c>
      <c r="T9039" s="1" t="s">
        <v>5416</v>
      </c>
      <c r="U9039" s="1" t="str">
        <f>HYPERLINK("http://ictvonline.org/taxonomy/p/taxonomy-history?taxnode_id=202104582","ICTVonline=202104582")</f>
        <v>ICTVonline=202104582</v>
      </c>
    </row>
    <row r="9040" spans="1:21" x14ac:dyDescent="0.2">
      <c r="A9040" s="3">
        <v>9039</v>
      </c>
      <c r="B9040" s="1" t="s">
        <v>4226</v>
      </c>
      <c r="D9040" s="1" t="s">
        <v>5412</v>
      </c>
      <c r="F9040" s="1" t="s">
        <v>5637</v>
      </c>
      <c r="H9040" s="1" t="s">
        <v>5747</v>
      </c>
      <c r="J9040" s="1" t="s">
        <v>5748</v>
      </c>
      <c r="L9040" s="1" t="s">
        <v>460</v>
      </c>
      <c r="N9040" s="1" t="s">
        <v>567</v>
      </c>
      <c r="P9040" s="1" t="s">
        <v>2000</v>
      </c>
      <c r="Q9040" s="30" t="s">
        <v>2567</v>
      </c>
      <c r="R9040" s="33" t="s">
        <v>3474</v>
      </c>
      <c r="S9040">
        <v>35</v>
      </c>
      <c r="T9040" s="1" t="s">
        <v>5416</v>
      </c>
      <c r="U9040" s="1" t="str">
        <f>HYPERLINK("http://ictvonline.org/taxonomy/p/taxonomy-history?taxnode_id=202104583","ICTVonline=202104583")</f>
        <v>ICTVonline=202104583</v>
      </c>
    </row>
    <row r="9041" spans="1:21" x14ac:dyDescent="0.2">
      <c r="A9041" s="3">
        <v>9040</v>
      </c>
      <c r="B9041" s="1" t="s">
        <v>4226</v>
      </c>
      <c r="D9041" s="1" t="s">
        <v>5412</v>
      </c>
      <c r="F9041" s="1" t="s">
        <v>5637</v>
      </c>
      <c r="H9041" s="1" t="s">
        <v>5747</v>
      </c>
      <c r="J9041" s="1" t="s">
        <v>5748</v>
      </c>
      <c r="L9041" s="1" t="s">
        <v>460</v>
      </c>
      <c r="N9041" s="1" t="s">
        <v>567</v>
      </c>
      <c r="P9041" s="1" t="s">
        <v>1976</v>
      </c>
      <c r="Q9041" s="30" t="s">
        <v>2567</v>
      </c>
      <c r="R9041" s="33" t="s">
        <v>3474</v>
      </c>
      <c r="S9041">
        <v>35</v>
      </c>
      <c r="T9041" s="1" t="s">
        <v>5416</v>
      </c>
      <c r="U9041" s="1" t="str">
        <f>HYPERLINK("http://ictvonline.org/taxonomy/p/taxonomy-history?taxnode_id=202104584","ICTVonline=202104584")</f>
        <v>ICTVonline=202104584</v>
      </c>
    </row>
    <row r="9042" spans="1:21" x14ac:dyDescent="0.2">
      <c r="A9042" s="3">
        <v>9041</v>
      </c>
      <c r="B9042" s="1" t="s">
        <v>4226</v>
      </c>
      <c r="D9042" s="1" t="s">
        <v>5412</v>
      </c>
      <c r="F9042" s="1" t="s">
        <v>5637</v>
      </c>
      <c r="H9042" s="1" t="s">
        <v>5747</v>
      </c>
      <c r="J9042" s="1" t="s">
        <v>5748</v>
      </c>
      <c r="L9042" s="1" t="s">
        <v>460</v>
      </c>
      <c r="N9042" s="1" t="s">
        <v>567</v>
      </c>
      <c r="P9042" s="1" t="s">
        <v>1463</v>
      </c>
      <c r="Q9042" s="30" t="s">
        <v>2567</v>
      </c>
      <c r="R9042" s="33" t="s">
        <v>3474</v>
      </c>
      <c r="S9042">
        <v>35</v>
      </c>
      <c r="T9042" s="1" t="s">
        <v>5416</v>
      </c>
      <c r="U9042" s="1" t="str">
        <f>HYPERLINK("http://ictvonline.org/taxonomy/p/taxonomy-history?taxnode_id=202104585","ICTVonline=202104585")</f>
        <v>ICTVonline=202104585</v>
      </c>
    </row>
    <row r="9043" spans="1:21" x14ac:dyDescent="0.2">
      <c r="A9043" s="3">
        <v>9042</v>
      </c>
      <c r="B9043" s="1" t="s">
        <v>4226</v>
      </c>
      <c r="D9043" s="1" t="s">
        <v>5412</v>
      </c>
      <c r="F9043" s="1" t="s">
        <v>5637</v>
      </c>
      <c r="H9043" s="1" t="s">
        <v>5747</v>
      </c>
      <c r="J9043" s="1" t="s">
        <v>5748</v>
      </c>
      <c r="L9043" s="1" t="s">
        <v>460</v>
      </c>
      <c r="N9043" s="1" t="s">
        <v>567</v>
      </c>
      <c r="P9043" s="1" t="s">
        <v>2524</v>
      </c>
      <c r="Q9043" s="30" t="s">
        <v>2567</v>
      </c>
      <c r="R9043" s="33" t="s">
        <v>3474</v>
      </c>
      <c r="S9043">
        <v>35</v>
      </c>
      <c r="T9043" s="1" t="s">
        <v>5416</v>
      </c>
      <c r="U9043" s="1" t="str">
        <f>HYPERLINK("http://ictvonline.org/taxonomy/p/taxonomy-history?taxnode_id=202104586","ICTVonline=202104586")</f>
        <v>ICTVonline=202104586</v>
      </c>
    </row>
    <row r="9044" spans="1:21" x14ac:dyDescent="0.2">
      <c r="A9044" s="3">
        <v>9043</v>
      </c>
      <c r="B9044" s="1" t="s">
        <v>4226</v>
      </c>
      <c r="D9044" s="1" t="s">
        <v>5412</v>
      </c>
      <c r="F9044" s="1" t="s">
        <v>5637</v>
      </c>
      <c r="H9044" s="1" t="s">
        <v>5747</v>
      </c>
      <c r="J9044" s="1" t="s">
        <v>5748</v>
      </c>
      <c r="L9044" s="1" t="s">
        <v>460</v>
      </c>
      <c r="N9044" s="1" t="s">
        <v>567</v>
      </c>
      <c r="P9044" s="1" t="s">
        <v>3944</v>
      </c>
      <c r="Q9044" s="30" t="s">
        <v>2567</v>
      </c>
      <c r="R9044" s="33" t="s">
        <v>3474</v>
      </c>
      <c r="S9044">
        <v>35</v>
      </c>
      <c r="T9044" s="1" t="s">
        <v>5416</v>
      </c>
      <c r="U9044" s="1" t="str">
        <f>HYPERLINK("http://ictvonline.org/taxonomy/p/taxonomy-history?taxnode_id=202105919","ICTVonline=202105919")</f>
        <v>ICTVonline=202105919</v>
      </c>
    </row>
    <row r="9045" spans="1:21" x14ac:dyDescent="0.2">
      <c r="A9045" s="3">
        <v>9044</v>
      </c>
      <c r="B9045" s="1" t="s">
        <v>4226</v>
      </c>
      <c r="D9045" s="1" t="s">
        <v>5412</v>
      </c>
      <c r="F9045" s="1" t="s">
        <v>5637</v>
      </c>
      <c r="H9045" s="1" t="s">
        <v>5747</v>
      </c>
      <c r="J9045" s="1" t="s">
        <v>5748</v>
      </c>
      <c r="L9045" s="1" t="s">
        <v>460</v>
      </c>
      <c r="N9045" s="1" t="s">
        <v>567</v>
      </c>
      <c r="P9045" s="1" t="s">
        <v>1977</v>
      </c>
      <c r="Q9045" s="30" t="s">
        <v>2567</v>
      </c>
      <c r="R9045" s="33" t="s">
        <v>3474</v>
      </c>
      <c r="S9045">
        <v>35</v>
      </c>
      <c r="T9045" s="1" t="s">
        <v>5416</v>
      </c>
      <c r="U9045" s="1" t="str">
        <f>HYPERLINK("http://ictvonline.org/taxonomy/p/taxonomy-history?taxnode_id=202104587","ICTVonline=202104587")</f>
        <v>ICTVonline=202104587</v>
      </c>
    </row>
    <row r="9046" spans="1:21" x14ac:dyDescent="0.2">
      <c r="A9046" s="3">
        <v>9045</v>
      </c>
      <c r="B9046" s="1" t="s">
        <v>4226</v>
      </c>
      <c r="D9046" s="1" t="s">
        <v>5412</v>
      </c>
      <c r="F9046" s="1" t="s">
        <v>5637</v>
      </c>
      <c r="H9046" s="1" t="s">
        <v>5747</v>
      </c>
      <c r="J9046" s="1" t="s">
        <v>5748</v>
      </c>
      <c r="L9046" s="1" t="s">
        <v>460</v>
      </c>
      <c r="N9046" s="1" t="s">
        <v>567</v>
      </c>
      <c r="P9046" s="1" t="s">
        <v>1464</v>
      </c>
      <c r="Q9046" s="30" t="s">
        <v>2567</v>
      </c>
      <c r="R9046" s="33" t="s">
        <v>3474</v>
      </c>
      <c r="S9046">
        <v>35</v>
      </c>
      <c r="T9046" s="1" t="s">
        <v>5416</v>
      </c>
      <c r="U9046" s="1" t="str">
        <f>HYPERLINK("http://ictvonline.org/taxonomy/p/taxonomy-history?taxnode_id=202104588","ICTVonline=202104588")</f>
        <v>ICTVonline=202104588</v>
      </c>
    </row>
    <row r="9047" spans="1:21" x14ac:dyDescent="0.2">
      <c r="A9047" s="3">
        <v>9046</v>
      </c>
      <c r="B9047" s="1" t="s">
        <v>4226</v>
      </c>
      <c r="D9047" s="1" t="s">
        <v>5412</v>
      </c>
      <c r="F9047" s="1" t="s">
        <v>5637</v>
      </c>
      <c r="H9047" s="1" t="s">
        <v>5747</v>
      </c>
      <c r="J9047" s="1" t="s">
        <v>5748</v>
      </c>
      <c r="L9047" s="1" t="s">
        <v>460</v>
      </c>
      <c r="N9047" s="1" t="s">
        <v>567</v>
      </c>
      <c r="P9047" s="1" t="s">
        <v>1465</v>
      </c>
      <c r="Q9047" s="30" t="s">
        <v>2567</v>
      </c>
      <c r="R9047" s="33" t="s">
        <v>3474</v>
      </c>
      <c r="S9047">
        <v>35</v>
      </c>
      <c r="T9047" s="1" t="s">
        <v>5416</v>
      </c>
      <c r="U9047" s="1" t="str">
        <f>HYPERLINK("http://ictvonline.org/taxonomy/p/taxonomy-history?taxnode_id=202104589","ICTVonline=202104589")</f>
        <v>ICTVonline=202104589</v>
      </c>
    </row>
    <row r="9048" spans="1:21" x14ac:dyDescent="0.2">
      <c r="A9048" s="3">
        <v>9047</v>
      </c>
      <c r="B9048" s="1" t="s">
        <v>4226</v>
      </c>
      <c r="D9048" s="1" t="s">
        <v>5412</v>
      </c>
      <c r="F9048" s="1" t="s">
        <v>5637</v>
      </c>
      <c r="H9048" s="1" t="s">
        <v>5747</v>
      </c>
      <c r="J9048" s="1" t="s">
        <v>5748</v>
      </c>
      <c r="L9048" s="1" t="s">
        <v>460</v>
      </c>
      <c r="N9048" s="1" t="s">
        <v>567</v>
      </c>
      <c r="P9048" s="1" t="s">
        <v>1466</v>
      </c>
      <c r="Q9048" s="30" t="s">
        <v>2567</v>
      </c>
      <c r="R9048" s="33" t="s">
        <v>3474</v>
      </c>
      <c r="S9048">
        <v>35</v>
      </c>
      <c r="T9048" s="1" t="s">
        <v>5416</v>
      </c>
      <c r="U9048" s="1" t="str">
        <f>HYPERLINK("http://ictvonline.org/taxonomy/p/taxonomy-history?taxnode_id=202104590","ICTVonline=202104590")</f>
        <v>ICTVonline=202104590</v>
      </c>
    </row>
    <row r="9049" spans="1:21" x14ac:dyDescent="0.2">
      <c r="A9049" s="3">
        <v>9048</v>
      </c>
      <c r="B9049" s="1" t="s">
        <v>4226</v>
      </c>
      <c r="D9049" s="1" t="s">
        <v>5412</v>
      </c>
      <c r="F9049" s="1" t="s">
        <v>5637</v>
      </c>
      <c r="H9049" s="1" t="s">
        <v>5747</v>
      </c>
      <c r="J9049" s="1" t="s">
        <v>5748</v>
      </c>
      <c r="L9049" s="1" t="s">
        <v>460</v>
      </c>
      <c r="N9049" s="1" t="s">
        <v>567</v>
      </c>
      <c r="P9049" s="1" t="s">
        <v>3023</v>
      </c>
      <c r="Q9049" s="30" t="s">
        <v>2567</v>
      </c>
      <c r="R9049" s="33" t="s">
        <v>3474</v>
      </c>
      <c r="S9049">
        <v>35</v>
      </c>
      <c r="T9049" s="1" t="s">
        <v>5416</v>
      </c>
      <c r="U9049" s="1" t="str">
        <f>HYPERLINK("http://ictvonline.org/taxonomy/p/taxonomy-history?taxnode_id=202104591","ICTVonline=202104591")</f>
        <v>ICTVonline=202104591</v>
      </c>
    </row>
    <row r="9050" spans="1:21" x14ac:dyDescent="0.2">
      <c r="A9050" s="3">
        <v>9049</v>
      </c>
      <c r="B9050" s="1" t="s">
        <v>4226</v>
      </c>
      <c r="D9050" s="1" t="s">
        <v>5412</v>
      </c>
      <c r="F9050" s="1" t="s">
        <v>5637</v>
      </c>
      <c r="H9050" s="1" t="s">
        <v>5747</v>
      </c>
      <c r="J9050" s="1" t="s">
        <v>5748</v>
      </c>
      <c r="L9050" s="1" t="s">
        <v>460</v>
      </c>
      <c r="N9050" s="1" t="s">
        <v>567</v>
      </c>
      <c r="P9050" s="1" t="s">
        <v>1467</v>
      </c>
      <c r="Q9050" s="30" t="s">
        <v>2567</v>
      </c>
      <c r="R9050" s="33" t="s">
        <v>3474</v>
      </c>
      <c r="S9050">
        <v>35</v>
      </c>
      <c r="T9050" s="1" t="s">
        <v>5416</v>
      </c>
      <c r="U9050" s="1" t="str">
        <f>HYPERLINK("http://ictvonline.org/taxonomy/p/taxonomy-history?taxnode_id=202104592","ICTVonline=202104592")</f>
        <v>ICTVonline=202104592</v>
      </c>
    </row>
    <row r="9051" spans="1:21" x14ac:dyDescent="0.2">
      <c r="A9051" s="3">
        <v>9050</v>
      </c>
      <c r="B9051" s="1" t="s">
        <v>4226</v>
      </c>
      <c r="D9051" s="1" t="s">
        <v>5412</v>
      </c>
      <c r="F9051" s="1" t="s">
        <v>5637</v>
      </c>
      <c r="H9051" s="1" t="s">
        <v>5747</v>
      </c>
      <c r="J9051" s="1" t="s">
        <v>5748</v>
      </c>
      <c r="L9051" s="1" t="s">
        <v>460</v>
      </c>
      <c r="N9051" s="1" t="s">
        <v>567</v>
      </c>
      <c r="P9051" s="1" t="s">
        <v>1468</v>
      </c>
      <c r="Q9051" s="30" t="s">
        <v>2567</v>
      </c>
      <c r="R9051" s="33" t="s">
        <v>3474</v>
      </c>
      <c r="S9051">
        <v>35</v>
      </c>
      <c r="T9051" s="1" t="s">
        <v>5416</v>
      </c>
      <c r="U9051" s="1" t="str">
        <f>HYPERLINK("http://ictvonline.org/taxonomy/p/taxonomy-history?taxnode_id=202104593","ICTVonline=202104593")</f>
        <v>ICTVonline=202104593</v>
      </c>
    </row>
    <row r="9052" spans="1:21" x14ac:dyDescent="0.2">
      <c r="A9052" s="3">
        <v>9051</v>
      </c>
      <c r="B9052" s="1" t="s">
        <v>4226</v>
      </c>
      <c r="D9052" s="1" t="s">
        <v>5412</v>
      </c>
      <c r="F9052" s="1" t="s">
        <v>5637</v>
      </c>
      <c r="H9052" s="1" t="s">
        <v>5747</v>
      </c>
      <c r="J9052" s="1" t="s">
        <v>5748</v>
      </c>
      <c r="L9052" s="1" t="s">
        <v>460</v>
      </c>
      <c r="N9052" s="1" t="s">
        <v>567</v>
      </c>
      <c r="P9052" s="1" t="s">
        <v>2001</v>
      </c>
      <c r="Q9052" s="30" t="s">
        <v>2567</v>
      </c>
      <c r="R9052" s="33" t="s">
        <v>3474</v>
      </c>
      <c r="S9052">
        <v>35</v>
      </c>
      <c r="T9052" s="1" t="s">
        <v>5416</v>
      </c>
      <c r="U9052" s="1" t="str">
        <f>HYPERLINK("http://ictvonline.org/taxonomy/p/taxonomy-history?taxnode_id=202104594","ICTVonline=202104594")</f>
        <v>ICTVonline=202104594</v>
      </c>
    </row>
    <row r="9053" spans="1:21" x14ac:dyDescent="0.2">
      <c r="A9053" s="3">
        <v>9052</v>
      </c>
      <c r="B9053" s="1" t="s">
        <v>4226</v>
      </c>
      <c r="D9053" s="1" t="s">
        <v>5412</v>
      </c>
      <c r="F9053" s="1" t="s">
        <v>5637</v>
      </c>
      <c r="H9053" s="1" t="s">
        <v>5747</v>
      </c>
      <c r="J9053" s="1" t="s">
        <v>5748</v>
      </c>
      <c r="L9053" s="1" t="s">
        <v>460</v>
      </c>
      <c r="N9053" s="1" t="s">
        <v>567</v>
      </c>
      <c r="P9053" s="1" t="s">
        <v>1469</v>
      </c>
      <c r="Q9053" s="30" t="s">
        <v>2567</v>
      </c>
      <c r="R9053" s="33" t="s">
        <v>3474</v>
      </c>
      <c r="S9053">
        <v>35</v>
      </c>
      <c r="T9053" s="1" t="s">
        <v>5416</v>
      </c>
      <c r="U9053" s="1" t="str">
        <f>HYPERLINK("http://ictvonline.org/taxonomy/p/taxonomy-history?taxnode_id=202104595","ICTVonline=202104595")</f>
        <v>ICTVonline=202104595</v>
      </c>
    </row>
    <row r="9054" spans="1:21" x14ac:dyDescent="0.2">
      <c r="A9054" s="3">
        <v>9053</v>
      </c>
      <c r="B9054" s="1" t="s">
        <v>4226</v>
      </c>
      <c r="D9054" s="1" t="s">
        <v>5412</v>
      </c>
      <c r="F9054" s="1" t="s">
        <v>5637</v>
      </c>
      <c r="H9054" s="1" t="s">
        <v>5747</v>
      </c>
      <c r="J9054" s="1" t="s">
        <v>5748</v>
      </c>
      <c r="L9054" s="1" t="s">
        <v>460</v>
      </c>
      <c r="N9054" s="1" t="s">
        <v>567</v>
      </c>
      <c r="P9054" s="1" t="s">
        <v>1470</v>
      </c>
      <c r="Q9054" s="30" t="s">
        <v>2567</v>
      </c>
      <c r="R9054" s="33" t="s">
        <v>3474</v>
      </c>
      <c r="S9054">
        <v>35</v>
      </c>
      <c r="T9054" s="1" t="s">
        <v>5416</v>
      </c>
      <c r="U9054" s="1" t="str">
        <f>HYPERLINK("http://ictvonline.org/taxonomy/p/taxonomy-history?taxnode_id=202104596","ICTVonline=202104596")</f>
        <v>ICTVonline=202104596</v>
      </c>
    </row>
    <row r="9055" spans="1:21" x14ac:dyDescent="0.2">
      <c r="A9055" s="3">
        <v>9054</v>
      </c>
      <c r="B9055" s="1" t="s">
        <v>4226</v>
      </c>
      <c r="D9055" s="1" t="s">
        <v>5412</v>
      </c>
      <c r="F9055" s="1" t="s">
        <v>5637</v>
      </c>
      <c r="H9055" s="1" t="s">
        <v>5747</v>
      </c>
      <c r="J9055" s="1" t="s">
        <v>5748</v>
      </c>
      <c r="L9055" s="1" t="s">
        <v>460</v>
      </c>
      <c r="N9055" s="1" t="s">
        <v>567</v>
      </c>
      <c r="P9055" s="1" t="s">
        <v>1471</v>
      </c>
      <c r="Q9055" s="30" t="s">
        <v>2567</v>
      </c>
      <c r="R9055" s="33" t="s">
        <v>3474</v>
      </c>
      <c r="S9055">
        <v>35</v>
      </c>
      <c r="T9055" s="1" t="s">
        <v>5416</v>
      </c>
      <c r="U9055" s="1" t="str">
        <f>HYPERLINK("http://ictvonline.org/taxonomy/p/taxonomy-history?taxnode_id=202104597","ICTVonline=202104597")</f>
        <v>ICTVonline=202104597</v>
      </c>
    </row>
    <row r="9056" spans="1:21" x14ac:dyDescent="0.2">
      <c r="A9056" s="3">
        <v>9055</v>
      </c>
      <c r="B9056" s="1" t="s">
        <v>4226</v>
      </c>
      <c r="D9056" s="1" t="s">
        <v>5412</v>
      </c>
      <c r="F9056" s="1" t="s">
        <v>5637</v>
      </c>
      <c r="H9056" s="1" t="s">
        <v>5747</v>
      </c>
      <c r="J9056" s="1" t="s">
        <v>5748</v>
      </c>
      <c r="L9056" s="1" t="s">
        <v>460</v>
      </c>
      <c r="N9056" s="1" t="s">
        <v>567</v>
      </c>
      <c r="P9056" s="1" t="s">
        <v>1472</v>
      </c>
      <c r="Q9056" s="30" t="s">
        <v>2567</v>
      </c>
      <c r="R9056" s="33" t="s">
        <v>3474</v>
      </c>
      <c r="S9056">
        <v>35</v>
      </c>
      <c r="T9056" s="1" t="s">
        <v>5416</v>
      </c>
      <c r="U9056" s="1" t="str">
        <f>HYPERLINK("http://ictvonline.org/taxonomy/p/taxonomy-history?taxnode_id=202104598","ICTVonline=202104598")</f>
        <v>ICTVonline=202104598</v>
      </c>
    </row>
    <row r="9057" spans="1:21" x14ac:dyDescent="0.2">
      <c r="A9057" s="3">
        <v>9056</v>
      </c>
      <c r="B9057" s="1" t="s">
        <v>4226</v>
      </c>
      <c r="D9057" s="1" t="s">
        <v>5412</v>
      </c>
      <c r="F9057" s="1" t="s">
        <v>5637</v>
      </c>
      <c r="H9057" s="1" t="s">
        <v>5747</v>
      </c>
      <c r="J9057" s="1" t="s">
        <v>5748</v>
      </c>
      <c r="L9057" s="1" t="s">
        <v>460</v>
      </c>
      <c r="N9057" s="1" t="s">
        <v>567</v>
      </c>
      <c r="P9057" s="1" t="s">
        <v>1958</v>
      </c>
      <c r="Q9057" s="30" t="s">
        <v>2567</v>
      </c>
      <c r="R9057" s="33" t="s">
        <v>3474</v>
      </c>
      <c r="S9057">
        <v>35</v>
      </c>
      <c r="T9057" s="1" t="s">
        <v>5416</v>
      </c>
      <c r="U9057" s="1" t="str">
        <f>HYPERLINK("http://ictvonline.org/taxonomy/p/taxonomy-history?taxnode_id=202104599","ICTVonline=202104599")</f>
        <v>ICTVonline=202104599</v>
      </c>
    </row>
    <row r="9058" spans="1:21" x14ac:dyDescent="0.2">
      <c r="A9058" s="3">
        <v>9057</v>
      </c>
      <c r="B9058" s="1" t="s">
        <v>4226</v>
      </c>
      <c r="D9058" s="1" t="s">
        <v>5412</v>
      </c>
      <c r="F9058" s="1" t="s">
        <v>5637</v>
      </c>
      <c r="H9058" s="1" t="s">
        <v>5747</v>
      </c>
      <c r="J9058" s="1" t="s">
        <v>5748</v>
      </c>
      <c r="L9058" s="1" t="s">
        <v>460</v>
      </c>
      <c r="N9058" s="1" t="s">
        <v>567</v>
      </c>
      <c r="P9058" s="1" t="s">
        <v>1959</v>
      </c>
      <c r="Q9058" s="30" t="s">
        <v>2567</v>
      </c>
      <c r="R9058" s="33" t="s">
        <v>3474</v>
      </c>
      <c r="S9058">
        <v>35</v>
      </c>
      <c r="T9058" s="1" t="s">
        <v>5416</v>
      </c>
      <c r="U9058" s="1" t="str">
        <f>HYPERLINK("http://ictvonline.org/taxonomy/p/taxonomy-history?taxnode_id=202104600","ICTVonline=202104600")</f>
        <v>ICTVonline=202104600</v>
      </c>
    </row>
    <row r="9059" spans="1:21" x14ac:dyDescent="0.2">
      <c r="A9059" s="3">
        <v>9058</v>
      </c>
      <c r="B9059" s="1" t="s">
        <v>4226</v>
      </c>
      <c r="D9059" s="1" t="s">
        <v>5412</v>
      </c>
      <c r="F9059" s="1" t="s">
        <v>5637</v>
      </c>
      <c r="H9059" s="1" t="s">
        <v>5747</v>
      </c>
      <c r="J9059" s="1" t="s">
        <v>5748</v>
      </c>
      <c r="L9059" s="1" t="s">
        <v>460</v>
      </c>
      <c r="N9059" s="1" t="s">
        <v>567</v>
      </c>
      <c r="P9059" s="1" t="s">
        <v>1960</v>
      </c>
      <c r="Q9059" s="30" t="s">
        <v>2567</v>
      </c>
      <c r="R9059" s="33" t="s">
        <v>3474</v>
      </c>
      <c r="S9059">
        <v>35</v>
      </c>
      <c r="T9059" s="1" t="s">
        <v>5416</v>
      </c>
      <c r="U9059" s="1" t="str">
        <f>HYPERLINK("http://ictvonline.org/taxonomy/p/taxonomy-history?taxnode_id=202104601","ICTVonline=202104601")</f>
        <v>ICTVonline=202104601</v>
      </c>
    </row>
    <row r="9060" spans="1:21" x14ac:dyDescent="0.2">
      <c r="A9060" s="3">
        <v>9059</v>
      </c>
      <c r="B9060" s="1" t="s">
        <v>4226</v>
      </c>
      <c r="D9060" s="1" t="s">
        <v>5412</v>
      </c>
      <c r="F9060" s="1" t="s">
        <v>5637</v>
      </c>
      <c r="H9060" s="1" t="s">
        <v>5747</v>
      </c>
      <c r="J9060" s="1" t="s">
        <v>5748</v>
      </c>
      <c r="L9060" s="1" t="s">
        <v>460</v>
      </c>
      <c r="N9060" s="1" t="s">
        <v>567</v>
      </c>
      <c r="P9060" s="1" t="s">
        <v>8338</v>
      </c>
      <c r="Q9060" s="30" t="s">
        <v>2567</v>
      </c>
      <c r="R9060" s="33" t="s">
        <v>3472</v>
      </c>
      <c r="S9060">
        <v>36</v>
      </c>
      <c r="T9060" s="1" t="s">
        <v>8337</v>
      </c>
      <c r="U9060" s="1" t="str">
        <f>HYPERLINK("http://ictvonline.org/taxonomy/p/taxonomy-history?taxnode_id=202109670","ICTVonline=202109670")</f>
        <v>ICTVonline=202109670</v>
      </c>
    </row>
    <row r="9061" spans="1:21" x14ac:dyDescent="0.2">
      <c r="A9061" s="3">
        <v>9060</v>
      </c>
      <c r="B9061" s="1" t="s">
        <v>4226</v>
      </c>
      <c r="D9061" s="1" t="s">
        <v>5412</v>
      </c>
      <c r="F9061" s="1" t="s">
        <v>5637</v>
      </c>
      <c r="H9061" s="1" t="s">
        <v>5747</v>
      </c>
      <c r="J9061" s="1" t="s">
        <v>5748</v>
      </c>
      <c r="L9061" s="1" t="s">
        <v>460</v>
      </c>
      <c r="N9061" s="1" t="s">
        <v>567</v>
      </c>
      <c r="P9061" s="1" t="s">
        <v>1961</v>
      </c>
      <c r="Q9061" s="30" t="s">
        <v>2567</v>
      </c>
      <c r="R9061" s="33" t="s">
        <v>3474</v>
      </c>
      <c r="S9061">
        <v>35</v>
      </c>
      <c r="T9061" s="1" t="s">
        <v>5416</v>
      </c>
      <c r="U9061" s="1" t="str">
        <f>HYPERLINK("http://ictvonline.org/taxonomy/p/taxonomy-history?taxnode_id=202104602","ICTVonline=202104602")</f>
        <v>ICTVonline=202104602</v>
      </c>
    </row>
    <row r="9062" spans="1:21" x14ac:dyDescent="0.2">
      <c r="A9062" s="3">
        <v>9061</v>
      </c>
      <c r="B9062" s="1" t="s">
        <v>4226</v>
      </c>
      <c r="D9062" s="1" t="s">
        <v>5412</v>
      </c>
      <c r="F9062" s="1" t="s">
        <v>5637</v>
      </c>
      <c r="H9062" s="1" t="s">
        <v>5747</v>
      </c>
      <c r="J9062" s="1" t="s">
        <v>5748</v>
      </c>
      <c r="L9062" s="1" t="s">
        <v>460</v>
      </c>
      <c r="N9062" s="1" t="s">
        <v>567</v>
      </c>
      <c r="P9062" s="1" t="s">
        <v>4483</v>
      </c>
      <c r="Q9062" s="30" t="s">
        <v>2567</v>
      </c>
      <c r="R9062" s="33" t="s">
        <v>3474</v>
      </c>
      <c r="S9062">
        <v>35</v>
      </c>
      <c r="T9062" s="1" t="s">
        <v>5416</v>
      </c>
      <c r="U9062" s="1" t="str">
        <f>HYPERLINK("http://ictvonline.org/taxonomy/p/taxonomy-history?taxnode_id=202106672","ICTVonline=202106672")</f>
        <v>ICTVonline=202106672</v>
      </c>
    </row>
    <row r="9063" spans="1:21" x14ac:dyDescent="0.2">
      <c r="A9063" s="3">
        <v>9062</v>
      </c>
      <c r="B9063" s="1" t="s">
        <v>4226</v>
      </c>
      <c r="D9063" s="1" t="s">
        <v>5412</v>
      </c>
      <c r="F9063" s="1" t="s">
        <v>5637</v>
      </c>
      <c r="H9063" s="1" t="s">
        <v>5747</v>
      </c>
      <c r="J9063" s="1" t="s">
        <v>5748</v>
      </c>
      <c r="L9063" s="1" t="s">
        <v>460</v>
      </c>
      <c r="N9063" s="1" t="s">
        <v>567</v>
      </c>
      <c r="P9063" s="1" t="s">
        <v>1962</v>
      </c>
      <c r="Q9063" s="30" t="s">
        <v>2567</v>
      </c>
      <c r="R9063" s="33" t="s">
        <v>3474</v>
      </c>
      <c r="S9063">
        <v>35</v>
      </c>
      <c r="T9063" s="1" t="s">
        <v>5416</v>
      </c>
      <c r="U9063" s="1" t="str">
        <f>HYPERLINK("http://ictvonline.org/taxonomy/p/taxonomy-history?taxnode_id=202104603","ICTVonline=202104603")</f>
        <v>ICTVonline=202104603</v>
      </c>
    </row>
    <row r="9064" spans="1:21" x14ac:dyDescent="0.2">
      <c r="A9064" s="3">
        <v>9063</v>
      </c>
      <c r="B9064" s="1" t="s">
        <v>4226</v>
      </c>
      <c r="D9064" s="1" t="s">
        <v>5412</v>
      </c>
      <c r="F9064" s="1" t="s">
        <v>5637</v>
      </c>
      <c r="H9064" s="1" t="s">
        <v>5747</v>
      </c>
      <c r="J9064" s="1" t="s">
        <v>5748</v>
      </c>
      <c r="L9064" s="1" t="s">
        <v>460</v>
      </c>
      <c r="N9064" s="1" t="s">
        <v>567</v>
      </c>
      <c r="P9064" s="1" t="s">
        <v>2525</v>
      </c>
      <c r="Q9064" s="30" t="s">
        <v>2567</v>
      </c>
      <c r="R9064" s="33" t="s">
        <v>3474</v>
      </c>
      <c r="S9064">
        <v>35</v>
      </c>
      <c r="T9064" s="1" t="s">
        <v>5416</v>
      </c>
      <c r="U9064" s="1" t="str">
        <f>HYPERLINK("http://ictvonline.org/taxonomy/p/taxonomy-history?taxnode_id=202104604","ICTVonline=202104604")</f>
        <v>ICTVonline=202104604</v>
      </c>
    </row>
    <row r="9065" spans="1:21" x14ac:dyDescent="0.2">
      <c r="A9065" s="3">
        <v>9064</v>
      </c>
      <c r="B9065" s="1" t="s">
        <v>4226</v>
      </c>
      <c r="D9065" s="1" t="s">
        <v>5412</v>
      </c>
      <c r="F9065" s="1" t="s">
        <v>5637</v>
      </c>
      <c r="H9065" s="1" t="s">
        <v>5747</v>
      </c>
      <c r="J9065" s="1" t="s">
        <v>5748</v>
      </c>
      <c r="L9065" s="1" t="s">
        <v>460</v>
      </c>
      <c r="N9065" s="1" t="s">
        <v>567</v>
      </c>
      <c r="P9065" s="1" t="s">
        <v>1963</v>
      </c>
      <c r="Q9065" s="30" t="s">
        <v>2567</v>
      </c>
      <c r="R9065" s="33" t="s">
        <v>3474</v>
      </c>
      <c r="S9065">
        <v>35</v>
      </c>
      <c r="T9065" s="1" t="s">
        <v>5416</v>
      </c>
      <c r="U9065" s="1" t="str">
        <f>HYPERLINK("http://ictvonline.org/taxonomy/p/taxonomy-history?taxnode_id=202104605","ICTVonline=202104605")</f>
        <v>ICTVonline=202104605</v>
      </c>
    </row>
    <row r="9066" spans="1:21" x14ac:dyDescent="0.2">
      <c r="A9066" s="3">
        <v>9065</v>
      </c>
      <c r="B9066" s="1" t="s">
        <v>4226</v>
      </c>
      <c r="D9066" s="1" t="s">
        <v>5412</v>
      </c>
      <c r="F9066" s="1" t="s">
        <v>5637</v>
      </c>
      <c r="H9066" s="1" t="s">
        <v>5747</v>
      </c>
      <c r="J9066" s="1" t="s">
        <v>5748</v>
      </c>
      <c r="L9066" s="1" t="s">
        <v>460</v>
      </c>
      <c r="N9066" s="1" t="s">
        <v>567</v>
      </c>
      <c r="P9066" s="1" t="s">
        <v>3945</v>
      </c>
      <c r="Q9066" s="30" t="s">
        <v>2567</v>
      </c>
      <c r="R9066" s="33" t="s">
        <v>3474</v>
      </c>
      <c r="S9066">
        <v>35</v>
      </c>
      <c r="T9066" s="1" t="s">
        <v>5416</v>
      </c>
      <c r="U9066" s="1" t="str">
        <f>HYPERLINK("http://ictvonline.org/taxonomy/p/taxonomy-history?taxnode_id=202105920","ICTVonline=202105920")</f>
        <v>ICTVonline=202105920</v>
      </c>
    </row>
    <row r="9067" spans="1:21" x14ac:dyDescent="0.2">
      <c r="A9067" s="3">
        <v>9066</v>
      </c>
      <c r="B9067" s="1" t="s">
        <v>4226</v>
      </c>
      <c r="D9067" s="1" t="s">
        <v>5412</v>
      </c>
      <c r="F9067" s="1" t="s">
        <v>5637</v>
      </c>
      <c r="H9067" s="1" t="s">
        <v>5747</v>
      </c>
      <c r="J9067" s="1" t="s">
        <v>5748</v>
      </c>
      <c r="L9067" s="1" t="s">
        <v>460</v>
      </c>
      <c r="N9067" s="1" t="s">
        <v>567</v>
      </c>
      <c r="P9067" s="1" t="s">
        <v>1964</v>
      </c>
      <c r="Q9067" s="30" t="s">
        <v>2567</v>
      </c>
      <c r="R9067" s="33" t="s">
        <v>3474</v>
      </c>
      <c r="S9067">
        <v>35</v>
      </c>
      <c r="T9067" s="1" t="s">
        <v>5416</v>
      </c>
      <c r="U9067" s="1" t="str">
        <f>HYPERLINK("http://ictvonline.org/taxonomy/p/taxonomy-history?taxnode_id=202104606","ICTVonline=202104606")</f>
        <v>ICTVonline=202104606</v>
      </c>
    </row>
    <row r="9068" spans="1:21" x14ac:dyDescent="0.2">
      <c r="A9068" s="3">
        <v>9067</v>
      </c>
      <c r="B9068" s="1" t="s">
        <v>4226</v>
      </c>
      <c r="D9068" s="1" t="s">
        <v>5412</v>
      </c>
      <c r="F9068" s="1" t="s">
        <v>5637</v>
      </c>
      <c r="H9068" s="1" t="s">
        <v>5747</v>
      </c>
      <c r="J9068" s="1" t="s">
        <v>5748</v>
      </c>
      <c r="L9068" s="1" t="s">
        <v>460</v>
      </c>
      <c r="N9068" s="1" t="s">
        <v>567</v>
      </c>
      <c r="P9068" s="1" t="s">
        <v>1965</v>
      </c>
      <c r="Q9068" s="30" t="s">
        <v>2567</v>
      </c>
      <c r="R9068" s="33" t="s">
        <v>3474</v>
      </c>
      <c r="S9068">
        <v>35</v>
      </c>
      <c r="T9068" s="1" t="s">
        <v>5416</v>
      </c>
      <c r="U9068" s="1" t="str">
        <f>HYPERLINK("http://ictvonline.org/taxonomy/p/taxonomy-history?taxnode_id=202104607","ICTVonline=202104607")</f>
        <v>ICTVonline=202104607</v>
      </c>
    </row>
    <row r="9069" spans="1:21" x14ac:dyDescent="0.2">
      <c r="A9069" s="3">
        <v>9068</v>
      </c>
      <c r="B9069" s="1" t="s">
        <v>4226</v>
      </c>
      <c r="D9069" s="1" t="s">
        <v>5412</v>
      </c>
      <c r="F9069" s="1" t="s">
        <v>5637</v>
      </c>
      <c r="H9069" s="1" t="s">
        <v>5747</v>
      </c>
      <c r="J9069" s="1" t="s">
        <v>5748</v>
      </c>
      <c r="L9069" s="1" t="s">
        <v>460</v>
      </c>
      <c r="N9069" s="1" t="s">
        <v>567</v>
      </c>
      <c r="P9069" s="1" t="s">
        <v>5758</v>
      </c>
      <c r="Q9069" s="30" t="s">
        <v>2567</v>
      </c>
      <c r="R9069" s="33" t="s">
        <v>3472</v>
      </c>
      <c r="S9069">
        <v>35</v>
      </c>
      <c r="T9069" s="1" t="s">
        <v>5759</v>
      </c>
      <c r="U9069" s="1" t="str">
        <f>HYPERLINK("http://ictvonline.org/taxonomy/p/taxonomy-history?taxnode_id=202107431","ICTVonline=202107431")</f>
        <v>ICTVonline=202107431</v>
      </c>
    </row>
    <row r="9070" spans="1:21" x14ac:dyDescent="0.2">
      <c r="A9070" s="3">
        <v>9069</v>
      </c>
      <c r="B9070" s="1" t="s">
        <v>4226</v>
      </c>
      <c r="D9070" s="1" t="s">
        <v>5412</v>
      </c>
      <c r="F9070" s="1" t="s">
        <v>5637</v>
      </c>
      <c r="H9070" s="1" t="s">
        <v>5747</v>
      </c>
      <c r="J9070" s="1" t="s">
        <v>5748</v>
      </c>
      <c r="L9070" s="1" t="s">
        <v>460</v>
      </c>
      <c r="N9070" s="1" t="s">
        <v>567</v>
      </c>
      <c r="P9070" s="1" t="s">
        <v>5760</v>
      </c>
      <c r="Q9070" s="30" t="s">
        <v>2567</v>
      </c>
      <c r="R9070" s="33" t="s">
        <v>3472</v>
      </c>
      <c r="S9070">
        <v>35</v>
      </c>
      <c r="T9070" s="1" t="s">
        <v>5759</v>
      </c>
      <c r="U9070" s="1" t="str">
        <f>HYPERLINK("http://ictvonline.org/taxonomy/p/taxonomy-history?taxnode_id=202107432","ICTVonline=202107432")</f>
        <v>ICTVonline=202107432</v>
      </c>
    </row>
    <row r="9071" spans="1:21" x14ac:dyDescent="0.2">
      <c r="A9071" s="3">
        <v>9070</v>
      </c>
      <c r="B9071" s="1" t="s">
        <v>4226</v>
      </c>
      <c r="D9071" s="1" t="s">
        <v>5412</v>
      </c>
      <c r="F9071" s="1" t="s">
        <v>5637</v>
      </c>
      <c r="H9071" s="1" t="s">
        <v>5747</v>
      </c>
      <c r="J9071" s="1" t="s">
        <v>5748</v>
      </c>
      <c r="L9071" s="1" t="s">
        <v>460</v>
      </c>
      <c r="N9071" s="1" t="s">
        <v>567</v>
      </c>
      <c r="P9071" s="1" t="s">
        <v>1966</v>
      </c>
      <c r="Q9071" s="30" t="s">
        <v>2567</v>
      </c>
      <c r="R9071" s="33" t="s">
        <v>3474</v>
      </c>
      <c r="S9071">
        <v>35</v>
      </c>
      <c r="T9071" s="1" t="s">
        <v>5416</v>
      </c>
      <c r="U9071" s="1" t="str">
        <f>HYPERLINK("http://ictvonline.org/taxonomy/p/taxonomy-history?taxnode_id=202104608","ICTVonline=202104608")</f>
        <v>ICTVonline=202104608</v>
      </c>
    </row>
    <row r="9072" spans="1:21" x14ac:dyDescent="0.2">
      <c r="A9072" s="3">
        <v>9071</v>
      </c>
      <c r="B9072" s="1" t="s">
        <v>4226</v>
      </c>
      <c r="D9072" s="1" t="s">
        <v>5412</v>
      </c>
      <c r="F9072" s="1" t="s">
        <v>5637</v>
      </c>
      <c r="H9072" s="1" t="s">
        <v>5747</v>
      </c>
      <c r="J9072" s="1" t="s">
        <v>5748</v>
      </c>
      <c r="L9072" s="1" t="s">
        <v>460</v>
      </c>
      <c r="N9072" s="1" t="s">
        <v>567</v>
      </c>
      <c r="P9072" s="1" t="s">
        <v>3024</v>
      </c>
      <c r="Q9072" s="30" t="s">
        <v>2567</v>
      </c>
      <c r="R9072" s="33" t="s">
        <v>3474</v>
      </c>
      <c r="S9072">
        <v>35</v>
      </c>
      <c r="T9072" s="1" t="s">
        <v>5416</v>
      </c>
      <c r="U9072" s="1" t="str">
        <f>HYPERLINK("http://ictvonline.org/taxonomy/p/taxonomy-history?taxnode_id=202104609","ICTVonline=202104609")</f>
        <v>ICTVonline=202104609</v>
      </c>
    </row>
    <row r="9073" spans="1:21" x14ac:dyDescent="0.2">
      <c r="A9073" s="3">
        <v>9072</v>
      </c>
      <c r="B9073" s="1" t="s">
        <v>4226</v>
      </c>
      <c r="D9073" s="1" t="s">
        <v>5412</v>
      </c>
      <c r="F9073" s="1" t="s">
        <v>5637</v>
      </c>
      <c r="H9073" s="1" t="s">
        <v>5747</v>
      </c>
      <c r="J9073" s="1" t="s">
        <v>5748</v>
      </c>
      <c r="L9073" s="1" t="s">
        <v>460</v>
      </c>
      <c r="N9073" s="1" t="s">
        <v>567</v>
      </c>
      <c r="P9073" s="1" t="s">
        <v>5761</v>
      </c>
      <c r="Q9073" s="30" t="s">
        <v>2567</v>
      </c>
      <c r="R9073" s="33" t="s">
        <v>3472</v>
      </c>
      <c r="S9073">
        <v>35</v>
      </c>
      <c r="T9073" s="1" t="s">
        <v>5759</v>
      </c>
      <c r="U9073" s="1" t="str">
        <f>HYPERLINK("http://ictvonline.org/taxonomy/p/taxonomy-history?taxnode_id=202107433","ICTVonline=202107433")</f>
        <v>ICTVonline=202107433</v>
      </c>
    </row>
    <row r="9074" spans="1:21" x14ac:dyDescent="0.2">
      <c r="A9074" s="3">
        <v>9073</v>
      </c>
      <c r="B9074" s="1" t="s">
        <v>4226</v>
      </c>
      <c r="D9074" s="1" t="s">
        <v>5412</v>
      </c>
      <c r="F9074" s="1" t="s">
        <v>5637</v>
      </c>
      <c r="H9074" s="1" t="s">
        <v>5747</v>
      </c>
      <c r="J9074" s="1" t="s">
        <v>5748</v>
      </c>
      <c r="L9074" s="1" t="s">
        <v>460</v>
      </c>
      <c r="N9074" s="1" t="s">
        <v>567</v>
      </c>
      <c r="P9074" s="1" t="s">
        <v>1967</v>
      </c>
      <c r="Q9074" s="30" t="s">
        <v>2567</v>
      </c>
      <c r="R9074" s="33" t="s">
        <v>3474</v>
      </c>
      <c r="S9074">
        <v>35</v>
      </c>
      <c r="T9074" s="1" t="s">
        <v>5416</v>
      </c>
      <c r="U9074" s="1" t="str">
        <f>HYPERLINK("http://ictvonline.org/taxonomy/p/taxonomy-history?taxnode_id=202104610","ICTVonline=202104610")</f>
        <v>ICTVonline=202104610</v>
      </c>
    </row>
    <row r="9075" spans="1:21" x14ac:dyDescent="0.2">
      <c r="A9075" s="3">
        <v>9074</v>
      </c>
      <c r="B9075" s="1" t="s">
        <v>4226</v>
      </c>
      <c r="D9075" s="1" t="s">
        <v>5412</v>
      </c>
      <c r="F9075" s="1" t="s">
        <v>5637</v>
      </c>
      <c r="H9075" s="1" t="s">
        <v>5747</v>
      </c>
      <c r="J9075" s="1" t="s">
        <v>5748</v>
      </c>
      <c r="L9075" s="1" t="s">
        <v>460</v>
      </c>
      <c r="N9075" s="1" t="s">
        <v>567</v>
      </c>
      <c r="P9075" s="1" t="s">
        <v>1968</v>
      </c>
      <c r="Q9075" s="30" t="s">
        <v>2567</v>
      </c>
      <c r="R9075" s="33" t="s">
        <v>3474</v>
      </c>
      <c r="S9075">
        <v>35</v>
      </c>
      <c r="T9075" s="1" t="s">
        <v>5416</v>
      </c>
      <c r="U9075" s="1" t="str">
        <f>HYPERLINK("http://ictvonline.org/taxonomy/p/taxonomy-history?taxnode_id=202104611","ICTVonline=202104611")</f>
        <v>ICTVonline=202104611</v>
      </c>
    </row>
    <row r="9076" spans="1:21" x14ac:dyDescent="0.2">
      <c r="A9076" s="3">
        <v>9075</v>
      </c>
      <c r="B9076" s="1" t="s">
        <v>4226</v>
      </c>
      <c r="D9076" s="1" t="s">
        <v>5412</v>
      </c>
      <c r="F9076" s="1" t="s">
        <v>5637</v>
      </c>
      <c r="H9076" s="1" t="s">
        <v>5747</v>
      </c>
      <c r="J9076" s="1" t="s">
        <v>5748</v>
      </c>
      <c r="L9076" s="1" t="s">
        <v>460</v>
      </c>
      <c r="N9076" s="1" t="s">
        <v>567</v>
      </c>
      <c r="P9076" s="1" t="s">
        <v>1969</v>
      </c>
      <c r="Q9076" s="30" t="s">
        <v>2567</v>
      </c>
      <c r="R9076" s="33" t="s">
        <v>3474</v>
      </c>
      <c r="S9076">
        <v>35</v>
      </c>
      <c r="T9076" s="1" t="s">
        <v>5416</v>
      </c>
      <c r="U9076" s="1" t="str">
        <f>HYPERLINK("http://ictvonline.org/taxonomy/p/taxonomy-history?taxnode_id=202104612","ICTVonline=202104612")</f>
        <v>ICTVonline=202104612</v>
      </c>
    </row>
    <row r="9077" spans="1:21" x14ac:dyDescent="0.2">
      <c r="A9077" s="3">
        <v>9076</v>
      </c>
      <c r="B9077" s="1" t="s">
        <v>4226</v>
      </c>
      <c r="D9077" s="1" t="s">
        <v>5412</v>
      </c>
      <c r="F9077" s="1" t="s">
        <v>5637</v>
      </c>
      <c r="H9077" s="1" t="s">
        <v>5747</v>
      </c>
      <c r="J9077" s="1" t="s">
        <v>5748</v>
      </c>
      <c r="L9077" s="1" t="s">
        <v>460</v>
      </c>
      <c r="N9077" s="1" t="s">
        <v>567</v>
      </c>
      <c r="P9077" s="1" t="s">
        <v>1970</v>
      </c>
      <c r="Q9077" s="30" t="s">
        <v>2567</v>
      </c>
      <c r="R9077" s="33" t="s">
        <v>3474</v>
      </c>
      <c r="S9077">
        <v>35</v>
      </c>
      <c r="T9077" s="1" t="s">
        <v>5416</v>
      </c>
      <c r="U9077" s="1" t="str">
        <f>HYPERLINK("http://ictvonline.org/taxonomy/p/taxonomy-history?taxnode_id=202104613","ICTVonline=202104613")</f>
        <v>ICTVonline=202104613</v>
      </c>
    </row>
    <row r="9078" spans="1:21" x14ac:dyDescent="0.2">
      <c r="A9078" s="3">
        <v>9077</v>
      </c>
      <c r="B9078" s="1" t="s">
        <v>4226</v>
      </c>
      <c r="D9078" s="1" t="s">
        <v>5412</v>
      </c>
      <c r="F9078" s="1" t="s">
        <v>5637</v>
      </c>
      <c r="H9078" s="1" t="s">
        <v>5747</v>
      </c>
      <c r="J9078" s="1" t="s">
        <v>5748</v>
      </c>
      <c r="L9078" s="1" t="s">
        <v>460</v>
      </c>
      <c r="N9078" s="1" t="s">
        <v>567</v>
      </c>
      <c r="P9078" s="1" t="s">
        <v>1971</v>
      </c>
      <c r="Q9078" s="30" t="s">
        <v>2567</v>
      </c>
      <c r="R9078" s="33" t="s">
        <v>3474</v>
      </c>
      <c r="S9078">
        <v>35</v>
      </c>
      <c r="T9078" s="1" t="s">
        <v>5416</v>
      </c>
      <c r="U9078" s="1" t="str">
        <f>HYPERLINK("http://ictvonline.org/taxonomy/p/taxonomy-history?taxnode_id=202104614","ICTVonline=202104614")</f>
        <v>ICTVonline=202104614</v>
      </c>
    </row>
    <row r="9079" spans="1:21" x14ac:dyDescent="0.2">
      <c r="A9079" s="3">
        <v>9078</v>
      </c>
      <c r="B9079" s="1" t="s">
        <v>4226</v>
      </c>
      <c r="D9079" s="1" t="s">
        <v>5412</v>
      </c>
      <c r="F9079" s="1" t="s">
        <v>5637</v>
      </c>
      <c r="H9079" s="1" t="s">
        <v>5747</v>
      </c>
      <c r="J9079" s="1" t="s">
        <v>5748</v>
      </c>
      <c r="L9079" s="1" t="s">
        <v>460</v>
      </c>
      <c r="N9079" s="1" t="s">
        <v>567</v>
      </c>
      <c r="P9079" s="1" t="s">
        <v>1972</v>
      </c>
      <c r="Q9079" s="30" t="s">
        <v>2567</v>
      </c>
      <c r="R9079" s="33" t="s">
        <v>3474</v>
      </c>
      <c r="S9079">
        <v>35</v>
      </c>
      <c r="T9079" s="1" t="s">
        <v>5416</v>
      </c>
      <c r="U9079" s="1" t="str">
        <f>HYPERLINK("http://ictvonline.org/taxonomy/p/taxonomy-history?taxnode_id=202104615","ICTVonline=202104615")</f>
        <v>ICTVonline=202104615</v>
      </c>
    </row>
    <row r="9080" spans="1:21" x14ac:dyDescent="0.2">
      <c r="A9080" s="3">
        <v>9079</v>
      </c>
      <c r="B9080" s="1" t="s">
        <v>4226</v>
      </c>
      <c r="D9080" s="1" t="s">
        <v>5412</v>
      </c>
      <c r="F9080" s="1" t="s">
        <v>5637</v>
      </c>
      <c r="H9080" s="1" t="s">
        <v>5747</v>
      </c>
      <c r="J9080" s="1" t="s">
        <v>5748</v>
      </c>
      <c r="L9080" s="1" t="s">
        <v>460</v>
      </c>
      <c r="N9080" s="1" t="s">
        <v>567</v>
      </c>
      <c r="P9080" s="1" t="s">
        <v>5762</v>
      </c>
      <c r="Q9080" s="30" t="s">
        <v>2567</v>
      </c>
      <c r="R9080" s="33" t="s">
        <v>3472</v>
      </c>
      <c r="S9080">
        <v>35</v>
      </c>
      <c r="T9080" s="1" t="s">
        <v>5759</v>
      </c>
      <c r="U9080" s="1" t="str">
        <f>HYPERLINK("http://ictvonline.org/taxonomy/p/taxonomy-history?taxnode_id=202107434","ICTVonline=202107434")</f>
        <v>ICTVonline=202107434</v>
      </c>
    </row>
    <row r="9081" spans="1:21" x14ac:dyDescent="0.2">
      <c r="A9081" s="3">
        <v>9080</v>
      </c>
      <c r="B9081" s="1" t="s">
        <v>4226</v>
      </c>
      <c r="D9081" s="1" t="s">
        <v>5412</v>
      </c>
      <c r="F9081" s="1" t="s">
        <v>5637</v>
      </c>
      <c r="H9081" s="1" t="s">
        <v>5747</v>
      </c>
      <c r="J9081" s="1" t="s">
        <v>5748</v>
      </c>
      <c r="L9081" s="1" t="s">
        <v>460</v>
      </c>
      <c r="N9081" s="1" t="s">
        <v>567</v>
      </c>
      <c r="P9081" s="1" t="s">
        <v>2526</v>
      </c>
      <c r="Q9081" s="30" t="s">
        <v>2567</v>
      </c>
      <c r="R9081" s="33" t="s">
        <v>3474</v>
      </c>
      <c r="S9081">
        <v>35</v>
      </c>
      <c r="T9081" s="1" t="s">
        <v>5416</v>
      </c>
      <c r="U9081" s="1" t="str">
        <f>HYPERLINK("http://ictvonline.org/taxonomy/p/taxonomy-history?taxnode_id=202104616","ICTVonline=202104616")</f>
        <v>ICTVonline=202104616</v>
      </c>
    </row>
    <row r="9082" spans="1:21" x14ac:dyDescent="0.2">
      <c r="A9082" s="3">
        <v>9081</v>
      </c>
      <c r="B9082" s="1" t="s">
        <v>4226</v>
      </c>
      <c r="D9082" s="1" t="s">
        <v>5412</v>
      </c>
      <c r="F9082" s="1" t="s">
        <v>5637</v>
      </c>
      <c r="H9082" s="1" t="s">
        <v>5747</v>
      </c>
      <c r="J9082" s="1" t="s">
        <v>5748</v>
      </c>
      <c r="L9082" s="1" t="s">
        <v>460</v>
      </c>
      <c r="N9082" s="1" t="s">
        <v>567</v>
      </c>
      <c r="P9082" s="1" t="s">
        <v>1978</v>
      </c>
      <c r="Q9082" s="30" t="s">
        <v>2567</v>
      </c>
      <c r="R9082" s="33" t="s">
        <v>3474</v>
      </c>
      <c r="S9082">
        <v>35</v>
      </c>
      <c r="T9082" s="1" t="s">
        <v>5416</v>
      </c>
      <c r="U9082" s="1" t="str">
        <f>HYPERLINK("http://ictvonline.org/taxonomy/p/taxonomy-history?taxnode_id=202104617","ICTVonline=202104617")</f>
        <v>ICTVonline=202104617</v>
      </c>
    </row>
    <row r="9083" spans="1:21" x14ac:dyDescent="0.2">
      <c r="A9083" s="3">
        <v>9082</v>
      </c>
      <c r="B9083" s="1" t="s">
        <v>4226</v>
      </c>
      <c r="D9083" s="1" t="s">
        <v>5412</v>
      </c>
      <c r="F9083" s="1" t="s">
        <v>5637</v>
      </c>
      <c r="H9083" s="1" t="s">
        <v>5747</v>
      </c>
      <c r="J9083" s="1" t="s">
        <v>5748</v>
      </c>
      <c r="L9083" s="1" t="s">
        <v>460</v>
      </c>
      <c r="N9083" s="1" t="s">
        <v>567</v>
      </c>
      <c r="P9083" s="1" t="s">
        <v>508</v>
      </c>
      <c r="Q9083" s="30" t="s">
        <v>2567</v>
      </c>
      <c r="R9083" s="33" t="s">
        <v>3474</v>
      </c>
      <c r="S9083">
        <v>35</v>
      </c>
      <c r="T9083" s="1" t="s">
        <v>5416</v>
      </c>
      <c r="U9083" s="1" t="str">
        <f>HYPERLINK("http://ictvonline.org/taxonomy/p/taxonomy-history?taxnode_id=202104618","ICTVonline=202104618")</f>
        <v>ICTVonline=202104618</v>
      </c>
    </row>
    <row r="9084" spans="1:21" x14ac:dyDescent="0.2">
      <c r="A9084" s="3">
        <v>9083</v>
      </c>
      <c r="B9084" s="1" t="s">
        <v>4226</v>
      </c>
      <c r="D9084" s="1" t="s">
        <v>5412</v>
      </c>
      <c r="F9084" s="1" t="s">
        <v>5637</v>
      </c>
      <c r="H9084" s="1" t="s">
        <v>5747</v>
      </c>
      <c r="J9084" s="1" t="s">
        <v>5748</v>
      </c>
      <c r="L9084" s="1" t="s">
        <v>460</v>
      </c>
      <c r="N9084" s="1" t="s">
        <v>567</v>
      </c>
      <c r="P9084" s="1" t="s">
        <v>509</v>
      </c>
      <c r="Q9084" s="30" t="s">
        <v>2567</v>
      </c>
      <c r="R9084" s="33" t="s">
        <v>3474</v>
      </c>
      <c r="S9084">
        <v>35</v>
      </c>
      <c r="T9084" s="1" t="s">
        <v>5416</v>
      </c>
      <c r="U9084" s="1" t="str">
        <f>HYPERLINK("http://ictvonline.org/taxonomy/p/taxonomy-history?taxnode_id=202104619","ICTVonline=202104619")</f>
        <v>ICTVonline=202104619</v>
      </c>
    </row>
    <row r="9085" spans="1:21" x14ac:dyDescent="0.2">
      <c r="A9085" s="3">
        <v>9084</v>
      </c>
      <c r="B9085" s="1" t="s">
        <v>4226</v>
      </c>
      <c r="D9085" s="1" t="s">
        <v>5412</v>
      </c>
      <c r="F9085" s="1" t="s">
        <v>5637</v>
      </c>
      <c r="H9085" s="1" t="s">
        <v>5747</v>
      </c>
      <c r="J9085" s="1" t="s">
        <v>5748</v>
      </c>
      <c r="L9085" s="1" t="s">
        <v>460</v>
      </c>
      <c r="N9085" s="1" t="s">
        <v>567</v>
      </c>
      <c r="P9085" s="1" t="s">
        <v>510</v>
      </c>
      <c r="Q9085" s="30" t="s">
        <v>2567</v>
      </c>
      <c r="R9085" s="33" t="s">
        <v>3474</v>
      </c>
      <c r="S9085">
        <v>35</v>
      </c>
      <c r="T9085" s="1" t="s">
        <v>5416</v>
      </c>
      <c r="U9085" s="1" t="str">
        <f>HYPERLINK("http://ictvonline.org/taxonomy/p/taxonomy-history?taxnode_id=202104620","ICTVonline=202104620")</f>
        <v>ICTVonline=202104620</v>
      </c>
    </row>
    <row r="9086" spans="1:21" x14ac:dyDescent="0.2">
      <c r="A9086" s="3">
        <v>9085</v>
      </c>
      <c r="B9086" s="1" t="s">
        <v>4226</v>
      </c>
      <c r="D9086" s="1" t="s">
        <v>5412</v>
      </c>
      <c r="F9086" s="1" t="s">
        <v>5637</v>
      </c>
      <c r="H9086" s="1" t="s">
        <v>5747</v>
      </c>
      <c r="J9086" s="1" t="s">
        <v>5748</v>
      </c>
      <c r="L9086" s="1" t="s">
        <v>460</v>
      </c>
      <c r="N9086" s="1" t="s">
        <v>567</v>
      </c>
      <c r="P9086" s="1" t="s">
        <v>511</v>
      </c>
      <c r="Q9086" s="30" t="s">
        <v>2567</v>
      </c>
      <c r="R9086" s="33" t="s">
        <v>3474</v>
      </c>
      <c r="S9086">
        <v>35</v>
      </c>
      <c r="T9086" s="1" t="s">
        <v>5416</v>
      </c>
      <c r="U9086" s="1" t="str">
        <f>HYPERLINK("http://ictvonline.org/taxonomy/p/taxonomy-history?taxnode_id=202104621","ICTVonline=202104621")</f>
        <v>ICTVonline=202104621</v>
      </c>
    </row>
    <row r="9087" spans="1:21" x14ac:dyDescent="0.2">
      <c r="A9087" s="3">
        <v>9086</v>
      </c>
      <c r="B9087" s="1" t="s">
        <v>4226</v>
      </c>
      <c r="D9087" s="1" t="s">
        <v>5412</v>
      </c>
      <c r="F9087" s="1" t="s">
        <v>5637</v>
      </c>
      <c r="H9087" s="1" t="s">
        <v>5747</v>
      </c>
      <c r="J9087" s="1" t="s">
        <v>5748</v>
      </c>
      <c r="L9087" s="1" t="s">
        <v>460</v>
      </c>
      <c r="N9087" s="1" t="s">
        <v>567</v>
      </c>
      <c r="P9087" s="1" t="s">
        <v>3946</v>
      </c>
      <c r="Q9087" s="30" t="s">
        <v>2567</v>
      </c>
      <c r="R9087" s="33" t="s">
        <v>3474</v>
      </c>
      <c r="S9087">
        <v>35</v>
      </c>
      <c r="T9087" s="1" t="s">
        <v>5416</v>
      </c>
      <c r="U9087" s="1" t="str">
        <f>HYPERLINK("http://ictvonline.org/taxonomy/p/taxonomy-history?taxnode_id=202105921","ICTVonline=202105921")</f>
        <v>ICTVonline=202105921</v>
      </c>
    </row>
    <row r="9088" spans="1:21" x14ac:dyDescent="0.2">
      <c r="A9088" s="3">
        <v>9087</v>
      </c>
      <c r="B9088" s="1" t="s">
        <v>4226</v>
      </c>
      <c r="D9088" s="1" t="s">
        <v>5412</v>
      </c>
      <c r="F9088" s="1" t="s">
        <v>5637</v>
      </c>
      <c r="H9088" s="1" t="s">
        <v>5747</v>
      </c>
      <c r="J9088" s="1" t="s">
        <v>5748</v>
      </c>
      <c r="L9088" s="1" t="s">
        <v>460</v>
      </c>
      <c r="N9088" s="1" t="s">
        <v>567</v>
      </c>
      <c r="P9088" s="1" t="s">
        <v>512</v>
      </c>
      <c r="Q9088" s="30" t="s">
        <v>2567</v>
      </c>
      <c r="R9088" s="33" t="s">
        <v>3474</v>
      </c>
      <c r="S9088">
        <v>35</v>
      </c>
      <c r="T9088" s="1" t="s">
        <v>5416</v>
      </c>
      <c r="U9088" s="1" t="str">
        <f>HYPERLINK("http://ictvonline.org/taxonomy/p/taxonomy-history?taxnode_id=202104622","ICTVonline=202104622")</f>
        <v>ICTVonline=202104622</v>
      </c>
    </row>
    <row r="9089" spans="1:21" x14ac:dyDescent="0.2">
      <c r="A9089" s="3">
        <v>9088</v>
      </c>
      <c r="B9089" s="1" t="s">
        <v>4226</v>
      </c>
      <c r="D9089" s="1" t="s">
        <v>5412</v>
      </c>
      <c r="F9089" s="1" t="s">
        <v>5637</v>
      </c>
      <c r="H9089" s="1" t="s">
        <v>5747</v>
      </c>
      <c r="J9089" s="1" t="s">
        <v>5748</v>
      </c>
      <c r="L9089" s="1" t="s">
        <v>460</v>
      </c>
      <c r="N9089" s="1" t="s">
        <v>567</v>
      </c>
      <c r="P9089" s="1" t="s">
        <v>513</v>
      </c>
      <c r="Q9089" s="30" t="s">
        <v>2567</v>
      </c>
      <c r="R9089" s="33" t="s">
        <v>3474</v>
      </c>
      <c r="S9089">
        <v>35</v>
      </c>
      <c r="T9089" s="1" t="s">
        <v>5416</v>
      </c>
      <c r="U9089" s="1" t="str">
        <f>HYPERLINK("http://ictvonline.org/taxonomy/p/taxonomy-history?taxnode_id=202104623","ICTVonline=202104623")</f>
        <v>ICTVonline=202104623</v>
      </c>
    </row>
    <row r="9090" spans="1:21" x14ac:dyDescent="0.2">
      <c r="A9090" s="3">
        <v>9089</v>
      </c>
      <c r="B9090" s="1" t="s">
        <v>4226</v>
      </c>
      <c r="D9090" s="1" t="s">
        <v>5412</v>
      </c>
      <c r="F9090" s="1" t="s">
        <v>5637</v>
      </c>
      <c r="H9090" s="1" t="s">
        <v>5747</v>
      </c>
      <c r="J9090" s="1" t="s">
        <v>5748</v>
      </c>
      <c r="L9090" s="1" t="s">
        <v>460</v>
      </c>
      <c r="N9090" s="1" t="s">
        <v>567</v>
      </c>
      <c r="P9090" s="1" t="s">
        <v>514</v>
      </c>
      <c r="Q9090" s="30" t="s">
        <v>2567</v>
      </c>
      <c r="R9090" s="33" t="s">
        <v>3474</v>
      </c>
      <c r="S9090">
        <v>35</v>
      </c>
      <c r="T9090" s="1" t="s">
        <v>5416</v>
      </c>
      <c r="U9090" s="1" t="str">
        <f>HYPERLINK("http://ictvonline.org/taxonomy/p/taxonomy-history?taxnode_id=202104624","ICTVonline=202104624")</f>
        <v>ICTVonline=202104624</v>
      </c>
    </row>
    <row r="9091" spans="1:21" x14ac:dyDescent="0.2">
      <c r="A9091" s="3">
        <v>9090</v>
      </c>
      <c r="B9091" s="1" t="s">
        <v>4226</v>
      </c>
      <c r="D9091" s="1" t="s">
        <v>5412</v>
      </c>
      <c r="F9091" s="1" t="s">
        <v>5637</v>
      </c>
      <c r="H9091" s="1" t="s">
        <v>5747</v>
      </c>
      <c r="J9091" s="1" t="s">
        <v>5748</v>
      </c>
      <c r="L9091" s="1" t="s">
        <v>460</v>
      </c>
      <c r="N9091" s="1" t="s">
        <v>567</v>
      </c>
      <c r="P9091" s="1" t="s">
        <v>515</v>
      </c>
      <c r="Q9091" s="30" t="s">
        <v>2567</v>
      </c>
      <c r="R9091" s="33" t="s">
        <v>3474</v>
      </c>
      <c r="S9091">
        <v>35</v>
      </c>
      <c r="T9091" s="1" t="s">
        <v>5416</v>
      </c>
      <c r="U9091" s="1" t="str">
        <f>HYPERLINK("http://ictvonline.org/taxonomy/p/taxonomy-history?taxnode_id=202104625","ICTVonline=202104625")</f>
        <v>ICTVonline=202104625</v>
      </c>
    </row>
    <row r="9092" spans="1:21" x14ac:dyDescent="0.2">
      <c r="A9092" s="3">
        <v>9091</v>
      </c>
      <c r="B9092" s="1" t="s">
        <v>4226</v>
      </c>
      <c r="D9092" s="1" t="s">
        <v>5412</v>
      </c>
      <c r="F9092" s="1" t="s">
        <v>5637</v>
      </c>
      <c r="H9092" s="1" t="s">
        <v>5747</v>
      </c>
      <c r="J9092" s="1" t="s">
        <v>5748</v>
      </c>
      <c r="L9092" s="1" t="s">
        <v>460</v>
      </c>
      <c r="N9092" s="1" t="s">
        <v>567</v>
      </c>
      <c r="P9092" s="1" t="s">
        <v>3378</v>
      </c>
      <c r="Q9092" s="30" t="s">
        <v>2567</v>
      </c>
      <c r="R9092" s="33" t="s">
        <v>3474</v>
      </c>
      <c r="S9092">
        <v>35</v>
      </c>
      <c r="T9092" s="1" t="s">
        <v>5416</v>
      </c>
      <c r="U9092" s="1" t="str">
        <f>HYPERLINK("http://ictvonline.org/taxonomy/p/taxonomy-history?taxnode_id=202104626","ICTVonline=202104626")</f>
        <v>ICTVonline=202104626</v>
      </c>
    </row>
    <row r="9093" spans="1:21" x14ac:dyDescent="0.2">
      <c r="A9093" s="3">
        <v>9092</v>
      </c>
      <c r="B9093" s="1" t="s">
        <v>4226</v>
      </c>
      <c r="D9093" s="1" t="s">
        <v>5412</v>
      </c>
      <c r="F9093" s="1" t="s">
        <v>5637</v>
      </c>
      <c r="H9093" s="1" t="s">
        <v>5747</v>
      </c>
      <c r="J9093" s="1" t="s">
        <v>5748</v>
      </c>
      <c r="L9093" s="1" t="s">
        <v>460</v>
      </c>
      <c r="N9093" s="1" t="s">
        <v>567</v>
      </c>
      <c r="P9093" s="1" t="s">
        <v>516</v>
      </c>
      <c r="Q9093" s="30" t="s">
        <v>2567</v>
      </c>
      <c r="R9093" s="33" t="s">
        <v>3474</v>
      </c>
      <c r="S9093">
        <v>35</v>
      </c>
      <c r="T9093" s="1" t="s">
        <v>5416</v>
      </c>
      <c r="U9093" s="1" t="str">
        <f>HYPERLINK("http://ictvonline.org/taxonomy/p/taxonomy-history?taxnode_id=202104627","ICTVonline=202104627")</f>
        <v>ICTVonline=202104627</v>
      </c>
    </row>
    <row r="9094" spans="1:21" x14ac:dyDescent="0.2">
      <c r="A9094" s="3">
        <v>9093</v>
      </c>
      <c r="B9094" s="1" t="s">
        <v>4226</v>
      </c>
      <c r="D9094" s="1" t="s">
        <v>5412</v>
      </c>
      <c r="F9094" s="1" t="s">
        <v>5637</v>
      </c>
      <c r="H9094" s="1" t="s">
        <v>5747</v>
      </c>
      <c r="J9094" s="1" t="s">
        <v>5748</v>
      </c>
      <c r="L9094" s="1" t="s">
        <v>460</v>
      </c>
      <c r="N9094" s="1" t="s">
        <v>567</v>
      </c>
      <c r="P9094" s="1" t="s">
        <v>3947</v>
      </c>
      <c r="Q9094" s="30" t="s">
        <v>2567</v>
      </c>
      <c r="R9094" s="33" t="s">
        <v>3474</v>
      </c>
      <c r="S9094">
        <v>35</v>
      </c>
      <c r="T9094" s="1" t="s">
        <v>5416</v>
      </c>
      <c r="U9094" s="1" t="str">
        <f>HYPERLINK("http://ictvonline.org/taxonomy/p/taxonomy-history?taxnode_id=202104628","ICTVonline=202104628")</f>
        <v>ICTVonline=202104628</v>
      </c>
    </row>
    <row r="9095" spans="1:21" x14ac:dyDescent="0.2">
      <c r="A9095" s="3">
        <v>9094</v>
      </c>
      <c r="B9095" s="1" t="s">
        <v>4226</v>
      </c>
      <c r="D9095" s="1" t="s">
        <v>5412</v>
      </c>
      <c r="F9095" s="1" t="s">
        <v>5637</v>
      </c>
      <c r="H9095" s="1" t="s">
        <v>5747</v>
      </c>
      <c r="J9095" s="1" t="s">
        <v>5748</v>
      </c>
      <c r="L9095" s="1" t="s">
        <v>460</v>
      </c>
      <c r="N9095" s="1" t="s">
        <v>567</v>
      </c>
      <c r="P9095" s="1" t="s">
        <v>2527</v>
      </c>
      <c r="Q9095" s="30" t="s">
        <v>2567</v>
      </c>
      <c r="R9095" s="33" t="s">
        <v>3474</v>
      </c>
      <c r="S9095">
        <v>35</v>
      </c>
      <c r="T9095" s="1" t="s">
        <v>5416</v>
      </c>
      <c r="U9095" s="1" t="str">
        <f>HYPERLINK("http://ictvonline.org/taxonomy/p/taxonomy-history?taxnode_id=202104629","ICTVonline=202104629")</f>
        <v>ICTVonline=202104629</v>
      </c>
    </row>
    <row r="9096" spans="1:21" x14ac:dyDescent="0.2">
      <c r="A9096" s="3">
        <v>9095</v>
      </c>
      <c r="B9096" s="1" t="s">
        <v>4226</v>
      </c>
      <c r="D9096" s="1" t="s">
        <v>5412</v>
      </c>
      <c r="F9096" s="1" t="s">
        <v>5637</v>
      </c>
      <c r="H9096" s="1" t="s">
        <v>5747</v>
      </c>
      <c r="J9096" s="1" t="s">
        <v>5748</v>
      </c>
      <c r="L9096" s="1" t="s">
        <v>460</v>
      </c>
      <c r="N9096" s="1" t="s">
        <v>567</v>
      </c>
      <c r="P9096" s="1" t="s">
        <v>517</v>
      </c>
      <c r="Q9096" s="30" t="s">
        <v>2567</v>
      </c>
      <c r="R9096" s="33" t="s">
        <v>3474</v>
      </c>
      <c r="S9096">
        <v>35</v>
      </c>
      <c r="T9096" s="1" t="s">
        <v>5416</v>
      </c>
      <c r="U9096" s="1" t="str">
        <f>HYPERLINK("http://ictvonline.org/taxonomy/p/taxonomy-history?taxnode_id=202104630","ICTVonline=202104630")</f>
        <v>ICTVonline=202104630</v>
      </c>
    </row>
    <row r="9097" spans="1:21" x14ac:dyDescent="0.2">
      <c r="A9097" s="3">
        <v>9096</v>
      </c>
      <c r="B9097" s="1" t="s">
        <v>4226</v>
      </c>
      <c r="D9097" s="1" t="s">
        <v>5412</v>
      </c>
      <c r="F9097" s="1" t="s">
        <v>5637</v>
      </c>
      <c r="H9097" s="1" t="s">
        <v>5747</v>
      </c>
      <c r="J9097" s="1" t="s">
        <v>5748</v>
      </c>
      <c r="L9097" s="1" t="s">
        <v>460</v>
      </c>
      <c r="N9097" s="1" t="s">
        <v>567</v>
      </c>
      <c r="P9097" s="1" t="s">
        <v>518</v>
      </c>
      <c r="Q9097" s="30" t="s">
        <v>2567</v>
      </c>
      <c r="R9097" s="33" t="s">
        <v>3474</v>
      </c>
      <c r="S9097">
        <v>35</v>
      </c>
      <c r="T9097" s="1" t="s">
        <v>5416</v>
      </c>
      <c r="U9097" s="1" t="str">
        <f>HYPERLINK("http://ictvonline.org/taxonomy/p/taxonomy-history?taxnode_id=202104631","ICTVonline=202104631")</f>
        <v>ICTVonline=202104631</v>
      </c>
    </row>
    <row r="9098" spans="1:21" x14ac:dyDescent="0.2">
      <c r="A9098" s="3">
        <v>9097</v>
      </c>
      <c r="B9098" s="1" t="s">
        <v>4226</v>
      </c>
      <c r="D9098" s="1" t="s">
        <v>5412</v>
      </c>
      <c r="F9098" s="1" t="s">
        <v>5637</v>
      </c>
      <c r="H9098" s="1" t="s">
        <v>5747</v>
      </c>
      <c r="J9098" s="1" t="s">
        <v>5748</v>
      </c>
      <c r="L9098" s="1" t="s">
        <v>460</v>
      </c>
      <c r="N9098" s="1" t="s">
        <v>567</v>
      </c>
      <c r="P9098" s="1" t="s">
        <v>3379</v>
      </c>
      <c r="Q9098" s="30" t="s">
        <v>2567</v>
      </c>
      <c r="R9098" s="33" t="s">
        <v>3474</v>
      </c>
      <c r="S9098">
        <v>35</v>
      </c>
      <c r="T9098" s="1" t="s">
        <v>5416</v>
      </c>
      <c r="U9098" s="1" t="str">
        <f>HYPERLINK("http://ictvonline.org/taxonomy/p/taxonomy-history?taxnode_id=202104632","ICTVonline=202104632")</f>
        <v>ICTVonline=202104632</v>
      </c>
    </row>
    <row r="9099" spans="1:21" x14ac:dyDescent="0.2">
      <c r="A9099" s="3">
        <v>9098</v>
      </c>
      <c r="B9099" s="1" t="s">
        <v>4226</v>
      </c>
      <c r="D9099" s="1" t="s">
        <v>5412</v>
      </c>
      <c r="F9099" s="1" t="s">
        <v>5637</v>
      </c>
      <c r="H9099" s="1" t="s">
        <v>5747</v>
      </c>
      <c r="J9099" s="1" t="s">
        <v>5748</v>
      </c>
      <c r="L9099" s="1" t="s">
        <v>460</v>
      </c>
      <c r="N9099" s="1" t="s">
        <v>567</v>
      </c>
      <c r="P9099" s="1" t="s">
        <v>519</v>
      </c>
      <c r="Q9099" s="30" t="s">
        <v>2567</v>
      </c>
      <c r="R9099" s="33" t="s">
        <v>3474</v>
      </c>
      <c r="S9099">
        <v>35</v>
      </c>
      <c r="T9099" s="1" t="s">
        <v>5416</v>
      </c>
      <c r="U9099" s="1" t="str">
        <f>HYPERLINK("http://ictvonline.org/taxonomy/p/taxonomy-history?taxnode_id=202104633","ICTVonline=202104633")</f>
        <v>ICTVonline=202104633</v>
      </c>
    </row>
    <row r="9100" spans="1:21" x14ac:dyDescent="0.2">
      <c r="A9100" s="3">
        <v>9099</v>
      </c>
      <c r="B9100" s="1" t="s">
        <v>4226</v>
      </c>
      <c r="D9100" s="1" t="s">
        <v>5412</v>
      </c>
      <c r="F9100" s="1" t="s">
        <v>5637</v>
      </c>
      <c r="H9100" s="1" t="s">
        <v>5747</v>
      </c>
      <c r="J9100" s="1" t="s">
        <v>5748</v>
      </c>
      <c r="L9100" s="1" t="s">
        <v>460</v>
      </c>
      <c r="N9100" s="1" t="s">
        <v>567</v>
      </c>
      <c r="P9100" s="1" t="s">
        <v>520</v>
      </c>
      <c r="Q9100" s="30" t="s">
        <v>2567</v>
      </c>
      <c r="R9100" s="33" t="s">
        <v>3474</v>
      </c>
      <c r="S9100">
        <v>35</v>
      </c>
      <c r="T9100" s="1" t="s">
        <v>5416</v>
      </c>
      <c r="U9100" s="1" t="str">
        <f>HYPERLINK("http://ictvonline.org/taxonomy/p/taxonomy-history?taxnode_id=202104634","ICTVonline=202104634")</f>
        <v>ICTVonline=202104634</v>
      </c>
    </row>
    <row r="9101" spans="1:21" x14ac:dyDescent="0.2">
      <c r="A9101" s="3">
        <v>9100</v>
      </c>
      <c r="B9101" s="1" t="s">
        <v>4226</v>
      </c>
      <c r="D9101" s="1" t="s">
        <v>5412</v>
      </c>
      <c r="F9101" s="1" t="s">
        <v>5637</v>
      </c>
      <c r="H9101" s="1" t="s">
        <v>5747</v>
      </c>
      <c r="J9101" s="1" t="s">
        <v>5748</v>
      </c>
      <c r="L9101" s="1" t="s">
        <v>460</v>
      </c>
      <c r="N9101" s="1" t="s">
        <v>567</v>
      </c>
      <c r="P9101" s="1" t="s">
        <v>5763</v>
      </c>
      <c r="Q9101" s="30" t="s">
        <v>2567</v>
      </c>
      <c r="R9101" s="33" t="s">
        <v>3472</v>
      </c>
      <c r="S9101">
        <v>35</v>
      </c>
      <c r="T9101" s="1" t="s">
        <v>5759</v>
      </c>
      <c r="U9101" s="1" t="str">
        <f>HYPERLINK("http://ictvonline.org/taxonomy/p/taxonomy-history?taxnode_id=202107435","ICTVonline=202107435")</f>
        <v>ICTVonline=202107435</v>
      </c>
    </row>
    <row r="9102" spans="1:21" x14ac:dyDescent="0.2">
      <c r="A9102" s="3">
        <v>9101</v>
      </c>
      <c r="B9102" s="1" t="s">
        <v>4226</v>
      </c>
      <c r="D9102" s="1" t="s">
        <v>5412</v>
      </c>
      <c r="F9102" s="1" t="s">
        <v>5637</v>
      </c>
      <c r="H9102" s="1" t="s">
        <v>5747</v>
      </c>
      <c r="J9102" s="1" t="s">
        <v>5748</v>
      </c>
      <c r="L9102" s="1" t="s">
        <v>460</v>
      </c>
      <c r="N9102" s="1" t="s">
        <v>567</v>
      </c>
      <c r="P9102" s="1" t="s">
        <v>2528</v>
      </c>
      <c r="Q9102" s="30" t="s">
        <v>2567</v>
      </c>
      <c r="R9102" s="33" t="s">
        <v>3474</v>
      </c>
      <c r="S9102">
        <v>35</v>
      </c>
      <c r="T9102" s="1" t="s">
        <v>5416</v>
      </c>
      <c r="U9102" s="1" t="str">
        <f>HYPERLINK("http://ictvonline.org/taxonomy/p/taxonomy-history?taxnode_id=202104635","ICTVonline=202104635")</f>
        <v>ICTVonline=202104635</v>
      </c>
    </row>
    <row r="9103" spans="1:21" x14ac:dyDescent="0.2">
      <c r="A9103" s="3">
        <v>9102</v>
      </c>
      <c r="B9103" s="1" t="s">
        <v>4226</v>
      </c>
      <c r="D9103" s="1" t="s">
        <v>5412</v>
      </c>
      <c r="F9103" s="1" t="s">
        <v>5637</v>
      </c>
      <c r="H9103" s="1" t="s">
        <v>5747</v>
      </c>
      <c r="J9103" s="1" t="s">
        <v>5748</v>
      </c>
      <c r="L9103" s="1" t="s">
        <v>460</v>
      </c>
      <c r="N9103" s="1" t="s">
        <v>567</v>
      </c>
      <c r="P9103" s="1" t="s">
        <v>521</v>
      </c>
      <c r="Q9103" s="30" t="s">
        <v>2567</v>
      </c>
      <c r="R9103" s="33" t="s">
        <v>3474</v>
      </c>
      <c r="S9103">
        <v>35</v>
      </c>
      <c r="T9103" s="1" t="s">
        <v>5416</v>
      </c>
      <c r="U9103" s="1" t="str">
        <f>HYPERLINK("http://ictvonline.org/taxonomy/p/taxonomy-history?taxnode_id=202104636","ICTVonline=202104636")</f>
        <v>ICTVonline=202104636</v>
      </c>
    </row>
    <row r="9104" spans="1:21" x14ac:dyDescent="0.2">
      <c r="A9104" s="3">
        <v>9103</v>
      </c>
      <c r="B9104" s="1" t="s">
        <v>4226</v>
      </c>
      <c r="D9104" s="1" t="s">
        <v>5412</v>
      </c>
      <c r="F9104" s="1" t="s">
        <v>5637</v>
      </c>
      <c r="H9104" s="1" t="s">
        <v>5747</v>
      </c>
      <c r="J9104" s="1" t="s">
        <v>5748</v>
      </c>
      <c r="L9104" s="1" t="s">
        <v>460</v>
      </c>
      <c r="N9104" s="1" t="s">
        <v>567</v>
      </c>
      <c r="P9104" s="1" t="s">
        <v>838</v>
      </c>
      <c r="Q9104" s="30" t="s">
        <v>2567</v>
      </c>
      <c r="R9104" s="33" t="s">
        <v>3474</v>
      </c>
      <c r="S9104">
        <v>35</v>
      </c>
      <c r="T9104" s="1" t="s">
        <v>5416</v>
      </c>
      <c r="U9104" s="1" t="str">
        <f>HYPERLINK("http://ictvonline.org/taxonomy/p/taxonomy-history?taxnode_id=202104637","ICTVonline=202104637")</f>
        <v>ICTVonline=202104637</v>
      </c>
    </row>
    <row r="9105" spans="1:21" x14ac:dyDescent="0.2">
      <c r="A9105" s="3">
        <v>9104</v>
      </c>
      <c r="B9105" s="1" t="s">
        <v>4226</v>
      </c>
      <c r="D9105" s="1" t="s">
        <v>5412</v>
      </c>
      <c r="F9105" s="1" t="s">
        <v>5637</v>
      </c>
      <c r="H9105" s="1" t="s">
        <v>5747</v>
      </c>
      <c r="J9105" s="1" t="s">
        <v>5748</v>
      </c>
      <c r="L9105" s="1" t="s">
        <v>460</v>
      </c>
      <c r="N9105" s="1" t="s">
        <v>567</v>
      </c>
      <c r="P9105" s="1" t="s">
        <v>2002</v>
      </c>
      <c r="Q9105" s="30" t="s">
        <v>2567</v>
      </c>
      <c r="R9105" s="33" t="s">
        <v>3474</v>
      </c>
      <c r="S9105">
        <v>35</v>
      </c>
      <c r="T9105" s="1" t="s">
        <v>5416</v>
      </c>
      <c r="U9105" s="1" t="str">
        <f>HYPERLINK("http://ictvonline.org/taxonomy/p/taxonomy-history?taxnode_id=202104638","ICTVonline=202104638")</f>
        <v>ICTVonline=202104638</v>
      </c>
    </row>
    <row r="9106" spans="1:21" x14ac:dyDescent="0.2">
      <c r="A9106" s="3">
        <v>9105</v>
      </c>
      <c r="B9106" s="1" t="s">
        <v>4226</v>
      </c>
      <c r="D9106" s="1" t="s">
        <v>5412</v>
      </c>
      <c r="F9106" s="1" t="s">
        <v>5637</v>
      </c>
      <c r="H9106" s="1" t="s">
        <v>5747</v>
      </c>
      <c r="J9106" s="1" t="s">
        <v>5748</v>
      </c>
      <c r="L9106" s="1" t="s">
        <v>460</v>
      </c>
      <c r="N9106" s="1" t="s">
        <v>567</v>
      </c>
      <c r="P9106" s="1" t="s">
        <v>5764</v>
      </c>
      <c r="Q9106" s="30" t="s">
        <v>2567</v>
      </c>
      <c r="R9106" s="33" t="s">
        <v>3472</v>
      </c>
      <c r="S9106">
        <v>35</v>
      </c>
      <c r="T9106" s="1" t="s">
        <v>5759</v>
      </c>
      <c r="U9106" s="1" t="str">
        <f>HYPERLINK("http://ictvonline.org/taxonomy/p/taxonomy-history?taxnode_id=202107436","ICTVonline=202107436")</f>
        <v>ICTVonline=202107436</v>
      </c>
    </row>
    <row r="9107" spans="1:21" x14ac:dyDescent="0.2">
      <c r="A9107" s="3">
        <v>9106</v>
      </c>
      <c r="B9107" s="1" t="s">
        <v>4226</v>
      </c>
      <c r="D9107" s="1" t="s">
        <v>5412</v>
      </c>
      <c r="F9107" s="1" t="s">
        <v>5637</v>
      </c>
      <c r="H9107" s="1" t="s">
        <v>5747</v>
      </c>
      <c r="J9107" s="1" t="s">
        <v>5748</v>
      </c>
      <c r="L9107" s="1" t="s">
        <v>460</v>
      </c>
      <c r="N9107" s="1" t="s">
        <v>567</v>
      </c>
      <c r="P9107" s="1" t="s">
        <v>839</v>
      </c>
      <c r="Q9107" s="30" t="s">
        <v>2567</v>
      </c>
      <c r="R9107" s="33" t="s">
        <v>3474</v>
      </c>
      <c r="S9107">
        <v>35</v>
      </c>
      <c r="T9107" s="1" t="s">
        <v>5416</v>
      </c>
      <c r="U9107" s="1" t="str">
        <f>HYPERLINK("http://ictvonline.org/taxonomy/p/taxonomy-history?taxnode_id=202104639","ICTVonline=202104639")</f>
        <v>ICTVonline=202104639</v>
      </c>
    </row>
    <row r="9108" spans="1:21" x14ac:dyDescent="0.2">
      <c r="A9108" s="3">
        <v>9107</v>
      </c>
      <c r="B9108" s="1" t="s">
        <v>4226</v>
      </c>
      <c r="D9108" s="1" t="s">
        <v>5412</v>
      </c>
      <c r="F9108" s="1" t="s">
        <v>5637</v>
      </c>
      <c r="H9108" s="1" t="s">
        <v>5747</v>
      </c>
      <c r="J9108" s="1" t="s">
        <v>5748</v>
      </c>
      <c r="L9108" s="1" t="s">
        <v>460</v>
      </c>
      <c r="N9108" s="1" t="s">
        <v>567</v>
      </c>
      <c r="P9108" s="1" t="s">
        <v>4484</v>
      </c>
      <c r="Q9108" s="30" t="s">
        <v>2567</v>
      </c>
      <c r="R9108" s="33" t="s">
        <v>3474</v>
      </c>
      <c r="S9108">
        <v>35</v>
      </c>
      <c r="T9108" s="1" t="s">
        <v>5416</v>
      </c>
      <c r="U9108" s="1" t="str">
        <f>HYPERLINK("http://ictvonline.org/taxonomy/p/taxonomy-history?taxnode_id=202106673","ICTVonline=202106673")</f>
        <v>ICTVonline=202106673</v>
      </c>
    </row>
    <row r="9109" spans="1:21" x14ac:dyDescent="0.2">
      <c r="A9109" s="3">
        <v>9108</v>
      </c>
      <c r="B9109" s="1" t="s">
        <v>4226</v>
      </c>
      <c r="D9109" s="1" t="s">
        <v>5412</v>
      </c>
      <c r="F9109" s="1" t="s">
        <v>5637</v>
      </c>
      <c r="H9109" s="1" t="s">
        <v>5747</v>
      </c>
      <c r="J9109" s="1" t="s">
        <v>5748</v>
      </c>
      <c r="L9109" s="1" t="s">
        <v>460</v>
      </c>
      <c r="N9109" s="1" t="s">
        <v>567</v>
      </c>
      <c r="P9109" s="1" t="s">
        <v>840</v>
      </c>
      <c r="Q9109" s="30" t="s">
        <v>2567</v>
      </c>
      <c r="R9109" s="33" t="s">
        <v>3474</v>
      </c>
      <c r="S9109">
        <v>35</v>
      </c>
      <c r="T9109" s="1" t="s">
        <v>5416</v>
      </c>
      <c r="U9109" s="1" t="str">
        <f>HYPERLINK("http://ictvonline.org/taxonomy/p/taxonomy-history?taxnode_id=202104640","ICTVonline=202104640")</f>
        <v>ICTVonline=202104640</v>
      </c>
    </row>
    <row r="9110" spans="1:21" x14ac:dyDescent="0.2">
      <c r="A9110" s="3">
        <v>9109</v>
      </c>
      <c r="B9110" s="1" t="s">
        <v>4226</v>
      </c>
      <c r="D9110" s="1" t="s">
        <v>5412</v>
      </c>
      <c r="F9110" s="1" t="s">
        <v>5637</v>
      </c>
      <c r="H9110" s="1" t="s">
        <v>5747</v>
      </c>
      <c r="J9110" s="1" t="s">
        <v>5748</v>
      </c>
      <c r="L9110" s="1" t="s">
        <v>460</v>
      </c>
      <c r="N9110" s="1" t="s">
        <v>567</v>
      </c>
      <c r="P9110" s="1" t="s">
        <v>898</v>
      </c>
      <c r="Q9110" s="30" t="s">
        <v>2567</v>
      </c>
      <c r="R9110" s="33" t="s">
        <v>3474</v>
      </c>
      <c r="S9110">
        <v>35</v>
      </c>
      <c r="T9110" s="1" t="s">
        <v>5416</v>
      </c>
      <c r="U9110" s="1" t="str">
        <f>HYPERLINK("http://ictvonline.org/taxonomy/p/taxonomy-history?taxnode_id=202104641","ICTVonline=202104641")</f>
        <v>ICTVonline=202104641</v>
      </c>
    </row>
    <row r="9111" spans="1:21" x14ac:dyDescent="0.2">
      <c r="A9111" s="3">
        <v>9110</v>
      </c>
      <c r="B9111" s="1" t="s">
        <v>4226</v>
      </c>
      <c r="D9111" s="1" t="s">
        <v>5412</v>
      </c>
      <c r="F9111" s="1" t="s">
        <v>5637</v>
      </c>
      <c r="H9111" s="1" t="s">
        <v>5747</v>
      </c>
      <c r="J9111" s="1" t="s">
        <v>5748</v>
      </c>
      <c r="L9111" s="1" t="s">
        <v>460</v>
      </c>
      <c r="N9111" s="1" t="s">
        <v>567</v>
      </c>
      <c r="P9111" s="1" t="s">
        <v>899</v>
      </c>
      <c r="Q9111" s="30" t="s">
        <v>2567</v>
      </c>
      <c r="R9111" s="33" t="s">
        <v>3474</v>
      </c>
      <c r="S9111">
        <v>35</v>
      </c>
      <c r="T9111" s="1" t="s">
        <v>5416</v>
      </c>
      <c r="U9111" s="1" t="str">
        <f>HYPERLINK("http://ictvonline.org/taxonomy/p/taxonomy-history?taxnode_id=202104642","ICTVonline=202104642")</f>
        <v>ICTVonline=202104642</v>
      </c>
    </row>
    <row r="9112" spans="1:21" x14ac:dyDescent="0.2">
      <c r="A9112" s="3">
        <v>9111</v>
      </c>
      <c r="B9112" s="1" t="s">
        <v>4226</v>
      </c>
      <c r="D9112" s="1" t="s">
        <v>5412</v>
      </c>
      <c r="F9112" s="1" t="s">
        <v>5637</v>
      </c>
      <c r="H9112" s="1" t="s">
        <v>5747</v>
      </c>
      <c r="J9112" s="1" t="s">
        <v>5748</v>
      </c>
      <c r="L9112" s="1" t="s">
        <v>460</v>
      </c>
      <c r="N9112" s="1" t="s">
        <v>567</v>
      </c>
      <c r="P9112" s="1" t="s">
        <v>900</v>
      </c>
      <c r="Q9112" s="30" t="s">
        <v>2567</v>
      </c>
      <c r="R9112" s="33" t="s">
        <v>3474</v>
      </c>
      <c r="S9112">
        <v>35</v>
      </c>
      <c r="T9112" s="1" t="s">
        <v>5416</v>
      </c>
      <c r="U9112" s="1" t="str">
        <f>HYPERLINK("http://ictvonline.org/taxonomy/p/taxonomy-history?taxnode_id=202104643","ICTVonline=202104643")</f>
        <v>ICTVonline=202104643</v>
      </c>
    </row>
    <row r="9113" spans="1:21" x14ac:dyDescent="0.2">
      <c r="A9113" s="3">
        <v>9112</v>
      </c>
      <c r="B9113" s="1" t="s">
        <v>4226</v>
      </c>
      <c r="D9113" s="1" t="s">
        <v>5412</v>
      </c>
      <c r="F9113" s="1" t="s">
        <v>5637</v>
      </c>
      <c r="H9113" s="1" t="s">
        <v>5747</v>
      </c>
      <c r="J9113" s="1" t="s">
        <v>5748</v>
      </c>
      <c r="L9113" s="1" t="s">
        <v>460</v>
      </c>
      <c r="N9113" s="1" t="s">
        <v>567</v>
      </c>
      <c r="P9113" s="1" t="s">
        <v>901</v>
      </c>
      <c r="Q9113" s="30" t="s">
        <v>2567</v>
      </c>
      <c r="R9113" s="33" t="s">
        <v>3474</v>
      </c>
      <c r="S9113">
        <v>35</v>
      </c>
      <c r="T9113" s="1" t="s">
        <v>5416</v>
      </c>
      <c r="U9113" s="1" t="str">
        <f>HYPERLINK("http://ictvonline.org/taxonomy/p/taxonomy-history?taxnode_id=202104644","ICTVonline=202104644")</f>
        <v>ICTVonline=202104644</v>
      </c>
    </row>
    <row r="9114" spans="1:21" x14ac:dyDescent="0.2">
      <c r="A9114" s="3">
        <v>9113</v>
      </c>
      <c r="B9114" s="1" t="s">
        <v>4226</v>
      </c>
      <c r="D9114" s="1" t="s">
        <v>5412</v>
      </c>
      <c r="F9114" s="1" t="s">
        <v>5637</v>
      </c>
      <c r="H9114" s="1" t="s">
        <v>5747</v>
      </c>
      <c r="J9114" s="1" t="s">
        <v>5748</v>
      </c>
      <c r="L9114" s="1" t="s">
        <v>460</v>
      </c>
      <c r="N9114" s="1" t="s">
        <v>567</v>
      </c>
      <c r="P9114" s="1" t="s">
        <v>8339</v>
      </c>
      <c r="Q9114" s="30" t="s">
        <v>2567</v>
      </c>
      <c r="R9114" s="33" t="s">
        <v>3472</v>
      </c>
      <c r="S9114">
        <v>36</v>
      </c>
      <c r="T9114" s="1" t="s">
        <v>8337</v>
      </c>
      <c r="U9114" s="1" t="str">
        <f>HYPERLINK("http://ictvonline.org/taxonomy/p/taxonomy-history?taxnode_id=202109671","ICTVonline=202109671")</f>
        <v>ICTVonline=202109671</v>
      </c>
    </row>
    <row r="9115" spans="1:21" x14ac:dyDescent="0.2">
      <c r="A9115" s="3">
        <v>9114</v>
      </c>
      <c r="B9115" s="1" t="s">
        <v>4226</v>
      </c>
      <c r="D9115" s="1" t="s">
        <v>5412</v>
      </c>
      <c r="F9115" s="1" t="s">
        <v>5637</v>
      </c>
      <c r="H9115" s="1" t="s">
        <v>5747</v>
      </c>
      <c r="J9115" s="1" t="s">
        <v>5748</v>
      </c>
      <c r="L9115" s="1" t="s">
        <v>460</v>
      </c>
      <c r="N9115" s="1" t="s">
        <v>567</v>
      </c>
      <c r="P9115" s="1" t="s">
        <v>843</v>
      </c>
      <c r="Q9115" s="30" t="s">
        <v>2567</v>
      </c>
      <c r="R9115" s="33" t="s">
        <v>3474</v>
      </c>
      <c r="S9115">
        <v>35</v>
      </c>
      <c r="T9115" s="1" t="s">
        <v>5416</v>
      </c>
      <c r="U9115" s="1" t="str">
        <f>HYPERLINK("http://ictvonline.org/taxonomy/p/taxonomy-history?taxnode_id=202104645","ICTVonline=202104645")</f>
        <v>ICTVonline=202104645</v>
      </c>
    </row>
    <row r="9116" spans="1:21" x14ac:dyDescent="0.2">
      <c r="A9116" s="3">
        <v>9115</v>
      </c>
      <c r="B9116" s="1" t="s">
        <v>4226</v>
      </c>
      <c r="D9116" s="1" t="s">
        <v>5412</v>
      </c>
      <c r="F9116" s="1" t="s">
        <v>5637</v>
      </c>
      <c r="H9116" s="1" t="s">
        <v>5747</v>
      </c>
      <c r="J9116" s="1" t="s">
        <v>5748</v>
      </c>
      <c r="L9116" s="1" t="s">
        <v>460</v>
      </c>
      <c r="N9116" s="1" t="s">
        <v>567</v>
      </c>
      <c r="P9116" s="1" t="s">
        <v>844</v>
      </c>
      <c r="Q9116" s="30" t="s">
        <v>2567</v>
      </c>
      <c r="R9116" s="33" t="s">
        <v>3474</v>
      </c>
      <c r="S9116">
        <v>35</v>
      </c>
      <c r="T9116" s="1" t="s">
        <v>5416</v>
      </c>
      <c r="U9116" s="1" t="str">
        <f>HYPERLINK("http://ictvonline.org/taxonomy/p/taxonomy-history?taxnode_id=202104646","ICTVonline=202104646")</f>
        <v>ICTVonline=202104646</v>
      </c>
    </row>
    <row r="9117" spans="1:21" x14ac:dyDescent="0.2">
      <c r="A9117" s="3">
        <v>9116</v>
      </c>
      <c r="B9117" s="1" t="s">
        <v>4226</v>
      </c>
      <c r="D9117" s="1" t="s">
        <v>5412</v>
      </c>
      <c r="F9117" s="1" t="s">
        <v>5637</v>
      </c>
      <c r="H9117" s="1" t="s">
        <v>5747</v>
      </c>
      <c r="J9117" s="1" t="s">
        <v>5748</v>
      </c>
      <c r="L9117" s="1" t="s">
        <v>460</v>
      </c>
      <c r="N9117" s="1" t="s">
        <v>567</v>
      </c>
      <c r="P9117" s="1" t="s">
        <v>845</v>
      </c>
      <c r="Q9117" s="30" t="s">
        <v>2567</v>
      </c>
      <c r="R9117" s="33" t="s">
        <v>3474</v>
      </c>
      <c r="S9117">
        <v>35</v>
      </c>
      <c r="T9117" s="1" t="s">
        <v>5416</v>
      </c>
      <c r="U9117" s="1" t="str">
        <f>HYPERLINK("http://ictvonline.org/taxonomy/p/taxonomy-history?taxnode_id=202104647","ICTVonline=202104647")</f>
        <v>ICTVonline=202104647</v>
      </c>
    </row>
    <row r="9118" spans="1:21" x14ac:dyDescent="0.2">
      <c r="A9118" s="3">
        <v>9117</v>
      </c>
      <c r="B9118" s="1" t="s">
        <v>4226</v>
      </c>
      <c r="D9118" s="1" t="s">
        <v>5412</v>
      </c>
      <c r="F9118" s="1" t="s">
        <v>5637</v>
      </c>
      <c r="H9118" s="1" t="s">
        <v>5747</v>
      </c>
      <c r="J9118" s="1" t="s">
        <v>5748</v>
      </c>
      <c r="L9118" s="1" t="s">
        <v>460</v>
      </c>
      <c r="N9118" s="1" t="s">
        <v>567</v>
      </c>
      <c r="P9118" s="1" t="s">
        <v>904</v>
      </c>
      <c r="Q9118" s="30" t="s">
        <v>2567</v>
      </c>
      <c r="R9118" s="33" t="s">
        <v>3474</v>
      </c>
      <c r="S9118">
        <v>35</v>
      </c>
      <c r="T9118" s="1" t="s">
        <v>5416</v>
      </c>
      <c r="U9118" s="1" t="str">
        <f>HYPERLINK("http://ictvonline.org/taxonomy/p/taxonomy-history?taxnode_id=202104648","ICTVonline=202104648")</f>
        <v>ICTVonline=202104648</v>
      </c>
    </row>
    <row r="9119" spans="1:21" x14ac:dyDescent="0.2">
      <c r="A9119" s="3">
        <v>9118</v>
      </c>
      <c r="B9119" s="1" t="s">
        <v>4226</v>
      </c>
      <c r="D9119" s="1" t="s">
        <v>5412</v>
      </c>
      <c r="F9119" s="1" t="s">
        <v>5637</v>
      </c>
      <c r="H9119" s="1" t="s">
        <v>5747</v>
      </c>
      <c r="J9119" s="1" t="s">
        <v>5748</v>
      </c>
      <c r="L9119" s="1" t="s">
        <v>460</v>
      </c>
      <c r="N9119" s="1" t="s">
        <v>567</v>
      </c>
      <c r="P9119" s="1" t="s">
        <v>905</v>
      </c>
      <c r="Q9119" s="30" t="s">
        <v>2567</v>
      </c>
      <c r="R9119" s="33" t="s">
        <v>3474</v>
      </c>
      <c r="S9119">
        <v>35</v>
      </c>
      <c r="T9119" s="1" t="s">
        <v>5416</v>
      </c>
      <c r="U9119" s="1" t="str">
        <f>HYPERLINK("http://ictvonline.org/taxonomy/p/taxonomy-history?taxnode_id=202104649","ICTVonline=202104649")</f>
        <v>ICTVonline=202104649</v>
      </c>
    </row>
    <row r="9120" spans="1:21" x14ac:dyDescent="0.2">
      <c r="A9120" s="3">
        <v>9119</v>
      </c>
      <c r="B9120" s="1" t="s">
        <v>4226</v>
      </c>
      <c r="D9120" s="1" t="s">
        <v>5412</v>
      </c>
      <c r="F9120" s="1" t="s">
        <v>5637</v>
      </c>
      <c r="H9120" s="1" t="s">
        <v>5747</v>
      </c>
      <c r="J9120" s="1" t="s">
        <v>5748</v>
      </c>
      <c r="L9120" s="1" t="s">
        <v>460</v>
      </c>
      <c r="N9120" s="1" t="s">
        <v>567</v>
      </c>
      <c r="P9120" s="1" t="s">
        <v>2529</v>
      </c>
      <c r="Q9120" s="30" t="s">
        <v>2567</v>
      </c>
      <c r="R9120" s="33" t="s">
        <v>3474</v>
      </c>
      <c r="S9120">
        <v>35</v>
      </c>
      <c r="T9120" s="1" t="s">
        <v>5416</v>
      </c>
      <c r="U9120" s="1" t="str">
        <f>HYPERLINK("http://ictvonline.org/taxonomy/p/taxonomy-history?taxnode_id=202104650","ICTVonline=202104650")</f>
        <v>ICTVonline=202104650</v>
      </c>
    </row>
    <row r="9121" spans="1:21" x14ac:dyDescent="0.2">
      <c r="A9121" s="3">
        <v>9120</v>
      </c>
      <c r="B9121" s="1" t="s">
        <v>4226</v>
      </c>
      <c r="D9121" s="1" t="s">
        <v>5412</v>
      </c>
      <c r="F9121" s="1" t="s">
        <v>5637</v>
      </c>
      <c r="H9121" s="1" t="s">
        <v>5747</v>
      </c>
      <c r="J9121" s="1" t="s">
        <v>5748</v>
      </c>
      <c r="L9121" s="1" t="s">
        <v>460</v>
      </c>
      <c r="N9121" s="1" t="s">
        <v>567</v>
      </c>
      <c r="P9121" s="1" t="s">
        <v>906</v>
      </c>
      <c r="Q9121" s="30" t="s">
        <v>2567</v>
      </c>
      <c r="R9121" s="33" t="s">
        <v>3474</v>
      </c>
      <c r="S9121">
        <v>35</v>
      </c>
      <c r="T9121" s="1" t="s">
        <v>5416</v>
      </c>
      <c r="U9121" s="1" t="str">
        <f>HYPERLINK("http://ictvonline.org/taxonomy/p/taxonomy-history?taxnode_id=202104651","ICTVonline=202104651")</f>
        <v>ICTVonline=202104651</v>
      </c>
    </row>
    <row r="9122" spans="1:21" x14ac:dyDescent="0.2">
      <c r="A9122" s="3">
        <v>9121</v>
      </c>
      <c r="B9122" s="1" t="s">
        <v>4226</v>
      </c>
      <c r="D9122" s="1" t="s">
        <v>5412</v>
      </c>
      <c r="F9122" s="1" t="s">
        <v>5637</v>
      </c>
      <c r="H9122" s="1" t="s">
        <v>5747</v>
      </c>
      <c r="J9122" s="1" t="s">
        <v>5748</v>
      </c>
      <c r="L9122" s="1" t="s">
        <v>460</v>
      </c>
      <c r="N9122" s="1" t="s">
        <v>567</v>
      </c>
      <c r="P9122" s="1" t="s">
        <v>907</v>
      </c>
      <c r="Q9122" s="30" t="s">
        <v>2567</v>
      </c>
      <c r="R9122" s="33" t="s">
        <v>3474</v>
      </c>
      <c r="S9122">
        <v>35</v>
      </c>
      <c r="T9122" s="1" t="s">
        <v>5416</v>
      </c>
      <c r="U9122" s="1" t="str">
        <f>HYPERLINK("http://ictvonline.org/taxonomy/p/taxonomy-history?taxnode_id=202104652","ICTVonline=202104652")</f>
        <v>ICTVonline=202104652</v>
      </c>
    </row>
    <row r="9123" spans="1:21" x14ac:dyDescent="0.2">
      <c r="A9123" s="3">
        <v>9122</v>
      </c>
      <c r="B9123" s="1" t="s">
        <v>4226</v>
      </c>
      <c r="D9123" s="1" t="s">
        <v>5412</v>
      </c>
      <c r="F9123" s="1" t="s">
        <v>5637</v>
      </c>
      <c r="H9123" s="1" t="s">
        <v>5747</v>
      </c>
      <c r="J9123" s="1" t="s">
        <v>5748</v>
      </c>
      <c r="L9123" s="1" t="s">
        <v>460</v>
      </c>
      <c r="N9123" s="1" t="s">
        <v>567</v>
      </c>
      <c r="P9123" s="1" t="s">
        <v>4485</v>
      </c>
      <c r="Q9123" s="30" t="s">
        <v>2567</v>
      </c>
      <c r="R9123" s="33" t="s">
        <v>3474</v>
      </c>
      <c r="S9123">
        <v>35</v>
      </c>
      <c r="T9123" s="1" t="s">
        <v>5416</v>
      </c>
      <c r="U9123" s="1" t="str">
        <f>HYPERLINK("http://ictvonline.org/taxonomy/p/taxonomy-history?taxnode_id=202106674","ICTVonline=202106674")</f>
        <v>ICTVonline=202106674</v>
      </c>
    </row>
    <row r="9124" spans="1:21" x14ac:dyDescent="0.2">
      <c r="A9124" s="3">
        <v>9123</v>
      </c>
      <c r="B9124" s="1" t="s">
        <v>4226</v>
      </c>
      <c r="D9124" s="1" t="s">
        <v>5412</v>
      </c>
      <c r="F9124" s="1" t="s">
        <v>5637</v>
      </c>
      <c r="H9124" s="1" t="s">
        <v>5747</v>
      </c>
      <c r="J9124" s="1" t="s">
        <v>5748</v>
      </c>
      <c r="L9124" s="1" t="s">
        <v>460</v>
      </c>
      <c r="N9124" s="1" t="s">
        <v>567</v>
      </c>
      <c r="P9124" s="1" t="s">
        <v>8340</v>
      </c>
      <c r="Q9124" s="30" t="s">
        <v>2567</v>
      </c>
      <c r="R9124" s="33" t="s">
        <v>3472</v>
      </c>
      <c r="S9124">
        <v>36</v>
      </c>
      <c r="T9124" s="1" t="s">
        <v>8337</v>
      </c>
      <c r="U9124" s="1" t="str">
        <f>HYPERLINK("http://ictvonline.org/taxonomy/p/taxonomy-history?taxnode_id=202109672","ICTVonline=202109672")</f>
        <v>ICTVonline=202109672</v>
      </c>
    </row>
    <row r="9125" spans="1:21" x14ac:dyDescent="0.2">
      <c r="A9125" s="3">
        <v>9124</v>
      </c>
      <c r="B9125" s="1" t="s">
        <v>4226</v>
      </c>
      <c r="D9125" s="1" t="s">
        <v>5412</v>
      </c>
      <c r="F9125" s="1" t="s">
        <v>5637</v>
      </c>
      <c r="H9125" s="1" t="s">
        <v>5747</v>
      </c>
      <c r="J9125" s="1" t="s">
        <v>5748</v>
      </c>
      <c r="L9125" s="1" t="s">
        <v>460</v>
      </c>
      <c r="N9125" s="1" t="s">
        <v>567</v>
      </c>
      <c r="P9125" s="1" t="s">
        <v>908</v>
      </c>
      <c r="Q9125" s="30" t="s">
        <v>2567</v>
      </c>
      <c r="R9125" s="33" t="s">
        <v>3474</v>
      </c>
      <c r="S9125">
        <v>35</v>
      </c>
      <c r="T9125" s="1" t="s">
        <v>5416</v>
      </c>
      <c r="U9125" s="1" t="str">
        <f>HYPERLINK("http://ictvonline.org/taxonomy/p/taxonomy-history?taxnode_id=202104653","ICTVonline=202104653")</f>
        <v>ICTVonline=202104653</v>
      </c>
    </row>
    <row r="9126" spans="1:21" x14ac:dyDescent="0.2">
      <c r="A9126" s="3">
        <v>9125</v>
      </c>
      <c r="B9126" s="1" t="s">
        <v>4226</v>
      </c>
      <c r="D9126" s="1" t="s">
        <v>5412</v>
      </c>
      <c r="F9126" s="1" t="s">
        <v>5637</v>
      </c>
      <c r="H9126" s="1" t="s">
        <v>5747</v>
      </c>
      <c r="J9126" s="1" t="s">
        <v>5748</v>
      </c>
      <c r="L9126" s="1" t="s">
        <v>460</v>
      </c>
      <c r="N9126" s="1" t="s">
        <v>567</v>
      </c>
      <c r="P9126" s="1" t="s">
        <v>909</v>
      </c>
      <c r="Q9126" s="30" t="s">
        <v>2567</v>
      </c>
      <c r="R9126" s="33" t="s">
        <v>3474</v>
      </c>
      <c r="S9126">
        <v>35</v>
      </c>
      <c r="T9126" s="1" t="s">
        <v>5416</v>
      </c>
      <c r="U9126" s="1" t="str">
        <f>HYPERLINK("http://ictvonline.org/taxonomy/p/taxonomy-history?taxnode_id=202104654","ICTVonline=202104654")</f>
        <v>ICTVonline=202104654</v>
      </c>
    </row>
    <row r="9127" spans="1:21" x14ac:dyDescent="0.2">
      <c r="A9127" s="3">
        <v>9126</v>
      </c>
      <c r="B9127" s="1" t="s">
        <v>4226</v>
      </c>
      <c r="D9127" s="1" t="s">
        <v>5412</v>
      </c>
      <c r="F9127" s="1" t="s">
        <v>5637</v>
      </c>
      <c r="H9127" s="1" t="s">
        <v>5747</v>
      </c>
      <c r="J9127" s="1" t="s">
        <v>5748</v>
      </c>
      <c r="L9127" s="1" t="s">
        <v>460</v>
      </c>
      <c r="N9127" s="1" t="s">
        <v>567</v>
      </c>
      <c r="P9127" s="1" t="s">
        <v>8341</v>
      </c>
      <c r="Q9127" s="30" t="s">
        <v>2567</v>
      </c>
      <c r="R9127" s="33" t="s">
        <v>3472</v>
      </c>
      <c r="S9127">
        <v>36</v>
      </c>
      <c r="T9127" s="1" t="s">
        <v>8337</v>
      </c>
      <c r="U9127" s="1" t="str">
        <f>HYPERLINK("http://ictvonline.org/taxonomy/p/taxonomy-history?taxnode_id=202109673","ICTVonline=202109673")</f>
        <v>ICTVonline=202109673</v>
      </c>
    </row>
    <row r="9128" spans="1:21" x14ac:dyDescent="0.2">
      <c r="A9128" s="3">
        <v>9127</v>
      </c>
      <c r="B9128" s="1" t="s">
        <v>4226</v>
      </c>
      <c r="D9128" s="1" t="s">
        <v>5412</v>
      </c>
      <c r="F9128" s="1" t="s">
        <v>5637</v>
      </c>
      <c r="H9128" s="1" t="s">
        <v>5747</v>
      </c>
      <c r="J9128" s="1" t="s">
        <v>5748</v>
      </c>
      <c r="L9128" s="1" t="s">
        <v>460</v>
      </c>
      <c r="N9128" s="1" t="s">
        <v>567</v>
      </c>
      <c r="P9128" s="1" t="s">
        <v>910</v>
      </c>
      <c r="Q9128" s="30" t="s">
        <v>2567</v>
      </c>
      <c r="R9128" s="33" t="s">
        <v>3474</v>
      </c>
      <c r="S9128">
        <v>35</v>
      </c>
      <c r="T9128" s="1" t="s">
        <v>5416</v>
      </c>
      <c r="U9128" s="1" t="str">
        <f>HYPERLINK("http://ictvonline.org/taxonomy/p/taxonomy-history?taxnode_id=202104655","ICTVonline=202104655")</f>
        <v>ICTVonline=202104655</v>
      </c>
    </row>
    <row r="9129" spans="1:21" x14ac:dyDescent="0.2">
      <c r="A9129" s="3">
        <v>9128</v>
      </c>
      <c r="B9129" s="1" t="s">
        <v>4226</v>
      </c>
      <c r="D9129" s="1" t="s">
        <v>5412</v>
      </c>
      <c r="F9129" s="1" t="s">
        <v>5637</v>
      </c>
      <c r="H9129" s="1" t="s">
        <v>5747</v>
      </c>
      <c r="J9129" s="1" t="s">
        <v>5748</v>
      </c>
      <c r="L9129" s="1" t="s">
        <v>460</v>
      </c>
      <c r="N9129" s="1" t="s">
        <v>567</v>
      </c>
      <c r="P9129" s="1" t="s">
        <v>911</v>
      </c>
      <c r="Q9129" s="30" t="s">
        <v>2567</v>
      </c>
      <c r="R9129" s="33" t="s">
        <v>3474</v>
      </c>
      <c r="S9129">
        <v>35</v>
      </c>
      <c r="T9129" s="1" t="s">
        <v>5416</v>
      </c>
      <c r="U9129" s="1" t="str">
        <f>HYPERLINK("http://ictvonline.org/taxonomy/p/taxonomy-history?taxnode_id=202104656","ICTVonline=202104656")</f>
        <v>ICTVonline=202104656</v>
      </c>
    </row>
    <row r="9130" spans="1:21" x14ac:dyDescent="0.2">
      <c r="A9130" s="3">
        <v>9129</v>
      </c>
      <c r="B9130" s="1" t="s">
        <v>4226</v>
      </c>
      <c r="D9130" s="1" t="s">
        <v>5412</v>
      </c>
      <c r="F9130" s="1" t="s">
        <v>5637</v>
      </c>
      <c r="H9130" s="1" t="s">
        <v>5747</v>
      </c>
      <c r="J9130" s="1" t="s">
        <v>5748</v>
      </c>
      <c r="L9130" s="1" t="s">
        <v>460</v>
      </c>
      <c r="N9130" s="1" t="s">
        <v>567</v>
      </c>
      <c r="P9130" s="1" t="s">
        <v>912</v>
      </c>
      <c r="Q9130" s="30" t="s">
        <v>2567</v>
      </c>
      <c r="R9130" s="33" t="s">
        <v>3474</v>
      </c>
      <c r="S9130">
        <v>35</v>
      </c>
      <c r="T9130" s="1" t="s">
        <v>5416</v>
      </c>
      <c r="U9130" s="1" t="str">
        <f>HYPERLINK("http://ictvonline.org/taxonomy/p/taxonomy-history?taxnode_id=202104657","ICTVonline=202104657")</f>
        <v>ICTVonline=202104657</v>
      </c>
    </row>
    <row r="9131" spans="1:21" x14ac:dyDescent="0.2">
      <c r="A9131" s="3">
        <v>9130</v>
      </c>
      <c r="B9131" s="1" t="s">
        <v>4226</v>
      </c>
      <c r="D9131" s="1" t="s">
        <v>5412</v>
      </c>
      <c r="F9131" s="1" t="s">
        <v>5637</v>
      </c>
      <c r="H9131" s="1" t="s">
        <v>5747</v>
      </c>
      <c r="J9131" s="1" t="s">
        <v>5748</v>
      </c>
      <c r="L9131" s="1" t="s">
        <v>460</v>
      </c>
      <c r="N9131" s="1" t="s">
        <v>567</v>
      </c>
      <c r="P9131" s="1" t="s">
        <v>3948</v>
      </c>
      <c r="Q9131" s="30" t="s">
        <v>2567</v>
      </c>
      <c r="R9131" s="33" t="s">
        <v>3474</v>
      </c>
      <c r="S9131">
        <v>35</v>
      </c>
      <c r="T9131" s="1" t="s">
        <v>5416</v>
      </c>
      <c r="U9131" s="1" t="str">
        <f>HYPERLINK("http://ictvonline.org/taxonomy/p/taxonomy-history?taxnode_id=202105922","ICTVonline=202105922")</f>
        <v>ICTVonline=202105922</v>
      </c>
    </row>
    <row r="9132" spans="1:21" x14ac:dyDescent="0.2">
      <c r="A9132" s="3">
        <v>9131</v>
      </c>
      <c r="B9132" s="1" t="s">
        <v>4226</v>
      </c>
      <c r="D9132" s="1" t="s">
        <v>5412</v>
      </c>
      <c r="F9132" s="1" t="s">
        <v>5637</v>
      </c>
      <c r="H9132" s="1" t="s">
        <v>5747</v>
      </c>
      <c r="J9132" s="1" t="s">
        <v>5748</v>
      </c>
      <c r="L9132" s="1" t="s">
        <v>460</v>
      </c>
      <c r="N9132" s="1" t="s">
        <v>567</v>
      </c>
      <c r="P9132" s="1" t="s">
        <v>605</v>
      </c>
      <c r="Q9132" s="30" t="s">
        <v>2567</v>
      </c>
      <c r="R9132" s="33" t="s">
        <v>3474</v>
      </c>
      <c r="S9132">
        <v>35</v>
      </c>
      <c r="T9132" s="1" t="s">
        <v>5416</v>
      </c>
      <c r="U9132" s="1" t="str">
        <f>HYPERLINK("http://ictvonline.org/taxonomy/p/taxonomy-history?taxnode_id=202104658","ICTVonline=202104658")</f>
        <v>ICTVonline=202104658</v>
      </c>
    </row>
    <row r="9133" spans="1:21" x14ac:dyDescent="0.2">
      <c r="A9133" s="3">
        <v>9132</v>
      </c>
      <c r="B9133" s="1" t="s">
        <v>4226</v>
      </c>
      <c r="D9133" s="1" t="s">
        <v>5412</v>
      </c>
      <c r="F9133" s="1" t="s">
        <v>5637</v>
      </c>
      <c r="H9133" s="1" t="s">
        <v>5747</v>
      </c>
      <c r="J9133" s="1" t="s">
        <v>5748</v>
      </c>
      <c r="L9133" s="1" t="s">
        <v>460</v>
      </c>
      <c r="N9133" s="1" t="s">
        <v>567</v>
      </c>
      <c r="P9133" s="1" t="s">
        <v>606</v>
      </c>
      <c r="Q9133" s="30" t="s">
        <v>2567</v>
      </c>
      <c r="R9133" s="33" t="s">
        <v>3474</v>
      </c>
      <c r="S9133">
        <v>35</v>
      </c>
      <c r="T9133" s="1" t="s">
        <v>5416</v>
      </c>
      <c r="U9133" s="1" t="str">
        <f>HYPERLINK("http://ictvonline.org/taxonomy/p/taxonomy-history?taxnode_id=202104659","ICTVonline=202104659")</f>
        <v>ICTVonline=202104659</v>
      </c>
    </row>
    <row r="9134" spans="1:21" x14ac:dyDescent="0.2">
      <c r="A9134" s="3">
        <v>9133</v>
      </c>
      <c r="B9134" s="1" t="s">
        <v>4226</v>
      </c>
      <c r="D9134" s="1" t="s">
        <v>5412</v>
      </c>
      <c r="F9134" s="1" t="s">
        <v>5637</v>
      </c>
      <c r="H9134" s="1" t="s">
        <v>5747</v>
      </c>
      <c r="J9134" s="1" t="s">
        <v>5748</v>
      </c>
      <c r="L9134" s="1" t="s">
        <v>460</v>
      </c>
      <c r="N9134" s="1" t="s">
        <v>567</v>
      </c>
      <c r="P9134" s="1" t="s">
        <v>607</v>
      </c>
      <c r="Q9134" s="30" t="s">
        <v>2567</v>
      </c>
      <c r="R9134" s="33" t="s">
        <v>3474</v>
      </c>
      <c r="S9134">
        <v>35</v>
      </c>
      <c r="T9134" s="1" t="s">
        <v>5416</v>
      </c>
      <c r="U9134" s="1" t="str">
        <f>HYPERLINK("http://ictvonline.org/taxonomy/p/taxonomy-history?taxnode_id=202104660","ICTVonline=202104660")</f>
        <v>ICTVonline=202104660</v>
      </c>
    </row>
    <row r="9135" spans="1:21" x14ac:dyDescent="0.2">
      <c r="A9135" s="3">
        <v>9134</v>
      </c>
      <c r="B9135" s="1" t="s">
        <v>4226</v>
      </c>
      <c r="D9135" s="1" t="s">
        <v>5412</v>
      </c>
      <c r="F9135" s="1" t="s">
        <v>5637</v>
      </c>
      <c r="H9135" s="1" t="s">
        <v>5747</v>
      </c>
      <c r="J9135" s="1" t="s">
        <v>5748</v>
      </c>
      <c r="L9135" s="1" t="s">
        <v>460</v>
      </c>
      <c r="N9135" s="1" t="s">
        <v>567</v>
      </c>
      <c r="P9135" s="1" t="s">
        <v>608</v>
      </c>
      <c r="Q9135" s="30" t="s">
        <v>2567</v>
      </c>
      <c r="R9135" s="33" t="s">
        <v>3474</v>
      </c>
      <c r="S9135">
        <v>35</v>
      </c>
      <c r="T9135" s="1" t="s">
        <v>5416</v>
      </c>
      <c r="U9135" s="1" t="str">
        <f>HYPERLINK("http://ictvonline.org/taxonomy/p/taxonomy-history?taxnode_id=202104661","ICTVonline=202104661")</f>
        <v>ICTVonline=202104661</v>
      </c>
    </row>
    <row r="9136" spans="1:21" x14ac:dyDescent="0.2">
      <c r="A9136" s="3">
        <v>9135</v>
      </c>
      <c r="B9136" s="1" t="s">
        <v>4226</v>
      </c>
      <c r="D9136" s="1" t="s">
        <v>5412</v>
      </c>
      <c r="F9136" s="1" t="s">
        <v>5637</v>
      </c>
      <c r="H9136" s="1" t="s">
        <v>5747</v>
      </c>
      <c r="J9136" s="1" t="s">
        <v>5748</v>
      </c>
      <c r="L9136" s="1" t="s">
        <v>460</v>
      </c>
      <c r="N9136" s="1" t="s">
        <v>567</v>
      </c>
      <c r="P9136" s="1" t="s">
        <v>609</v>
      </c>
      <c r="Q9136" s="30" t="s">
        <v>2567</v>
      </c>
      <c r="R9136" s="33" t="s">
        <v>3474</v>
      </c>
      <c r="S9136">
        <v>35</v>
      </c>
      <c r="T9136" s="1" t="s">
        <v>5416</v>
      </c>
      <c r="U9136" s="1" t="str">
        <f>HYPERLINK("http://ictvonline.org/taxonomy/p/taxonomy-history?taxnode_id=202104662","ICTVonline=202104662")</f>
        <v>ICTVonline=202104662</v>
      </c>
    </row>
    <row r="9137" spans="1:21" x14ac:dyDescent="0.2">
      <c r="A9137" s="3">
        <v>9136</v>
      </c>
      <c r="B9137" s="1" t="s">
        <v>4226</v>
      </c>
      <c r="D9137" s="1" t="s">
        <v>5412</v>
      </c>
      <c r="F9137" s="1" t="s">
        <v>5637</v>
      </c>
      <c r="H9137" s="1" t="s">
        <v>5747</v>
      </c>
      <c r="J9137" s="1" t="s">
        <v>5748</v>
      </c>
      <c r="L9137" s="1" t="s">
        <v>460</v>
      </c>
      <c r="N9137" s="1" t="s">
        <v>567</v>
      </c>
      <c r="P9137" s="1" t="s">
        <v>610</v>
      </c>
      <c r="Q9137" s="30" t="s">
        <v>2567</v>
      </c>
      <c r="R9137" s="33" t="s">
        <v>3474</v>
      </c>
      <c r="S9137">
        <v>35</v>
      </c>
      <c r="T9137" s="1" t="s">
        <v>5416</v>
      </c>
      <c r="U9137" s="1" t="str">
        <f>HYPERLINK("http://ictvonline.org/taxonomy/p/taxonomy-history?taxnode_id=202104663","ICTVonline=202104663")</f>
        <v>ICTVonline=202104663</v>
      </c>
    </row>
    <row r="9138" spans="1:21" x14ac:dyDescent="0.2">
      <c r="A9138" s="3">
        <v>9137</v>
      </c>
      <c r="B9138" s="1" t="s">
        <v>4226</v>
      </c>
      <c r="D9138" s="1" t="s">
        <v>5412</v>
      </c>
      <c r="F9138" s="1" t="s">
        <v>5637</v>
      </c>
      <c r="H9138" s="1" t="s">
        <v>5747</v>
      </c>
      <c r="J9138" s="1" t="s">
        <v>5748</v>
      </c>
      <c r="L9138" s="1" t="s">
        <v>460</v>
      </c>
      <c r="N9138" s="1" t="s">
        <v>567</v>
      </c>
      <c r="P9138" s="1" t="s">
        <v>611</v>
      </c>
      <c r="Q9138" s="30" t="s">
        <v>2567</v>
      </c>
      <c r="R9138" s="33" t="s">
        <v>3474</v>
      </c>
      <c r="S9138">
        <v>35</v>
      </c>
      <c r="T9138" s="1" t="s">
        <v>5416</v>
      </c>
      <c r="U9138" s="1" t="str">
        <f>HYPERLINK("http://ictvonline.org/taxonomy/p/taxonomy-history?taxnode_id=202104664","ICTVonline=202104664")</f>
        <v>ICTVonline=202104664</v>
      </c>
    </row>
    <row r="9139" spans="1:21" x14ac:dyDescent="0.2">
      <c r="A9139" s="3">
        <v>9138</v>
      </c>
      <c r="B9139" s="1" t="s">
        <v>4226</v>
      </c>
      <c r="D9139" s="1" t="s">
        <v>5412</v>
      </c>
      <c r="F9139" s="1" t="s">
        <v>5637</v>
      </c>
      <c r="H9139" s="1" t="s">
        <v>5747</v>
      </c>
      <c r="J9139" s="1" t="s">
        <v>5748</v>
      </c>
      <c r="L9139" s="1" t="s">
        <v>460</v>
      </c>
      <c r="N9139" s="1" t="s">
        <v>567</v>
      </c>
      <c r="P9139" s="1" t="s">
        <v>5765</v>
      </c>
      <c r="Q9139" s="30" t="s">
        <v>2567</v>
      </c>
      <c r="R9139" s="33" t="s">
        <v>3472</v>
      </c>
      <c r="S9139">
        <v>35</v>
      </c>
      <c r="T9139" s="1" t="s">
        <v>5759</v>
      </c>
      <c r="U9139" s="1" t="str">
        <f>HYPERLINK("http://ictvonline.org/taxonomy/p/taxonomy-history?taxnode_id=202107437","ICTVonline=202107437")</f>
        <v>ICTVonline=202107437</v>
      </c>
    </row>
    <row r="9140" spans="1:21" x14ac:dyDescent="0.2">
      <c r="A9140" s="3">
        <v>9139</v>
      </c>
      <c r="B9140" s="1" t="s">
        <v>4226</v>
      </c>
      <c r="D9140" s="1" t="s">
        <v>5412</v>
      </c>
      <c r="F9140" s="1" t="s">
        <v>5637</v>
      </c>
      <c r="H9140" s="1" t="s">
        <v>5747</v>
      </c>
      <c r="J9140" s="1" t="s">
        <v>5748</v>
      </c>
      <c r="L9140" s="1" t="s">
        <v>460</v>
      </c>
      <c r="N9140" s="1" t="s">
        <v>567</v>
      </c>
      <c r="P9140" s="1" t="s">
        <v>8342</v>
      </c>
      <c r="Q9140" s="30" t="s">
        <v>2567</v>
      </c>
      <c r="R9140" s="33" t="s">
        <v>3472</v>
      </c>
      <c r="S9140">
        <v>36</v>
      </c>
      <c r="T9140" s="1" t="s">
        <v>8337</v>
      </c>
      <c r="U9140" s="1" t="str">
        <f>HYPERLINK("http://ictvonline.org/taxonomy/p/taxonomy-history?taxnode_id=202109674","ICTVonline=202109674")</f>
        <v>ICTVonline=202109674</v>
      </c>
    </row>
    <row r="9141" spans="1:21" x14ac:dyDescent="0.2">
      <c r="A9141" s="3">
        <v>9140</v>
      </c>
      <c r="B9141" s="1" t="s">
        <v>4226</v>
      </c>
      <c r="D9141" s="1" t="s">
        <v>5412</v>
      </c>
      <c r="F9141" s="1" t="s">
        <v>5637</v>
      </c>
      <c r="H9141" s="1" t="s">
        <v>5747</v>
      </c>
      <c r="J9141" s="1" t="s">
        <v>5748</v>
      </c>
      <c r="L9141" s="1" t="s">
        <v>460</v>
      </c>
      <c r="N9141" s="1" t="s">
        <v>567</v>
      </c>
      <c r="P9141" s="1" t="s">
        <v>612</v>
      </c>
      <c r="Q9141" s="30" t="s">
        <v>2567</v>
      </c>
      <c r="R9141" s="33" t="s">
        <v>3474</v>
      </c>
      <c r="S9141">
        <v>35</v>
      </c>
      <c r="T9141" s="1" t="s">
        <v>5416</v>
      </c>
      <c r="U9141" s="1" t="str">
        <f>HYPERLINK("http://ictvonline.org/taxonomy/p/taxonomy-history?taxnode_id=202104665","ICTVonline=202104665")</f>
        <v>ICTVonline=202104665</v>
      </c>
    </row>
    <row r="9142" spans="1:21" x14ac:dyDescent="0.2">
      <c r="A9142" s="3">
        <v>9141</v>
      </c>
      <c r="B9142" s="1" t="s">
        <v>4226</v>
      </c>
      <c r="D9142" s="1" t="s">
        <v>5412</v>
      </c>
      <c r="F9142" s="1" t="s">
        <v>5637</v>
      </c>
      <c r="H9142" s="1" t="s">
        <v>5747</v>
      </c>
      <c r="J9142" s="1" t="s">
        <v>5748</v>
      </c>
      <c r="L9142" s="1" t="s">
        <v>460</v>
      </c>
      <c r="N9142" s="1" t="s">
        <v>567</v>
      </c>
      <c r="P9142" s="1" t="s">
        <v>439</v>
      </c>
      <c r="Q9142" s="30" t="s">
        <v>2567</v>
      </c>
      <c r="R9142" s="33" t="s">
        <v>3474</v>
      </c>
      <c r="S9142">
        <v>35</v>
      </c>
      <c r="T9142" s="1" t="s">
        <v>5416</v>
      </c>
      <c r="U9142" s="1" t="str">
        <f>HYPERLINK("http://ictvonline.org/taxonomy/p/taxonomy-history?taxnode_id=202104666","ICTVonline=202104666")</f>
        <v>ICTVonline=202104666</v>
      </c>
    </row>
    <row r="9143" spans="1:21" x14ac:dyDescent="0.2">
      <c r="A9143" s="3">
        <v>9142</v>
      </c>
      <c r="B9143" s="1" t="s">
        <v>4226</v>
      </c>
      <c r="D9143" s="1" t="s">
        <v>5412</v>
      </c>
      <c r="F9143" s="1" t="s">
        <v>5637</v>
      </c>
      <c r="H9143" s="1" t="s">
        <v>5747</v>
      </c>
      <c r="J9143" s="1" t="s">
        <v>5748</v>
      </c>
      <c r="L9143" s="1" t="s">
        <v>460</v>
      </c>
      <c r="N9143" s="1" t="s">
        <v>567</v>
      </c>
      <c r="P9143" s="1" t="s">
        <v>1473</v>
      </c>
      <c r="Q9143" s="30" t="s">
        <v>2567</v>
      </c>
      <c r="R9143" s="33" t="s">
        <v>3474</v>
      </c>
      <c r="S9143">
        <v>35</v>
      </c>
      <c r="T9143" s="1" t="s">
        <v>5416</v>
      </c>
      <c r="U9143" s="1" t="str">
        <f>HYPERLINK("http://ictvonline.org/taxonomy/p/taxonomy-history?taxnode_id=202104667","ICTVonline=202104667")</f>
        <v>ICTVonline=202104667</v>
      </c>
    </row>
    <row r="9144" spans="1:21" x14ac:dyDescent="0.2">
      <c r="A9144" s="3">
        <v>9143</v>
      </c>
      <c r="B9144" s="1" t="s">
        <v>4226</v>
      </c>
      <c r="D9144" s="1" t="s">
        <v>5412</v>
      </c>
      <c r="F9144" s="1" t="s">
        <v>5637</v>
      </c>
      <c r="H9144" s="1" t="s">
        <v>5747</v>
      </c>
      <c r="J9144" s="1" t="s">
        <v>5748</v>
      </c>
      <c r="L9144" s="1" t="s">
        <v>460</v>
      </c>
      <c r="N9144" s="1" t="s">
        <v>567</v>
      </c>
      <c r="P9144" s="1" t="s">
        <v>1474</v>
      </c>
      <c r="Q9144" s="30" t="s">
        <v>2567</v>
      </c>
      <c r="R9144" s="33" t="s">
        <v>3474</v>
      </c>
      <c r="S9144">
        <v>35</v>
      </c>
      <c r="T9144" s="1" t="s">
        <v>5416</v>
      </c>
      <c r="U9144" s="1" t="str">
        <f>HYPERLINK("http://ictvonline.org/taxonomy/p/taxonomy-history?taxnode_id=202104668","ICTVonline=202104668")</f>
        <v>ICTVonline=202104668</v>
      </c>
    </row>
    <row r="9145" spans="1:21" x14ac:dyDescent="0.2">
      <c r="A9145" s="3">
        <v>9144</v>
      </c>
      <c r="B9145" s="1" t="s">
        <v>4226</v>
      </c>
      <c r="D9145" s="1" t="s">
        <v>5412</v>
      </c>
      <c r="F9145" s="1" t="s">
        <v>5637</v>
      </c>
      <c r="H9145" s="1" t="s">
        <v>5747</v>
      </c>
      <c r="J9145" s="1" t="s">
        <v>5748</v>
      </c>
      <c r="L9145" s="1" t="s">
        <v>460</v>
      </c>
      <c r="N9145" s="1" t="s">
        <v>567</v>
      </c>
      <c r="P9145" s="1" t="s">
        <v>490</v>
      </c>
      <c r="Q9145" s="30" t="s">
        <v>2567</v>
      </c>
      <c r="R9145" s="33" t="s">
        <v>3474</v>
      </c>
      <c r="S9145">
        <v>35</v>
      </c>
      <c r="T9145" s="1" t="s">
        <v>5416</v>
      </c>
      <c r="U9145" s="1" t="str">
        <f>HYPERLINK("http://ictvonline.org/taxonomy/p/taxonomy-history?taxnode_id=202104669","ICTVonline=202104669")</f>
        <v>ICTVonline=202104669</v>
      </c>
    </row>
    <row r="9146" spans="1:21" x14ac:dyDescent="0.2">
      <c r="A9146" s="3">
        <v>9145</v>
      </c>
      <c r="B9146" s="1" t="s">
        <v>4226</v>
      </c>
      <c r="D9146" s="1" t="s">
        <v>5412</v>
      </c>
      <c r="F9146" s="1" t="s">
        <v>5637</v>
      </c>
      <c r="H9146" s="1" t="s">
        <v>5747</v>
      </c>
      <c r="J9146" s="1" t="s">
        <v>5748</v>
      </c>
      <c r="L9146" s="1" t="s">
        <v>460</v>
      </c>
      <c r="N9146" s="1" t="s">
        <v>567</v>
      </c>
      <c r="P9146" s="1" t="s">
        <v>491</v>
      </c>
      <c r="Q9146" s="30" t="s">
        <v>2567</v>
      </c>
      <c r="R9146" s="33" t="s">
        <v>8665</v>
      </c>
      <c r="S9146">
        <v>36</v>
      </c>
      <c r="T9146" s="1" t="s">
        <v>8661</v>
      </c>
      <c r="U9146" s="1" t="str">
        <f>HYPERLINK("http://ictvonline.org/taxonomy/p/taxonomy-history?taxnode_id=202104670","ICTVonline=202104670")</f>
        <v>ICTVonline=202104670</v>
      </c>
    </row>
    <row r="9147" spans="1:21" x14ac:dyDescent="0.2">
      <c r="A9147" s="3">
        <v>9146</v>
      </c>
      <c r="B9147" s="1" t="s">
        <v>4226</v>
      </c>
      <c r="D9147" s="1" t="s">
        <v>5412</v>
      </c>
      <c r="F9147" s="1" t="s">
        <v>5637</v>
      </c>
      <c r="H9147" s="1" t="s">
        <v>5747</v>
      </c>
      <c r="J9147" s="1" t="s">
        <v>5748</v>
      </c>
      <c r="L9147" s="1" t="s">
        <v>460</v>
      </c>
      <c r="N9147" s="1" t="s">
        <v>567</v>
      </c>
      <c r="P9147" s="1" t="s">
        <v>5766</v>
      </c>
      <c r="Q9147" s="30" t="s">
        <v>2567</v>
      </c>
      <c r="R9147" s="33" t="s">
        <v>3472</v>
      </c>
      <c r="S9147">
        <v>35</v>
      </c>
      <c r="T9147" s="1" t="s">
        <v>5759</v>
      </c>
      <c r="U9147" s="1" t="str">
        <f>HYPERLINK("http://ictvonline.org/taxonomy/p/taxonomy-history?taxnode_id=202107438","ICTVonline=202107438")</f>
        <v>ICTVonline=202107438</v>
      </c>
    </row>
    <row r="9148" spans="1:21" x14ac:dyDescent="0.2">
      <c r="A9148" s="3">
        <v>9147</v>
      </c>
      <c r="B9148" s="1" t="s">
        <v>4226</v>
      </c>
      <c r="D9148" s="1" t="s">
        <v>5412</v>
      </c>
      <c r="F9148" s="1" t="s">
        <v>5637</v>
      </c>
      <c r="H9148" s="1" t="s">
        <v>5747</v>
      </c>
      <c r="J9148" s="1" t="s">
        <v>5748</v>
      </c>
      <c r="L9148" s="1" t="s">
        <v>460</v>
      </c>
      <c r="N9148" s="1" t="s">
        <v>567</v>
      </c>
      <c r="P9148" s="1" t="s">
        <v>13748</v>
      </c>
      <c r="Q9148" s="30" t="s">
        <v>2567</v>
      </c>
      <c r="R9148" s="33" t="s">
        <v>3472</v>
      </c>
      <c r="S9148">
        <v>37</v>
      </c>
      <c r="T9148" s="1" t="s">
        <v>14064</v>
      </c>
      <c r="U9148" s="1" t="str">
        <f>HYPERLINK("http://ictvonline.org/taxonomy/p/taxonomy-history?taxnode_id=202113835","ICTVonline=202113835")</f>
        <v>ICTVonline=202113835</v>
      </c>
    </row>
    <row r="9149" spans="1:21" x14ac:dyDescent="0.2">
      <c r="A9149" s="3">
        <v>9148</v>
      </c>
      <c r="B9149" s="1" t="s">
        <v>4226</v>
      </c>
      <c r="D9149" s="1" t="s">
        <v>5412</v>
      </c>
      <c r="F9149" s="1" t="s">
        <v>5637</v>
      </c>
      <c r="H9149" s="1" t="s">
        <v>5747</v>
      </c>
      <c r="J9149" s="1" t="s">
        <v>5748</v>
      </c>
      <c r="L9149" s="1" t="s">
        <v>460</v>
      </c>
      <c r="N9149" s="1" t="s">
        <v>567</v>
      </c>
      <c r="P9149" s="1" t="s">
        <v>13749</v>
      </c>
      <c r="Q9149" s="30" t="s">
        <v>2567</v>
      </c>
      <c r="R9149" s="33" t="s">
        <v>3472</v>
      </c>
      <c r="S9149">
        <v>37</v>
      </c>
      <c r="T9149" s="1" t="s">
        <v>14064</v>
      </c>
      <c r="U9149" s="1" t="str">
        <f>HYPERLINK("http://ictvonline.org/taxonomy/p/taxonomy-history?taxnode_id=202113836","ICTVonline=202113836")</f>
        <v>ICTVonline=202113836</v>
      </c>
    </row>
    <row r="9150" spans="1:21" x14ac:dyDescent="0.2">
      <c r="A9150" s="3">
        <v>9149</v>
      </c>
      <c r="B9150" s="1" t="s">
        <v>4226</v>
      </c>
      <c r="D9150" s="1" t="s">
        <v>5412</v>
      </c>
      <c r="F9150" s="1" t="s">
        <v>5637</v>
      </c>
      <c r="H9150" s="1" t="s">
        <v>5747</v>
      </c>
      <c r="J9150" s="1" t="s">
        <v>5748</v>
      </c>
      <c r="L9150" s="1" t="s">
        <v>460</v>
      </c>
      <c r="N9150" s="1" t="s">
        <v>567</v>
      </c>
      <c r="P9150" s="1" t="s">
        <v>13750</v>
      </c>
      <c r="Q9150" s="30" t="s">
        <v>2567</v>
      </c>
      <c r="R9150" s="33" t="s">
        <v>3472</v>
      </c>
      <c r="S9150">
        <v>37</v>
      </c>
      <c r="T9150" s="1" t="s">
        <v>14064</v>
      </c>
      <c r="U9150" s="1" t="str">
        <f>HYPERLINK("http://ictvonline.org/taxonomy/p/taxonomy-history?taxnode_id=202113838","ICTVonline=202113838")</f>
        <v>ICTVonline=202113838</v>
      </c>
    </row>
    <row r="9151" spans="1:21" x14ac:dyDescent="0.2">
      <c r="A9151" s="3">
        <v>9150</v>
      </c>
      <c r="B9151" s="1" t="s">
        <v>4226</v>
      </c>
      <c r="D9151" s="1" t="s">
        <v>5412</v>
      </c>
      <c r="F9151" s="1" t="s">
        <v>5637</v>
      </c>
      <c r="H9151" s="1" t="s">
        <v>5747</v>
      </c>
      <c r="J9151" s="1" t="s">
        <v>5748</v>
      </c>
      <c r="L9151" s="1" t="s">
        <v>460</v>
      </c>
      <c r="N9151" s="1" t="s">
        <v>567</v>
      </c>
      <c r="P9151" s="1" t="s">
        <v>13751</v>
      </c>
      <c r="Q9151" s="30" t="s">
        <v>2567</v>
      </c>
      <c r="R9151" s="33" t="s">
        <v>3472</v>
      </c>
      <c r="S9151">
        <v>37</v>
      </c>
      <c r="T9151" s="1" t="s">
        <v>14064</v>
      </c>
      <c r="U9151" s="1" t="str">
        <f>HYPERLINK("http://ictvonline.org/taxonomy/p/taxonomy-history?taxnode_id=202113837","ICTVonline=202113837")</f>
        <v>ICTVonline=202113837</v>
      </c>
    </row>
    <row r="9152" spans="1:21" x14ac:dyDescent="0.2">
      <c r="A9152" s="3">
        <v>9151</v>
      </c>
      <c r="B9152" s="1" t="s">
        <v>4226</v>
      </c>
      <c r="D9152" s="1" t="s">
        <v>5412</v>
      </c>
      <c r="F9152" s="1" t="s">
        <v>5637</v>
      </c>
      <c r="H9152" s="1" t="s">
        <v>5747</v>
      </c>
      <c r="J9152" s="1" t="s">
        <v>5748</v>
      </c>
      <c r="L9152" s="1" t="s">
        <v>460</v>
      </c>
      <c r="N9152" s="1" t="s">
        <v>567</v>
      </c>
      <c r="P9152" s="1" t="s">
        <v>13752</v>
      </c>
      <c r="Q9152" s="30" t="s">
        <v>2567</v>
      </c>
      <c r="R9152" s="33" t="s">
        <v>3472</v>
      </c>
      <c r="S9152">
        <v>37</v>
      </c>
      <c r="T9152" s="1" t="s">
        <v>14064</v>
      </c>
      <c r="U9152" s="1" t="str">
        <f>HYPERLINK("http://ictvonline.org/taxonomy/p/taxonomy-history?taxnode_id=202113839","ICTVonline=202113839")</f>
        <v>ICTVonline=202113839</v>
      </c>
    </row>
    <row r="9153" spans="1:21" x14ac:dyDescent="0.2">
      <c r="A9153" s="3">
        <v>9152</v>
      </c>
      <c r="B9153" s="1" t="s">
        <v>4226</v>
      </c>
      <c r="D9153" s="1" t="s">
        <v>5412</v>
      </c>
      <c r="F9153" s="1" t="s">
        <v>5637</v>
      </c>
      <c r="H9153" s="1" t="s">
        <v>5747</v>
      </c>
      <c r="J9153" s="1" t="s">
        <v>5748</v>
      </c>
      <c r="L9153" s="1" t="s">
        <v>460</v>
      </c>
      <c r="N9153" s="1" t="s">
        <v>567</v>
      </c>
      <c r="P9153" s="1" t="s">
        <v>492</v>
      </c>
      <c r="Q9153" s="30" t="s">
        <v>2567</v>
      </c>
      <c r="R9153" s="33" t="s">
        <v>3474</v>
      </c>
      <c r="S9153">
        <v>35</v>
      </c>
      <c r="T9153" s="1" t="s">
        <v>5416</v>
      </c>
      <c r="U9153" s="1" t="str">
        <f>HYPERLINK("http://ictvonline.org/taxonomy/p/taxonomy-history?taxnode_id=202104671","ICTVonline=202104671")</f>
        <v>ICTVonline=202104671</v>
      </c>
    </row>
    <row r="9154" spans="1:21" x14ac:dyDescent="0.2">
      <c r="A9154" s="3">
        <v>9153</v>
      </c>
      <c r="B9154" s="1" t="s">
        <v>4226</v>
      </c>
      <c r="D9154" s="1" t="s">
        <v>5412</v>
      </c>
      <c r="F9154" s="1" t="s">
        <v>5637</v>
      </c>
      <c r="H9154" s="1" t="s">
        <v>5747</v>
      </c>
      <c r="J9154" s="1" t="s">
        <v>5748</v>
      </c>
      <c r="L9154" s="1" t="s">
        <v>460</v>
      </c>
      <c r="N9154" s="1" t="s">
        <v>567</v>
      </c>
      <c r="P9154" s="1" t="s">
        <v>1355</v>
      </c>
      <c r="Q9154" s="30" t="s">
        <v>2567</v>
      </c>
      <c r="R9154" s="33" t="s">
        <v>3474</v>
      </c>
      <c r="S9154">
        <v>35</v>
      </c>
      <c r="T9154" s="1" t="s">
        <v>5416</v>
      </c>
      <c r="U9154" s="1" t="str">
        <f>HYPERLINK("http://ictvonline.org/taxonomy/p/taxonomy-history?taxnode_id=202104672","ICTVonline=202104672")</f>
        <v>ICTVonline=202104672</v>
      </c>
    </row>
    <row r="9155" spans="1:21" x14ac:dyDescent="0.2">
      <c r="A9155" s="3">
        <v>9154</v>
      </c>
      <c r="B9155" s="1" t="s">
        <v>4226</v>
      </c>
      <c r="D9155" s="1" t="s">
        <v>5412</v>
      </c>
      <c r="F9155" s="1" t="s">
        <v>5637</v>
      </c>
      <c r="H9155" s="1" t="s">
        <v>5747</v>
      </c>
      <c r="J9155" s="1" t="s">
        <v>5748</v>
      </c>
      <c r="L9155" s="1" t="s">
        <v>460</v>
      </c>
      <c r="N9155" s="1" t="s">
        <v>567</v>
      </c>
      <c r="P9155" s="1" t="s">
        <v>1356</v>
      </c>
      <c r="Q9155" s="30" t="s">
        <v>2567</v>
      </c>
      <c r="R9155" s="33" t="s">
        <v>3474</v>
      </c>
      <c r="S9155">
        <v>35</v>
      </c>
      <c r="T9155" s="1" t="s">
        <v>5416</v>
      </c>
      <c r="U9155" s="1" t="str">
        <f>HYPERLINK("http://ictvonline.org/taxonomy/p/taxonomy-history?taxnode_id=202104673","ICTVonline=202104673")</f>
        <v>ICTVonline=202104673</v>
      </c>
    </row>
    <row r="9156" spans="1:21" x14ac:dyDescent="0.2">
      <c r="A9156" s="3">
        <v>9155</v>
      </c>
      <c r="B9156" s="1" t="s">
        <v>4226</v>
      </c>
      <c r="D9156" s="1" t="s">
        <v>5412</v>
      </c>
      <c r="F9156" s="1" t="s">
        <v>5637</v>
      </c>
      <c r="H9156" s="1" t="s">
        <v>5747</v>
      </c>
      <c r="J9156" s="1" t="s">
        <v>5748</v>
      </c>
      <c r="L9156" s="1" t="s">
        <v>460</v>
      </c>
      <c r="N9156" s="1" t="s">
        <v>567</v>
      </c>
      <c r="P9156" s="1" t="s">
        <v>364</v>
      </c>
      <c r="Q9156" s="30" t="s">
        <v>2567</v>
      </c>
      <c r="R9156" s="33" t="s">
        <v>3474</v>
      </c>
      <c r="S9156">
        <v>35</v>
      </c>
      <c r="T9156" s="1" t="s">
        <v>5416</v>
      </c>
      <c r="U9156" s="1" t="str">
        <f>HYPERLINK("http://ictvonline.org/taxonomy/p/taxonomy-history?taxnode_id=202104674","ICTVonline=202104674")</f>
        <v>ICTVonline=202104674</v>
      </c>
    </row>
    <row r="9157" spans="1:21" x14ac:dyDescent="0.2">
      <c r="A9157" s="3">
        <v>9156</v>
      </c>
      <c r="B9157" s="1" t="s">
        <v>4226</v>
      </c>
      <c r="D9157" s="1" t="s">
        <v>5412</v>
      </c>
      <c r="F9157" s="1" t="s">
        <v>5637</v>
      </c>
      <c r="H9157" s="1" t="s">
        <v>5747</v>
      </c>
      <c r="J9157" s="1" t="s">
        <v>5748</v>
      </c>
      <c r="L9157" s="1" t="s">
        <v>460</v>
      </c>
      <c r="N9157" s="1" t="s">
        <v>567</v>
      </c>
      <c r="P9157" s="1" t="s">
        <v>4486</v>
      </c>
      <c r="Q9157" s="30" t="s">
        <v>2567</v>
      </c>
      <c r="R9157" s="33" t="s">
        <v>3474</v>
      </c>
      <c r="S9157">
        <v>35</v>
      </c>
      <c r="T9157" s="1" t="s">
        <v>5416</v>
      </c>
      <c r="U9157" s="1" t="str">
        <f>HYPERLINK("http://ictvonline.org/taxonomy/p/taxonomy-history?taxnode_id=202106675","ICTVonline=202106675")</f>
        <v>ICTVonline=202106675</v>
      </c>
    </row>
    <row r="9158" spans="1:21" x14ac:dyDescent="0.2">
      <c r="A9158" s="3">
        <v>9157</v>
      </c>
      <c r="B9158" s="1" t="s">
        <v>4226</v>
      </c>
      <c r="D9158" s="1" t="s">
        <v>5412</v>
      </c>
      <c r="F9158" s="1" t="s">
        <v>5637</v>
      </c>
      <c r="H9158" s="1" t="s">
        <v>5747</v>
      </c>
      <c r="J9158" s="1" t="s">
        <v>5748</v>
      </c>
      <c r="L9158" s="1" t="s">
        <v>460</v>
      </c>
      <c r="N9158" s="1" t="s">
        <v>567</v>
      </c>
      <c r="P9158" s="1" t="s">
        <v>365</v>
      </c>
      <c r="Q9158" s="30" t="s">
        <v>2567</v>
      </c>
      <c r="R9158" s="33" t="s">
        <v>3474</v>
      </c>
      <c r="S9158">
        <v>35</v>
      </c>
      <c r="T9158" s="1" t="s">
        <v>5416</v>
      </c>
      <c r="U9158" s="1" t="str">
        <f>HYPERLINK("http://ictvonline.org/taxonomy/p/taxonomy-history?taxnode_id=202104675","ICTVonline=202104675")</f>
        <v>ICTVonline=202104675</v>
      </c>
    </row>
    <row r="9159" spans="1:21" x14ac:dyDescent="0.2">
      <c r="A9159" s="3">
        <v>9158</v>
      </c>
      <c r="B9159" s="1" t="s">
        <v>4226</v>
      </c>
      <c r="D9159" s="1" t="s">
        <v>5412</v>
      </c>
      <c r="F9159" s="1" t="s">
        <v>5637</v>
      </c>
      <c r="H9159" s="1" t="s">
        <v>5747</v>
      </c>
      <c r="J9159" s="1" t="s">
        <v>5748</v>
      </c>
      <c r="L9159" s="1" t="s">
        <v>460</v>
      </c>
      <c r="N9159" s="1" t="s">
        <v>567</v>
      </c>
      <c r="P9159" s="1" t="s">
        <v>366</v>
      </c>
      <c r="Q9159" s="30" t="s">
        <v>2567</v>
      </c>
      <c r="R9159" s="33" t="s">
        <v>3474</v>
      </c>
      <c r="S9159">
        <v>35</v>
      </c>
      <c r="T9159" s="1" t="s">
        <v>5416</v>
      </c>
      <c r="U9159" s="1" t="str">
        <f>HYPERLINK("http://ictvonline.org/taxonomy/p/taxonomy-history?taxnode_id=202104676","ICTVonline=202104676")</f>
        <v>ICTVonline=202104676</v>
      </c>
    </row>
    <row r="9160" spans="1:21" x14ac:dyDescent="0.2">
      <c r="A9160" s="3">
        <v>9159</v>
      </c>
      <c r="B9160" s="1" t="s">
        <v>4226</v>
      </c>
      <c r="D9160" s="1" t="s">
        <v>5412</v>
      </c>
      <c r="F9160" s="1" t="s">
        <v>5637</v>
      </c>
      <c r="H9160" s="1" t="s">
        <v>5747</v>
      </c>
      <c r="J9160" s="1" t="s">
        <v>5748</v>
      </c>
      <c r="L9160" s="1" t="s">
        <v>460</v>
      </c>
      <c r="N9160" s="1" t="s">
        <v>567</v>
      </c>
      <c r="P9160" s="1" t="s">
        <v>367</v>
      </c>
      <c r="Q9160" s="30" t="s">
        <v>2567</v>
      </c>
      <c r="R9160" s="33" t="s">
        <v>3474</v>
      </c>
      <c r="S9160">
        <v>35</v>
      </c>
      <c r="T9160" s="1" t="s">
        <v>5416</v>
      </c>
      <c r="U9160" s="1" t="str">
        <f>HYPERLINK("http://ictvonline.org/taxonomy/p/taxonomy-history?taxnode_id=202104677","ICTVonline=202104677")</f>
        <v>ICTVonline=202104677</v>
      </c>
    </row>
    <row r="9161" spans="1:21" x14ac:dyDescent="0.2">
      <c r="A9161" s="3">
        <v>9160</v>
      </c>
      <c r="B9161" s="1" t="s">
        <v>4226</v>
      </c>
      <c r="D9161" s="1" t="s">
        <v>5412</v>
      </c>
      <c r="F9161" s="1" t="s">
        <v>5637</v>
      </c>
      <c r="H9161" s="1" t="s">
        <v>5747</v>
      </c>
      <c r="J9161" s="1" t="s">
        <v>5748</v>
      </c>
      <c r="L9161" s="1" t="s">
        <v>460</v>
      </c>
      <c r="N9161" s="1" t="s">
        <v>567</v>
      </c>
      <c r="P9161" s="1" t="s">
        <v>1359</v>
      </c>
      <c r="Q9161" s="30" t="s">
        <v>2567</v>
      </c>
      <c r="R9161" s="33" t="s">
        <v>3474</v>
      </c>
      <c r="S9161">
        <v>35</v>
      </c>
      <c r="T9161" s="1" t="s">
        <v>5416</v>
      </c>
      <c r="U9161" s="1" t="str">
        <f>HYPERLINK("http://ictvonline.org/taxonomy/p/taxonomy-history?taxnode_id=202104678","ICTVonline=202104678")</f>
        <v>ICTVonline=202104678</v>
      </c>
    </row>
    <row r="9162" spans="1:21" x14ac:dyDescent="0.2">
      <c r="A9162" s="3">
        <v>9161</v>
      </c>
      <c r="B9162" s="1" t="s">
        <v>4226</v>
      </c>
      <c r="D9162" s="1" t="s">
        <v>5412</v>
      </c>
      <c r="F9162" s="1" t="s">
        <v>5637</v>
      </c>
      <c r="H9162" s="1" t="s">
        <v>5747</v>
      </c>
      <c r="J9162" s="1" t="s">
        <v>5748</v>
      </c>
      <c r="L9162" s="1" t="s">
        <v>460</v>
      </c>
      <c r="N9162" s="1" t="s">
        <v>567</v>
      </c>
      <c r="P9162" s="1" t="s">
        <v>1360</v>
      </c>
      <c r="Q9162" s="30" t="s">
        <v>2567</v>
      </c>
      <c r="R9162" s="33" t="s">
        <v>3474</v>
      </c>
      <c r="S9162">
        <v>35</v>
      </c>
      <c r="T9162" s="1" t="s">
        <v>5416</v>
      </c>
      <c r="U9162" s="1" t="str">
        <f>HYPERLINK("http://ictvonline.org/taxonomy/p/taxonomy-history?taxnode_id=202104679","ICTVonline=202104679")</f>
        <v>ICTVonline=202104679</v>
      </c>
    </row>
    <row r="9163" spans="1:21" x14ac:dyDescent="0.2">
      <c r="A9163" s="3">
        <v>9162</v>
      </c>
      <c r="B9163" s="1" t="s">
        <v>4226</v>
      </c>
      <c r="D9163" s="1" t="s">
        <v>5412</v>
      </c>
      <c r="F9163" s="1" t="s">
        <v>5637</v>
      </c>
      <c r="H9163" s="1" t="s">
        <v>5747</v>
      </c>
      <c r="J9163" s="1" t="s">
        <v>5748</v>
      </c>
      <c r="L9163" s="1" t="s">
        <v>460</v>
      </c>
      <c r="N9163" s="1" t="s">
        <v>567</v>
      </c>
      <c r="P9163" s="1" t="s">
        <v>1764</v>
      </c>
      <c r="Q9163" s="30" t="s">
        <v>2567</v>
      </c>
      <c r="R9163" s="33" t="s">
        <v>3474</v>
      </c>
      <c r="S9163">
        <v>35</v>
      </c>
      <c r="T9163" s="1" t="s">
        <v>5416</v>
      </c>
      <c r="U9163" s="1" t="str">
        <f>HYPERLINK("http://ictvonline.org/taxonomy/p/taxonomy-history?taxnode_id=202104680","ICTVonline=202104680")</f>
        <v>ICTVonline=202104680</v>
      </c>
    </row>
    <row r="9164" spans="1:21" x14ac:dyDescent="0.2">
      <c r="A9164" s="3">
        <v>9163</v>
      </c>
      <c r="B9164" s="1" t="s">
        <v>4226</v>
      </c>
      <c r="D9164" s="1" t="s">
        <v>5412</v>
      </c>
      <c r="F9164" s="1" t="s">
        <v>5637</v>
      </c>
      <c r="H9164" s="1" t="s">
        <v>5747</v>
      </c>
      <c r="J9164" s="1" t="s">
        <v>5748</v>
      </c>
      <c r="L9164" s="1" t="s">
        <v>460</v>
      </c>
      <c r="N9164" s="1" t="s">
        <v>567</v>
      </c>
      <c r="P9164" s="1" t="s">
        <v>4487</v>
      </c>
      <c r="Q9164" s="30" t="s">
        <v>2567</v>
      </c>
      <c r="R9164" s="33" t="s">
        <v>3474</v>
      </c>
      <c r="S9164">
        <v>35</v>
      </c>
      <c r="T9164" s="1" t="s">
        <v>5416</v>
      </c>
      <c r="U9164" s="1" t="str">
        <f>HYPERLINK("http://ictvonline.org/taxonomy/p/taxonomy-history?taxnode_id=202106676","ICTVonline=202106676")</f>
        <v>ICTVonline=202106676</v>
      </c>
    </row>
    <row r="9165" spans="1:21" x14ac:dyDescent="0.2">
      <c r="A9165" s="3">
        <v>9164</v>
      </c>
      <c r="B9165" s="1" t="s">
        <v>4226</v>
      </c>
      <c r="D9165" s="1" t="s">
        <v>5412</v>
      </c>
      <c r="F9165" s="1" t="s">
        <v>5637</v>
      </c>
      <c r="H9165" s="1" t="s">
        <v>5747</v>
      </c>
      <c r="J9165" s="1" t="s">
        <v>5748</v>
      </c>
      <c r="L9165" s="1" t="s">
        <v>460</v>
      </c>
      <c r="N9165" s="1" t="s">
        <v>567</v>
      </c>
      <c r="P9165" s="1" t="s">
        <v>1361</v>
      </c>
      <c r="Q9165" s="30" t="s">
        <v>2567</v>
      </c>
      <c r="R9165" s="33" t="s">
        <v>3474</v>
      </c>
      <c r="S9165">
        <v>35</v>
      </c>
      <c r="T9165" s="1" t="s">
        <v>5416</v>
      </c>
      <c r="U9165" s="1" t="str">
        <f>HYPERLINK("http://ictvonline.org/taxonomy/p/taxonomy-history?taxnode_id=202104681","ICTVonline=202104681")</f>
        <v>ICTVonline=202104681</v>
      </c>
    </row>
    <row r="9166" spans="1:21" x14ac:dyDescent="0.2">
      <c r="A9166" s="3">
        <v>9165</v>
      </c>
      <c r="B9166" s="1" t="s">
        <v>4226</v>
      </c>
      <c r="D9166" s="1" t="s">
        <v>5412</v>
      </c>
      <c r="F9166" s="1" t="s">
        <v>5637</v>
      </c>
      <c r="H9166" s="1" t="s">
        <v>5747</v>
      </c>
      <c r="J9166" s="1" t="s">
        <v>5748</v>
      </c>
      <c r="L9166" s="1" t="s">
        <v>460</v>
      </c>
      <c r="N9166" s="1" t="s">
        <v>567</v>
      </c>
      <c r="P9166" s="1" t="s">
        <v>192</v>
      </c>
      <c r="Q9166" s="30" t="s">
        <v>2567</v>
      </c>
      <c r="R9166" s="33" t="s">
        <v>3474</v>
      </c>
      <c r="S9166">
        <v>35</v>
      </c>
      <c r="T9166" s="1" t="s">
        <v>5416</v>
      </c>
      <c r="U9166" s="1" t="str">
        <f>HYPERLINK("http://ictvonline.org/taxonomy/p/taxonomy-history?taxnode_id=202104682","ICTVonline=202104682")</f>
        <v>ICTVonline=202104682</v>
      </c>
    </row>
    <row r="9167" spans="1:21" x14ac:dyDescent="0.2">
      <c r="A9167" s="3">
        <v>9166</v>
      </c>
      <c r="B9167" s="1" t="s">
        <v>4226</v>
      </c>
      <c r="D9167" s="1" t="s">
        <v>5412</v>
      </c>
      <c r="F9167" s="1" t="s">
        <v>5637</v>
      </c>
      <c r="H9167" s="1" t="s">
        <v>5747</v>
      </c>
      <c r="J9167" s="1" t="s">
        <v>5748</v>
      </c>
      <c r="L9167" s="1" t="s">
        <v>460</v>
      </c>
      <c r="N9167" s="1" t="s">
        <v>567</v>
      </c>
      <c r="P9167" s="1" t="s">
        <v>3025</v>
      </c>
      <c r="Q9167" s="30" t="s">
        <v>2567</v>
      </c>
      <c r="R9167" s="33" t="s">
        <v>3474</v>
      </c>
      <c r="S9167">
        <v>35</v>
      </c>
      <c r="T9167" s="1" t="s">
        <v>5416</v>
      </c>
      <c r="U9167" s="1" t="str">
        <f>HYPERLINK("http://ictvonline.org/taxonomy/p/taxonomy-history?taxnode_id=202104683","ICTVonline=202104683")</f>
        <v>ICTVonline=202104683</v>
      </c>
    </row>
    <row r="9168" spans="1:21" x14ac:dyDescent="0.2">
      <c r="A9168" s="3">
        <v>9167</v>
      </c>
      <c r="B9168" s="1" t="s">
        <v>4226</v>
      </c>
      <c r="D9168" s="1" t="s">
        <v>5412</v>
      </c>
      <c r="F9168" s="1" t="s">
        <v>5637</v>
      </c>
      <c r="H9168" s="1" t="s">
        <v>5747</v>
      </c>
      <c r="J9168" s="1" t="s">
        <v>5748</v>
      </c>
      <c r="L9168" s="1" t="s">
        <v>460</v>
      </c>
      <c r="N9168" s="1" t="s">
        <v>567</v>
      </c>
      <c r="P9168" s="1" t="s">
        <v>1362</v>
      </c>
      <c r="Q9168" s="30" t="s">
        <v>2567</v>
      </c>
      <c r="R9168" s="33" t="s">
        <v>3474</v>
      </c>
      <c r="S9168">
        <v>35</v>
      </c>
      <c r="T9168" s="1" t="s">
        <v>5416</v>
      </c>
      <c r="U9168" s="1" t="str">
        <f>HYPERLINK("http://ictvonline.org/taxonomy/p/taxonomy-history?taxnode_id=202104684","ICTVonline=202104684")</f>
        <v>ICTVonline=202104684</v>
      </c>
    </row>
    <row r="9169" spans="1:21" x14ac:dyDescent="0.2">
      <c r="A9169" s="3">
        <v>9168</v>
      </c>
      <c r="B9169" s="1" t="s">
        <v>4226</v>
      </c>
      <c r="D9169" s="1" t="s">
        <v>5412</v>
      </c>
      <c r="F9169" s="1" t="s">
        <v>5637</v>
      </c>
      <c r="H9169" s="1" t="s">
        <v>5747</v>
      </c>
      <c r="J9169" s="1" t="s">
        <v>5748</v>
      </c>
      <c r="L9169" s="1" t="s">
        <v>460</v>
      </c>
      <c r="N9169" s="1" t="s">
        <v>567</v>
      </c>
      <c r="P9169" s="1" t="s">
        <v>3949</v>
      </c>
      <c r="Q9169" s="30" t="s">
        <v>2567</v>
      </c>
      <c r="R9169" s="33" t="s">
        <v>3474</v>
      </c>
      <c r="S9169">
        <v>35</v>
      </c>
      <c r="T9169" s="1" t="s">
        <v>5416</v>
      </c>
      <c r="U9169" s="1" t="str">
        <f>HYPERLINK("http://ictvonline.org/taxonomy/p/taxonomy-history?taxnode_id=202105923","ICTVonline=202105923")</f>
        <v>ICTVonline=202105923</v>
      </c>
    </row>
    <row r="9170" spans="1:21" x14ac:dyDescent="0.2">
      <c r="A9170" s="3">
        <v>9169</v>
      </c>
      <c r="B9170" s="1" t="s">
        <v>4226</v>
      </c>
      <c r="D9170" s="1" t="s">
        <v>5412</v>
      </c>
      <c r="F9170" s="1" t="s">
        <v>5637</v>
      </c>
      <c r="H9170" s="1" t="s">
        <v>5747</v>
      </c>
      <c r="J9170" s="1" t="s">
        <v>5748</v>
      </c>
      <c r="L9170" s="1" t="s">
        <v>460</v>
      </c>
      <c r="N9170" s="1" t="s">
        <v>567</v>
      </c>
      <c r="P9170" s="1" t="s">
        <v>1363</v>
      </c>
      <c r="Q9170" s="30" t="s">
        <v>2567</v>
      </c>
      <c r="R9170" s="33" t="s">
        <v>3474</v>
      </c>
      <c r="S9170">
        <v>35</v>
      </c>
      <c r="T9170" s="1" t="s">
        <v>5416</v>
      </c>
      <c r="U9170" s="1" t="str">
        <f>HYPERLINK("http://ictvonline.org/taxonomy/p/taxonomy-history?taxnode_id=202104685","ICTVonline=202104685")</f>
        <v>ICTVonline=202104685</v>
      </c>
    </row>
    <row r="9171" spans="1:21" x14ac:dyDescent="0.2">
      <c r="A9171" s="3">
        <v>9170</v>
      </c>
      <c r="B9171" s="1" t="s">
        <v>4226</v>
      </c>
      <c r="D9171" s="1" t="s">
        <v>5412</v>
      </c>
      <c r="F9171" s="1" t="s">
        <v>5637</v>
      </c>
      <c r="H9171" s="1" t="s">
        <v>5747</v>
      </c>
      <c r="J9171" s="1" t="s">
        <v>5748</v>
      </c>
      <c r="L9171" s="1" t="s">
        <v>460</v>
      </c>
      <c r="N9171" s="1" t="s">
        <v>567</v>
      </c>
      <c r="P9171" s="1" t="s">
        <v>1364</v>
      </c>
      <c r="Q9171" s="30" t="s">
        <v>2567</v>
      </c>
      <c r="R9171" s="33" t="s">
        <v>3474</v>
      </c>
      <c r="S9171">
        <v>35</v>
      </c>
      <c r="T9171" s="1" t="s">
        <v>5416</v>
      </c>
      <c r="U9171" s="1" t="str">
        <f>HYPERLINK("http://ictvonline.org/taxonomy/p/taxonomy-history?taxnode_id=202104686","ICTVonline=202104686")</f>
        <v>ICTVonline=202104686</v>
      </c>
    </row>
    <row r="9172" spans="1:21" x14ac:dyDescent="0.2">
      <c r="A9172" s="3">
        <v>9171</v>
      </c>
      <c r="B9172" s="1" t="s">
        <v>4226</v>
      </c>
      <c r="D9172" s="1" t="s">
        <v>5412</v>
      </c>
      <c r="F9172" s="1" t="s">
        <v>5637</v>
      </c>
      <c r="H9172" s="1" t="s">
        <v>5747</v>
      </c>
      <c r="J9172" s="1" t="s">
        <v>5748</v>
      </c>
      <c r="L9172" s="1" t="s">
        <v>460</v>
      </c>
      <c r="N9172" s="1" t="s">
        <v>567</v>
      </c>
      <c r="P9172" s="1" t="s">
        <v>242</v>
      </c>
      <c r="Q9172" s="30" t="s">
        <v>2567</v>
      </c>
      <c r="R9172" s="33" t="s">
        <v>3474</v>
      </c>
      <c r="S9172">
        <v>35</v>
      </c>
      <c r="T9172" s="1" t="s">
        <v>5416</v>
      </c>
      <c r="U9172" s="1" t="str">
        <f>HYPERLINK("http://ictvonline.org/taxonomy/p/taxonomy-history?taxnode_id=202104687","ICTVonline=202104687")</f>
        <v>ICTVonline=202104687</v>
      </c>
    </row>
    <row r="9173" spans="1:21" x14ac:dyDescent="0.2">
      <c r="A9173" s="3">
        <v>9172</v>
      </c>
      <c r="B9173" s="1" t="s">
        <v>4226</v>
      </c>
      <c r="D9173" s="1" t="s">
        <v>5412</v>
      </c>
      <c r="F9173" s="1" t="s">
        <v>5637</v>
      </c>
      <c r="H9173" s="1" t="s">
        <v>5747</v>
      </c>
      <c r="J9173" s="1" t="s">
        <v>5748</v>
      </c>
      <c r="L9173" s="1" t="s">
        <v>460</v>
      </c>
      <c r="N9173" s="1" t="s">
        <v>567</v>
      </c>
      <c r="P9173" s="1" t="s">
        <v>243</v>
      </c>
      <c r="Q9173" s="30" t="s">
        <v>2567</v>
      </c>
      <c r="R9173" s="33" t="s">
        <v>3474</v>
      </c>
      <c r="S9173">
        <v>35</v>
      </c>
      <c r="T9173" s="1" t="s">
        <v>5416</v>
      </c>
      <c r="U9173" s="1" t="str">
        <f>HYPERLINK("http://ictvonline.org/taxonomy/p/taxonomy-history?taxnode_id=202104688","ICTVonline=202104688")</f>
        <v>ICTVonline=202104688</v>
      </c>
    </row>
    <row r="9174" spans="1:21" x14ac:dyDescent="0.2">
      <c r="A9174" s="3">
        <v>9173</v>
      </c>
      <c r="B9174" s="1" t="s">
        <v>4226</v>
      </c>
      <c r="D9174" s="1" t="s">
        <v>5412</v>
      </c>
      <c r="F9174" s="1" t="s">
        <v>5637</v>
      </c>
      <c r="H9174" s="1" t="s">
        <v>5747</v>
      </c>
      <c r="J9174" s="1" t="s">
        <v>5748</v>
      </c>
      <c r="L9174" s="1" t="s">
        <v>460</v>
      </c>
      <c r="N9174" s="1" t="s">
        <v>567</v>
      </c>
      <c r="P9174" s="1" t="s">
        <v>193</v>
      </c>
      <c r="Q9174" s="30" t="s">
        <v>2567</v>
      </c>
      <c r="R9174" s="33" t="s">
        <v>3474</v>
      </c>
      <c r="S9174">
        <v>35</v>
      </c>
      <c r="T9174" s="1" t="s">
        <v>5416</v>
      </c>
      <c r="U9174" s="1" t="str">
        <f>HYPERLINK("http://ictvonline.org/taxonomy/p/taxonomy-history?taxnode_id=202104689","ICTVonline=202104689")</f>
        <v>ICTVonline=202104689</v>
      </c>
    </row>
    <row r="9175" spans="1:21" x14ac:dyDescent="0.2">
      <c r="A9175" s="3">
        <v>9174</v>
      </c>
      <c r="B9175" s="1" t="s">
        <v>4226</v>
      </c>
      <c r="D9175" s="1" t="s">
        <v>5412</v>
      </c>
      <c r="F9175" s="1" t="s">
        <v>5637</v>
      </c>
      <c r="H9175" s="1" t="s">
        <v>5747</v>
      </c>
      <c r="J9175" s="1" t="s">
        <v>5748</v>
      </c>
      <c r="L9175" s="1" t="s">
        <v>460</v>
      </c>
      <c r="N9175" s="1" t="s">
        <v>567</v>
      </c>
      <c r="P9175" s="1" t="s">
        <v>244</v>
      </c>
      <c r="Q9175" s="30" t="s">
        <v>2567</v>
      </c>
      <c r="R9175" s="33" t="s">
        <v>3474</v>
      </c>
      <c r="S9175">
        <v>35</v>
      </c>
      <c r="T9175" s="1" t="s">
        <v>5416</v>
      </c>
      <c r="U9175" s="1" t="str">
        <f>HYPERLINK("http://ictvonline.org/taxonomy/p/taxonomy-history?taxnode_id=202104690","ICTVonline=202104690")</f>
        <v>ICTVonline=202104690</v>
      </c>
    </row>
    <row r="9176" spans="1:21" x14ac:dyDescent="0.2">
      <c r="A9176" s="3">
        <v>9175</v>
      </c>
      <c r="B9176" s="1" t="s">
        <v>4226</v>
      </c>
      <c r="D9176" s="1" t="s">
        <v>5412</v>
      </c>
      <c r="F9176" s="1" t="s">
        <v>5637</v>
      </c>
      <c r="H9176" s="1" t="s">
        <v>5747</v>
      </c>
      <c r="J9176" s="1" t="s">
        <v>5748</v>
      </c>
      <c r="L9176" s="1" t="s">
        <v>460</v>
      </c>
      <c r="N9176" s="1" t="s">
        <v>567</v>
      </c>
      <c r="P9176" s="1" t="s">
        <v>3026</v>
      </c>
      <c r="Q9176" s="30" t="s">
        <v>2567</v>
      </c>
      <c r="R9176" s="33" t="s">
        <v>3474</v>
      </c>
      <c r="S9176">
        <v>35</v>
      </c>
      <c r="T9176" s="1" t="s">
        <v>5416</v>
      </c>
      <c r="U9176" s="1" t="str">
        <f>HYPERLINK("http://ictvonline.org/taxonomy/p/taxonomy-history?taxnode_id=202104691","ICTVonline=202104691")</f>
        <v>ICTVonline=202104691</v>
      </c>
    </row>
    <row r="9177" spans="1:21" x14ac:dyDescent="0.2">
      <c r="A9177" s="3">
        <v>9176</v>
      </c>
      <c r="B9177" s="1" t="s">
        <v>4226</v>
      </c>
      <c r="D9177" s="1" t="s">
        <v>5412</v>
      </c>
      <c r="F9177" s="1" t="s">
        <v>5637</v>
      </c>
      <c r="H9177" s="1" t="s">
        <v>5747</v>
      </c>
      <c r="J9177" s="1" t="s">
        <v>5748</v>
      </c>
      <c r="L9177" s="1" t="s">
        <v>460</v>
      </c>
      <c r="N9177" s="1" t="s">
        <v>567</v>
      </c>
      <c r="P9177" s="1" t="s">
        <v>245</v>
      </c>
      <c r="Q9177" s="30" t="s">
        <v>2567</v>
      </c>
      <c r="R9177" s="33" t="s">
        <v>3474</v>
      </c>
      <c r="S9177">
        <v>35</v>
      </c>
      <c r="T9177" s="1" t="s">
        <v>5416</v>
      </c>
      <c r="U9177" s="1" t="str">
        <f>HYPERLINK("http://ictvonline.org/taxonomy/p/taxonomy-history?taxnode_id=202104692","ICTVonline=202104692")</f>
        <v>ICTVonline=202104692</v>
      </c>
    </row>
    <row r="9178" spans="1:21" x14ac:dyDescent="0.2">
      <c r="A9178" s="3">
        <v>9177</v>
      </c>
      <c r="B9178" s="1" t="s">
        <v>4226</v>
      </c>
      <c r="D9178" s="1" t="s">
        <v>5412</v>
      </c>
      <c r="F9178" s="1" t="s">
        <v>5637</v>
      </c>
      <c r="H9178" s="1" t="s">
        <v>5747</v>
      </c>
      <c r="J9178" s="1" t="s">
        <v>5748</v>
      </c>
      <c r="L9178" s="1" t="s">
        <v>460</v>
      </c>
      <c r="N9178" s="1" t="s">
        <v>567</v>
      </c>
      <c r="P9178" s="1" t="s">
        <v>2003</v>
      </c>
      <c r="Q9178" s="30" t="s">
        <v>2567</v>
      </c>
      <c r="R9178" s="33" t="s">
        <v>3474</v>
      </c>
      <c r="S9178">
        <v>35</v>
      </c>
      <c r="T9178" s="1" t="s">
        <v>5416</v>
      </c>
      <c r="U9178" s="1" t="str">
        <f>HYPERLINK("http://ictvonline.org/taxonomy/p/taxonomy-history?taxnode_id=202104693","ICTVonline=202104693")</f>
        <v>ICTVonline=202104693</v>
      </c>
    </row>
    <row r="9179" spans="1:21" x14ac:dyDescent="0.2">
      <c r="A9179" s="3">
        <v>9178</v>
      </c>
      <c r="B9179" s="1" t="s">
        <v>4226</v>
      </c>
      <c r="D9179" s="1" t="s">
        <v>5412</v>
      </c>
      <c r="F9179" s="1" t="s">
        <v>5637</v>
      </c>
      <c r="H9179" s="1" t="s">
        <v>5747</v>
      </c>
      <c r="J9179" s="1" t="s">
        <v>5748</v>
      </c>
      <c r="L9179" s="1" t="s">
        <v>460</v>
      </c>
      <c r="N9179" s="1" t="s">
        <v>567</v>
      </c>
      <c r="P9179" s="1" t="s">
        <v>246</v>
      </c>
      <c r="Q9179" s="30" t="s">
        <v>2567</v>
      </c>
      <c r="R9179" s="33" t="s">
        <v>3474</v>
      </c>
      <c r="S9179">
        <v>35</v>
      </c>
      <c r="T9179" s="1" t="s">
        <v>5416</v>
      </c>
      <c r="U9179" s="1" t="str">
        <f>HYPERLINK("http://ictvonline.org/taxonomy/p/taxonomy-history?taxnode_id=202104694","ICTVonline=202104694")</f>
        <v>ICTVonline=202104694</v>
      </c>
    </row>
    <row r="9180" spans="1:21" x14ac:dyDescent="0.2">
      <c r="A9180" s="3">
        <v>9179</v>
      </c>
      <c r="B9180" s="1" t="s">
        <v>4226</v>
      </c>
      <c r="D9180" s="1" t="s">
        <v>5412</v>
      </c>
      <c r="F9180" s="1" t="s">
        <v>5637</v>
      </c>
      <c r="H9180" s="1" t="s">
        <v>5747</v>
      </c>
      <c r="J9180" s="1" t="s">
        <v>5748</v>
      </c>
      <c r="L9180" s="1" t="s">
        <v>460</v>
      </c>
      <c r="N9180" s="1" t="s">
        <v>567</v>
      </c>
      <c r="P9180" s="1" t="s">
        <v>247</v>
      </c>
      <c r="Q9180" s="30" t="s">
        <v>2567</v>
      </c>
      <c r="R9180" s="33" t="s">
        <v>3474</v>
      </c>
      <c r="S9180">
        <v>35</v>
      </c>
      <c r="T9180" s="1" t="s">
        <v>5416</v>
      </c>
      <c r="U9180" s="1" t="str">
        <f>HYPERLINK("http://ictvonline.org/taxonomy/p/taxonomy-history?taxnode_id=202104695","ICTVonline=202104695")</f>
        <v>ICTVonline=202104695</v>
      </c>
    </row>
    <row r="9181" spans="1:21" x14ac:dyDescent="0.2">
      <c r="A9181" s="3">
        <v>9180</v>
      </c>
      <c r="B9181" s="1" t="s">
        <v>4226</v>
      </c>
      <c r="D9181" s="1" t="s">
        <v>5412</v>
      </c>
      <c r="F9181" s="1" t="s">
        <v>5637</v>
      </c>
      <c r="H9181" s="1" t="s">
        <v>5747</v>
      </c>
      <c r="J9181" s="1" t="s">
        <v>5748</v>
      </c>
      <c r="L9181" s="1" t="s">
        <v>460</v>
      </c>
      <c r="N9181" s="1" t="s">
        <v>567</v>
      </c>
      <c r="P9181" s="1" t="s">
        <v>3950</v>
      </c>
      <c r="Q9181" s="30" t="s">
        <v>2567</v>
      </c>
      <c r="R9181" s="33" t="s">
        <v>3474</v>
      </c>
      <c r="S9181">
        <v>35</v>
      </c>
      <c r="T9181" s="1" t="s">
        <v>5416</v>
      </c>
      <c r="U9181" s="1" t="str">
        <f>HYPERLINK("http://ictvonline.org/taxonomy/p/taxonomy-history?taxnode_id=202105924","ICTVonline=202105924")</f>
        <v>ICTVonline=202105924</v>
      </c>
    </row>
    <row r="9182" spans="1:21" x14ac:dyDescent="0.2">
      <c r="A9182" s="3">
        <v>9181</v>
      </c>
      <c r="B9182" s="1" t="s">
        <v>4226</v>
      </c>
      <c r="D9182" s="1" t="s">
        <v>5412</v>
      </c>
      <c r="F9182" s="1" t="s">
        <v>5637</v>
      </c>
      <c r="H9182" s="1" t="s">
        <v>5747</v>
      </c>
      <c r="J9182" s="1" t="s">
        <v>5748</v>
      </c>
      <c r="L9182" s="1" t="s">
        <v>460</v>
      </c>
      <c r="N9182" s="1" t="s">
        <v>567</v>
      </c>
      <c r="P9182" s="1" t="s">
        <v>368</v>
      </c>
      <c r="Q9182" s="30" t="s">
        <v>2567</v>
      </c>
      <c r="R9182" s="33" t="s">
        <v>3474</v>
      </c>
      <c r="S9182">
        <v>35</v>
      </c>
      <c r="T9182" s="1" t="s">
        <v>5416</v>
      </c>
      <c r="U9182" s="1" t="str">
        <f>HYPERLINK("http://ictvonline.org/taxonomy/p/taxonomy-history?taxnode_id=202104696","ICTVonline=202104696")</f>
        <v>ICTVonline=202104696</v>
      </c>
    </row>
    <row r="9183" spans="1:21" x14ac:dyDescent="0.2">
      <c r="A9183" s="3">
        <v>9182</v>
      </c>
      <c r="B9183" s="1" t="s">
        <v>4226</v>
      </c>
      <c r="D9183" s="1" t="s">
        <v>5412</v>
      </c>
      <c r="F9183" s="1" t="s">
        <v>5637</v>
      </c>
      <c r="H9183" s="1" t="s">
        <v>5747</v>
      </c>
      <c r="J9183" s="1" t="s">
        <v>5748</v>
      </c>
      <c r="L9183" s="1" t="s">
        <v>460</v>
      </c>
      <c r="N9183" s="1" t="s">
        <v>567</v>
      </c>
      <c r="P9183" s="1" t="s">
        <v>369</v>
      </c>
      <c r="Q9183" s="30" t="s">
        <v>2567</v>
      </c>
      <c r="R9183" s="33" t="s">
        <v>3474</v>
      </c>
      <c r="S9183">
        <v>35</v>
      </c>
      <c r="T9183" s="1" t="s">
        <v>5416</v>
      </c>
      <c r="U9183" s="1" t="str">
        <f>HYPERLINK("http://ictvonline.org/taxonomy/p/taxonomy-history?taxnode_id=202104697","ICTVonline=202104697")</f>
        <v>ICTVonline=202104697</v>
      </c>
    </row>
    <row r="9184" spans="1:21" x14ac:dyDescent="0.2">
      <c r="A9184" s="3">
        <v>9183</v>
      </c>
      <c r="B9184" s="1" t="s">
        <v>4226</v>
      </c>
      <c r="D9184" s="1" t="s">
        <v>5412</v>
      </c>
      <c r="F9184" s="1" t="s">
        <v>5637</v>
      </c>
      <c r="H9184" s="1" t="s">
        <v>5747</v>
      </c>
      <c r="J9184" s="1" t="s">
        <v>5748</v>
      </c>
      <c r="L9184" s="1" t="s">
        <v>460</v>
      </c>
      <c r="N9184" s="1" t="s">
        <v>567</v>
      </c>
      <c r="P9184" s="1" t="s">
        <v>2530</v>
      </c>
      <c r="Q9184" s="30" t="s">
        <v>2567</v>
      </c>
      <c r="R9184" s="33" t="s">
        <v>3474</v>
      </c>
      <c r="S9184">
        <v>35</v>
      </c>
      <c r="T9184" s="1" t="s">
        <v>5416</v>
      </c>
      <c r="U9184" s="1" t="str">
        <f>HYPERLINK("http://ictvonline.org/taxonomy/p/taxonomy-history?taxnode_id=202104698","ICTVonline=202104698")</f>
        <v>ICTVonline=202104698</v>
      </c>
    </row>
    <row r="9185" spans="1:21" x14ac:dyDescent="0.2">
      <c r="A9185" s="3">
        <v>9184</v>
      </c>
      <c r="B9185" s="1" t="s">
        <v>4226</v>
      </c>
      <c r="D9185" s="1" t="s">
        <v>5412</v>
      </c>
      <c r="F9185" s="1" t="s">
        <v>5637</v>
      </c>
      <c r="H9185" s="1" t="s">
        <v>5747</v>
      </c>
      <c r="J9185" s="1" t="s">
        <v>5748</v>
      </c>
      <c r="L9185" s="1" t="s">
        <v>460</v>
      </c>
      <c r="N9185" s="1" t="s">
        <v>567</v>
      </c>
      <c r="P9185" s="1" t="s">
        <v>370</v>
      </c>
      <c r="Q9185" s="30" t="s">
        <v>2567</v>
      </c>
      <c r="R9185" s="33" t="s">
        <v>3474</v>
      </c>
      <c r="S9185">
        <v>35</v>
      </c>
      <c r="T9185" s="1" t="s">
        <v>5416</v>
      </c>
      <c r="U9185" s="1" t="str">
        <f>HYPERLINK("http://ictvonline.org/taxonomy/p/taxonomy-history?taxnode_id=202104699","ICTVonline=202104699")</f>
        <v>ICTVonline=202104699</v>
      </c>
    </row>
    <row r="9186" spans="1:21" x14ac:dyDescent="0.2">
      <c r="A9186" s="3">
        <v>9185</v>
      </c>
      <c r="B9186" s="1" t="s">
        <v>4226</v>
      </c>
      <c r="D9186" s="1" t="s">
        <v>5412</v>
      </c>
      <c r="F9186" s="1" t="s">
        <v>5637</v>
      </c>
      <c r="H9186" s="1" t="s">
        <v>5747</v>
      </c>
      <c r="J9186" s="1" t="s">
        <v>5748</v>
      </c>
      <c r="L9186" s="1" t="s">
        <v>460</v>
      </c>
      <c r="N9186" s="1" t="s">
        <v>567</v>
      </c>
      <c r="P9186" s="1" t="s">
        <v>371</v>
      </c>
      <c r="Q9186" s="30" t="s">
        <v>2567</v>
      </c>
      <c r="R9186" s="33" t="s">
        <v>3474</v>
      </c>
      <c r="S9186">
        <v>35</v>
      </c>
      <c r="T9186" s="1" t="s">
        <v>5416</v>
      </c>
      <c r="U9186" s="1" t="str">
        <f>HYPERLINK("http://ictvonline.org/taxonomy/p/taxonomy-history?taxnode_id=202104700","ICTVonline=202104700")</f>
        <v>ICTVonline=202104700</v>
      </c>
    </row>
    <row r="9187" spans="1:21" x14ac:dyDescent="0.2">
      <c r="A9187" s="3">
        <v>9186</v>
      </c>
      <c r="B9187" s="1" t="s">
        <v>4226</v>
      </c>
      <c r="D9187" s="1" t="s">
        <v>5412</v>
      </c>
      <c r="F9187" s="1" t="s">
        <v>5637</v>
      </c>
      <c r="H9187" s="1" t="s">
        <v>5747</v>
      </c>
      <c r="J9187" s="1" t="s">
        <v>5748</v>
      </c>
      <c r="L9187" s="1" t="s">
        <v>460</v>
      </c>
      <c r="N9187" s="1" t="s">
        <v>567</v>
      </c>
      <c r="P9187" s="1" t="s">
        <v>372</v>
      </c>
      <c r="Q9187" s="30" t="s">
        <v>2567</v>
      </c>
      <c r="R9187" s="33" t="s">
        <v>3474</v>
      </c>
      <c r="S9187">
        <v>35</v>
      </c>
      <c r="T9187" s="1" t="s">
        <v>5416</v>
      </c>
      <c r="U9187" s="1" t="str">
        <f>HYPERLINK("http://ictvonline.org/taxonomy/p/taxonomy-history?taxnode_id=202104701","ICTVonline=202104701")</f>
        <v>ICTVonline=202104701</v>
      </c>
    </row>
    <row r="9188" spans="1:21" x14ac:dyDescent="0.2">
      <c r="A9188" s="3">
        <v>9187</v>
      </c>
      <c r="B9188" s="1" t="s">
        <v>4226</v>
      </c>
      <c r="D9188" s="1" t="s">
        <v>5412</v>
      </c>
      <c r="F9188" s="1" t="s">
        <v>5637</v>
      </c>
      <c r="H9188" s="1" t="s">
        <v>5747</v>
      </c>
      <c r="J9188" s="1" t="s">
        <v>5748</v>
      </c>
      <c r="L9188" s="1" t="s">
        <v>460</v>
      </c>
      <c r="N9188" s="1" t="s">
        <v>567</v>
      </c>
      <c r="P9188" s="1" t="s">
        <v>373</v>
      </c>
      <c r="Q9188" s="30" t="s">
        <v>2567</v>
      </c>
      <c r="R9188" s="33" t="s">
        <v>3474</v>
      </c>
      <c r="S9188">
        <v>35</v>
      </c>
      <c r="T9188" s="1" t="s">
        <v>5416</v>
      </c>
      <c r="U9188" s="1" t="str">
        <f>HYPERLINK("http://ictvonline.org/taxonomy/p/taxonomy-history?taxnode_id=202104702","ICTVonline=202104702")</f>
        <v>ICTVonline=202104702</v>
      </c>
    </row>
    <row r="9189" spans="1:21" x14ac:dyDescent="0.2">
      <c r="A9189" s="3">
        <v>9188</v>
      </c>
      <c r="B9189" s="1" t="s">
        <v>4226</v>
      </c>
      <c r="D9189" s="1" t="s">
        <v>5412</v>
      </c>
      <c r="F9189" s="1" t="s">
        <v>5637</v>
      </c>
      <c r="H9189" s="1" t="s">
        <v>5747</v>
      </c>
      <c r="J9189" s="1" t="s">
        <v>5748</v>
      </c>
      <c r="L9189" s="1" t="s">
        <v>460</v>
      </c>
      <c r="N9189" s="1" t="s">
        <v>567</v>
      </c>
      <c r="P9189" s="1" t="s">
        <v>374</v>
      </c>
      <c r="Q9189" s="30" t="s">
        <v>2567</v>
      </c>
      <c r="R9189" s="33" t="s">
        <v>3474</v>
      </c>
      <c r="S9189">
        <v>35</v>
      </c>
      <c r="T9189" s="1" t="s">
        <v>5416</v>
      </c>
      <c r="U9189" s="1" t="str">
        <f>HYPERLINK("http://ictvonline.org/taxonomy/p/taxonomy-history?taxnode_id=202104703","ICTVonline=202104703")</f>
        <v>ICTVonline=202104703</v>
      </c>
    </row>
    <row r="9190" spans="1:21" x14ac:dyDescent="0.2">
      <c r="A9190" s="3">
        <v>9189</v>
      </c>
      <c r="B9190" s="1" t="s">
        <v>4226</v>
      </c>
      <c r="D9190" s="1" t="s">
        <v>5412</v>
      </c>
      <c r="F9190" s="1" t="s">
        <v>5637</v>
      </c>
      <c r="H9190" s="1" t="s">
        <v>5747</v>
      </c>
      <c r="J9190" s="1" t="s">
        <v>5748</v>
      </c>
      <c r="L9190" s="1" t="s">
        <v>460</v>
      </c>
      <c r="N9190" s="1" t="s">
        <v>567</v>
      </c>
      <c r="P9190" s="1" t="s">
        <v>375</v>
      </c>
      <c r="Q9190" s="30" t="s">
        <v>2567</v>
      </c>
      <c r="R9190" s="33" t="s">
        <v>3474</v>
      </c>
      <c r="S9190">
        <v>35</v>
      </c>
      <c r="T9190" s="1" t="s">
        <v>5416</v>
      </c>
      <c r="U9190" s="1" t="str">
        <f>HYPERLINK("http://ictvonline.org/taxonomy/p/taxonomy-history?taxnode_id=202104704","ICTVonline=202104704")</f>
        <v>ICTVonline=202104704</v>
      </c>
    </row>
    <row r="9191" spans="1:21" x14ac:dyDescent="0.2">
      <c r="A9191" s="3">
        <v>9190</v>
      </c>
      <c r="B9191" s="1" t="s">
        <v>4226</v>
      </c>
      <c r="D9191" s="1" t="s">
        <v>5412</v>
      </c>
      <c r="F9191" s="1" t="s">
        <v>5637</v>
      </c>
      <c r="H9191" s="1" t="s">
        <v>5747</v>
      </c>
      <c r="J9191" s="1" t="s">
        <v>5748</v>
      </c>
      <c r="L9191" s="1" t="s">
        <v>460</v>
      </c>
      <c r="N9191" s="1" t="s">
        <v>567</v>
      </c>
      <c r="P9191" s="1" t="s">
        <v>2004</v>
      </c>
      <c r="Q9191" s="30" t="s">
        <v>2567</v>
      </c>
      <c r="R9191" s="33" t="s">
        <v>3474</v>
      </c>
      <c r="S9191">
        <v>35</v>
      </c>
      <c r="T9191" s="1" t="s">
        <v>5416</v>
      </c>
      <c r="U9191" s="1" t="str">
        <f>HYPERLINK("http://ictvonline.org/taxonomy/p/taxonomy-history?taxnode_id=202104705","ICTVonline=202104705")</f>
        <v>ICTVonline=202104705</v>
      </c>
    </row>
    <row r="9192" spans="1:21" x14ac:dyDescent="0.2">
      <c r="A9192" s="3">
        <v>9191</v>
      </c>
      <c r="B9192" s="1" t="s">
        <v>4226</v>
      </c>
      <c r="D9192" s="1" t="s">
        <v>5412</v>
      </c>
      <c r="F9192" s="1" t="s">
        <v>5637</v>
      </c>
      <c r="H9192" s="1" t="s">
        <v>5747</v>
      </c>
      <c r="J9192" s="1" t="s">
        <v>5748</v>
      </c>
      <c r="L9192" s="1" t="s">
        <v>460</v>
      </c>
      <c r="N9192" s="1" t="s">
        <v>567</v>
      </c>
      <c r="P9192" s="1" t="s">
        <v>8343</v>
      </c>
      <c r="Q9192" s="30" t="s">
        <v>2567</v>
      </c>
      <c r="R9192" s="33" t="s">
        <v>3472</v>
      </c>
      <c r="S9192">
        <v>36</v>
      </c>
      <c r="T9192" s="1" t="s">
        <v>8337</v>
      </c>
      <c r="U9192" s="1" t="str">
        <f>HYPERLINK("http://ictvonline.org/taxonomy/p/taxonomy-history?taxnode_id=202109675","ICTVonline=202109675")</f>
        <v>ICTVonline=202109675</v>
      </c>
    </row>
    <row r="9193" spans="1:21" x14ac:dyDescent="0.2">
      <c r="A9193" s="3">
        <v>9192</v>
      </c>
      <c r="B9193" s="1" t="s">
        <v>4226</v>
      </c>
      <c r="D9193" s="1" t="s">
        <v>5412</v>
      </c>
      <c r="F9193" s="1" t="s">
        <v>5637</v>
      </c>
      <c r="H9193" s="1" t="s">
        <v>5747</v>
      </c>
      <c r="J9193" s="1" t="s">
        <v>5748</v>
      </c>
      <c r="L9193" s="1" t="s">
        <v>460</v>
      </c>
      <c r="N9193" s="1" t="s">
        <v>567</v>
      </c>
      <c r="P9193" s="1" t="s">
        <v>2005</v>
      </c>
      <c r="Q9193" s="30" t="s">
        <v>2567</v>
      </c>
      <c r="R9193" s="33" t="s">
        <v>3474</v>
      </c>
      <c r="S9193">
        <v>35</v>
      </c>
      <c r="T9193" s="1" t="s">
        <v>5416</v>
      </c>
      <c r="U9193" s="1" t="str">
        <f>HYPERLINK("http://ictvonline.org/taxonomy/p/taxonomy-history?taxnode_id=202104706","ICTVonline=202104706")</f>
        <v>ICTVonline=202104706</v>
      </c>
    </row>
    <row r="9194" spans="1:21" x14ac:dyDescent="0.2">
      <c r="A9194" s="3">
        <v>9193</v>
      </c>
      <c r="B9194" s="1" t="s">
        <v>4226</v>
      </c>
      <c r="D9194" s="1" t="s">
        <v>5412</v>
      </c>
      <c r="F9194" s="1" t="s">
        <v>5637</v>
      </c>
      <c r="H9194" s="1" t="s">
        <v>5747</v>
      </c>
      <c r="J9194" s="1" t="s">
        <v>5748</v>
      </c>
      <c r="L9194" s="1" t="s">
        <v>460</v>
      </c>
      <c r="N9194" s="1" t="s">
        <v>567</v>
      </c>
      <c r="P9194" s="1" t="s">
        <v>3027</v>
      </c>
      <c r="Q9194" s="30" t="s">
        <v>2567</v>
      </c>
      <c r="R9194" s="33" t="s">
        <v>3474</v>
      </c>
      <c r="S9194">
        <v>35</v>
      </c>
      <c r="T9194" s="1" t="s">
        <v>5416</v>
      </c>
      <c r="U9194" s="1" t="str">
        <f>HYPERLINK("http://ictvonline.org/taxonomy/p/taxonomy-history?taxnode_id=202104707","ICTVonline=202104707")</f>
        <v>ICTVonline=202104707</v>
      </c>
    </row>
    <row r="9195" spans="1:21" x14ac:dyDescent="0.2">
      <c r="A9195" s="3">
        <v>9194</v>
      </c>
      <c r="B9195" s="1" t="s">
        <v>4226</v>
      </c>
      <c r="D9195" s="1" t="s">
        <v>5412</v>
      </c>
      <c r="F9195" s="1" t="s">
        <v>5637</v>
      </c>
      <c r="H9195" s="1" t="s">
        <v>5747</v>
      </c>
      <c r="J9195" s="1" t="s">
        <v>5748</v>
      </c>
      <c r="L9195" s="1" t="s">
        <v>460</v>
      </c>
      <c r="N9195" s="1" t="s">
        <v>567</v>
      </c>
      <c r="P9195" s="1" t="s">
        <v>2531</v>
      </c>
      <c r="Q9195" s="30" t="s">
        <v>2567</v>
      </c>
      <c r="R9195" s="33" t="s">
        <v>3474</v>
      </c>
      <c r="S9195">
        <v>35</v>
      </c>
      <c r="T9195" s="1" t="s">
        <v>5416</v>
      </c>
      <c r="U9195" s="1" t="str">
        <f>HYPERLINK("http://ictvonline.org/taxonomy/p/taxonomy-history?taxnode_id=202104708","ICTVonline=202104708")</f>
        <v>ICTVonline=202104708</v>
      </c>
    </row>
    <row r="9196" spans="1:21" x14ac:dyDescent="0.2">
      <c r="A9196" s="3">
        <v>9195</v>
      </c>
      <c r="B9196" s="1" t="s">
        <v>4226</v>
      </c>
      <c r="D9196" s="1" t="s">
        <v>5412</v>
      </c>
      <c r="F9196" s="1" t="s">
        <v>5637</v>
      </c>
      <c r="H9196" s="1" t="s">
        <v>5747</v>
      </c>
      <c r="J9196" s="1" t="s">
        <v>5748</v>
      </c>
      <c r="L9196" s="1" t="s">
        <v>460</v>
      </c>
      <c r="N9196" s="1" t="s">
        <v>567</v>
      </c>
      <c r="P9196" s="1" t="s">
        <v>376</v>
      </c>
      <c r="Q9196" s="30" t="s">
        <v>2567</v>
      </c>
      <c r="R9196" s="33" t="s">
        <v>3474</v>
      </c>
      <c r="S9196">
        <v>35</v>
      </c>
      <c r="T9196" s="1" t="s">
        <v>5416</v>
      </c>
      <c r="U9196" s="1" t="str">
        <f>HYPERLINK("http://ictvonline.org/taxonomy/p/taxonomy-history?taxnode_id=202104709","ICTVonline=202104709")</f>
        <v>ICTVonline=202104709</v>
      </c>
    </row>
    <row r="9197" spans="1:21" x14ac:dyDescent="0.2">
      <c r="A9197" s="3">
        <v>9196</v>
      </c>
      <c r="B9197" s="1" t="s">
        <v>4226</v>
      </c>
      <c r="D9197" s="1" t="s">
        <v>5412</v>
      </c>
      <c r="F9197" s="1" t="s">
        <v>5637</v>
      </c>
      <c r="H9197" s="1" t="s">
        <v>5747</v>
      </c>
      <c r="J9197" s="1" t="s">
        <v>5748</v>
      </c>
      <c r="L9197" s="1" t="s">
        <v>460</v>
      </c>
      <c r="N9197" s="1" t="s">
        <v>567</v>
      </c>
      <c r="P9197" s="1" t="s">
        <v>377</v>
      </c>
      <c r="Q9197" s="30" t="s">
        <v>2567</v>
      </c>
      <c r="R9197" s="33" t="s">
        <v>3474</v>
      </c>
      <c r="S9197">
        <v>35</v>
      </c>
      <c r="T9197" s="1" t="s">
        <v>5416</v>
      </c>
      <c r="U9197" s="1" t="str">
        <f>HYPERLINK("http://ictvonline.org/taxonomy/p/taxonomy-history?taxnode_id=202104710","ICTVonline=202104710")</f>
        <v>ICTVonline=202104710</v>
      </c>
    </row>
    <row r="9198" spans="1:21" x14ac:dyDescent="0.2">
      <c r="A9198" s="3">
        <v>9197</v>
      </c>
      <c r="B9198" s="1" t="s">
        <v>4226</v>
      </c>
      <c r="D9198" s="1" t="s">
        <v>5412</v>
      </c>
      <c r="F9198" s="1" t="s">
        <v>5637</v>
      </c>
      <c r="H9198" s="1" t="s">
        <v>5747</v>
      </c>
      <c r="J9198" s="1" t="s">
        <v>5748</v>
      </c>
      <c r="L9198" s="1" t="s">
        <v>460</v>
      </c>
      <c r="N9198" s="1" t="s">
        <v>567</v>
      </c>
      <c r="P9198" s="1" t="s">
        <v>4488</v>
      </c>
      <c r="Q9198" s="30" t="s">
        <v>2567</v>
      </c>
      <c r="R9198" s="33" t="s">
        <v>3474</v>
      </c>
      <c r="S9198">
        <v>35</v>
      </c>
      <c r="T9198" s="1" t="s">
        <v>5416</v>
      </c>
      <c r="U9198" s="1" t="str">
        <f>HYPERLINK("http://ictvonline.org/taxonomy/p/taxonomy-history?taxnode_id=202106677","ICTVonline=202106677")</f>
        <v>ICTVonline=202106677</v>
      </c>
    </row>
    <row r="9199" spans="1:21" x14ac:dyDescent="0.2">
      <c r="A9199" s="3">
        <v>9198</v>
      </c>
      <c r="B9199" s="1" t="s">
        <v>4226</v>
      </c>
      <c r="D9199" s="1" t="s">
        <v>5412</v>
      </c>
      <c r="F9199" s="1" t="s">
        <v>5637</v>
      </c>
      <c r="H9199" s="1" t="s">
        <v>5747</v>
      </c>
      <c r="J9199" s="1" t="s">
        <v>5748</v>
      </c>
      <c r="L9199" s="1" t="s">
        <v>460</v>
      </c>
      <c r="N9199" s="1" t="s">
        <v>567</v>
      </c>
      <c r="P9199" s="1" t="s">
        <v>3951</v>
      </c>
      <c r="Q9199" s="30" t="s">
        <v>2567</v>
      </c>
      <c r="R9199" s="33" t="s">
        <v>3474</v>
      </c>
      <c r="S9199">
        <v>35</v>
      </c>
      <c r="T9199" s="1" t="s">
        <v>5416</v>
      </c>
      <c r="U9199" s="1" t="str">
        <f>HYPERLINK("http://ictvonline.org/taxonomy/p/taxonomy-history?taxnode_id=202105925","ICTVonline=202105925")</f>
        <v>ICTVonline=202105925</v>
      </c>
    </row>
    <row r="9200" spans="1:21" x14ac:dyDescent="0.2">
      <c r="A9200" s="3">
        <v>9199</v>
      </c>
      <c r="B9200" s="1" t="s">
        <v>4226</v>
      </c>
      <c r="D9200" s="1" t="s">
        <v>5412</v>
      </c>
      <c r="F9200" s="1" t="s">
        <v>5637</v>
      </c>
      <c r="H9200" s="1" t="s">
        <v>5747</v>
      </c>
      <c r="J9200" s="1" t="s">
        <v>5748</v>
      </c>
      <c r="L9200" s="1" t="s">
        <v>460</v>
      </c>
      <c r="N9200" s="1" t="s">
        <v>567</v>
      </c>
      <c r="P9200" s="1" t="s">
        <v>1382</v>
      </c>
      <c r="Q9200" s="30" t="s">
        <v>2567</v>
      </c>
      <c r="R9200" s="33" t="s">
        <v>3474</v>
      </c>
      <c r="S9200">
        <v>35</v>
      </c>
      <c r="T9200" s="1" t="s">
        <v>5416</v>
      </c>
      <c r="U9200" s="1" t="str">
        <f>HYPERLINK("http://ictvonline.org/taxonomy/p/taxonomy-history?taxnode_id=202104711","ICTVonline=202104711")</f>
        <v>ICTVonline=202104711</v>
      </c>
    </row>
    <row r="9201" spans="1:21" x14ac:dyDescent="0.2">
      <c r="A9201" s="3">
        <v>9200</v>
      </c>
      <c r="B9201" s="1" t="s">
        <v>4226</v>
      </c>
      <c r="D9201" s="1" t="s">
        <v>5412</v>
      </c>
      <c r="F9201" s="1" t="s">
        <v>5637</v>
      </c>
      <c r="H9201" s="1" t="s">
        <v>5747</v>
      </c>
      <c r="J9201" s="1" t="s">
        <v>5748</v>
      </c>
      <c r="L9201" s="1" t="s">
        <v>460</v>
      </c>
      <c r="N9201" s="1" t="s">
        <v>567</v>
      </c>
      <c r="P9201" s="1" t="s">
        <v>2006</v>
      </c>
      <c r="Q9201" s="30" t="s">
        <v>2567</v>
      </c>
      <c r="R9201" s="33" t="s">
        <v>3474</v>
      </c>
      <c r="S9201">
        <v>35</v>
      </c>
      <c r="T9201" s="1" t="s">
        <v>5416</v>
      </c>
      <c r="U9201" s="1" t="str">
        <f>HYPERLINK("http://ictvonline.org/taxonomy/p/taxonomy-history?taxnode_id=202104712","ICTVonline=202104712")</f>
        <v>ICTVonline=202104712</v>
      </c>
    </row>
    <row r="9202" spans="1:21" x14ac:dyDescent="0.2">
      <c r="A9202" s="3">
        <v>9201</v>
      </c>
      <c r="B9202" s="1" t="s">
        <v>4226</v>
      </c>
      <c r="D9202" s="1" t="s">
        <v>5412</v>
      </c>
      <c r="F9202" s="1" t="s">
        <v>5637</v>
      </c>
      <c r="H9202" s="1" t="s">
        <v>5747</v>
      </c>
      <c r="J9202" s="1" t="s">
        <v>5748</v>
      </c>
      <c r="L9202" s="1" t="s">
        <v>460</v>
      </c>
      <c r="N9202" s="1" t="s">
        <v>567</v>
      </c>
      <c r="P9202" s="1" t="s">
        <v>1383</v>
      </c>
      <c r="Q9202" s="30" t="s">
        <v>2567</v>
      </c>
      <c r="R9202" s="33" t="s">
        <v>3474</v>
      </c>
      <c r="S9202">
        <v>35</v>
      </c>
      <c r="T9202" s="1" t="s">
        <v>5416</v>
      </c>
      <c r="U9202" s="1" t="str">
        <f>HYPERLINK("http://ictvonline.org/taxonomy/p/taxonomy-history?taxnode_id=202104713","ICTVonline=202104713")</f>
        <v>ICTVonline=202104713</v>
      </c>
    </row>
    <row r="9203" spans="1:21" x14ac:dyDescent="0.2">
      <c r="A9203" s="3">
        <v>9202</v>
      </c>
      <c r="B9203" s="1" t="s">
        <v>4226</v>
      </c>
      <c r="D9203" s="1" t="s">
        <v>5412</v>
      </c>
      <c r="F9203" s="1" t="s">
        <v>5637</v>
      </c>
      <c r="H9203" s="1" t="s">
        <v>5747</v>
      </c>
      <c r="J9203" s="1" t="s">
        <v>5748</v>
      </c>
      <c r="L9203" s="1" t="s">
        <v>460</v>
      </c>
      <c r="N9203" s="1" t="s">
        <v>567</v>
      </c>
      <c r="P9203" s="1" t="s">
        <v>1384</v>
      </c>
      <c r="Q9203" s="30" t="s">
        <v>2567</v>
      </c>
      <c r="R9203" s="33" t="s">
        <v>3474</v>
      </c>
      <c r="S9203">
        <v>35</v>
      </c>
      <c r="T9203" s="1" t="s">
        <v>5416</v>
      </c>
      <c r="U9203" s="1" t="str">
        <f>HYPERLINK("http://ictvonline.org/taxonomy/p/taxonomy-history?taxnode_id=202104714","ICTVonline=202104714")</f>
        <v>ICTVonline=202104714</v>
      </c>
    </row>
    <row r="9204" spans="1:21" x14ac:dyDescent="0.2">
      <c r="A9204" s="3">
        <v>9203</v>
      </c>
      <c r="B9204" s="1" t="s">
        <v>4226</v>
      </c>
      <c r="D9204" s="1" t="s">
        <v>5412</v>
      </c>
      <c r="F9204" s="1" t="s">
        <v>5637</v>
      </c>
      <c r="H9204" s="1" t="s">
        <v>5747</v>
      </c>
      <c r="J9204" s="1" t="s">
        <v>5748</v>
      </c>
      <c r="L9204" s="1" t="s">
        <v>460</v>
      </c>
      <c r="N9204" s="1" t="s">
        <v>567</v>
      </c>
      <c r="P9204" s="1" t="s">
        <v>1385</v>
      </c>
      <c r="Q9204" s="30" t="s">
        <v>2567</v>
      </c>
      <c r="R9204" s="33" t="s">
        <v>3474</v>
      </c>
      <c r="S9204">
        <v>35</v>
      </c>
      <c r="T9204" s="1" t="s">
        <v>5416</v>
      </c>
      <c r="U9204" s="1" t="str">
        <f>HYPERLINK("http://ictvonline.org/taxonomy/p/taxonomy-history?taxnode_id=202104715","ICTVonline=202104715")</f>
        <v>ICTVonline=202104715</v>
      </c>
    </row>
    <row r="9205" spans="1:21" x14ac:dyDescent="0.2">
      <c r="A9205" s="3">
        <v>9204</v>
      </c>
      <c r="B9205" s="1" t="s">
        <v>4226</v>
      </c>
      <c r="D9205" s="1" t="s">
        <v>5412</v>
      </c>
      <c r="F9205" s="1" t="s">
        <v>5637</v>
      </c>
      <c r="H9205" s="1" t="s">
        <v>5747</v>
      </c>
      <c r="J9205" s="1" t="s">
        <v>5748</v>
      </c>
      <c r="L9205" s="1" t="s">
        <v>460</v>
      </c>
      <c r="N9205" s="1" t="s">
        <v>567</v>
      </c>
      <c r="P9205" s="1" t="s">
        <v>194</v>
      </c>
      <c r="Q9205" s="30" t="s">
        <v>2567</v>
      </c>
      <c r="R9205" s="33" t="s">
        <v>3474</v>
      </c>
      <c r="S9205">
        <v>35</v>
      </c>
      <c r="T9205" s="1" t="s">
        <v>5416</v>
      </c>
      <c r="U9205" s="1" t="str">
        <f>HYPERLINK("http://ictvonline.org/taxonomy/p/taxonomy-history?taxnode_id=202104716","ICTVonline=202104716")</f>
        <v>ICTVonline=202104716</v>
      </c>
    </row>
    <row r="9206" spans="1:21" x14ac:dyDescent="0.2">
      <c r="A9206" s="3">
        <v>9205</v>
      </c>
      <c r="B9206" s="1" t="s">
        <v>4226</v>
      </c>
      <c r="D9206" s="1" t="s">
        <v>5412</v>
      </c>
      <c r="F9206" s="1" t="s">
        <v>5637</v>
      </c>
      <c r="H9206" s="1" t="s">
        <v>5747</v>
      </c>
      <c r="J9206" s="1" t="s">
        <v>5748</v>
      </c>
      <c r="L9206" s="1" t="s">
        <v>460</v>
      </c>
      <c r="N9206" s="1" t="s">
        <v>567</v>
      </c>
      <c r="P9206" s="1" t="s">
        <v>1386</v>
      </c>
      <c r="Q9206" s="30" t="s">
        <v>2567</v>
      </c>
      <c r="R9206" s="33" t="s">
        <v>3474</v>
      </c>
      <c r="S9206">
        <v>35</v>
      </c>
      <c r="T9206" s="1" t="s">
        <v>5416</v>
      </c>
      <c r="U9206" s="1" t="str">
        <f>HYPERLINK("http://ictvonline.org/taxonomy/p/taxonomy-history?taxnode_id=202104717","ICTVonline=202104717")</f>
        <v>ICTVonline=202104717</v>
      </c>
    </row>
    <row r="9207" spans="1:21" x14ac:dyDescent="0.2">
      <c r="A9207" s="3">
        <v>9206</v>
      </c>
      <c r="B9207" s="1" t="s">
        <v>4226</v>
      </c>
      <c r="D9207" s="1" t="s">
        <v>5412</v>
      </c>
      <c r="F9207" s="1" t="s">
        <v>5637</v>
      </c>
      <c r="H9207" s="1" t="s">
        <v>5747</v>
      </c>
      <c r="J9207" s="1" t="s">
        <v>5748</v>
      </c>
      <c r="L9207" s="1" t="s">
        <v>460</v>
      </c>
      <c r="N9207" s="1" t="s">
        <v>567</v>
      </c>
      <c r="P9207" s="1" t="s">
        <v>1387</v>
      </c>
      <c r="Q9207" s="30" t="s">
        <v>2567</v>
      </c>
      <c r="R9207" s="33" t="s">
        <v>3474</v>
      </c>
      <c r="S9207">
        <v>35</v>
      </c>
      <c r="T9207" s="1" t="s">
        <v>5416</v>
      </c>
      <c r="U9207" s="1" t="str">
        <f>HYPERLINK("http://ictvonline.org/taxonomy/p/taxonomy-history?taxnode_id=202104718","ICTVonline=202104718")</f>
        <v>ICTVonline=202104718</v>
      </c>
    </row>
    <row r="9208" spans="1:21" x14ac:dyDescent="0.2">
      <c r="A9208" s="3">
        <v>9207</v>
      </c>
      <c r="B9208" s="1" t="s">
        <v>4226</v>
      </c>
      <c r="D9208" s="1" t="s">
        <v>5412</v>
      </c>
      <c r="F9208" s="1" t="s">
        <v>5637</v>
      </c>
      <c r="H9208" s="1" t="s">
        <v>5747</v>
      </c>
      <c r="J9208" s="1" t="s">
        <v>5748</v>
      </c>
      <c r="L9208" s="1" t="s">
        <v>460</v>
      </c>
      <c r="N9208" s="1" t="s">
        <v>567</v>
      </c>
      <c r="P9208" s="1" t="s">
        <v>3380</v>
      </c>
      <c r="Q9208" s="30" t="s">
        <v>2567</v>
      </c>
      <c r="R9208" s="33" t="s">
        <v>3474</v>
      </c>
      <c r="S9208">
        <v>35</v>
      </c>
      <c r="T9208" s="1" t="s">
        <v>5416</v>
      </c>
      <c r="U9208" s="1" t="str">
        <f>HYPERLINK("http://ictvonline.org/taxonomy/p/taxonomy-history?taxnode_id=202104719","ICTVonline=202104719")</f>
        <v>ICTVonline=202104719</v>
      </c>
    </row>
    <row r="9209" spans="1:21" x14ac:dyDescent="0.2">
      <c r="A9209" s="3">
        <v>9208</v>
      </c>
      <c r="B9209" s="1" t="s">
        <v>4226</v>
      </c>
      <c r="D9209" s="1" t="s">
        <v>5412</v>
      </c>
      <c r="F9209" s="1" t="s">
        <v>5637</v>
      </c>
      <c r="H9209" s="1" t="s">
        <v>5747</v>
      </c>
      <c r="J9209" s="1" t="s">
        <v>5748</v>
      </c>
      <c r="L9209" s="1" t="s">
        <v>460</v>
      </c>
      <c r="N9209" s="1" t="s">
        <v>567</v>
      </c>
      <c r="P9209" s="1" t="s">
        <v>2532</v>
      </c>
      <c r="Q9209" s="30" t="s">
        <v>2567</v>
      </c>
      <c r="R9209" s="33" t="s">
        <v>3474</v>
      </c>
      <c r="S9209">
        <v>35</v>
      </c>
      <c r="T9209" s="1" t="s">
        <v>5416</v>
      </c>
      <c r="U9209" s="1" t="str">
        <f>HYPERLINK("http://ictvonline.org/taxonomy/p/taxonomy-history?taxnode_id=202104720","ICTVonline=202104720")</f>
        <v>ICTVonline=202104720</v>
      </c>
    </row>
    <row r="9210" spans="1:21" x14ac:dyDescent="0.2">
      <c r="A9210" s="3">
        <v>9209</v>
      </c>
      <c r="B9210" s="1" t="s">
        <v>4226</v>
      </c>
      <c r="D9210" s="1" t="s">
        <v>5412</v>
      </c>
      <c r="F9210" s="1" t="s">
        <v>5637</v>
      </c>
      <c r="H9210" s="1" t="s">
        <v>5747</v>
      </c>
      <c r="J9210" s="1" t="s">
        <v>5748</v>
      </c>
      <c r="L9210" s="1" t="s">
        <v>460</v>
      </c>
      <c r="N9210" s="1" t="s">
        <v>567</v>
      </c>
      <c r="P9210" s="1" t="s">
        <v>1483</v>
      </c>
      <c r="Q9210" s="30" t="s">
        <v>2567</v>
      </c>
      <c r="R9210" s="33" t="s">
        <v>3474</v>
      </c>
      <c r="S9210">
        <v>35</v>
      </c>
      <c r="T9210" s="1" t="s">
        <v>5416</v>
      </c>
      <c r="U9210" s="1" t="str">
        <f>HYPERLINK("http://ictvonline.org/taxonomy/p/taxonomy-history?taxnode_id=202104721","ICTVonline=202104721")</f>
        <v>ICTVonline=202104721</v>
      </c>
    </row>
    <row r="9211" spans="1:21" x14ac:dyDescent="0.2">
      <c r="A9211" s="3">
        <v>9210</v>
      </c>
      <c r="B9211" s="1" t="s">
        <v>4226</v>
      </c>
      <c r="D9211" s="1" t="s">
        <v>5412</v>
      </c>
      <c r="F9211" s="1" t="s">
        <v>5637</v>
      </c>
      <c r="H9211" s="1" t="s">
        <v>5747</v>
      </c>
      <c r="J9211" s="1" t="s">
        <v>5748</v>
      </c>
      <c r="L9211" s="1" t="s">
        <v>460</v>
      </c>
      <c r="N9211" s="1" t="s">
        <v>567</v>
      </c>
      <c r="P9211" s="1" t="s">
        <v>1484</v>
      </c>
      <c r="Q9211" s="30" t="s">
        <v>2567</v>
      </c>
      <c r="R9211" s="33" t="s">
        <v>3474</v>
      </c>
      <c r="S9211">
        <v>35</v>
      </c>
      <c r="T9211" s="1" t="s">
        <v>5416</v>
      </c>
      <c r="U9211" s="1" t="str">
        <f>HYPERLINK("http://ictvonline.org/taxonomy/p/taxonomy-history?taxnode_id=202104722","ICTVonline=202104722")</f>
        <v>ICTVonline=202104722</v>
      </c>
    </row>
    <row r="9212" spans="1:21" x14ac:dyDescent="0.2">
      <c r="A9212" s="3">
        <v>9211</v>
      </c>
      <c r="B9212" s="1" t="s">
        <v>4226</v>
      </c>
      <c r="D9212" s="1" t="s">
        <v>5412</v>
      </c>
      <c r="F9212" s="1" t="s">
        <v>5637</v>
      </c>
      <c r="H9212" s="1" t="s">
        <v>5747</v>
      </c>
      <c r="J9212" s="1" t="s">
        <v>5748</v>
      </c>
      <c r="L9212" s="1" t="s">
        <v>460</v>
      </c>
      <c r="N9212" s="1" t="s">
        <v>3952</v>
      </c>
      <c r="P9212" s="1" t="s">
        <v>5767</v>
      </c>
      <c r="Q9212" s="30" t="s">
        <v>2567</v>
      </c>
      <c r="R9212" s="33" t="s">
        <v>3472</v>
      </c>
      <c r="S9212">
        <v>35</v>
      </c>
      <c r="T9212" s="1" t="s">
        <v>5768</v>
      </c>
      <c r="U9212" s="1" t="str">
        <f>HYPERLINK("http://ictvonline.org/taxonomy/p/taxonomy-history?taxnode_id=202107450","ICTVonline=202107450")</f>
        <v>ICTVonline=202107450</v>
      </c>
    </row>
    <row r="9213" spans="1:21" x14ac:dyDescent="0.2">
      <c r="A9213" s="3">
        <v>9212</v>
      </c>
      <c r="B9213" s="1" t="s">
        <v>4226</v>
      </c>
      <c r="D9213" s="1" t="s">
        <v>5412</v>
      </c>
      <c r="F9213" s="1" t="s">
        <v>5637</v>
      </c>
      <c r="H9213" s="1" t="s">
        <v>5747</v>
      </c>
      <c r="J9213" s="1" t="s">
        <v>5748</v>
      </c>
      <c r="L9213" s="1" t="s">
        <v>460</v>
      </c>
      <c r="N9213" s="1" t="s">
        <v>3952</v>
      </c>
      <c r="P9213" s="1" t="s">
        <v>2434</v>
      </c>
      <c r="Q9213" s="30" t="s">
        <v>2567</v>
      </c>
      <c r="R9213" s="33" t="s">
        <v>8665</v>
      </c>
      <c r="S9213">
        <v>36</v>
      </c>
      <c r="T9213" s="1" t="s">
        <v>8661</v>
      </c>
      <c r="U9213" s="1" t="str">
        <f>HYPERLINK("http://ictvonline.org/taxonomy/p/taxonomy-history?taxnode_id=202104735","ICTVonline=202104735")</f>
        <v>ICTVonline=202104735</v>
      </c>
    </row>
    <row r="9214" spans="1:21" x14ac:dyDescent="0.2">
      <c r="A9214" s="3">
        <v>9213</v>
      </c>
      <c r="B9214" s="1" t="s">
        <v>4226</v>
      </c>
      <c r="D9214" s="1" t="s">
        <v>5412</v>
      </c>
      <c r="F9214" s="1" t="s">
        <v>5637</v>
      </c>
      <c r="H9214" s="1" t="s">
        <v>5747</v>
      </c>
      <c r="J9214" s="1" t="s">
        <v>5748</v>
      </c>
      <c r="L9214" s="1" t="s">
        <v>460</v>
      </c>
      <c r="N9214" s="1" t="s">
        <v>1441</v>
      </c>
      <c r="P9214" s="1" t="s">
        <v>1442</v>
      </c>
      <c r="Q9214" s="30" t="s">
        <v>2567</v>
      </c>
      <c r="R9214" s="33" t="s">
        <v>3474</v>
      </c>
      <c r="S9214">
        <v>35</v>
      </c>
      <c r="T9214" s="1" t="s">
        <v>5416</v>
      </c>
      <c r="U9214" s="1" t="str">
        <f>HYPERLINK("http://ictvonline.org/taxonomy/p/taxonomy-history?taxnode_id=202104724","ICTVonline=202104724")</f>
        <v>ICTVonline=202104724</v>
      </c>
    </row>
    <row r="9215" spans="1:21" x14ac:dyDescent="0.2">
      <c r="A9215" s="3">
        <v>9214</v>
      </c>
      <c r="B9215" s="1" t="s">
        <v>4226</v>
      </c>
      <c r="D9215" s="1" t="s">
        <v>5412</v>
      </c>
      <c r="F9215" s="1" t="s">
        <v>5637</v>
      </c>
      <c r="H9215" s="1" t="s">
        <v>5747</v>
      </c>
      <c r="J9215" s="1" t="s">
        <v>5748</v>
      </c>
      <c r="L9215" s="1" t="s">
        <v>460</v>
      </c>
      <c r="N9215" s="1" t="s">
        <v>1441</v>
      </c>
      <c r="P9215" s="1" t="s">
        <v>1443</v>
      </c>
      <c r="Q9215" s="30" t="s">
        <v>2567</v>
      </c>
      <c r="R9215" s="33" t="s">
        <v>3474</v>
      </c>
      <c r="S9215">
        <v>35</v>
      </c>
      <c r="T9215" s="1" t="s">
        <v>5416</v>
      </c>
      <c r="U9215" s="1" t="str">
        <f>HYPERLINK("http://ictvonline.org/taxonomy/p/taxonomy-history?taxnode_id=202104725","ICTVonline=202104725")</f>
        <v>ICTVonline=202104725</v>
      </c>
    </row>
    <row r="9216" spans="1:21" x14ac:dyDescent="0.2">
      <c r="A9216" s="3">
        <v>9215</v>
      </c>
      <c r="B9216" s="1" t="s">
        <v>4226</v>
      </c>
      <c r="D9216" s="1" t="s">
        <v>5412</v>
      </c>
      <c r="F9216" s="1" t="s">
        <v>5637</v>
      </c>
      <c r="H9216" s="1" t="s">
        <v>5747</v>
      </c>
      <c r="J9216" s="1" t="s">
        <v>5748</v>
      </c>
      <c r="L9216" s="1" t="s">
        <v>460</v>
      </c>
      <c r="N9216" s="1" t="s">
        <v>1441</v>
      </c>
      <c r="P9216" s="1" t="s">
        <v>1444</v>
      </c>
      <c r="Q9216" s="30" t="s">
        <v>2567</v>
      </c>
      <c r="R9216" s="33" t="s">
        <v>8665</v>
      </c>
      <c r="S9216">
        <v>36</v>
      </c>
      <c r="T9216" s="1" t="s">
        <v>8661</v>
      </c>
      <c r="U9216" s="1" t="str">
        <f>HYPERLINK("http://ictvonline.org/taxonomy/p/taxonomy-history?taxnode_id=202104726","ICTVonline=202104726")</f>
        <v>ICTVonline=202104726</v>
      </c>
    </row>
    <row r="9217" spans="1:21" x14ac:dyDescent="0.2">
      <c r="A9217" s="3">
        <v>9216</v>
      </c>
      <c r="B9217" s="1" t="s">
        <v>4226</v>
      </c>
      <c r="D9217" s="1" t="s">
        <v>5412</v>
      </c>
      <c r="F9217" s="1" t="s">
        <v>5637</v>
      </c>
      <c r="H9217" s="1" t="s">
        <v>5747</v>
      </c>
      <c r="J9217" s="1" t="s">
        <v>5748</v>
      </c>
      <c r="L9217" s="1" t="s">
        <v>460</v>
      </c>
      <c r="N9217" s="1" t="s">
        <v>1445</v>
      </c>
      <c r="P9217" s="1" t="s">
        <v>1446</v>
      </c>
      <c r="Q9217" s="30" t="s">
        <v>2567</v>
      </c>
      <c r="R9217" s="33" t="s">
        <v>3474</v>
      </c>
      <c r="S9217">
        <v>35</v>
      </c>
      <c r="T9217" s="1" t="s">
        <v>5416</v>
      </c>
      <c r="U9217" s="1" t="str">
        <f>HYPERLINK("http://ictvonline.org/taxonomy/p/taxonomy-history?taxnode_id=202104728","ICTVonline=202104728")</f>
        <v>ICTVonline=202104728</v>
      </c>
    </row>
    <row r="9218" spans="1:21" x14ac:dyDescent="0.2">
      <c r="A9218" s="3">
        <v>9217</v>
      </c>
      <c r="B9218" s="1" t="s">
        <v>4226</v>
      </c>
      <c r="D9218" s="1" t="s">
        <v>5412</v>
      </c>
      <c r="F9218" s="1" t="s">
        <v>5637</v>
      </c>
      <c r="H9218" s="1" t="s">
        <v>5747</v>
      </c>
      <c r="J9218" s="1" t="s">
        <v>5748</v>
      </c>
      <c r="L9218" s="1" t="s">
        <v>460</v>
      </c>
      <c r="N9218" s="1" t="s">
        <v>1445</v>
      </c>
      <c r="P9218" s="1" t="s">
        <v>1447</v>
      </c>
      <c r="Q9218" s="30" t="s">
        <v>2567</v>
      </c>
      <c r="R9218" s="33" t="s">
        <v>3474</v>
      </c>
      <c r="S9218">
        <v>35</v>
      </c>
      <c r="T9218" s="1" t="s">
        <v>5416</v>
      </c>
      <c r="U9218" s="1" t="str">
        <f>HYPERLINK("http://ictvonline.org/taxonomy/p/taxonomy-history?taxnode_id=202104729","ICTVonline=202104729")</f>
        <v>ICTVonline=202104729</v>
      </c>
    </row>
    <row r="9219" spans="1:21" x14ac:dyDescent="0.2">
      <c r="A9219" s="3">
        <v>9218</v>
      </c>
      <c r="B9219" s="1" t="s">
        <v>4226</v>
      </c>
      <c r="D9219" s="1" t="s">
        <v>5412</v>
      </c>
      <c r="F9219" s="1" t="s">
        <v>5637</v>
      </c>
      <c r="H9219" s="1" t="s">
        <v>5747</v>
      </c>
      <c r="J9219" s="1" t="s">
        <v>5748</v>
      </c>
      <c r="L9219" s="1" t="s">
        <v>460</v>
      </c>
      <c r="N9219" s="1" t="s">
        <v>1445</v>
      </c>
      <c r="P9219" s="1" t="s">
        <v>2533</v>
      </c>
      <c r="Q9219" s="30" t="s">
        <v>2567</v>
      </c>
      <c r="R9219" s="33" t="s">
        <v>3474</v>
      </c>
      <c r="S9219">
        <v>35</v>
      </c>
      <c r="T9219" s="1" t="s">
        <v>5416</v>
      </c>
      <c r="U9219" s="1" t="str">
        <f>HYPERLINK("http://ictvonline.org/taxonomy/p/taxonomy-history?taxnode_id=202104730","ICTVonline=202104730")</f>
        <v>ICTVonline=202104730</v>
      </c>
    </row>
    <row r="9220" spans="1:21" x14ac:dyDescent="0.2">
      <c r="A9220" s="3">
        <v>9219</v>
      </c>
      <c r="B9220" s="1" t="s">
        <v>4226</v>
      </c>
      <c r="D9220" s="1" t="s">
        <v>5412</v>
      </c>
      <c r="F9220" s="1" t="s">
        <v>5637</v>
      </c>
      <c r="H9220" s="1" t="s">
        <v>5747</v>
      </c>
      <c r="J9220" s="1" t="s">
        <v>5748</v>
      </c>
      <c r="L9220" s="1" t="s">
        <v>460</v>
      </c>
      <c r="N9220" s="1" t="s">
        <v>1445</v>
      </c>
      <c r="P9220" s="1" t="s">
        <v>2007</v>
      </c>
      <c r="Q9220" s="30" t="s">
        <v>2567</v>
      </c>
      <c r="R9220" s="33" t="s">
        <v>3474</v>
      </c>
      <c r="S9220">
        <v>35</v>
      </c>
      <c r="T9220" s="1" t="s">
        <v>5416</v>
      </c>
      <c r="U9220" s="1" t="str">
        <f>HYPERLINK("http://ictvonline.org/taxonomy/p/taxonomy-history?taxnode_id=202104731","ICTVonline=202104731")</f>
        <v>ICTVonline=202104731</v>
      </c>
    </row>
    <row r="9221" spans="1:21" x14ac:dyDescent="0.2">
      <c r="A9221" s="3">
        <v>9220</v>
      </c>
      <c r="B9221" s="1" t="s">
        <v>4226</v>
      </c>
      <c r="D9221" s="1" t="s">
        <v>5412</v>
      </c>
      <c r="F9221" s="1" t="s">
        <v>5637</v>
      </c>
      <c r="H9221" s="1" t="s">
        <v>5747</v>
      </c>
      <c r="J9221" s="1" t="s">
        <v>5748</v>
      </c>
      <c r="L9221" s="1" t="s">
        <v>460</v>
      </c>
      <c r="N9221" s="1" t="s">
        <v>1445</v>
      </c>
      <c r="P9221" s="1" t="s">
        <v>1448</v>
      </c>
      <c r="Q9221" s="30" t="s">
        <v>2567</v>
      </c>
      <c r="R9221" s="33" t="s">
        <v>8665</v>
      </c>
      <c r="S9221">
        <v>36</v>
      </c>
      <c r="T9221" s="1" t="s">
        <v>8661</v>
      </c>
      <c r="U9221" s="1" t="str">
        <f>HYPERLINK("http://ictvonline.org/taxonomy/p/taxonomy-history?taxnode_id=202104732","ICTVonline=202104732")</f>
        <v>ICTVonline=202104732</v>
      </c>
    </row>
    <row r="9222" spans="1:21" x14ac:dyDescent="0.2">
      <c r="A9222" s="3">
        <v>9221</v>
      </c>
      <c r="B9222" s="1" t="s">
        <v>4226</v>
      </c>
      <c r="D9222" s="1" t="s">
        <v>5412</v>
      </c>
      <c r="F9222" s="1" t="s">
        <v>5637</v>
      </c>
      <c r="H9222" s="1" t="s">
        <v>5747</v>
      </c>
      <c r="J9222" s="1" t="s">
        <v>5748</v>
      </c>
      <c r="L9222" s="1" t="s">
        <v>460</v>
      </c>
      <c r="N9222" s="1" t="s">
        <v>1445</v>
      </c>
      <c r="P9222" s="1" t="s">
        <v>3953</v>
      </c>
      <c r="Q9222" s="30" t="s">
        <v>2567</v>
      </c>
      <c r="R9222" s="33" t="s">
        <v>3474</v>
      </c>
      <c r="S9222">
        <v>35</v>
      </c>
      <c r="T9222" s="1" t="s">
        <v>5416</v>
      </c>
      <c r="U9222" s="1" t="str">
        <f>HYPERLINK("http://ictvonline.org/taxonomy/p/taxonomy-history?taxnode_id=202104733","ICTVonline=202104733")</f>
        <v>ICTVonline=202104733</v>
      </c>
    </row>
    <row r="9223" spans="1:21" x14ac:dyDescent="0.2">
      <c r="A9223" s="3">
        <v>9222</v>
      </c>
      <c r="B9223" s="1" t="s">
        <v>4226</v>
      </c>
      <c r="D9223" s="1" t="s">
        <v>5412</v>
      </c>
      <c r="F9223" s="1" t="s">
        <v>5637</v>
      </c>
      <c r="H9223" s="1" t="s">
        <v>5747</v>
      </c>
      <c r="J9223" s="1" t="s">
        <v>5769</v>
      </c>
      <c r="L9223" s="1" t="s">
        <v>633</v>
      </c>
      <c r="N9223" s="1" t="s">
        <v>634</v>
      </c>
      <c r="P9223" s="1" t="s">
        <v>41</v>
      </c>
      <c r="Q9223" s="30" t="s">
        <v>2567</v>
      </c>
      <c r="R9223" s="33" t="s">
        <v>8665</v>
      </c>
      <c r="S9223">
        <v>36</v>
      </c>
      <c r="T9223" s="1" t="s">
        <v>8661</v>
      </c>
      <c r="U9223" s="1" t="str">
        <f>HYPERLINK("http://ictvonline.org/taxonomy/p/taxonomy-history?taxnode_id=202102622","ICTVonline=202102622")</f>
        <v>ICTVonline=202102622</v>
      </c>
    </row>
    <row r="9224" spans="1:21" x14ac:dyDescent="0.2">
      <c r="A9224" s="3">
        <v>9223</v>
      </c>
      <c r="B9224" s="1" t="s">
        <v>4226</v>
      </c>
      <c r="D9224" s="1" t="s">
        <v>5412</v>
      </c>
      <c r="F9224" s="1" t="s">
        <v>5637</v>
      </c>
      <c r="H9224" s="1" t="s">
        <v>5747</v>
      </c>
      <c r="J9224" s="1" t="s">
        <v>5769</v>
      </c>
      <c r="L9224" s="1" t="s">
        <v>633</v>
      </c>
      <c r="N9224" s="1" t="s">
        <v>634</v>
      </c>
      <c r="P9224" s="1" t="s">
        <v>42</v>
      </c>
      <c r="Q9224" s="30" t="s">
        <v>2567</v>
      </c>
      <c r="R9224" s="33" t="s">
        <v>3474</v>
      </c>
      <c r="S9224">
        <v>35</v>
      </c>
      <c r="T9224" s="1" t="s">
        <v>5416</v>
      </c>
      <c r="U9224" s="1" t="str">
        <f>HYPERLINK("http://ictvonline.org/taxonomy/p/taxonomy-history?taxnode_id=202102623","ICTVonline=202102623")</f>
        <v>ICTVonline=202102623</v>
      </c>
    </row>
    <row r="9225" spans="1:21" x14ac:dyDescent="0.2">
      <c r="A9225" s="3">
        <v>9224</v>
      </c>
      <c r="B9225" s="1" t="s">
        <v>4226</v>
      </c>
      <c r="D9225" s="1" t="s">
        <v>5412</v>
      </c>
      <c r="F9225" s="1" t="s">
        <v>5637</v>
      </c>
      <c r="H9225" s="1" t="s">
        <v>5747</v>
      </c>
      <c r="J9225" s="1" t="s">
        <v>5769</v>
      </c>
      <c r="L9225" s="1" t="s">
        <v>633</v>
      </c>
      <c r="N9225" s="1" t="s">
        <v>634</v>
      </c>
      <c r="P9225" s="1" t="s">
        <v>43</v>
      </c>
      <c r="Q9225" s="30" t="s">
        <v>2567</v>
      </c>
      <c r="R9225" s="33" t="s">
        <v>3474</v>
      </c>
      <c r="S9225">
        <v>35</v>
      </c>
      <c r="T9225" s="1" t="s">
        <v>5416</v>
      </c>
      <c r="U9225" s="1" t="str">
        <f>HYPERLINK("http://ictvonline.org/taxonomy/p/taxonomy-history?taxnode_id=202102624","ICTVonline=202102624")</f>
        <v>ICTVonline=202102624</v>
      </c>
    </row>
    <row r="9226" spans="1:21" x14ac:dyDescent="0.2">
      <c r="A9226" s="3">
        <v>9225</v>
      </c>
      <c r="B9226" s="1" t="s">
        <v>4226</v>
      </c>
      <c r="D9226" s="1" t="s">
        <v>5412</v>
      </c>
      <c r="F9226" s="1" t="s">
        <v>5637</v>
      </c>
      <c r="H9226" s="1" t="s">
        <v>5747</v>
      </c>
      <c r="J9226" s="1" t="s">
        <v>5769</v>
      </c>
      <c r="L9226" s="1" t="s">
        <v>633</v>
      </c>
      <c r="N9226" s="1" t="s">
        <v>556</v>
      </c>
      <c r="P9226" s="1" t="s">
        <v>44</v>
      </c>
      <c r="Q9226" s="30" t="s">
        <v>2567</v>
      </c>
      <c r="R9226" s="33" t="s">
        <v>8665</v>
      </c>
      <c r="S9226">
        <v>36</v>
      </c>
      <c r="T9226" s="1" t="s">
        <v>8661</v>
      </c>
      <c r="U9226" s="1" t="str">
        <f>HYPERLINK("http://ictvonline.org/taxonomy/p/taxonomy-history?taxnode_id=202102626","ICTVonline=202102626")</f>
        <v>ICTVonline=202102626</v>
      </c>
    </row>
    <row r="9227" spans="1:21" x14ac:dyDescent="0.2">
      <c r="A9227" s="3">
        <v>9226</v>
      </c>
      <c r="B9227" s="1" t="s">
        <v>4226</v>
      </c>
      <c r="D9227" s="1" t="s">
        <v>5412</v>
      </c>
      <c r="F9227" s="1" t="s">
        <v>5637</v>
      </c>
      <c r="H9227" s="1" t="s">
        <v>5747</v>
      </c>
      <c r="J9227" s="1" t="s">
        <v>5769</v>
      </c>
      <c r="L9227" s="1" t="s">
        <v>633</v>
      </c>
      <c r="N9227" s="1" t="s">
        <v>556</v>
      </c>
      <c r="P9227" s="1" t="s">
        <v>55</v>
      </c>
      <c r="Q9227" s="30" t="s">
        <v>2567</v>
      </c>
      <c r="R9227" s="33" t="s">
        <v>3474</v>
      </c>
      <c r="S9227">
        <v>35</v>
      </c>
      <c r="T9227" s="1" t="s">
        <v>5416</v>
      </c>
      <c r="U9227" s="1" t="str">
        <f>HYPERLINK("http://ictvonline.org/taxonomy/p/taxonomy-history?taxnode_id=202102627","ICTVonline=202102627")</f>
        <v>ICTVonline=202102627</v>
      </c>
    </row>
    <row r="9228" spans="1:21" x14ac:dyDescent="0.2">
      <c r="A9228" s="3">
        <v>9227</v>
      </c>
      <c r="B9228" s="1" t="s">
        <v>4226</v>
      </c>
      <c r="D9228" s="1" t="s">
        <v>5412</v>
      </c>
      <c r="F9228" s="1" t="s">
        <v>5637</v>
      </c>
      <c r="H9228" s="1" t="s">
        <v>5747</v>
      </c>
      <c r="J9228" s="1" t="s">
        <v>5769</v>
      </c>
      <c r="L9228" s="1" t="s">
        <v>633</v>
      </c>
      <c r="N9228" s="1" t="s">
        <v>556</v>
      </c>
      <c r="P9228" s="1" t="s">
        <v>56</v>
      </c>
      <c r="Q9228" s="30" t="s">
        <v>2567</v>
      </c>
      <c r="R9228" s="33" t="s">
        <v>3474</v>
      </c>
      <c r="S9228">
        <v>35</v>
      </c>
      <c r="T9228" s="1" t="s">
        <v>5416</v>
      </c>
      <c r="U9228" s="1" t="str">
        <f>HYPERLINK("http://ictvonline.org/taxonomy/p/taxonomy-history?taxnode_id=202102628","ICTVonline=202102628")</f>
        <v>ICTVonline=202102628</v>
      </c>
    </row>
    <row r="9229" spans="1:21" x14ac:dyDescent="0.2">
      <c r="A9229" s="3">
        <v>9228</v>
      </c>
      <c r="B9229" s="1" t="s">
        <v>4226</v>
      </c>
      <c r="D9229" s="1" t="s">
        <v>5412</v>
      </c>
      <c r="F9229" s="1" t="s">
        <v>5637</v>
      </c>
      <c r="H9229" s="1" t="s">
        <v>5747</v>
      </c>
      <c r="J9229" s="1" t="s">
        <v>5769</v>
      </c>
      <c r="L9229" s="1" t="s">
        <v>633</v>
      </c>
      <c r="N9229" s="1" t="s">
        <v>556</v>
      </c>
      <c r="P9229" s="1" t="s">
        <v>57</v>
      </c>
      <c r="Q9229" s="30" t="s">
        <v>2567</v>
      </c>
      <c r="R9229" s="33" t="s">
        <v>3474</v>
      </c>
      <c r="S9229">
        <v>35</v>
      </c>
      <c r="T9229" s="1" t="s">
        <v>5416</v>
      </c>
      <c r="U9229" s="1" t="str">
        <f>HYPERLINK("http://ictvonline.org/taxonomy/p/taxonomy-history?taxnode_id=202102629","ICTVonline=202102629")</f>
        <v>ICTVonline=202102629</v>
      </c>
    </row>
    <row r="9230" spans="1:21" x14ac:dyDescent="0.2">
      <c r="A9230" s="3">
        <v>9229</v>
      </c>
      <c r="B9230" s="1" t="s">
        <v>4226</v>
      </c>
      <c r="D9230" s="1" t="s">
        <v>5412</v>
      </c>
      <c r="F9230" s="1" t="s">
        <v>5637</v>
      </c>
      <c r="H9230" s="1" t="s">
        <v>5747</v>
      </c>
      <c r="J9230" s="1" t="s">
        <v>5769</v>
      </c>
      <c r="L9230" s="1" t="s">
        <v>633</v>
      </c>
      <c r="N9230" s="1" t="s">
        <v>556</v>
      </c>
      <c r="P9230" s="1" t="s">
        <v>58</v>
      </c>
      <c r="Q9230" s="30" t="s">
        <v>2567</v>
      </c>
      <c r="R9230" s="33" t="s">
        <v>3474</v>
      </c>
      <c r="S9230">
        <v>35</v>
      </c>
      <c r="T9230" s="1" t="s">
        <v>5416</v>
      </c>
      <c r="U9230" s="1" t="str">
        <f>HYPERLINK("http://ictvonline.org/taxonomy/p/taxonomy-history?taxnode_id=202102630","ICTVonline=202102630")</f>
        <v>ICTVonline=202102630</v>
      </c>
    </row>
    <row r="9231" spans="1:21" x14ac:dyDescent="0.2">
      <c r="A9231" s="3">
        <v>9230</v>
      </c>
      <c r="B9231" s="1" t="s">
        <v>4226</v>
      </c>
      <c r="D9231" s="1" t="s">
        <v>5412</v>
      </c>
      <c r="F9231" s="1" t="s">
        <v>5637</v>
      </c>
      <c r="H9231" s="1" t="s">
        <v>5747</v>
      </c>
      <c r="J9231" s="1" t="s">
        <v>5769</v>
      </c>
      <c r="L9231" s="1" t="s">
        <v>633</v>
      </c>
      <c r="N9231" s="1" t="s">
        <v>556</v>
      </c>
      <c r="P9231" s="1" t="s">
        <v>59</v>
      </c>
      <c r="Q9231" s="30" t="s">
        <v>2567</v>
      </c>
      <c r="R9231" s="33" t="s">
        <v>3474</v>
      </c>
      <c r="S9231">
        <v>35</v>
      </c>
      <c r="T9231" s="1" t="s">
        <v>5416</v>
      </c>
      <c r="U9231" s="1" t="str">
        <f>HYPERLINK("http://ictvonline.org/taxonomy/p/taxonomy-history?taxnode_id=202102631","ICTVonline=202102631")</f>
        <v>ICTVonline=202102631</v>
      </c>
    </row>
    <row r="9232" spans="1:21" x14ac:dyDescent="0.2">
      <c r="A9232" s="3">
        <v>9231</v>
      </c>
      <c r="B9232" s="1" t="s">
        <v>4226</v>
      </c>
      <c r="D9232" s="1" t="s">
        <v>5412</v>
      </c>
      <c r="F9232" s="1" t="s">
        <v>5637</v>
      </c>
      <c r="H9232" s="1" t="s">
        <v>5747</v>
      </c>
      <c r="J9232" s="1" t="s">
        <v>5769</v>
      </c>
      <c r="L9232" s="1" t="s">
        <v>633</v>
      </c>
      <c r="N9232" s="1" t="s">
        <v>556</v>
      </c>
      <c r="P9232" s="1" t="s">
        <v>60</v>
      </c>
      <c r="Q9232" s="30" t="s">
        <v>2567</v>
      </c>
      <c r="R9232" s="33" t="s">
        <v>3474</v>
      </c>
      <c r="S9232">
        <v>35</v>
      </c>
      <c r="T9232" s="1" t="s">
        <v>5416</v>
      </c>
      <c r="U9232" s="1" t="str">
        <f>HYPERLINK("http://ictvonline.org/taxonomy/p/taxonomy-history?taxnode_id=202102632","ICTVonline=202102632")</f>
        <v>ICTVonline=202102632</v>
      </c>
    </row>
    <row r="9233" spans="1:21" x14ac:dyDescent="0.2">
      <c r="A9233" s="3">
        <v>9232</v>
      </c>
      <c r="B9233" s="1" t="s">
        <v>4226</v>
      </c>
      <c r="D9233" s="1" t="s">
        <v>5412</v>
      </c>
      <c r="F9233" s="1" t="s">
        <v>5637</v>
      </c>
      <c r="H9233" s="1" t="s">
        <v>5747</v>
      </c>
      <c r="J9233" s="1" t="s">
        <v>5769</v>
      </c>
      <c r="L9233" s="1" t="s">
        <v>633</v>
      </c>
      <c r="N9233" s="1" t="s">
        <v>556</v>
      </c>
      <c r="P9233" s="1" t="s">
        <v>61</v>
      </c>
      <c r="Q9233" s="30" t="s">
        <v>2567</v>
      </c>
      <c r="R9233" s="33" t="s">
        <v>3474</v>
      </c>
      <c r="S9233">
        <v>35</v>
      </c>
      <c r="T9233" s="1" t="s">
        <v>5416</v>
      </c>
      <c r="U9233" s="1" t="str">
        <f>HYPERLINK("http://ictvonline.org/taxonomy/p/taxonomy-history?taxnode_id=202102633","ICTVonline=202102633")</f>
        <v>ICTVonline=202102633</v>
      </c>
    </row>
    <row r="9234" spans="1:21" x14ac:dyDescent="0.2">
      <c r="A9234" s="3">
        <v>9233</v>
      </c>
      <c r="B9234" s="1" t="s">
        <v>4226</v>
      </c>
      <c r="D9234" s="1" t="s">
        <v>5412</v>
      </c>
      <c r="F9234" s="1" t="s">
        <v>5637</v>
      </c>
      <c r="H9234" s="1" t="s">
        <v>5747</v>
      </c>
      <c r="J9234" s="1" t="s">
        <v>5769</v>
      </c>
      <c r="L9234" s="1" t="s">
        <v>633</v>
      </c>
      <c r="N9234" s="1" t="s">
        <v>556</v>
      </c>
      <c r="P9234" s="1" t="s">
        <v>62</v>
      </c>
      <c r="Q9234" s="30" t="s">
        <v>2567</v>
      </c>
      <c r="R9234" s="33" t="s">
        <v>3474</v>
      </c>
      <c r="S9234">
        <v>35</v>
      </c>
      <c r="T9234" s="1" t="s">
        <v>5416</v>
      </c>
      <c r="U9234" s="1" t="str">
        <f>HYPERLINK("http://ictvonline.org/taxonomy/p/taxonomy-history?taxnode_id=202102634","ICTVonline=202102634")</f>
        <v>ICTVonline=202102634</v>
      </c>
    </row>
    <row r="9235" spans="1:21" x14ac:dyDescent="0.2">
      <c r="A9235" s="3">
        <v>9234</v>
      </c>
      <c r="B9235" s="1" t="s">
        <v>4226</v>
      </c>
      <c r="D9235" s="1" t="s">
        <v>5412</v>
      </c>
      <c r="F9235" s="1" t="s">
        <v>5637</v>
      </c>
      <c r="H9235" s="1" t="s">
        <v>5747</v>
      </c>
      <c r="J9235" s="1" t="s">
        <v>5769</v>
      </c>
      <c r="L9235" s="1" t="s">
        <v>633</v>
      </c>
      <c r="N9235" s="1" t="s">
        <v>556</v>
      </c>
      <c r="P9235" s="1" t="s">
        <v>45</v>
      </c>
      <c r="Q9235" s="30" t="s">
        <v>2567</v>
      </c>
      <c r="R9235" s="33" t="s">
        <v>3474</v>
      </c>
      <c r="S9235">
        <v>35</v>
      </c>
      <c r="T9235" s="1" t="s">
        <v>5416</v>
      </c>
      <c r="U9235" s="1" t="str">
        <f>HYPERLINK("http://ictvonline.org/taxonomy/p/taxonomy-history?taxnode_id=202102635","ICTVonline=202102635")</f>
        <v>ICTVonline=202102635</v>
      </c>
    </row>
    <row r="9236" spans="1:21" x14ac:dyDescent="0.2">
      <c r="A9236" s="3">
        <v>9235</v>
      </c>
      <c r="B9236" s="1" t="s">
        <v>4226</v>
      </c>
      <c r="D9236" s="1" t="s">
        <v>5412</v>
      </c>
      <c r="F9236" s="1" t="s">
        <v>5637</v>
      </c>
      <c r="H9236" s="1" t="s">
        <v>5747</v>
      </c>
      <c r="J9236" s="1" t="s">
        <v>5769</v>
      </c>
      <c r="L9236" s="1" t="s">
        <v>633</v>
      </c>
      <c r="N9236" s="1" t="s">
        <v>556</v>
      </c>
      <c r="P9236" s="1" t="s">
        <v>46</v>
      </c>
      <c r="Q9236" s="30" t="s">
        <v>2567</v>
      </c>
      <c r="R9236" s="33" t="s">
        <v>3474</v>
      </c>
      <c r="S9236">
        <v>35</v>
      </c>
      <c r="T9236" s="1" t="s">
        <v>5416</v>
      </c>
      <c r="U9236" s="1" t="str">
        <f>HYPERLINK("http://ictvonline.org/taxonomy/p/taxonomy-history?taxnode_id=202102636","ICTVonline=202102636")</f>
        <v>ICTVonline=202102636</v>
      </c>
    </row>
    <row r="9237" spans="1:21" x14ac:dyDescent="0.2">
      <c r="A9237" s="3">
        <v>9236</v>
      </c>
      <c r="B9237" s="1" t="s">
        <v>4226</v>
      </c>
      <c r="D9237" s="1" t="s">
        <v>5412</v>
      </c>
      <c r="F9237" s="1" t="s">
        <v>5637</v>
      </c>
      <c r="H9237" s="1" t="s">
        <v>5747</v>
      </c>
      <c r="J9237" s="1" t="s">
        <v>5769</v>
      </c>
      <c r="L9237" s="1" t="s">
        <v>633</v>
      </c>
      <c r="N9237" s="1" t="s">
        <v>556</v>
      </c>
      <c r="P9237" s="1" t="s">
        <v>47</v>
      </c>
      <c r="Q9237" s="30" t="s">
        <v>2567</v>
      </c>
      <c r="R9237" s="33" t="s">
        <v>3474</v>
      </c>
      <c r="S9237">
        <v>35</v>
      </c>
      <c r="T9237" s="1" t="s">
        <v>5416</v>
      </c>
      <c r="U9237" s="1" t="str">
        <f>HYPERLINK("http://ictvonline.org/taxonomy/p/taxonomy-history?taxnode_id=202102637","ICTVonline=202102637")</f>
        <v>ICTVonline=202102637</v>
      </c>
    </row>
    <row r="9238" spans="1:21" x14ac:dyDescent="0.2">
      <c r="A9238" s="3">
        <v>9237</v>
      </c>
      <c r="B9238" s="1" t="s">
        <v>4226</v>
      </c>
      <c r="D9238" s="1" t="s">
        <v>5412</v>
      </c>
      <c r="F9238" s="1" t="s">
        <v>5637</v>
      </c>
      <c r="H9238" s="1" t="s">
        <v>5747</v>
      </c>
      <c r="J9238" s="1" t="s">
        <v>5769</v>
      </c>
      <c r="L9238" s="1" t="s">
        <v>633</v>
      </c>
      <c r="N9238" s="1" t="s">
        <v>556</v>
      </c>
      <c r="P9238" s="1" t="s">
        <v>48</v>
      </c>
      <c r="Q9238" s="30" t="s">
        <v>2567</v>
      </c>
      <c r="R9238" s="33" t="s">
        <v>3474</v>
      </c>
      <c r="S9238">
        <v>35</v>
      </c>
      <c r="T9238" s="1" t="s">
        <v>5416</v>
      </c>
      <c r="U9238" s="1" t="str">
        <f>HYPERLINK("http://ictvonline.org/taxonomy/p/taxonomy-history?taxnode_id=202102638","ICTVonline=202102638")</f>
        <v>ICTVonline=202102638</v>
      </c>
    </row>
    <row r="9239" spans="1:21" x14ac:dyDescent="0.2">
      <c r="A9239" s="3">
        <v>9238</v>
      </c>
      <c r="B9239" s="1" t="s">
        <v>4226</v>
      </c>
      <c r="D9239" s="1" t="s">
        <v>5412</v>
      </c>
      <c r="F9239" s="1" t="s">
        <v>5637</v>
      </c>
      <c r="H9239" s="1" t="s">
        <v>5747</v>
      </c>
      <c r="J9239" s="1" t="s">
        <v>5769</v>
      </c>
      <c r="L9239" s="1" t="s">
        <v>633</v>
      </c>
      <c r="N9239" s="1" t="s">
        <v>556</v>
      </c>
      <c r="P9239" s="1" t="s">
        <v>49</v>
      </c>
      <c r="Q9239" s="30" t="s">
        <v>2567</v>
      </c>
      <c r="R9239" s="33" t="s">
        <v>3474</v>
      </c>
      <c r="S9239">
        <v>35</v>
      </c>
      <c r="T9239" s="1" t="s">
        <v>5416</v>
      </c>
      <c r="U9239" s="1" t="str">
        <f>HYPERLINK("http://ictvonline.org/taxonomy/p/taxonomy-history?taxnode_id=202102639","ICTVonline=202102639")</f>
        <v>ICTVonline=202102639</v>
      </c>
    </row>
    <row r="9240" spans="1:21" x14ac:dyDescent="0.2">
      <c r="A9240" s="3">
        <v>9239</v>
      </c>
      <c r="B9240" s="1" t="s">
        <v>4226</v>
      </c>
      <c r="D9240" s="1" t="s">
        <v>5412</v>
      </c>
      <c r="F9240" s="1" t="s">
        <v>5637</v>
      </c>
      <c r="H9240" s="1" t="s">
        <v>5747</v>
      </c>
      <c r="J9240" s="1" t="s">
        <v>5769</v>
      </c>
      <c r="L9240" s="1" t="s">
        <v>633</v>
      </c>
      <c r="N9240" s="1" t="s">
        <v>556</v>
      </c>
      <c r="P9240" s="1" t="s">
        <v>50</v>
      </c>
      <c r="Q9240" s="30" t="s">
        <v>2567</v>
      </c>
      <c r="R9240" s="33" t="s">
        <v>3474</v>
      </c>
      <c r="S9240">
        <v>35</v>
      </c>
      <c r="T9240" s="1" t="s">
        <v>5416</v>
      </c>
      <c r="U9240" s="1" t="str">
        <f>HYPERLINK("http://ictvonline.org/taxonomy/p/taxonomy-history?taxnode_id=202102640","ICTVonline=202102640")</f>
        <v>ICTVonline=202102640</v>
      </c>
    </row>
    <row r="9241" spans="1:21" x14ac:dyDescent="0.2">
      <c r="A9241" s="3">
        <v>9240</v>
      </c>
      <c r="B9241" s="1" t="s">
        <v>4226</v>
      </c>
      <c r="D9241" s="1" t="s">
        <v>5412</v>
      </c>
      <c r="F9241" s="1" t="s">
        <v>5637</v>
      </c>
      <c r="H9241" s="1" t="s">
        <v>5747</v>
      </c>
      <c r="J9241" s="1" t="s">
        <v>5769</v>
      </c>
      <c r="L9241" s="1" t="s">
        <v>633</v>
      </c>
      <c r="N9241" s="1" t="s">
        <v>556</v>
      </c>
      <c r="P9241" s="1" t="s">
        <v>51</v>
      </c>
      <c r="Q9241" s="30" t="s">
        <v>2567</v>
      </c>
      <c r="R9241" s="33" t="s">
        <v>3474</v>
      </c>
      <c r="S9241">
        <v>35</v>
      </c>
      <c r="T9241" s="1" t="s">
        <v>5416</v>
      </c>
      <c r="U9241" s="1" t="str">
        <f>HYPERLINK("http://ictvonline.org/taxonomy/p/taxonomy-history?taxnode_id=202102641","ICTVonline=202102641")</f>
        <v>ICTVonline=202102641</v>
      </c>
    </row>
    <row r="9242" spans="1:21" x14ac:dyDescent="0.2">
      <c r="A9242" s="3">
        <v>9241</v>
      </c>
      <c r="B9242" s="1" t="s">
        <v>4226</v>
      </c>
      <c r="D9242" s="1" t="s">
        <v>5412</v>
      </c>
      <c r="F9242" s="1" t="s">
        <v>5637</v>
      </c>
      <c r="H9242" s="1" t="s">
        <v>5747</v>
      </c>
      <c r="J9242" s="1" t="s">
        <v>5769</v>
      </c>
      <c r="L9242" s="1" t="s">
        <v>633</v>
      </c>
      <c r="N9242" s="1" t="s">
        <v>556</v>
      </c>
      <c r="P9242" s="1" t="s">
        <v>52</v>
      </c>
      <c r="Q9242" s="30" t="s">
        <v>2567</v>
      </c>
      <c r="R9242" s="33" t="s">
        <v>3474</v>
      </c>
      <c r="S9242">
        <v>35</v>
      </c>
      <c r="T9242" s="1" t="s">
        <v>5416</v>
      </c>
      <c r="U9242" s="1" t="str">
        <f>HYPERLINK("http://ictvonline.org/taxonomy/p/taxonomy-history?taxnode_id=202102642","ICTVonline=202102642")</f>
        <v>ICTVonline=202102642</v>
      </c>
    </row>
    <row r="9243" spans="1:21" x14ac:dyDescent="0.2">
      <c r="A9243" s="3">
        <v>9242</v>
      </c>
      <c r="B9243" s="1" t="s">
        <v>4226</v>
      </c>
      <c r="D9243" s="1" t="s">
        <v>5412</v>
      </c>
      <c r="F9243" s="1" t="s">
        <v>5637</v>
      </c>
      <c r="H9243" s="1" t="s">
        <v>5747</v>
      </c>
      <c r="J9243" s="1" t="s">
        <v>5769</v>
      </c>
      <c r="L9243" s="1" t="s">
        <v>633</v>
      </c>
      <c r="N9243" s="1" t="s">
        <v>556</v>
      </c>
      <c r="P9243" s="1" t="s">
        <v>53</v>
      </c>
      <c r="Q9243" s="30" t="s">
        <v>2567</v>
      </c>
      <c r="R9243" s="33" t="s">
        <v>3474</v>
      </c>
      <c r="S9243">
        <v>35</v>
      </c>
      <c r="T9243" s="1" t="s">
        <v>5416</v>
      </c>
      <c r="U9243" s="1" t="str">
        <f>HYPERLINK("http://ictvonline.org/taxonomy/p/taxonomy-history?taxnode_id=202102643","ICTVonline=202102643")</f>
        <v>ICTVonline=202102643</v>
      </c>
    </row>
    <row r="9244" spans="1:21" x14ac:dyDescent="0.2">
      <c r="A9244" s="3">
        <v>9243</v>
      </c>
      <c r="B9244" s="1" t="s">
        <v>4226</v>
      </c>
      <c r="D9244" s="1" t="s">
        <v>5412</v>
      </c>
      <c r="F9244" s="1" t="s">
        <v>5637</v>
      </c>
      <c r="H9244" s="1" t="s">
        <v>5747</v>
      </c>
      <c r="J9244" s="1" t="s">
        <v>5769</v>
      </c>
      <c r="L9244" s="1" t="s">
        <v>633</v>
      </c>
      <c r="N9244" s="1" t="s">
        <v>556</v>
      </c>
      <c r="P9244" s="1" t="s">
        <v>54</v>
      </c>
      <c r="Q9244" s="30" t="s">
        <v>2567</v>
      </c>
      <c r="R9244" s="33" t="s">
        <v>3474</v>
      </c>
      <c r="S9244">
        <v>35</v>
      </c>
      <c r="T9244" s="1" t="s">
        <v>5416</v>
      </c>
      <c r="U9244" s="1" t="str">
        <f>HYPERLINK("http://ictvonline.org/taxonomy/p/taxonomy-history?taxnode_id=202102644","ICTVonline=202102644")</f>
        <v>ICTVonline=202102644</v>
      </c>
    </row>
    <row r="9245" spans="1:21" x14ac:dyDescent="0.2">
      <c r="A9245" s="3">
        <v>9244</v>
      </c>
      <c r="B9245" s="1" t="s">
        <v>4226</v>
      </c>
      <c r="D9245" s="1" t="s">
        <v>5412</v>
      </c>
      <c r="F9245" s="1" t="s">
        <v>5637</v>
      </c>
      <c r="J9245" s="1" t="s">
        <v>13753</v>
      </c>
      <c r="L9245" s="1" t="s">
        <v>13754</v>
      </c>
      <c r="N9245" s="1" t="s">
        <v>13755</v>
      </c>
      <c r="P9245" s="1" t="s">
        <v>13756</v>
      </c>
      <c r="Q9245" s="30" t="s">
        <v>2567</v>
      </c>
      <c r="R9245" s="33" t="s">
        <v>3472</v>
      </c>
      <c r="S9245">
        <v>37</v>
      </c>
      <c r="T9245" s="1" t="s">
        <v>14065</v>
      </c>
      <c r="U9245" s="1" t="str">
        <f>HYPERLINK("http://ictvonline.org/taxonomy/p/taxonomy-history?taxnode_id=202112473","ICTVonline=202112473")</f>
        <v>ICTVonline=202112473</v>
      </c>
    </row>
    <row r="9246" spans="1:21" x14ac:dyDescent="0.2">
      <c r="A9246" s="3">
        <v>9245</v>
      </c>
      <c r="B9246" s="1" t="s">
        <v>4226</v>
      </c>
      <c r="D9246" s="1" t="s">
        <v>5412</v>
      </c>
      <c r="F9246" s="1" t="s">
        <v>5637</v>
      </c>
      <c r="J9246" s="1" t="s">
        <v>13753</v>
      </c>
      <c r="L9246" s="1" t="s">
        <v>13754</v>
      </c>
      <c r="N9246" s="1" t="s">
        <v>13755</v>
      </c>
      <c r="P9246" s="1" t="s">
        <v>13757</v>
      </c>
      <c r="Q9246" s="30" t="s">
        <v>2567</v>
      </c>
      <c r="R9246" s="33" t="s">
        <v>3472</v>
      </c>
      <c r="S9246">
        <v>37</v>
      </c>
      <c r="T9246" s="1" t="s">
        <v>14065</v>
      </c>
      <c r="U9246" s="1" t="str">
        <f>HYPERLINK("http://ictvonline.org/taxonomy/p/taxonomy-history?taxnode_id=202112469","ICTVonline=202112469")</f>
        <v>ICTVonline=202112469</v>
      </c>
    </row>
    <row r="9247" spans="1:21" x14ac:dyDescent="0.2">
      <c r="A9247" s="3">
        <v>9246</v>
      </c>
      <c r="B9247" s="1" t="s">
        <v>4226</v>
      </c>
      <c r="D9247" s="1" t="s">
        <v>5412</v>
      </c>
      <c r="F9247" s="1" t="s">
        <v>5637</v>
      </c>
      <c r="J9247" s="1" t="s">
        <v>13753</v>
      </c>
      <c r="L9247" s="1" t="s">
        <v>13754</v>
      </c>
      <c r="N9247" s="1" t="s">
        <v>13755</v>
      </c>
      <c r="P9247" s="1" t="s">
        <v>13758</v>
      </c>
      <c r="Q9247" s="30" t="s">
        <v>2567</v>
      </c>
      <c r="R9247" s="33" t="s">
        <v>3472</v>
      </c>
      <c r="S9247">
        <v>37</v>
      </c>
      <c r="T9247" s="1" t="s">
        <v>14065</v>
      </c>
      <c r="U9247" s="1" t="str">
        <f>HYPERLINK("http://ictvonline.org/taxonomy/p/taxonomy-history?taxnode_id=202112470","ICTVonline=202112470")</f>
        <v>ICTVonline=202112470</v>
      </c>
    </row>
    <row r="9248" spans="1:21" x14ac:dyDescent="0.2">
      <c r="A9248" s="3">
        <v>9247</v>
      </c>
      <c r="B9248" s="1" t="s">
        <v>4226</v>
      </c>
      <c r="D9248" s="1" t="s">
        <v>5412</v>
      </c>
      <c r="F9248" s="1" t="s">
        <v>5637</v>
      </c>
      <c r="J9248" s="1" t="s">
        <v>13753</v>
      </c>
      <c r="L9248" s="1" t="s">
        <v>13754</v>
      </c>
      <c r="N9248" s="1" t="s">
        <v>13755</v>
      </c>
      <c r="P9248" s="1" t="s">
        <v>13759</v>
      </c>
      <c r="Q9248" s="30" t="s">
        <v>2567</v>
      </c>
      <c r="R9248" s="33" t="s">
        <v>3472</v>
      </c>
      <c r="S9248">
        <v>37</v>
      </c>
      <c r="T9248" s="1" t="s">
        <v>14065</v>
      </c>
      <c r="U9248" s="1" t="str">
        <f>HYPERLINK("http://ictvonline.org/taxonomy/p/taxonomy-history?taxnode_id=202112474","ICTVonline=202112474")</f>
        <v>ICTVonline=202112474</v>
      </c>
    </row>
    <row r="9249" spans="1:21" x14ac:dyDescent="0.2">
      <c r="A9249" s="3">
        <v>9248</v>
      </c>
      <c r="B9249" s="1" t="s">
        <v>4226</v>
      </c>
      <c r="D9249" s="1" t="s">
        <v>5412</v>
      </c>
      <c r="F9249" s="1" t="s">
        <v>5637</v>
      </c>
      <c r="J9249" s="1" t="s">
        <v>13753</v>
      </c>
      <c r="L9249" s="1" t="s">
        <v>13754</v>
      </c>
      <c r="N9249" s="1" t="s">
        <v>13755</v>
      </c>
      <c r="P9249" s="1" t="s">
        <v>13760</v>
      </c>
      <c r="Q9249" s="30" t="s">
        <v>2567</v>
      </c>
      <c r="R9249" s="33" t="s">
        <v>3472</v>
      </c>
      <c r="S9249">
        <v>37</v>
      </c>
      <c r="T9249" s="1" t="s">
        <v>14065</v>
      </c>
      <c r="U9249" s="1" t="str">
        <f>HYPERLINK("http://ictvonline.org/taxonomy/p/taxonomy-history?taxnode_id=202112471","ICTVonline=202112471")</f>
        <v>ICTVonline=202112471</v>
      </c>
    </row>
    <row r="9250" spans="1:21" x14ac:dyDescent="0.2">
      <c r="A9250" s="3">
        <v>9249</v>
      </c>
      <c r="B9250" s="1" t="s">
        <v>4226</v>
      </c>
      <c r="D9250" s="1" t="s">
        <v>5412</v>
      </c>
      <c r="F9250" s="1" t="s">
        <v>5637</v>
      </c>
      <c r="J9250" s="1" t="s">
        <v>13753</v>
      </c>
      <c r="L9250" s="1" t="s">
        <v>13754</v>
      </c>
      <c r="N9250" s="1" t="s">
        <v>13755</v>
      </c>
      <c r="P9250" s="1" t="s">
        <v>13761</v>
      </c>
      <c r="Q9250" s="30" t="s">
        <v>2567</v>
      </c>
      <c r="R9250" s="33" t="s">
        <v>3472</v>
      </c>
      <c r="S9250">
        <v>37</v>
      </c>
      <c r="T9250" s="1" t="s">
        <v>14065</v>
      </c>
      <c r="U9250" s="1" t="str">
        <f>HYPERLINK("http://ictvonline.org/taxonomy/p/taxonomy-history?taxnode_id=202112472","ICTVonline=202112472")</f>
        <v>ICTVonline=202112472</v>
      </c>
    </row>
    <row r="9251" spans="1:21" x14ac:dyDescent="0.2">
      <c r="A9251" s="3">
        <v>9250</v>
      </c>
      <c r="B9251" s="1" t="s">
        <v>4226</v>
      </c>
      <c r="D9251" s="1" t="s">
        <v>5412</v>
      </c>
      <c r="F9251" s="1" t="s">
        <v>5637</v>
      </c>
      <c r="J9251" s="1" t="s">
        <v>13753</v>
      </c>
      <c r="L9251" s="1" t="s">
        <v>13754</v>
      </c>
      <c r="N9251" s="1" t="s">
        <v>13762</v>
      </c>
      <c r="P9251" s="1" t="s">
        <v>13763</v>
      </c>
      <c r="Q9251" s="30" t="s">
        <v>2567</v>
      </c>
      <c r="R9251" s="33" t="s">
        <v>3472</v>
      </c>
      <c r="S9251">
        <v>37</v>
      </c>
      <c r="T9251" s="1" t="s">
        <v>14065</v>
      </c>
      <c r="U9251" s="1" t="str">
        <f>HYPERLINK("http://ictvonline.org/taxonomy/p/taxonomy-history?taxnode_id=202112476","ICTVonline=202112476")</f>
        <v>ICTVonline=202112476</v>
      </c>
    </row>
    <row r="9252" spans="1:21" x14ac:dyDescent="0.2">
      <c r="A9252" s="3">
        <v>9251</v>
      </c>
      <c r="B9252" s="1" t="s">
        <v>4226</v>
      </c>
      <c r="D9252" s="1" t="s">
        <v>5412</v>
      </c>
      <c r="F9252" s="1" t="s">
        <v>5637</v>
      </c>
      <c r="J9252" s="1" t="s">
        <v>13753</v>
      </c>
      <c r="L9252" s="1" t="s">
        <v>13754</v>
      </c>
      <c r="N9252" s="1" t="s">
        <v>13762</v>
      </c>
      <c r="P9252" s="1" t="s">
        <v>13764</v>
      </c>
      <c r="Q9252" s="30" t="s">
        <v>2567</v>
      </c>
      <c r="R9252" s="33" t="s">
        <v>3472</v>
      </c>
      <c r="S9252">
        <v>37</v>
      </c>
      <c r="T9252" s="1" t="s">
        <v>14065</v>
      </c>
      <c r="U9252" s="1" t="str">
        <f>HYPERLINK("http://ictvonline.org/taxonomy/p/taxonomy-history?taxnode_id=202112477","ICTVonline=202112477")</f>
        <v>ICTVonline=202112477</v>
      </c>
    </row>
    <row r="9253" spans="1:21" x14ac:dyDescent="0.2">
      <c r="A9253" s="3">
        <v>9252</v>
      </c>
      <c r="B9253" s="1" t="s">
        <v>4226</v>
      </c>
      <c r="D9253" s="1" t="s">
        <v>5412</v>
      </c>
      <c r="F9253" s="1" t="s">
        <v>5637</v>
      </c>
      <c r="J9253" s="1" t="s">
        <v>13753</v>
      </c>
      <c r="L9253" s="1" t="s">
        <v>13754</v>
      </c>
      <c r="N9253" s="1" t="s">
        <v>13762</v>
      </c>
      <c r="P9253" s="1" t="s">
        <v>13765</v>
      </c>
      <c r="Q9253" s="30" t="s">
        <v>2567</v>
      </c>
      <c r="R9253" s="33" t="s">
        <v>3472</v>
      </c>
      <c r="S9253">
        <v>37</v>
      </c>
      <c r="T9253" s="1" t="s">
        <v>14065</v>
      </c>
      <c r="U9253" s="1" t="str">
        <f>HYPERLINK("http://ictvonline.org/taxonomy/p/taxonomy-history?taxnode_id=202112478","ICTVonline=202112478")</f>
        <v>ICTVonline=202112478</v>
      </c>
    </row>
    <row r="9254" spans="1:21" x14ac:dyDescent="0.2">
      <c r="A9254" s="3">
        <v>9253</v>
      </c>
      <c r="B9254" s="1" t="s">
        <v>4226</v>
      </c>
      <c r="D9254" s="1" t="s">
        <v>5412</v>
      </c>
      <c r="F9254" s="1" t="s">
        <v>5637</v>
      </c>
      <c r="J9254" s="1" t="s">
        <v>13753</v>
      </c>
      <c r="L9254" s="1" t="s">
        <v>13754</v>
      </c>
      <c r="N9254" s="1" t="s">
        <v>13762</v>
      </c>
      <c r="P9254" s="1" t="s">
        <v>13766</v>
      </c>
      <c r="Q9254" s="30" t="s">
        <v>2567</v>
      </c>
      <c r="R9254" s="33" t="s">
        <v>3472</v>
      </c>
      <c r="S9254">
        <v>37</v>
      </c>
      <c r="T9254" s="1" t="s">
        <v>14065</v>
      </c>
      <c r="U9254" s="1" t="str">
        <f>HYPERLINK("http://ictvonline.org/taxonomy/p/taxonomy-history?taxnode_id=202112479","ICTVonline=202112479")</f>
        <v>ICTVonline=202112479</v>
      </c>
    </row>
    <row r="9255" spans="1:21" x14ac:dyDescent="0.2">
      <c r="A9255" s="3">
        <v>9254</v>
      </c>
      <c r="B9255" s="1" t="s">
        <v>4226</v>
      </c>
      <c r="D9255" s="1" t="s">
        <v>5412</v>
      </c>
      <c r="F9255" s="1" t="s">
        <v>5637</v>
      </c>
      <c r="L9255" s="1" t="s">
        <v>13767</v>
      </c>
      <c r="N9255" s="1" t="s">
        <v>13768</v>
      </c>
      <c r="P9255" s="1" t="s">
        <v>13769</v>
      </c>
      <c r="Q9255" s="30" t="s">
        <v>2567</v>
      </c>
      <c r="R9255" s="33" t="s">
        <v>3472</v>
      </c>
      <c r="S9255">
        <v>37</v>
      </c>
      <c r="T9255" s="1" t="s">
        <v>14066</v>
      </c>
      <c r="U9255" s="1" t="str">
        <f>HYPERLINK("http://ictvonline.org/taxonomy/p/taxonomy-history?taxnode_id=202112465","ICTVonline=202112465")</f>
        <v>ICTVonline=202112465</v>
      </c>
    </row>
    <row r="9256" spans="1:21" x14ac:dyDescent="0.2">
      <c r="A9256" s="3">
        <v>9255</v>
      </c>
      <c r="B9256" s="1" t="s">
        <v>4226</v>
      </c>
      <c r="D9256" s="1" t="s">
        <v>5412</v>
      </c>
      <c r="L9256" s="1" t="s">
        <v>1647</v>
      </c>
      <c r="N9256" s="1" t="s">
        <v>1648</v>
      </c>
      <c r="P9256" s="1" t="s">
        <v>1649</v>
      </c>
      <c r="Q9256" s="30" t="s">
        <v>2569</v>
      </c>
      <c r="R9256" s="33" t="s">
        <v>8665</v>
      </c>
      <c r="S9256">
        <v>36</v>
      </c>
      <c r="T9256" s="1" t="s">
        <v>8661</v>
      </c>
      <c r="U9256" s="1" t="str">
        <f>HYPERLINK("http://ictvonline.org/taxonomy/p/taxonomy-history?taxnode_id=202102748","ICTVonline=202102748")</f>
        <v>ICTVonline=202102748</v>
      </c>
    </row>
    <row r="9257" spans="1:21" x14ac:dyDescent="0.2">
      <c r="A9257" s="3">
        <v>9256</v>
      </c>
      <c r="B9257" s="1" t="s">
        <v>4226</v>
      </c>
      <c r="D9257" s="1" t="s">
        <v>5412</v>
      </c>
      <c r="L9257" s="1" t="s">
        <v>1647</v>
      </c>
      <c r="N9257" s="1" t="s">
        <v>1648</v>
      </c>
      <c r="P9257" s="1" t="s">
        <v>1650</v>
      </c>
      <c r="Q9257" s="30" t="s">
        <v>2569</v>
      </c>
      <c r="R9257" s="33" t="s">
        <v>3474</v>
      </c>
      <c r="S9257">
        <v>35</v>
      </c>
      <c r="T9257" s="1" t="s">
        <v>5416</v>
      </c>
      <c r="U9257" s="1" t="str">
        <f>HYPERLINK("http://ictvonline.org/taxonomy/p/taxonomy-history?taxnode_id=202102749","ICTVonline=202102749")</f>
        <v>ICTVonline=202102749</v>
      </c>
    </row>
    <row r="9258" spans="1:21" x14ac:dyDescent="0.2">
      <c r="A9258" s="3">
        <v>9257</v>
      </c>
      <c r="B9258" s="1" t="s">
        <v>4226</v>
      </c>
      <c r="D9258" s="1" t="s">
        <v>5412</v>
      </c>
      <c r="L9258" s="1" t="s">
        <v>1647</v>
      </c>
      <c r="N9258" s="1" t="s">
        <v>1648</v>
      </c>
      <c r="P9258" s="1" t="s">
        <v>1651</v>
      </c>
      <c r="Q9258" s="30" t="s">
        <v>2569</v>
      </c>
      <c r="R9258" s="33" t="s">
        <v>3474</v>
      </c>
      <c r="S9258">
        <v>35</v>
      </c>
      <c r="T9258" s="1" t="s">
        <v>5416</v>
      </c>
      <c r="U9258" s="1" t="str">
        <f>HYPERLINK("http://ictvonline.org/taxonomy/p/taxonomy-history?taxnode_id=202102750","ICTVonline=202102750")</f>
        <v>ICTVonline=202102750</v>
      </c>
    </row>
    <row r="9259" spans="1:21" x14ac:dyDescent="0.2">
      <c r="A9259" s="3">
        <v>9258</v>
      </c>
      <c r="B9259" s="1" t="s">
        <v>4226</v>
      </c>
      <c r="D9259" s="1" t="s">
        <v>5412</v>
      </c>
      <c r="L9259" s="1" t="s">
        <v>1647</v>
      </c>
      <c r="N9259" s="1" t="s">
        <v>1652</v>
      </c>
      <c r="P9259" s="1" t="s">
        <v>1660</v>
      </c>
      <c r="Q9259" s="30" t="s">
        <v>2569</v>
      </c>
      <c r="R9259" s="33" t="s">
        <v>8665</v>
      </c>
      <c r="S9259">
        <v>36</v>
      </c>
      <c r="T9259" s="1" t="s">
        <v>8661</v>
      </c>
      <c r="U9259" s="1" t="str">
        <f>HYPERLINK("http://ictvonline.org/taxonomy/p/taxonomy-history?taxnode_id=202102752","ICTVonline=202102752")</f>
        <v>ICTVonline=202102752</v>
      </c>
    </row>
    <row r="9260" spans="1:21" x14ac:dyDescent="0.2">
      <c r="A9260" s="3">
        <v>9259</v>
      </c>
      <c r="B9260" s="1" t="s">
        <v>4226</v>
      </c>
      <c r="D9260" s="1" t="s">
        <v>5412</v>
      </c>
      <c r="L9260" s="1" t="s">
        <v>1647</v>
      </c>
      <c r="N9260" s="1" t="s">
        <v>1661</v>
      </c>
      <c r="P9260" s="1" t="s">
        <v>1662</v>
      </c>
      <c r="Q9260" s="30" t="s">
        <v>2569</v>
      </c>
      <c r="R9260" s="33" t="s">
        <v>8665</v>
      </c>
      <c r="S9260">
        <v>36</v>
      </c>
      <c r="T9260" s="1" t="s">
        <v>8661</v>
      </c>
      <c r="U9260" s="1" t="str">
        <f>HYPERLINK("http://ictvonline.org/taxonomy/p/taxonomy-history?taxnode_id=202102754","ICTVonline=202102754")</f>
        <v>ICTVonline=202102754</v>
      </c>
    </row>
    <row r="9261" spans="1:21" x14ac:dyDescent="0.2">
      <c r="A9261" s="3">
        <v>9260</v>
      </c>
      <c r="B9261" s="1" t="s">
        <v>4226</v>
      </c>
      <c r="D9261" s="1" t="s">
        <v>5412</v>
      </c>
      <c r="L9261" s="1" t="s">
        <v>1647</v>
      </c>
      <c r="N9261" s="1" t="s">
        <v>1661</v>
      </c>
      <c r="P9261" s="1" t="s">
        <v>5770</v>
      </c>
      <c r="Q9261" s="30" t="s">
        <v>2569</v>
      </c>
      <c r="R9261" s="33" t="s">
        <v>3472</v>
      </c>
      <c r="S9261">
        <v>35</v>
      </c>
      <c r="T9261" s="1" t="s">
        <v>5771</v>
      </c>
      <c r="U9261" s="1" t="str">
        <f>HYPERLINK("http://ictvonline.org/taxonomy/p/taxonomy-history?taxnode_id=202108656","ICTVonline=202108656")</f>
        <v>ICTVonline=202108656</v>
      </c>
    </row>
    <row r="9262" spans="1:21" x14ac:dyDescent="0.2">
      <c r="A9262" s="3">
        <v>9261</v>
      </c>
      <c r="B9262" s="1" t="s">
        <v>4226</v>
      </c>
      <c r="D9262" s="1" t="s">
        <v>5412</v>
      </c>
      <c r="L9262" s="1" t="s">
        <v>1647</v>
      </c>
      <c r="N9262" s="1" t="s">
        <v>5772</v>
      </c>
      <c r="P9262" s="1" t="s">
        <v>5773</v>
      </c>
      <c r="Q9262" s="30" t="s">
        <v>2569</v>
      </c>
      <c r="R9262" s="33" t="s">
        <v>8665</v>
      </c>
      <c r="S9262">
        <v>36</v>
      </c>
      <c r="T9262" s="1" t="s">
        <v>8661</v>
      </c>
      <c r="U9262" s="1" t="str">
        <f>HYPERLINK("http://ictvonline.org/taxonomy/p/taxonomy-history?taxnode_id=202108651","ICTVonline=202108651")</f>
        <v>ICTVonline=202108651</v>
      </c>
    </row>
    <row r="9263" spans="1:21" x14ac:dyDescent="0.2">
      <c r="A9263" s="3">
        <v>9262</v>
      </c>
      <c r="B9263" s="1" t="s">
        <v>4226</v>
      </c>
      <c r="D9263" s="1" t="s">
        <v>5412</v>
      </c>
      <c r="L9263" s="1" t="s">
        <v>1647</v>
      </c>
      <c r="N9263" s="1" t="s">
        <v>1663</v>
      </c>
      <c r="P9263" s="1" t="s">
        <v>1664</v>
      </c>
      <c r="Q9263" s="30" t="s">
        <v>2569</v>
      </c>
      <c r="R9263" s="33" t="s">
        <v>8665</v>
      </c>
      <c r="S9263">
        <v>36</v>
      </c>
      <c r="T9263" s="1" t="s">
        <v>8661</v>
      </c>
      <c r="U9263" s="1" t="str">
        <f>HYPERLINK("http://ictvonline.org/taxonomy/p/taxonomy-history?taxnode_id=202102756","ICTVonline=202102756")</f>
        <v>ICTVonline=202102756</v>
      </c>
    </row>
    <row r="9264" spans="1:21" x14ac:dyDescent="0.2">
      <c r="A9264" s="3">
        <v>9263</v>
      </c>
      <c r="B9264" s="1" t="s">
        <v>4226</v>
      </c>
      <c r="D9264" s="1" t="s">
        <v>5412</v>
      </c>
      <c r="L9264" s="1" t="s">
        <v>1647</v>
      </c>
      <c r="N9264" s="1" t="s">
        <v>1663</v>
      </c>
      <c r="P9264" s="1" t="s">
        <v>5774</v>
      </c>
      <c r="Q9264" s="30" t="s">
        <v>2569</v>
      </c>
      <c r="R9264" s="33" t="s">
        <v>3472</v>
      </c>
      <c r="S9264">
        <v>35</v>
      </c>
      <c r="T9264" s="1" t="s">
        <v>5771</v>
      </c>
      <c r="U9264" s="1" t="str">
        <f>HYPERLINK("http://ictvonline.org/taxonomy/p/taxonomy-history?taxnode_id=202108649","ICTVonline=202108649")</f>
        <v>ICTVonline=202108649</v>
      </c>
    </row>
    <row r="9265" spans="1:21" x14ac:dyDescent="0.2">
      <c r="A9265" s="3">
        <v>9264</v>
      </c>
      <c r="B9265" s="1" t="s">
        <v>4226</v>
      </c>
      <c r="D9265" s="1" t="s">
        <v>5412</v>
      </c>
      <c r="L9265" s="1" t="s">
        <v>1647</v>
      </c>
      <c r="N9265" s="1" t="s">
        <v>5775</v>
      </c>
      <c r="P9265" s="1" t="s">
        <v>5776</v>
      </c>
      <c r="Q9265" s="30" t="s">
        <v>2569</v>
      </c>
      <c r="R9265" s="33" t="s">
        <v>8665</v>
      </c>
      <c r="S9265">
        <v>36</v>
      </c>
      <c r="T9265" s="1" t="s">
        <v>8661</v>
      </c>
      <c r="U9265" s="1" t="str">
        <f>HYPERLINK("http://ictvonline.org/taxonomy/p/taxonomy-history?taxnode_id=202108653","ICTVonline=202108653")</f>
        <v>ICTVonline=202108653</v>
      </c>
    </row>
    <row r="9266" spans="1:21" x14ac:dyDescent="0.2">
      <c r="A9266" s="3">
        <v>9265</v>
      </c>
      <c r="B9266" s="1" t="s">
        <v>4226</v>
      </c>
      <c r="D9266" s="1" t="s">
        <v>5412</v>
      </c>
      <c r="L9266" s="1" t="s">
        <v>1647</v>
      </c>
      <c r="N9266" s="1" t="s">
        <v>5777</v>
      </c>
      <c r="P9266" s="1" t="s">
        <v>5778</v>
      </c>
      <c r="Q9266" s="30" t="s">
        <v>2569</v>
      </c>
      <c r="R9266" s="33" t="s">
        <v>8665</v>
      </c>
      <c r="S9266">
        <v>36</v>
      </c>
      <c r="T9266" s="1" t="s">
        <v>8661</v>
      </c>
      <c r="U9266" s="1" t="str">
        <f>HYPERLINK("http://ictvonline.org/taxonomy/p/taxonomy-history?taxnode_id=202108655","ICTVonline=202108655")</f>
        <v>ICTVonline=202108655</v>
      </c>
    </row>
    <row r="9267" spans="1:21" x14ac:dyDescent="0.2">
      <c r="A9267" s="3">
        <v>9266</v>
      </c>
      <c r="B9267" s="1" t="s">
        <v>4226</v>
      </c>
      <c r="D9267" s="1" t="s">
        <v>5412</v>
      </c>
      <c r="L9267" s="1" t="s">
        <v>184</v>
      </c>
      <c r="N9267" s="1" t="s">
        <v>185</v>
      </c>
      <c r="P9267" s="1" t="s">
        <v>1732</v>
      </c>
      <c r="Q9267" s="30" t="s">
        <v>2567</v>
      </c>
      <c r="R9267" s="33" t="s">
        <v>3474</v>
      </c>
      <c r="S9267">
        <v>35</v>
      </c>
      <c r="T9267" s="1" t="s">
        <v>5416</v>
      </c>
      <c r="U9267" s="1" t="str">
        <f>HYPERLINK("http://ictvonline.org/taxonomy/p/taxonomy-history?taxnode_id=202104288","ICTVonline=202104288")</f>
        <v>ICTVonline=202104288</v>
      </c>
    </row>
    <row r="9268" spans="1:21" x14ac:dyDescent="0.2">
      <c r="A9268" s="3">
        <v>9267</v>
      </c>
      <c r="B9268" s="1" t="s">
        <v>4226</v>
      </c>
      <c r="D9268" s="1" t="s">
        <v>5412</v>
      </c>
      <c r="L9268" s="1" t="s">
        <v>184</v>
      </c>
      <c r="N9268" s="1" t="s">
        <v>185</v>
      </c>
      <c r="P9268" s="1" t="s">
        <v>1736</v>
      </c>
      <c r="Q9268" s="30" t="s">
        <v>2567</v>
      </c>
      <c r="R9268" s="33" t="s">
        <v>8665</v>
      </c>
      <c r="S9268">
        <v>36</v>
      </c>
      <c r="T9268" s="1" t="s">
        <v>8661</v>
      </c>
      <c r="U9268" s="1" t="str">
        <f>HYPERLINK("http://ictvonline.org/taxonomy/p/taxonomy-history?taxnode_id=202104289","ICTVonline=202104289")</f>
        <v>ICTVonline=202104289</v>
      </c>
    </row>
    <row r="9269" spans="1:21" x14ac:dyDescent="0.2">
      <c r="A9269" s="3">
        <v>9268</v>
      </c>
      <c r="B9269" s="1" t="s">
        <v>4226</v>
      </c>
      <c r="D9269" s="1" t="s">
        <v>5412</v>
      </c>
      <c r="N9269" s="1" t="s">
        <v>3044</v>
      </c>
      <c r="P9269" s="1" t="s">
        <v>3045</v>
      </c>
      <c r="Q9269" s="30" t="s">
        <v>2569</v>
      </c>
      <c r="R9269" s="33" t="s">
        <v>8665</v>
      </c>
      <c r="S9269">
        <v>36</v>
      </c>
      <c r="T9269" s="1" t="s">
        <v>8661</v>
      </c>
      <c r="U9269" s="1" t="str">
        <f>HYPERLINK("http://ictvonline.org/taxonomy/p/taxonomy-history?taxnode_id=202105343","ICTVonline=202105343")</f>
        <v>ICTVonline=202105343</v>
      </c>
    </row>
    <row r="9270" spans="1:21" x14ac:dyDescent="0.2">
      <c r="A9270" s="3">
        <v>9269</v>
      </c>
      <c r="B9270" s="1" t="s">
        <v>4226</v>
      </c>
      <c r="D9270" s="1" t="s">
        <v>5779</v>
      </c>
      <c r="F9270" s="1" t="s">
        <v>5780</v>
      </c>
      <c r="H9270" s="1" t="s">
        <v>5781</v>
      </c>
      <c r="J9270" s="1" t="s">
        <v>5782</v>
      </c>
      <c r="L9270" s="1" t="s">
        <v>241</v>
      </c>
      <c r="N9270" s="1" t="s">
        <v>1143</v>
      </c>
      <c r="P9270" s="1" t="s">
        <v>1144</v>
      </c>
      <c r="Q9270" s="30" t="s">
        <v>2884</v>
      </c>
      <c r="R9270" s="33" t="s">
        <v>8665</v>
      </c>
      <c r="S9270">
        <v>36</v>
      </c>
      <c r="T9270" s="1" t="s">
        <v>8661</v>
      </c>
      <c r="U9270" s="1" t="str">
        <f>HYPERLINK("http://ictvonline.org/taxonomy/p/taxonomy-history?taxnode_id=202103648","ICTVonline=202103648")</f>
        <v>ICTVonline=202103648</v>
      </c>
    </row>
    <row r="9271" spans="1:21" x14ac:dyDescent="0.2">
      <c r="A9271" s="3">
        <v>9270</v>
      </c>
      <c r="B9271" s="1" t="s">
        <v>4226</v>
      </c>
      <c r="D9271" s="1" t="s">
        <v>5779</v>
      </c>
      <c r="F9271" s="1" t="s">
        <v>5780</v>
      </c>
      <c r="H9271" s="1" t="s">
        <v>5781</v>
      </c>
      <c r="J9271" s="1" t="s">
        <v>5782</v>
      </c>
      <c r="L9271" s="1" t="s">
        <v>241</v>
      </c>
      <c r="N9271" s="1" t="s">
        <v>1143</v>
      </c>
      <c r="P9271" s="1" t="s">
        <v>1145</v>
      </c>
      <c r="Q9271" s="30" t="s">
        <v>2884</v>
      </c>
      <c r="R9271" s="33" t="s">
        <v>3474</v>
      </c>
      <c r="S9271">
        <v>35</v>
      </c>
      <c r="T9271" s="1" t="s">
        <v>5416</v>
      </c>
      <c r="U9271" s="1" t="str">
        <f>HYPERLINK("http://ictvonline.org/taxonomy/p/taxonomy-history?taxnode_id=202103649","ICTVonline=202103649")</f>
        <v>ICTVonline=202103649</v>
      </c>
    </row>
    <row r="9272" spans="1:21" x14ac:dyDescent="0.2">
      <c r="A9272" s="3">
        <v>9271</v>
      </c>
      <c r="B9272" s="1" t="s">
        <v>4226</v>
      </c>
      <c r="D9272" s="1" t="s">
        <v>5779</v>
      </c>
      <c r="F9272" s="1" t="s">
        <v>5780</v>
      </c>
      <c r="H9272" s="1" t="s">
        <v>5781</v>
      </c>
      <c r="J9272" s="1" t="s">
        <v>5782</v>
      </c>
      <c r="L9272" s="1" t="s">
        <v>241</v>
      </c>
      <c r="N9272" s="1" t="s">
        <v>1143</v>
      </c>
      <c r="P9272" s="1" t="s">
        <v>3370</v>
      </c>
      <c r="Q9272" s="30" t="s">
        <v>2884</v>
      </c>
      <c r="R9272" s="33" t="s">
        <v>3474</v>
      </c>
      <c r="S9272">
        <v>35</v>
      </c>
      <c r="T9272" s="1" t="s">
        <v>5416</v>
      </c>
      <c r="U9272" s="1" t="str">
        <f>HYPERLINK("http://ictvonline.org/taxonomy/p/taxonomy-history?taxnode_id=202103650","ICTVonline=202103650")</f>
        <v>ICTVonline=202103650</v>
      </c>
    </row>
    <row r="9273" spans="1:21" x14ac:dyDescent="0.2">
      <c r="A9273" s="3">
        <v>9272</v>
      </c>
      <c r="B9273" s="1" t="s">
        <v>4226</v>
      </c>
      <c r="D9273" s="1" t="s">
        <v>5779</v>
      </c>
      <c r="F9273" s="1" t="s">
        <v>5780</v>
      </c>
      <c r="H9273" s="1" t="s">
        <v>5781</v>
      </c>
      <c r="J9273" s="1" t="s">
        <v>5782</v>
      </c>
      <c r="L9273" s="1" t="s">
        <v>241</v>
      </c>
      <c r="N9273" s="1" t="s">
        <v>5783</v>
      </c>
      <c r="P9273" s="1" t="s">
        <v>3877</v>
      </c>
      <c r="Q9273" s="30" t="s">
        <v>2884</v>
      </c>
      <c r="R9273" s="33" t="s">
        <v>8665</v>
      </c>
      <c r="S9273">
        <v>36</v>
      </c>
      <c r="T9273" s="1" t="s">
        <v>8661</v>
      </c>
      <c r="U9273" s="1" t="str">
        <f>HYPERLINK("http://ictvonline.org/taxonomy/p/taxonomy-history?taxnode_id=202105860","ICTVonline=202105860")</f>
        <v>ICTVonline=202105860</v>
      </c>
    </row>
    <row r="9274" spans="1:21" x14ac:dyDescent="0.2">
      <c r="A9274" s="3">
        <v>9273</v>
      </c>
      <c r="B9274" s="1" t="s">
        <v>4226</v>
      </c>
      <c r="D9274" s="1" t="s">
        <v>5779</v>
      </c>
      <c r="F9274" s="1" t="s">
        <v>5780</v>
      </c>
      <c r="H9274" s="1" t="s">
        <v>5781</v>
      </c>
      <c r="J9274" s="1" t="s">
        <v>5782</v>
      </c>
      <c r="L9274" s="1" t="s">
        <v>241</v>
      </c>
      <c r="N9274" s="1" t="s">
        <v>5784</v>
      </c>
      <c r="P9274" s="1" t="s">
        <v>8344</v>
      </c>
      <c r="Q9274" s="30" t="s">
        <v>2884</v>
      </c>
      <c r="R9274" s="33" t="s">
        <v>8666</v>
      </c>
      <c r="S9274">
        <v>36</v>
      </c>
      <c r="T9274" s="1" t="s">
        <v>8675</v>
      </c>
      <c r="U9274" s="1" t="str">
        <f>HYPERLINK("http://ictvonline.org/taxonomy/p/taxonomy-history?taxnode_id=202105859","ICTVonline=202105859")</f>
        <v>ICTVonline=202105859</v>
      </c>
    </row>
    <row r="9275" spans="1:21" x14ac:dyDescent="0.2">
      <c r="A9275" s="3">
        <v>9274</v>
      </c>
      <c r="B9275" s="1" t="s">
        <v>4226</v>
      </c>
      <c r="D9275" s="1" t="s">
        <v>5779</v>
      </c>
      <c r="F9275" s="1" t="s">
        <v>5780</v>
      </c>
      <c r="H9275" s="1" t="s">
        <v>5781</v>
      </c>
      <c r="J9275" s="1" t="s">
        <v>5782</v>
      </c>
      <c r="L9275" s="1" t="s">
        <v>241</v>
      </c>
      <c r="N9275" s="1" t="s">
        <v>1146</v>
      </c>
      <c r="P9275" s="1" t="s">
        <v>4855</v>
      </c>
      <c r="Q9275" s="30" t="s">
        <v>2884</v>
      </c>
      <c r="R9275" s="33" t="s">
        <v>3474</v>
      </c>
      <c r="S9275">
        <v>35</v>
      </c>
      <c r="T9275" s="1" t="s">
        <v>5416</v>
      </c>
      <c r="U9275" s="1" t="str">
        <f>HYPERLINK("http://ictvonline.org/taxonomy/p/taxonomy-history?taxnode_id=202106328","ICTVonline=202106328")</f>
        <v>ICTVonline=202106328</v>
      </c>
    </row>
    <row r="9276" spans="1:21" x14ac:dyDescent="0.2">
      <c r="A9276" s="3">
        <v>9275</v>
      </c>
      <c r="B9276" s="1" t="s">
        <v>4226</v>
      </c>
      <c r="D9276" s="1" t="s">
        <v>5779</v>
      </c>
      <c r="F9276" s="1" t="s">
        <v>5780</v>
      </c>
      <c r="H9276" s="1" t="s">
        <v>5781</v>
      </c>
      <c r="J9276" s="1" t="s">
        <v>5782</v>
      </c>
      <c r="L9276" s="1" t="s">
        <v>241</v>
      </c>
      <c r="N9276" s="1" t="s">
        <v>1146</v>
      </c>
      <c r="P9276" s="1" t="s">
        <v>5785</v>
      </c>
      <c r="Q9276" s="30" t="s">
        <v>2884</v>
      </c>
      <c r="R9276" s="33" t="s">
        <v>3472</v>
      </c>
      <c r="S9276">
        <v>35</v>
      </c>
      <c r="T9276" s="1" t="s">
        <v>5786</v>
      </c>
      <c r="U9276" s="1" t="str">
        <f>HYPERLINK("http://ictvonline.org/taxonomy/p/taxonomy-history?taxnode_id=202107260","ICTVonline=202107260")</f>
        <v>ICTVonline=202107260</v>
      </c>
    </row>
    <row r="9277" spans="1:21" x14ac:dyDescent="0.2">
      <c r="A9277" s="3">
        <v>9276</v>
      </c>
      <c r="B9277" s="1" t="s">
        <v>4226</v>
      </c>
      <c r="D9277" s="1" t="s">
        <v>5779</v>
      </c>
      <c r="F9277" s="1" t="s">
        <v>5780</v>
      </c>
      <c r="H9277" s="1" t="s">
        <v>5781</v>
      </c>
      <c r="J9277" s="1" t="s">
        <v>5782</v>
      </c>
      <c r="L9277" s="1" t="s">
        <v>241</v>
      </c>
      <c r="N9277" s="1" t="s">
        <v>1146</v>
      </c>
      <c r="P9277" s="1" t="s">
        <v>5787</v>
      </c>
      <c r="Q9277" s="30" t="s">
        <v>2884</v>
      </c>
      <c r="R9277" s="33" t="s">
        <v>3472</v>
      </c>
      <c r="S9277">
        <v>35</v>
      </c>
      <c r="T9277" s="1" t="s">
        <v>5786</v>
      </c>
      <c r="U9277" s="1" t="str">
        <f>HYPERLINK("http://ictvonline.org/taxonomy/p/taxonomy-history?taxnode_id=202107258","ICTVonline=202107258")</f>
        <v>ICTVonline=202107258</v>
      </c>
    </row>
    <row r="9278" spans="1:21" x14ac:dyDescent="0.2">
      <c r="A9278" s="3">
        <v>9277</v>
      </c>
      <c r="B9278" s="1" t="s">
        <v>4226</v>
      </c>
      <c r="D9278" s="1" t="s">
        <v>5779</v>
      </c>
      <c r="F9278" s="1" t="s">
        <v>5780</v>
      </c>
      <c r="H9278" s="1" t="s">
        <v>5781</v>
      </c>
      <c r="J9278" s="1" t="s">
        <v>5782</v>
      </c>
      <c r="L9278" s="1" t="s">
        <v>241</v>
      </c>
      <c r="N9278" s="1" t="s">
        <v>1146</v>
      </c>
      <c r="P9278" s="1" t="s">
        <v>1147</v>
      </c>
      <c r="Q9278" s="30" t="s">
        <v>2884</v>
      </c>
      <c r="R9278" s="33" t="s">
        <v>3474</v>
      </c>
      <c r="S9278">
        <v>35</v>
      </c>
      <c r="T9278" s="1" t="s">
        <v>5416</v>
      </c>
      <c r="U9278" s="1" t="str">
        <f>HYPERLINK("http://ictvonline.org/taxonomy/p/taxonomy-history?taxnode_id=202103652","ICTVonline=202103652")</f>
        <v>ICTVonline=202103652</v>
      </c>
    </row>
    <row r="9279" spans="1:21" x14ac:dyDescent="0.2">
      <c r="A9279" s="3">
        <v>9278</v>
      </c>
      <c r="B9279" s="1" t="s">
        <v>4226</v>
      </c>
      <c r="D9279" s="1" t="s">
        <v>5779</v>
      </c>
      <c r="F9279" s="1" t="s">
        <v>5780</v>
      </c>
      <c r="H9279" s="1" t="s">
        <v>5781</v>
      </c>
      <c r="J9279" s="1" t="s">
        <v>5782</v>
      </c>
      <c r="L9279" s="1" t="s">
        <v>241</v>
      </c>
      <c r="N9279" s="1" t="s">
        <v>1146</v>
      </c>
      <c r="P9279" s="1" t="s">
        <v>1148</v>
      </c>
      <c r="Q9279" s="30" t="s">
        <v>2884</v>
      </c>
      <c r="R9279" s="33" t="s">
        <v>8665</v>
      </c>
      <c r="S9279">
        <v>36</v>
      </c>
      <c r="T9279" s="1" t="s">
        <v>8661</v>
      </c>
      <c r="U9279" s="1" t="str">
        <f>HYPERLINK("http://ictvonline.org/taxonomy/p/taxonomy-history?taxnode_id=202103653","ICTVonline=202103653")</f>
        <v>ICTVonline=202103653</v>
      </c>
    </row>
    <row r="9280" spans="1:21" x14ac:dyDescent="0.2">
      <c r="A9280" s="3">
        <v>9279</v>
      </c>
      <c r="B9280" s="1" t="s">
        <v>4226</v>
      </c>
      <c r="D9280" s="1" t="s">
        <v>5779</v>
      </c>
      <c r="F9280" s="1" t="s">
        <v>5780</v>
      </c>
      <c r="H9280" s="1" t="s">
        <v>5781</v>
      </c>
      <c r="J9280" s="1" t="s">
        <v>5782</v>
      </c>
      <c r="L9280" s="1" t="s">
        <v>241</v>
      </c>
      <c r="N9280" s="1" t="s">
        <v>1146</v>
      </c>
      <c r="P9280" s="1" t="s">
        <v>2966</v>
      </c>
      <c r="Q9280" s="30" t="s">
        <v>2884</v>
      </c>
      <c r="R9280" s="33" t="s">
        <v>3474</v>
      </c>
      <c r="S9280">
        <v>35</v>
      </c>
      <c r="T9280" s="1" t="s">
        <v>5416</v>
      </c>
      <c r="U9280" s="1" t="str">
        <f>HYPERLINK("http://ictvonline.org/taxonomy/p/taxonomy-history?taxnode_id=202103654","ICTVonline=202103654")</f>
        <v>ICTVonline=202103654</v>
      </c>
    </row>
    <row r="9281" spans="1:21" x14ac:dyDescent="0.2">
      <c r="A9281" s="3">
        <v>9280</v>
      </c>
      <c r="B9281" s="1" t="s">
        <v>4226</v>
      </c>
      <c r="D9281" s="1" t="s">
        <v>5779</v>
      </c>
      <c r="F9281" s="1" t="s">
        <v>5780</v>
      </c>
      <c r="H9281" s="1" t="s">
        <v>5781</v>
      </c>
      <c r="J9281" s="1" t="s">
        <v>5782</v>
      </c>
      <c r="L9281" s="1" t="s">
        <v>241</v>
      </c>
      <c r="N9281" s="1" t="s">
        <v>1146</v>
      </c>
      <c r="P9281" s="1" t="s">
        <v>3371</v>
      </c>
      <c r="Q9281" s="30" t="s">
        <v>2884</v>
      </c>
      <c r="R9281" s="33" t="s">
        <v>3474</v>
      </c>
      <c r="S9281">
        <v>35</v>
      </c>
      <c r="T9281" s="1" t="s">
        <v>5416</v>
      </c>
      <c r="U9281" s="1" t="str">
        <f>HYPERLINK("http://ictvonline.org/taxonomy/p/taxonomy-history?taxnode_id=202103655","ICTVonline=202103655")</f>
        <v>ICTVonline=202103655</v>
      </c>
    </row>
    <row r="9282" spans="1:21" x14ac:dyDescent="0.2">
      <c r="A9282" s="3">
        <v>9281</v>
      </c>
      <c r="B9282" s="1" t="s">
        <v>4226</v>
      </c>
      <c r="D9282" s="1" t="s">
        <v>5779</v>
      </c>
      <c r="F9282" s="1" t="s">
        <v>5780</v>
      </c>
      <c r="H9282" s="1" t="s">
        <v>5781</v>
      </c>
      <c r="J9282" s="1" t="s">
        <v>5782</v>
      </c>
      <c r="L9282" s="1" t="s">
        <v>241</v>
      </c>
      <c r="N9282" s="1" t="s">
        <v>1146</v>
      </c>
      <c r="P9282" s="1" t="s">
        <v>2967</v>
      </c>
      <c r="Q9282" s="30" t="s">
        <v>2884</v>
      </c>
      <c r="R9282" s="33" t="s">
        <v>3474</v>
      </c>
      <c r="S9282">
        <v>35</v>
      </c>
      <c r="T9282" s="1" t="s">
        <v>5416</v>
      </c>
      <c r="U9282" s="1" t="str">
        <f>HYPERLINK("http://ictvonline.org/taxonomy/p/taxonomy-history?taxnode_id=202103656","ICTVonline=202103656")</f>
        <v>ICTVonline=202103656</v>
      </c>
    </row>
    <row r="9283" spans="1:21" x14ac:dyDescent="0.2">
      <c r="A9283" s="3">
        <v>9282</v>
      </c>
      <c r="B9283" s="1" t="s">
        <v>4226</v>
      </c>
      <c r="D9283" s="1" t="s">
        <v>5779</v>
      </c>
      <c r="F9283" s="1" t="s">
        <v>5780</v>
      </c>
      <c r="H9283" s="1" t="s">
        <v>5781</v>
      </c>
      <c r="J9283" s="1" t="s">
        <v>5782</v>
      </c>
      <c r="L9283" s="1" t="s">
        <v>241</v>
      </c>
      <c r="N9283" s="1" t="s">
        <v>1146</v>
      </c>
      <c r="P9283" s="1" t="s">
        <v>5788</v>
      </c>
      <c r="Q9283" s="30" t="s">
        <v>2884</v>
      </c>
      <c r="R9283" s="33" t="s">
        <v>3472</v>
      </c>
      <c r="S9283">
        <v>35</v>
      </c>
      <c r="T9283" s="1" t="s">
        <v>5786</v>
      </c>
      <c r="U9283" s="1" t="str">
        <f>HYPERLINK("http://ictvonline.org/taxonomy/p/taxonomy-history?taxnode_id=202107259","ICTVonline=202107259")</f>
        <v>ICTVonline=202107259</v>
      </c>
    </row>
    <row r="9284" spans="1:21" x14ac:dyDescent="0.2">
      <c r="A9284" s="3">
        <v>9283</v>
      </c>
      <c r="B9284" s="1" t="s">
        <v>4226</v>
      </c>
      <c r="D9284" s="1" t="s">
        <v>5779</v>
      </c>
      <c r="F9284" s="1" t="s">
        <v>5780</v>
      </c>
      <c r="H9284" s="1" t="s">
        <v>5781</v>
      </c>
      <c r="J9284" s="1" t="s">
        <v>5782</v>
      </c>
      <c r="L9284" s="1" t="s">
        <v>241</v>
      </c>
      <c r="N9284" s="1" t="s">
        <v>1146</v>
      </c>
      <c r="P9284" s="1" t="s">
        <v>2968</v>
      </c>
      <c r="Q9284" s="30" t="s">
        <v>2884</v>
      </c>
      <c r="R9284" s="33" t="s">
        <v>3474</v>
      </c>
      <c r="S9284">
        <v>35</v>
      </c>
      <c r="T9284" s="1" t="s">
        <v>5416</v>
      </c>
      <c r="U9284" s="1" t="str">
        <f>HYPERLINK("http://ictvonline.org/taxonomy/p/taxonomy-history?taxnode_id=202103657","ICTVonline=202103657")</f>
        <v>ICTVonline=202103657</v>
      </c>
    </row>
    <row r="9285" spans="1:21" x14ac:dyDescent="0.2">
      <c r="A9285" s="3">
        <v>9284</v>
      </c>
      <c r="B9285" s="1" t="s">
        <v>4226</v>
      </c>
      <c r="D9285" s="1" t="s">
        <v>5779</v>
      </c>
      <c r="F9285" s="1" t="s">
        <v>5780</v>
      </c>
      <c r="H9285" s="1" t="s">
        <v>5781</v>
      </c>
      <c r="J9285" s="1" t="s">
        <v>5782</v>
      </c>
      <c r="L9285" s="1" t="s">
        <v>241</v>
      </c>
      <c r="N9285" s="1" t="s">
        <v>1146</v>
      </c>
      <c r="P9285" s="1" t="s">
        <v>1149</v>
      </c>
      <c r="Q9285" s="30" t="s">
        <v>2884</v>
      </c>
      <c r="R9285" s="33" t="s">
        <v>3474</v>
      </c>
      <c r="S9285">
        <v>35</v>
      </c>
      <c r="T9285" s="1" t="s">
        <v>5416</v>
      </c>
      <c r="U9285" s="1" t="str">
        <f>HYPERLINK("http://ictvonline.org/taxonomy/p/taxonomy-history?taxnode_id=202103658","ICTVonline=202103658")</f>
        <v>ICTVonline=202103658</v>
      </c>
    </row>
    <row r="9286" spans="1:21" x14ac:dyDescent="0.2">
      <c r="A9286" s="3">
        <v>9285</v>
      </c>
      <c r="B9286" s="1" t="s">
        <v>4226</v>
      </c>
      <c r="D9286" s="1" t="s">
        <v>5779</v>
      </c>
      <c r="F9286" s="1" t="s">
        <v>5780</v>
      </c>
      <c r="H9286" s="1" t="s">
        <v>5781</v>
      </c>
      <c r="J9286" s="1" t="s">
        <v>5782</v>
      </c>
      <c r="L9286" s="1" t="s">
        <v>241</v>
      </c>
      <c r="N9286" s="1" t="s">
        <v>1146</v>
      </c>
      <c r="P9286" s="1" t="s">
        <v>248</v>
      </c>
      <c r="Q9286" s="30" t="s">
        <v>2884</v>
      </c>
      <c r="R9286" s="33" t="s">
        <v>3474</v>
      </c>
      <c r="S9286">
        <v>35</v>
      </c>
      <c r="T9286" s="1" t="s">
        <v>5416</v>
      </c>
      <c r="U9286" s="1" t="str">
        <f>HYPERLINK("http://ictvonline.org/taxonomy/p/taxonomy-history?taxnode_id=202103659","ICTVonline=202103659")</f>
        <v>ICTVonline=202103659</v>
      </c>
    </row>
    <row r="9287" spans="1:21" x14ac:dyDescent="0.2">
      <c r="A9287" s="3">
        <v>9286</v>
      </c>
      <c r="B9287" s="1" t="s">
        <v>4226</v>
      </c>
      <c r="D9287" s="1" t="s">
        <v>5779</v>
      </c>
      <c r="F9287" s="1" t="s">
        <v>5780</v>
      </c>
      <c r="H9287" s="1" t="s">
        <v>5781</v>
      </c>
      <c r="J9287" s="1" t="s">
        <v>5782</v>
      </c>
      <c r="L9287" s="1" t="s">
        <v>241</v>
      </c>
      <c r="N9287" s="1" t="s">
        <v>5789</v>
      </c>
      <c r="P9287" s="1" t="s">
        <v>3372</v>
      </c>
      <c r="Q9287" s="30" t="s">
        <v>2884</v>
      </c>
      <c r="R9287" s="33" t="s">
        <v>8665</v>
      </c>
      <c r="S9287">
        <v>36</v>
      </c>
      <c r="T9287" s="1" t="s">
        <v>8661</v>
      </c>
      <c r="U9287" s="1" t="str">
        <f>HYPERLINK("http://ictvonline.org/taxonomy/p/taxonomy-history?taxnode_id=202103661","ICTVonline=202103661")</f>
        <v>ICTVonline=202103661</v>
      </c>
    </row>
    <row r="9288" spans="1:21" x14ac:dyDescent="0.2">
      <c r="A9288" s="3">
        <v>9287</v>
      </c>
      <c r="B9288" s="1" t="s">
        <v>4226</v>
      </c>
      <c r="D9288" s="1" t="s">
        <v>5779</v>
      </c>
      <c r="F9288" s="1" t="s">
        <v>5780</v>
      </c>
      <c r="H9288" s="1" t="s">
        <v>5781</v>
      </c>
      <c r="J9288" s="1" t="s">
        <v>3558</v>
      </c>
      <c r="L9288" s="1" t="s">
        <v>3559</v>
      </c>
      <c r="N9288" s="1" t="s">
        <v>1882</v>
      </c>
      <c r="P9288" s="1" t="s">
        <v>1883</v>
      </c>
      <c r="Q9288" s="30" t="s">
        <v>2570</v>
      </c>
      <c r="R9288" s="33" t="s">
        <v>3474</v>
      </c>
      <c r="S9288">
        <v>35</v>
      </c>
      <c r="T9288" s="1" t="s">
        <v>5416</v>
      </c>
      <c r="U9288" s="1" t="str">
        <f>HYPERLINK("http://ictvonline.org/taxonomy/p/taxonomy-history?taxnode_id=202103847","ICTVonline=202103847")</f>
        <v>ICTVonline=202103847</v>
      </c>
    </row>
    <row r="9289" spans="1:21" x14ac:dyDescent="0.2">
      <c r="A9289" s="3">
        <v>9288</v>
      </c>
      <c r="B9289" s="1" t="s">
        <v>4226</v>
      </c>
      <c r="D9289" s="1" t="s">
        <v>5779</v>
      </c>
      <c r="F9289" s="1" t="s">
        <v>5780</v>
      </c>
      <c r="H9289" s="1" t="s">
        <v>5781</v>
      </c>
      <c r="J9289" s="1" t="s">
        <v>3558</v>
      </c>
      <c r="L9289" s="1" t="s">
        <v>3559</v>
      </c>
      <c r="N9289" s="1" t="s">
        <v>1882</v>
      </c>
      <c r="P9289" s="1" t="s">
        <v>3560</v>
      </c>
      <c r="Q9289" s="30" t="s">
        <v>2570</v>
      </c>
      <c r="R9289" s="33" t="s">
        <v>3474</v>
      </c>
      <c r="S9289">
        <v>35</v>
      </c>
      <c r="T9289" s="1" t="s">
        <v>5416</v>
      </c>
      <c r="U9289" s="1" t="str">
        <f>HYPERLINK("http://ictvonline.org/taxonomy/p/taxonomy-history?taxnode_id=202105584","ICTVonline=202105584")</f>
        <v>ICTVonline=202105584</v>
      </c>
    </row>
    <row r="9290" spans="1:21" x14ac:dyDescent="0.2">
      <c r="A9290" s="3">
        <v>9289</v>
      </c>
      <c r="B9290" s="1" t="s">
        <v>4226</v>
      </c>
      <c r="D9290" s="1" t="s">
        <v>5779</v>
      </c>
      <c r="F9290" s="1" t="s">
        <v>5780</v>
      </c>
      <c r="H9290" s="1" t="s">
        <v>5781</v>
      </c>
      <c r="J9290" s="1" t="s">
        <v>3558</v>
      </c>
      <c r="L9290" s="1" t="s">
        <v>3559</v>
      </c>
      <c r="N9290" s="1" t="s">
        <v>1882</v>
      </c>
      <c r="P9290" s="1" t="s">
        <v>1884</v>
      </c>
      <c r="Q9290" s="30" t="s">
        <v>2570</v>
      </c>
      <c r="R9290" s="33" t="s">
        <v>8665</v>
      </c>
      <c r="S9290">
        <v>36</v>
      </c>
      <c r="T9290" s="1" t="s">
        <v>8661</v>
      </c>
      <c r="U9290" s="1" t="str">
        <f>HYPERLINK("http://ictvonline.org/taxonomy/p/taxonomy-history?taxnode_id=202103848","ICTVonline=202103848")</f>
        <v>ICTVonline=202103848</v>
      </c>
    </row>
    <row r="9291" spans="1:21" x14ac:dyDescent="0.2">
      <c r="A9291" s="3">
        <v>9290</v>
      </c>
      <c r="B9291" s="1" t="s">
        <v>4226</v>
      </c>
      <c r="D9291" s="1" t="s">
        <v>5779</v>
      </c>
      <c r="F9291" s="1" t="s">
        <v>5780</v>
      </c>
      <c r="H9291" s="1" t="s">
        <v>5781</v>
      </c>
      <c r="J9291" s="1" t="s">
        <v>3558</v>
      </c>
      <c r="L9291" s="1" t="s">
        <v>3559</v>
      </c>
      <c r="N9291" s="1" t="s">
        <v>1882</v>
      </c>
      <c r="P9291" s="1" t="s">
        <v>1885</v>
      </c>
      <c r="Q9291" s="30" t="s">
        <v>2570</v>
      </c>
      <c r="R9291" s="33" t="s">
        <v>3474</v>
      </c>
      <c r="S9291">
        <v>35</v>
      </c>
      <c r="T9291" s="1" t="s">
        <v>5416</v>
      </c>
      <c r="U9291" s="1" t="str">
        <f>HYPERLINK("http://ictvonline.org/taxonomy/p/taxonomy-history?taxnode_id=202103849","ICTVonline=202103849")</f>
        <v>ICTVonline=202103849</v>
      </c>
    </row>
    <row r="9292" spans="1:21" x14ac:dyDescent="0.2">
      <c r="A9292" s="3">
        <v>9291</v>
      </c>
      <c r="B9292" s="1" t="s">
        <v>4226</v>
      </c>
      <c r="D9292" s="1" t="s">
        <v>5779</v>
      </c>
      <c r="F9292" s="1" t="s">
        <v>5780</v>
      </c>
      <c r="H9292" s="1" t="s">
        <v>5781</v>
      </c>
      <c r="J9292" s="1" t="s">
        <v>3558</v>
      </c>
      <c r="L9292" s="1" t="s">
        <v>3559</v>
      </c>
      <c r="N9292" s="1" t="s">
        <v>1882</v>
      </c>
      <c r="P9292" s="1" t="s">
        <v>1061</v>
      </c>
      <c r="Q9292" s="30" t="s">
        <v>2570</v>
      </c>
      <c r="R9292" s="33" t="s">
        <v>3474</v>
      </c>
      <c r="S9292">
        <v>35</v>
      </c>
      <c r="T9292" s="1" t="s">
        <v>5416</v>
      </c>
      <c r="U9292" s="1" t="str">
        <f>HYPERLINK("http://ictvonline.org/taxonomy/p/taxonomy-history?taxnode_id=202103850","ICTVonline=202103850")</f>
        <v>ICTVonline=202103850</v>
      </c>
    </row>
    <row r="9293" spans="1:21" x14ac:dyDescent="0.2">
      <c r="A9293" s="3">
        <v>9292</v>
      </c>
      <c r="B9293" s="1" t="s">
        <v>4226</v>
      </c>
      <c r="D9293" s="1" t="s">
        <v>5779</v>
      </c>
      <c r="F9293" s="1" t="s">
        <v>5780</v>
      </c>
      <c r="H9293" s="1" t="s">
        <v>5781</v>
      </c>
      <c r="J9293" s="1" t="s">
        <v>3558</v>
      </c>
      <c r="L9293" s="1" t="s">
        <v>3559</v>
      </c>
      <c r="N9293" s="1" t="s">
        <v>1882</v>
      </c>
      <c r="P9293" s="1" t="s">
        <v>1062</v>
      </c>
      <c r="Q9293" s="30" t="s">
        <v>2570</v>
      </c>
      <c r="R9293" s="33" t="s">
        <v>3474</v>
      </c>
      <c r="S9293">
        <v>35</v>
      </c>
      <c r="T9293" s="1" t="s">
        <v>5416</v>
      </c>
      <c r="U9293" s="1" t="str">
        <f>HYPERLINK("http://ictvonline.org/taxonomy/p/taxonomy-history?taxnode_id=202103851","ICTVonline=202103851")</f>
        <v>ICTVonline=202103851</v>
      </c>
    </row>
    <row r="9294" spans="1:21" x14ac:dyDescent="0.2">
      <c r="A9294" s="3">
        <v>9293</v>
      </c>
      <c r="B9294" s="1" t="s">
        <v>4226</v>
      </c>
      <c r="D9294" s="1" t="s">
        <v>5779</v>
      </c>
      <c r="F9294" s="1" t="s">
        <v>5780</v>
      </c>
      <c r="H9294" s="1" t="s">
        <v>5781</v>
      </c>
      <c r="J9294" s="1" t="s">
        <v>3558</v>
      </c>
      <c r="L9294" s="1" t="s">
        <v>3559</v>
      </c>
      <c r="N9294" s="1" t="s">
        <v>1882</v>
      </c>
      <c r="P9294" s="1" t="s">
        <v>1063</v>
      </c>
      <c r="Q9294" s="30" t="s">
        <v>2570</v>
      </c>
      <c r="R9294" s="33" t="s">
        <v>3474</v>
      </c>
      <c r="S9294">
        <v>35</v>
      </c>
      <c r="T9294" s="1" t="s">
        <v>5416</v>
      </c>
      <c r="U9294" s="1" t="str">
        <f>HYPERLINK("http://ictvonline.org/taxonomy/p/taxonomy-history?taxnode_id=202103852","ICTVonline=202103852")</f>
        <v>ICTVonline=202103852</v>
      </c>
    </row>
    <row r="9295" spans="1:21" x14ac:dyDescent="0.2">
      <c r="A9295" s="3">
        <v>9294</v>
      </c>
      <c r="B9295" s="1" t="s">
        <v>4226</v>
      </c>
      <c r="D9295" s="1" t="s">
        <v>5779</v>
      </c>
      <c r="F9295" s="1" t="s">
        <v>5780</v>
      </c>
      <c r="H9295" s="1" t="s">
        <v>5781</v>
      </c>
      <c r="J9295" s="1" t="s">
        <v>3558</v>
      </c>
      <c r="L9295" s="1" t="s">
        <v>3559</v>
      </c>
      <c r="N9295" s="1" t="s">
        <v>1882</v>
      </c>
      <c r="P9295" s="1" t="s">
        <v>3561</v>
      </c>
      <c r="Q9295" s="30" t="s">
        <v>2570</v>
      </c>
      <c r="R9295" s="33" t="s">
        <v>3474</v>
      </c>
      <c r="S9295">
        <v>35</v>
      </c>
      <c r="T9295" s="1" t="s">
        <v>5416</v>
      </c>
      <c r="U9295" s="1" t="str">
        <f>HYPERLINK("http://ictvonline.org/taxonomy/p/taxonomy-history?taxnode_id=202105585","ICTVonline=202105585")</f>
        <v>ICTVonline=202105585</v>
      </c>
    </row>
    <row r="9296" spans="1:21" x14ac:dyDescent="0.2">
      <c r="A9296" s="3">
        <v>9295</v>
      </c>
      <c r="B9296" s="1" t="s">
        <v>4226</v>
      </c>
      <c r="D9296" s="1" t="s">
        <v>5779</v>
      </c>
      <c r="F9296" s="1" t="s">
        <v>5780</v>
      </c>
      <c r="H9296" s="1" t="s">
        <v>5781</v>
      </c>
      <c r="J9296" s="1" t="s">
        <v>3558</v>
      </c>
      <c r="L9296" s="1" t="s">
        <v>3559</v>
      </c>
      <c r="N9296" s="1" t="s">
        <v>1882</v>
      </c>
      <c r="P9296" s="1" t="s">
        <v>1566</v>
      </c>
      <c r="Q9296" s="30" t="s">
        <v>2570</v>
      </c>
      <c r="R9296" s="33" t="s">
        <v>3474</v>
      </c>
      <c r="S9296">
        <v>35</v>
      </c>
      <c r="T9296" s="1" t="s">
        <v>5416</v>
      </c>
      <c r="U9296" s="1" t="str">
        <f>HYPERLINK("http://ictvonline.org/taxonomy/p/taxonomy-history?taxnode_id=202103853","ICTVonline=202103853")</f>
        <v>ICTVonline=202103853</v>
      </c>
    </row>
    <row r="9297" spans="1:21" x14ac:dyDescent="0.2">
      <c r="A9297" s="3">
        <v>9296</v>
      </c>
      <c r="B9297" s="1" t="s">
        <v>4226</v>
      </c>
      <c r="D9297" s="1" t="s">
        <v>5779</v>
      </c>
      <c r="F9297" s="1" t="s">
        <v>5780</v>
      </c>
      <c r="H9297" s="1" t="s">
        <v>5781</v>
      </c>
      <c r="J9297" s="1" t="s">
        <v>3558</v>
      </c>
      <c r="L9297" s="1" t="s">
        <v>3559</v>
      </c>
      <c r="N9297" s="1" t="s">
        <v>1882</v>
      </c>
      <c r="P9297" s="1" t="s">
        <v>3562</v>
      </c>
      <c r="Q9297" s="30" t="s">
        <v>2570</v>
      </c>
      <c r="R9297" s="33" t="s">
        <v>3474</v>
      </c>
      <c r="S9297">
        <v>35</v>
      </c>
      <c r="T9297" s="1" t="s">
        <v>5416</v>
      </c>
      <c r="U9297" s="1" t="str">
        <f>HYPERLINK("http://ictvonline.org/taxonomy/p/taxonomy-history?taxnode_id=202105586","ICTVonline=202105586")</f>
        <v>ICTVonline=202105586</v>
      </c>
    </row>
    <row r="9298" spans="1:21" x14ac:dyDescent="0.2">
      <c r="A9298" s="3">
        <v>9297</v>
      </c>
      <c r="B9298" s="1" t="s">
        <v>4226</v>
      </c>
      <c r="D9298" s="1" t="s">
        <v>5779</v>
      </c>
      <c r="F9298" s="1" t="s">
        <v>5780</v>
      </c>
      <c r="H9298" s="1" t="s">
        <v>5781</v>
      </c>
      <c r="J9298" s="1" t="s">
        <v>3558</v>
      </c>
      <c r="L9298" s="1" t="s">
        <v>3559</v>
      </c>
      <c r="N9298" s="1" t="s">
        <v>1882</v>
      </c>
      <c r="P9298" s="1" t="s">
        <v>3563</v>
      </c>
      <c r="Q9298" s="30" t="s">
        <v>2570</v>
      </c>
      <c r="R9298" s="33" t="s">
        <v>3474</v>
      </c>
      <c r="S9298">
        <v>35</v>
      </c>
      <c r="T9298" s="1" t="s">
        <v>5416</v>
      </c>
      <c r="U9298" s="1" t="str">
        <f>HYPERLINK("http://ictvonline.org/taxonomy/p/taxonomy-history?taxnode_id=202103854","ICTVonline=202103854")</f>
        <v>ICTVonline=202103854</v>
      </c>
    </row>
    <row r="9299" spans="1:21" x14ac:dyDescent="0.2">
      <c r="A9299" s="3">
        <v>9298</v>
      </c>
      <c r="B9299" s="1" t="s">
        <v>4226</v>
      </c>
      <c r="D9299" s="1" t="s">
        <v>5779</v>
      </c>
      <c r="F9299" s="1" t="s">
        <v>5780</v>
      </c>
      <c r="H9299" s="1" t="s">
        <v>5781</v>
      </c>
      <c r="J9299" s="1" t="s">
        <v>3558</v>
      </c>
      <c r="L9299" s="1" t="s">
        <v>1879</v>
      </c>
      <c r="N9299" s="1" t="s">
        <v>1880</v>
      </c>
      <c r="P9299" s="1" t="s">
        <v>1881</v>
      </c>
      <c r="Q9299" s="30" t="s">
        <v>2884</v>
      </c>
      <c r="R9299" s="33" t="s">
        <v>3474</v>
      </c>
      <c r="S9299">
        <v>35</v>
      </c>
      <c r="T9299" s="1" t="s">
        <v>5416</v>
      </c>
      <c r="U9299" s="1" t="str">
        <f>HYPERLINK("http://ictvonline.org/taxonomy/p/taxonomy-history?taxnode_id=202102819","ICTVonline=202102819")</f>
        <v>ICTVonline=202102819</v>
      </c>
    </row>
    <row r="9300" spans="1:21" x14ac:dyDescent="0.2">
      <c r="A9300" s="3">
        <v>9299</v>
      </c>
      <c r="B9300" s="1" t="s">
        <v>4226</v>
      </c>
      <c r="D9300" s="1" t="s">
        <v>5779</v>
      </c>
      <c r="F9300" s="1" t="s">
        <v>5780</v>
      </c>
      <c r="H9300" s="1" t="s">
        <v>5781</v>
      </c>
      <c r="J9300" s="1" t="s">
        <v>3558</v>
      </c>
      <c r="L9300" s="1" t="s">
        <v>1879</v>
      </c>
      <c r="N9300" s="1" t="s">
        <v>1880</v>
      </c>
      <c r="P9300" s="1" t="s">
        <v>13770</v>
      </c>
      <c r="Q9300" s="30" t="s">
        <v>2565</v>
      </c>
      <c r="R9300" s="33" t="s">
        <v>3472</v>
      </c>
      <c r="S9300">
        <v>37</v>
      </c>
      <c r="T9300" s="1" t="s">
        <v>14067</v>
      </c>
      <c r="U9300" s="1" t="str">
        <f>HYPERLINK("http://ictvonline.org/taxonomy/p/taxonomy-history?taxnode_id=202113831","ICTVonline=202113831")</f>
        <v>ICTVonline=202113831</v>
      </c>
    </row>
    <row r="9301" spans="1:21" x14ac:dyDescent="0.2">
      <c r="A9301" s="3">
        <v>9300</v>
      </c>
      <c r="B9301" s="1" t="s">
        <v>4226</v>
      </c>
      <c r="D9301" s="1" t="s">
        <v>5779</v>
      </c>
      <c r="F9301" s="1" t="s">
        <v>5780</v>
      </c>
      <c r="H9301" s="1" t="s">
        <v>5781</v>
      </c>
      <c r="J9301" s="1" t="s">
        <v>3558</v>
      </c>
      <c r="L9301" s="1" t="s">
        <v>1879</v>
      </c>
      <c r="N9301" s="1" t="s">
        <v>1880</v>
      </c>
      <c r="P9301" s="1" t="s">
        <v>13771</v>
      </c>
      <c r="Q9301" s="30" t="s">
        <v>2565</v>
      </c>
      <c r="R9301" s="33" t="s">
        <v>3472</v>
      </c>
      <c r="S9301">
        <v>37</v>
      </c>
      <c r="T9301" s="1" t="s">
        <v>14067</v>
      </c>
      <c r="U9301" s="1" t="str">
        <f>HYPERLINK("http://ictvonline.org/taxonomy/p/taxonomy-history?taxnode_id=202113832","ICTVonline=202113832")</f>
        <v>ICTVonline=202113832</v>
      </c>
    </row>
    <row r="9302" spans="1:21" x14ac:dyDescent="0.2">
      <c r="A9302" s="3">
        <v>9301</v>
      </c>
      <c r="B9302" s="1" t="s">
        <v>4226</v>
      </c>
      <c r="D9302" s="1" t="s">
        <v>5779</v>
      </c>
      <c r="F9302" s="1" t="s">
        <v>5780</v>
      </c>
      <c r="H9302" s="1" t="s">
        <v>5781</v>
      </c>
      <c r="J9302" s="1" t="s">
        <v>3558</v>
      </c>
      <c r="L9302" s="1" t="s">
        <v>1879</v>
      </c>
      <c r="N9302" s="1" t="s">
        <v>1880</v>
      </c>
      <c r="P9302" s="1" t="s">
        <v>1990</v>
      </c>
      <c r="Q9302" s="30" t="s">
        <v>2884</v>
      </c>
      <c r="R9302" s="33" t="s">
        <v>3474</v>
      </c>
      <c r="S9302">
        <v>35</v>
      </c>
      <c r="T9302" s="1" t="s">
        <v>5416</v>
      </c>
      <c r="U9302" s="1" t="str">
        <f>HYPERLINK("http://ictvonline.org/taxonomy/p/taxonomy-history?taxnode_id=202102820","ICTVonline=202102820")</f>
        <v>ICTVonline=202102820</v>
      </c>
    </row>
    <row r="9303" spans="1:21" x14ac:dyDescent="0.2">
      <c r="A9303" s="3">
        <v>9302</v>
      </c>
      <c r="B9303" s="1" t="s">
        <v>4226</v>
      </c>
      <c r="D9303" s="1" t="s">
        <v>5779</v>
      </c>
      <c r="F9303" s="1" t="s">
        <v>5780</v>
      </c>
      <c r="H9303" s="1" t="s">
        <v>5781</v>
      </c>
      <c r="J9303" s="1" t="s">
        <v>3558</v>
      </c>
      <c r="L9303" s="1" t="s">
        <v>1879</v>
      </c>
      <c r="N9303" s="1" t="s">
        <v>1880</v>
      </c>
      <c r="P9303" s="1" t="s">
        <v>2503</v>
      </c>
      <c r="Q9303" s="30" t="s">
        <v>2884</v>
      </c>
      <c r="R9303" s="33" t="s">
        <v>3474</v>
      </c>
      <c r="S9303">
        <v>35</v>
      </c>
      <c r="T9303" s="1" t="s">
        <v>5416</v>
      </c>
      <c r="U9303" s="1" t="str">
        <f>HYPERLINK("http://ictvonline.org/taxonomy/p/taxonomy-history?taxnode_id=202102821","ICTVonline=202102821")</f>
        <v>ICTVonline=202102821</v>
      </c>
    </row>
    <row r="9304" spans="1:21" x14ac:dyDescent="0.2">
      <c r="A9304" s="3">
        <v>9303</v>
      </c>
      <c r="B9304" s="1" t="s">
        <v>4226</v>
      </c>
      <c r="D9304" s="1" t="s">
        <v>5779</v>
      </c>
      <c r="F9304" s="1" t="s">
        <v>5780</v>
      </c>
      <c r="H9304" s="1" t="s">
        <v>5781</v>
      </c>
      <c r="J9304" s="1" t="s">
        <v>3558</v>
      </c>
      <c r="L9304" s="1" t="s">
        <v>1879</v>
      </c>
      <c r="N9304" s="1" t="s">
        <v>1880</v>
      </c>
      <c r="P9304" s="1" t="s">
        <v>540</v>
      </c>
      <c r="Q9304" s="30" t="s">
        <v>2884</v>
      </c>
      <c r="R9304" s="33" t="s">
        <v>3474</v>
      </c>
      <c r="S9304">
        <v>35</v>
      </c>
      <c r="T9304" s="1" t="s">
        <v>5416</v>
      </c>
      <c r="U9304" s="1" t="str">
        <f>HYPERLINK("http://ictvonline.org/taxonomy/p/taxonomy-history?taxnode_id=202102822","ICTVonline=202102822")</f>
        <v>ICTVonline=202102822</v>
      </c>
    </row>
    <row r="9305" spans="1:21" x14ac:dyDescent="0.2">
      <c r="A9305" s="3">
        <v>9304</v>
      </c>
      <c r="B9305" s="1" t="s">
        <v>4226</v>
      </c>
      <c r="D9305" s="1" t="s">
        <v>5779</v>
      </c>
      <c r="F9305" s="1" t="s">
        <v>5780</v>
      </c>
      <c r="H9305" s="1" t="s">
        <v>5781</v>
      </c>
      <c r="J9305" s="1" t="s">
        <v>3558</v>
      </c>
      <c r="L9305" s="1" t="s">
        <v>1879</v>
      </c>
      <c r="N9305" s="1" t="s">
        <v>1880</v>
      </c>
      <c r="P9305" s="1" t="s">
        <v>1991</v>
      </c>
      <c r="Q9305" s="30" t="s">
        <v>2884</v>
      </c>
      <c r="R9305" s="33" t="s">
        <v>3474</v>
      </c>
      <c r="S9305">
        <v>35</v>
      </c>
      <c r="T9305" s="1" t="s">
        <v>5416</v>
      </c>
      <c r="U9305" s="1" t="str">
        <f>HYPERLINK("http://ictvonline.org/taxonomy/p/taxonomy-history?taxnode_id=202102823","ICTVonline=202102823")</f>
        <v>ICTVonline=202102823</v>
      </c>
    </row>
    <row r="9306" spans="1:21" x14ac:dyDescent="0.2">
      <c r="A9306" s="3">
        <v>9305</v>
      </c>
      <c r="B9306" s="1" t="s">
        <v>4226</v>
      </c>
      <c r="D9306" s="1" t="s">
        <v>5779</v>
      </c>
      <c r="F9306" s="1" t="s">
        <v>5780</v>
      </c>
      <c r="H9306" s="1" t="s">
        <v>5781</v>
      </c>
      <c r="J9306" s="1" t="s">
        <v>3558</v>
      </c>
      <c r="L9306" s="1" t="s">
        <v>1879</v>
      </c>
      <c r="N9306" s="1" t="s">
        <v>1880</v>
      </c>
      <c r="P9306" s="1" t="s">
        <v>2504</v>
      </c>
      <c r="Q9306" s="30" t="s">
        <v>2884</v>
      </c>
      <c r="R9306" s="33" t="s">
        <v>3474</v>
      </c>
      <c r="S9306">
        <v>35</v>
      </c>
      <c r="T9306" s="1" t="s">
        <v>5416</v>
      </c>
      <c r="U9306" s="1" t="str">
        <f>HYPERLINK("http://ictvonline.org/taxonomy/p/taxonomy-history?taxnode_id=202102824","ICTVonline=202102824")</f>
        <v>ICTVonline=202102824</v>
      </c>
    </row>
    <row r="9307" spans="1:21" x14ac:dyDescent="0.2">
      <c r="A9307" s="3">
        <v>9306</v>
      </c>
      <c r="B9307" s="1" t="s">
        <v>4226</v>
      </c>
      <c r="D9307" s="1" t="s">
        <v>5779</v>
      </c>
      <c r="F9307" s="1" t="s">
        <v>5780</v>
      </c>
      <c r="H9307" s="1" t="s">
        <v>5781</v>
      </c>
      <c r="J9307" s="1" t="s">
        <v>3558</v>
      </c>
      <c r="L9307" s="1" t="s">
        <v>1879</v>
      </c>
      <c r="N9307" s="1" t="s">
        <v>1880</v>
      </c>
      <c r="P9307" s="1" t="s">
        <v>2505</v>
      </c>
      <c r="Q9307" s="30" t="s">
        <v>2884</v>
      </c>
      <c r="R9307" s="33" t="s">
        <v>3474</v>
      </c>
      <c r="S9307">
        <v>35</v>
      </c>
      <c r="T9307" s="1" t="s">
        <v>5416</v>
      </c>
      <c r="U9307" s="1" t="str">
        <f>HYPERLINK("http://ictvonline.org/taxonomy/p/taxonomy-history?taxnode_id=202102825","ICTVonline=202102825")</f>
        <v>ICTVonline=202102825</v>
      </c>
    </row>
    <row r="9308" spans="1:21" x14ac:dyDescent="0.2">
      <c r="A9308" s="3">
        <v>9307</v>
      </c>
      <c r="B9308" s="1" t="s">
        <v>4226</v>
      </c>
      <c r="D9308" s="1" t="s">
        <v>5779</v>
      </c>
      <c r="F9308" s="1" t="s">
        <v>5780</v>
      </c>
      <c r="H9308" s="1" t="s">
        <v>5781</v>
      </c>
      <c r="J9308" s="1" t="s">
        <v>3558</v>
      </c>
      <c r="L9308" s="1" t="s">
        <v>1879</v>
      </c>
      <c r="N9308" s="1" t="s">
        <v>1880</v>
      </c>
      <c r="P9308" s="1" t="s">
        <v>2506</v>
      </c>
      <c r="Q9308" s="30" t="s">
        <v>2884</v>
      </c>
      <c r="R9308" s="33" t="s">
        <v>3474</v>
      </c>
      <c r="S9308">
        <v>35</v>
      </c>
      <c r="T9308" s="1" t="s">
        <v>5416</v>
      </c>
      <c r="U9308" s="1" t="str">
        <f>HYPERLINK("http://ictvonline.org/taxonomy/p/taxonomy-history?taxnode_id=202102826","ICTVonline=202102826")</f>
        <v>ICTVonline=202102826</v>
      </c>
    </row>
    <row r="9309" spans="1:21" x14ac:dyDescent="0.2">
      <c r="A9309" s="3">
        <v>9308</v>
      </c>
      <c r="B9309" s="1" t="s">
        <v>4226</v>
      </c>
      <c r="D9309" s="1" t="s">
        <v>5779</v>
      </c>
      <c r="F9309" s="1" t="s">
        <v>5780</v>
      </c>
      <c r="H9309" s="1" t="s">
        <v>5781</v>
      </c>
      <c r="J9309" s="1" t="s">
        <v>3558</v>
      </c>
      <c r="L9309" s="1" t="s">
        <v>1879</v>
      </c>
      <c r="N9309" s="1" t="s">
        <v>1880</v>
      </c>
      <c r="P9309" s="1" t="s">
        <v>2507</v>
      </c>
      <c r="Q9309" s="30" t="s">
        <v>2884</v>
      </c>
      <c r="R9309" s="33" t="s">
        <v>3474</v>
      </c>
      <c r="S9309">
        <v>35</v>
      </c>
      <c r="T9309" s="1" t="s">
        <v>5416</v>
      </c>
      <c r="U9309" s="1" t="str">
        <f>HYPERLINK("http://ictvonline.org/taxonomy/p/taxonomy-history?taxnode_id=202102827","ICTVonline=202102827")</f>
        <v>ICTVonline=202102827</v>
      </c>
    </row>
    <row r="9310" spans="1:21" x14ac:dyDescent="0.2">
      <c r="A9310" s="3">
        <v>9309</v>
      </c>
      <c r="B9310" s="1" t="s">
        <v>4226</v>
      </c>
      <c r="D9310" s="1" t="s">
        <v>5779</v>
      </c>
      <c r="F9310" s="1" t="s">
        <v>5780</v>
      </c>
      <c r="H9310" s="1" t="s">
        <v>5781</v>
      </c>
      <c r="J9310" s="1" t="s">
        <v>3558</v>
      </c>
      <c r="L9310" s="1" t="s">
        <v>1879</v>
      </c>
      <c r="N9310" s="1" t="s">
        <v>1880</v>
      </c>
      <c r="P9310" s="1" t="s">
        <v>72</v>
      </c>
      <c r="Q9310" s="30" t="s">
        <v>2884</v>
      </c>
      <c r="R9310" s="33" t="s">
        <v>3474</v>
      </c>
      <c r="S9310">
        <v>35</v>
      </c>
      <c r="T9310" s="1" t="s">
        <v>5416</v>
      </c>
      <c r="U9310" s="1" t="str">
        <f>HYPERLINK("http://ictvonline.org/taxonomy/p/taxonomy-history?taxnode_id=202102828","ICTVonline=202102828")</f>
        <v>ICTVonline=202102828</v>
      </c>
    </row>
    <row r="9311" spans="1:21" x14ac:dyDescent="0.2">
      <c r="A9311" s="3">
        <v>9310</v>
      </c>
      <c r="B9311" s="1" t="s">
        <v>4226</v>
      </c>
      <c r="D9311" s="1" t="s">
        <v>5779</v>
      </c>
      <c r="F9311" s="1" t="s">
        <v>5780</v>
      </c>
      <c r="H9311" s="1" t="s">
        <v>5781</v>
      </c>
      <c r="J9311" s="1" t="s">
        <v>3558</v>
      </c>
      <c r="L9311" s="1" t="s">
        <v>1879</v>
      </c>
      <c r="N9311" s="1" t="s">
        <v>1880</v>
      </c>
      <c r="P9311" s="1" t="s">
        <v>4781</v>
      </c>
      <c r="Q9311" s="30" t="s">
        <v>2884</v>
      </c>
      <c r="R9311" s="33" t="s">
        <v>3474</v>
      </c>
      <c r="S9311">
        <v>35</v>
      </c>
      <c r="T9311" s="1" t="s">
        <v>5416</v>
      </c>
      <c r="U9311" s="1" t="str">
        <f>HYPERLINK("http://ictvonline.org/taxonomy/p/taxonomy-history?taxnode_id=202106641","ICTVonline=202106641")</f>
        <v>ICTVonline=202106641</v>
      </c>
    </row>
    <row r="9312" spans="1:21" x14ac:dyDescent="0.2">
      <c r="A9312" s="3">
        <v>9311</v>
      </c>
      <c r="B9312" s="1" t="s">
        <v>4226</v>
      </c>
      <c r="D9312" s="1" t="s">
        <v>5779</v>
      </c>
      <c r="F9312" s="1" t="s">
        <v>5780</v>
      </c>
      <c r="H9312" s="1" t="s">
        <v>5781</v>
      </c>
      <c r="J9312" s="1" t="s">
        <v>3558</v>
      </c>
      <c r="L9312" s="1" t="s">
        <v>1879</v>
      </c>
      <c r="N9312" s="1" t="s">
        <v>1880</v>
      </c>
      <c r="P9312" s="1" t="s">
        <v>4782</v>
      </c>
      <c r="Q9312" s="30" t="s">
        <v>2884</v>
      </c>
      <c r="R9312" s="33" t="s">
        <v>3474</v>
      </c>
      <c r="S9312">
        <v>35</v>
      </c>
      <c r="T9312" s="1" t="s">
        <v>5416</v>
      </c>
      <c r="U9312" s="1" t="str">
        <f>HYPERLINK("http://ictvonline.org/taxonomy/p/taxonomy-history?taxnode_id=202106642","ICTVonline=202106642")</f>
        <v>ICTVonline=202106642</v>
      </c>
    </row>
    <row r="9313" spans="1:21" x14ac:dyDescent="0.2">
      <c r="A9313" s="3">
        <v>9312</v>
      </c>
      <c r="B9313" s="1" t="s">
        <v>4226</v>
      </c>
      <c r="D9313" s="1" t="s">
        <v>5779</v>
      </c>
      <c r="F9313" s="1" t="s">
        <v>5780</v>
      </c>
      <c r="H9313" s="1" t="s">
        <v>5781</v>
      </c>
      <c r="J9313" s="1" t="s">
        <v>3558</v>
      </c>
      <c r="L9313" s="1" t="s">
        <v>1879</v>
      </c>
      <c r="N9313" s="1" t="s">
        <v>1880</v>
      </c>
      <c r="P9313" s="1" t="s">
        <v>73</v>
      </c>
      <c r="Q9313" s="30" t="s">
        <v>2884</v>
      </c>
      <c r="R9313" s="33" t="s">
        <v>3474</v>
      </c>
      <c r="S9313">
        <v>35</v>
      </c>
      <c r="T9313" s="1" t="s">
        <v>5416</v>
      </c>
      <c r="U9313" s="1" t="str">
        <f>HYPERLINK("http://ictvonline.org/taxonomy/p/taxonomy-history?taxnode_id=202102829","ICTVonline=202102829")</f>
        <v>ICTVonline=202102829</v>
      </c>
    </row>
    <row r="9314" spans="1:21" x14ac:dyDescent="0.2">
      <c r="A9314" s="3">
        <v>9313</v>
      </c>
      <c r="B9314" s="1" t="s">
        <v>4226</v>
      </c>
      <c r="D9314" s="1" t="s">
        <v>5779</v>
      </c>
      <c r="F9314" s="1" t="s">
        <v>5780</v>
      </c>
      <c r="H9314" s="1" t="s">
        <v>5781</v>
      </c>
      <c r="J9314" s="1" t="s">
        <v>3558</v>
      </c>
      <c r="L9314" s="1" t="s">
        <v>1879</v>
      </c>
      <c r="N9314" s="1" t="s">
        <v>1880</v>
      </c>
      <c r="P9314" s="1" t="s">
        <v>4783</v>
      </c>
      <c r="Q9314" s="30" t="s">
        <v>2884</v>
      </c>
      <c r="R9314" s="33" t="s">
        <v>3474</v>
      </c>
      <c r="S9314">
        <v>35</v>
      </c>
      <c r="T9314" s="1" t="s">
        <v>5416</v>
      </c>
      <c r="U9314" s="1" t="str">
        <f>HYPERLINK("http://ictvonline.org/taxonomy/p/taxonomy-history?taxnode_id=202106647","ICTVonline=202106647")</f>
        <v>ICTVonline=202106647</v>
      </c>
    </row>
    <row r="9315" spans="1:21" x14ac:dyDescent="0.2">
      <c r="A9315" s="3">
        <v>9314</v>
      </c>
      <c r="B9315" s="1" t="s">
        <v>4226</v>
      </c>
      <c r="D9315" s="1" t="s">
        <v>5779</v>
      </c>
      <c r="F9315" s="1" t="s">
        <v>5780</v>
      </c>
      <c r="H9315" s="1" t="s">
        <v>5781</v>
      </c>
      <c r="J9315" s="1" t="s">
        <v>3558</v>
      </c>
      <c r="L9315" s="1" t="s">
        <v>1879</v>
      </c>
      <c r="N9315" s="1" t="s">
        <v>1880</v>
      </c>
      <c r="P9315" s="1" t="s">
        <v>3564</v>
      </c>
      <c r="Q9315" s="30" t="s">
        <v>2884</v>
      </c>
      <c r="R9315" s="33" t="s">
        <v>3474</v>
      </c>
      <c r="S9315">
        <v>35</v>
      </c>
      <c r="T9315" s="1" t="s">
        <v>5416</v>
      </c>
      <c r="U9315" s="1" t="str">
        <f>HYPERLINK("http://ictvonline.org/taxonomy/p/taxonomy-history?taxnode_id=202105761","ICTVonline=202105761")</f>
        <v>ICTVonline=202105761</v>
      </c>
    </row>
    <row r="9316" spans="1:21" x14ac:dyDescent="0.2">
      <c r="A9316" s="3">
        <v>9315</v>
      </c>
      <c r="B9316" s="1" t="s">
        <v>4226</v>
      </c>
      <c r="D9316" s="1" t="s">
        <v>5779</v>
      </c>
      <c r="F9316" s="1" t="s">
        <v>5780</v>
      </c>
      <c r="H9316" s="1" t="s">
        <v>5781</v>
      </c>
      <c r="J9316" s="1" t="s">
        <v>3558</v>
      </c>
      <c r="L9316" s="1" t="s">
        <v>1879</v>
      </c>
      <c r="N9316" s="1" t="s">
        <v>1880</v>
      </c>
      <c r="P9316" s="1" t="s">
        <v>2885</v>
      </c>
      <c r="Q9316" s="30" t="s">
        <v>2884</v>
      </c>
      <c r="R9316" s="33" t="s">
        <v>3474</v>
      </c>
      <c r="S9316">
        <v>35</v>
      </c>
      <c r="T9316" s="1" t="s">
        <v>5416</v>
      </c>
      <c r="U9316" s="1" t="str">
        <f>HYPERLINK("http://ictvonline.org/taxonomy/p/taxonomy-history?taxnode_id=202102830","ICTVonline=202102830")</f>
        <v>ICTVonline=202102830</v>
      </c>
    </row>
    <row r="9317" spans="1:21" x14ac:dyDescent="0.2">
      <c r="A9317" s="3">
        <v>9316</v>
      </c>
      <c r="B9317" s="1" t="s">
        <v>4226</v>
      </c>
      <c r="D9317" s="1" t="s">
        <v>5779</v>
      </c>
      <c r="F9317" s="1" t="s">
        <v>5780</v>
      </c>
      <c r="H9317" s="1" t="s">
        <v>5781</v>
      </c>
      <c r="J9317" s="1" t="s">
        <v>3558</v>
      </c>
      <c r="L9317" s="1" t="s">
        <v>1879</v>
      </c>
      <c r="N9317" s="1" t="s">
        <v>1880</v>
      </c>
      <c r="P9317" s="1" t="s">
        <v>4784</v>
      </c>
      <c r="Q9317" s="30" t="s">
        <v>2884</v>
      </c>
      <c r="R9317" s="33" t="s">
        <v>3474</v>
      </c>
      <c r="S9317">
        <v>35</v>
      </c>
      <c r="T9317" s="1" t="s">
        <v>5416</v>
      </c>
      <c r="U9317" s="1" t="str">
        <f>HYPERLINK("http://ictvonline.org/taxonomy/p/taxonomy-history?taxnode_id=202106643","ICTVonline=202106643")</f>
        <v>ICTVonline=202106643</v>
      </c>
    </row>
    <row r="9318" spans="1:21" x14ac:dyDescent="0.2">
      <c r="A9318" s="3">
        <v>9317</v>
      </c>
      <c r="B9318" s="1" t="s">
        <v>4226</v>
      </c>
      <c r="D9318" s="1" t="s">
        <v>5779</v>
      </c>
      <c r="F9318" s="1" t="s">
        <v>5780</v>
      </c>
      <c r="H9318" s="1" t="s">
        <v>5781</v>
      </c>
      <c r="J9318" s="1" t="s">
        <v>3558</v>
      </c>
      <c r="L9318" s="1" t="s">
        <v>1879</v>
      </c>
      <c r="N9318" s="1" t="s">
        <v>1880</v>
      </c>
      <c r="P9318" s="1" t="s">
        <v>4785</v>
      </c>
      <c r="Q9318" s="30" t="s">
        <v>2884</v>
      </c>
      <c r="R9318" s="33" t="s">
        <v>3474</v>
      </c>
      <c r="S9318">
        <v>35</v>
      </c>
      <c r="T9318" s="1" t="s">
        <v>5416</v>
      </c>
      <c r="U9318" s="1" t="str">
        <f>HYPERLINK("http://ictvonline.org/taxonomy/p/taxonomy-history?taxnode_id=202106644","ICTVonline=202106644")</f>
        <v>ICTVonline=202106644</v>
      </c>
    </row>
    <row r="9319" spans="1:21" x14ac:dyDescent="0.2">
      <c r="A9319" s="3">
        <v>9318</v>
      </c>
      <c r="B9319" s="1" t="s">
        <v>4226</v>
      </c>
      <c r="D9319" s="1" t="s">
        <v>5779</v>
      </c>
      <c r="F9319" s="1" t="s">
        <v>5780</v>
      </c>
      <c r="H9319" s="1" t="s">
        <v>5781</v>
      </c>
      <c r="J9319" s="1" t="s">
        <v>3558</v>
      </c>
      <c r="L9319" s="1" t="s">
        <v>1879</v>
      </c>
      <c r="N9319" s="1" t="s">
        <v>1880</v>
      </c>
      <c r="P9319" s="1" t="s">
        <v>4786</v>
      </c>
      <c r="Q9319" s="30" t="s">
        <v>2884</v>
      </c>
      <c r="R9319" s="33" t="s">
        <v>3474</v>
      </c>
      <c r="S9319">
        <v>35</v>
      </c>
      <c r="T9319" s="1" t="s">
        <v>5416</v>
      </c>
      <c r="U9319" s="1" t="str">
        <f>HYPERLINK("http://ictvonline.org/taxonomy/p/taxonomy-history?taxnode_id=202106645","ICTVonline=202106645")</f>
        <v>ICTVonline=202106645</v>
      </c>
    </row>
    <row r="9320" spans="1:21" x14ac:dyDescent="0.2">
      <c r="A9320" s="3">
        <v>9319</v>
      </c>
      <c r="B9320" s="1" t="s">
        <v>4226</v>
      </c>
      <c r="D9320" s="1" t="s">
        <v>5779</v>
      </c>
      <c r="F9320" s="1" t="s">
        <v>5780</v>
      </c>
      <c r="H9320" s="1" t="s">
        <v>5781</v>
      </c>
      <c r="J9320" s="1" t="s">
        <v>3558</v>
      </c>
      <c r="L9320" s="1" t="s">
        <v>1879</v>
      </c>
      <c r="N9320" s="1" t="s">
        <v>1880</v>
      </c>
      <c r="P9320" s="1" t="s">
        <v>4787</v>
      </c>
      <c r="Q9320" s="30" t="s">
        <v>2884</v>
      </c>
      <c r="R9320" s="33" t="s">
        <v>3474</v>
      </c>
      <c r="S9320">
        <v>35</v>
      </c>
      <c r="T9320" s="1" t="s">
        <v>5416</v>
      </c>
      <c r="U9320" s="1" t="str">
        <f>HYPERLINK("http://ictvonline.org/taxonomy/p/taxonomy-history?taxnode_id=202106646","ICTVonline=202106646")</f>
        <v>ICTVonline=202106646</v>
      </c>
    </row>
    <row r="9321" spans="1:21" x14ac:dyDescent="0.2">
      <c r="A9321" s="3">
        <v>9320</v>
      </c>
      <c r="B9321" s="1" t="s">
        <v>4226</v>
      </c>
      <c r="D9321" s="1" t="s">
        <v>5779</v>
      </c>
      <c r="F9321" s="1" t="s">
        <v>5780</v>
      </c>
      <c r="H9321" s="1" t="s">
        <v>5781</v>
      </c>
      <c r="J9321" s="1" t="s">
        <v>3558</v>
      </c>
      <c r="L9321" s="1" t="s">
        <v>1879</v>
      </c>
      <c r="N9321" s="1" t="s">
        <v>1880</v>
      </c>
      <c r="P9321" s="1" t="s">
        <v>2886</v>
      </c>
      <c r="Q9321" s="30" t="s">
        <v>2884</v>
      </c>
      <c r="R9321" s="33" t="s">
        <v>3474</v>
      </c>
      <c r="S9321">
        <v>35</v>
      </c>
      <c r="T9321" s="1" t="s">
        <v>5416</v>
      </c>
      <c r="U9321" s="1" t="str">
        <f>HYPERLINK("http://ictvonline.org/taxonomy/p/taxonomy-history?taxnode_id=202102831","ICTVonline=202102831")</f>
        <v>ICTVonline=202102831</v>
      </c>
    </row>
    <row r="9322" spans="1:21" x14ac:dyDescent="0.2">
      <c r="A9322" s="3">
        <v>9321</v>
      </c>
      <c r="B9322" s="1" t="s">
        <v>4226</v>
      </c>
      <c r="D9322" s="1" t="s">
        <v>5779</v>
      </c>
      <c r="F9322" s="1" t="s">
        <v>5780</v>
      </c>
      <c r="H9322" s="1" t="s">
        <v>5781</v>
      </c>
      <c r="J9322" s="1" t="s">
        <v>3558</v>
      </c>
      <c r="L9322" s="1" t="s">
        <v>1879</v>
      </c>
      <c r="N9322" s="1" t="s">
        <v>1880</v>
      </c>
      <c r="P9322" s="1" t="s">
        <v>4788</v>
      </c>
      <c r="Q9322" s="30" t="s">
        <v>2884</v>
      </c>
      <c r="R9322" s="33" t="s">
        <v>3474</v>
      </c>
      <c r="S9322">
        <v>35</v>
      </c>
      <c r="T9322" s="1" t="s">
        <v>5416</v>
      </c>
      <c r="U9322" s="1" t="str">
        <f>HYPERLINK("http://ictvonline.org/taxonomy/p/taxonomy-history?taxnode_id=202102832","ICTVonline=202102832")</f>
        <v>ICTVonline=202102832</v>
      </c>
    </row>
    <row r="9323" spans="1:21" x14ac:dyDescent="0.2">
      <c r="A9323" s="3">
        <v>9322</v>
      </c>
      <c r="B9323" s="1" t="s">
        <v>4226</v>
      </c>
      <c r="D9323" s="1" t="s">
        <v>5779</v>
      </c>
      <c r="F9323" s="1" t="s">
        <v>5780</v>
      </c>
      <c r="H9323" s="1" t="s">
        <v>5781</v>
      </c>
      <c r="J9323" s="1" t="s">
        <v>3558</v>
      </c>
      <c r="L9323" s="1" t="s">
        <v>1879</v>
      </c>
      <c r="N9323" s="1" t="s">
        <v>1880</v>
      </c>
      <c r="P9323" s="1" t="s">
        <v>3565</v>
      </c>
      <c r="Q9323" s="30" t="s">
        <v>2884</v>
      </c>
      <c r="R9323" s="33" t="s">
        <v>3474</v>
      </c>
      <c r="S9323">
        <v>35</v>
      </c>
      <c r="T9323" s="1" t="s">
        <v>5416</v>
      </c>
      <c r="U9323" s="1" t="str">
        <f>HYPERLINK("http://ictvonline.org/taxonomy/p/taxonomy-history?taxnode_id=202105762","ICTVonline=202105762")</f>
        <v>ICTVonline=202105762</v>
      </c>
    </row>
    <row r="9324" spans="1:21" x14ac:dyDescent="0.2">
      <c r="A9324" s="3">
        <v>9323</v>
      </c>
      <c r="B9324" s="1" t="s">
        <v>4226</v>
      </c>
      <c r="D9324" s="1" t="s">
        <v>5779</v>
      </c>
      <c r="F9324" s="1" t="s">
        <v>5780</v>
      </c>
      <c r="H9324" s="1" t="s">
        <v>5781</v>
      </c>
      <c r="J9324" s="1" t="s">
        <v>3558</v>
      </c>
      <c r="L9324" s="1" t="s">
        <v>1879</v>
      </c>
      <c r="N9324" s="1" t="s">
        <v>1880</v>
      </c>
      <c r="P9324" s="1" t="s">
        <v>8345</v>
      </c>
      <c r="Q9324" s="30" t="s">
        <v>2884</v>
      </c>
      <c r="R9324" s="33" t="s">
        <v>3472</v>
      </c>
      <c r="S9324">
        <v>36</v>
      </c>
      <c r="T9324" s="1" t="s">
        <v>8346</v>
      </c>
      <c r="U9324" s="1" t="str">
        <f>HYPERLINK("http://ictvonline.org/taxonomy/p/taxonomy-history?taxnode_id=202108834","ICTVonline=202108834")</f>
        <v>ICTVonline=202108834</v>
      </c>
    </row>
    <row r="9325" spans="1:21" x14ac:dyDescent="0.2">
      <c r="A9325" s="3">
        <v>9324</v>
      </c>
      <c r="B9325" s="1" t="s">
        <v>4226</v>
      </c>
      <c r="D9325" s="1" t="s">
        <v>5779</v>
      </c>
      <c r="F9325" s="1" t="s">
        <v>5780</v>
      </c>
      <c r="H9325" s="1" t="s">
        <v>5781</v>
      </c>
      <c r="J9325" s="1" t="s">
        <v>3558</v>
      </c>
      <c r="L9325" s="1" t="s">
        <v>1879</v>
      </c>
      <c r="N9325" s="1" t="s">
        <v>1880</v>
      </c>
      <c r="P9325" s="1" t="s">
        <v>4789</v>
      </c>
      <c r="Q9325" s="30" t="s">
        <v>2884</v>
      </c>
      <c r="R9325" s="33" t="s">
        <v>3474</v>
      </c>
      <c r="S9325">
        <v>35</v>
      </c>
      <c r="T9325" s="1" t="s">
        <v>5416</v>
      </c>
      <c r="U9325" s="1" t="str">
        <f>HYPERLINK("http://ictvonline.org/taxonomy/p/taxonomy-history?taxnode_id=202106648","ICTVonline=202106648")</f>
        <v>ICTVonline=202106648</v>
      </c>
    </row>
    <row r="9326" spans="1:21" x14ac:dyDescent="0.2">
      <c r="A9326" s="3">
        <v>9325</v>
      </c>
      <c r="B9326" s="1" t="s">
        <v>4226</v>
      </c>
      <c r="D9326" s="1" t="s">
        <v>5779</v>
      </c>
      <c r="F9326" s="1" t="s">
        <v>5780</v>
      </c>
      <c r="H9326" s="1" t="s">
        <v>5781</v>
      </c>
      <c r="J9326" s="1" t="s">
        <v>3558</v>
      </c>
      <c r="L9326" s="1" t="s">
        <v>1879</v>
      </c>
      <c r="N9326" s="1" t="s">
        <v>1880</v>
      </c>
      <c r="P9326" s="1" t="s">
        <v>1886</v>
      </c>
      <c r="Q9326" s="30" t="s">
        <v>2884</v>
      </c>
      <c r="R9326" s="33" t="s">
        <v>3474</v>
      </c>
      <c r="S9326">
        <v>35</v>
      </c>
      <c r="T9326" s="1" t="s">
        <v>5416</v>
      </c>
      <c r="U9326" s="1" t="str">
        <f>HYPERLINK("http://ictvonline.org/taxonomy/p/taxonomy-history?taxnode_id=202102833","ICTVonline=202102833")</f>
        <v>ICTVonline=202102833</v>
      </c>
    </row>
    <row r="9327" spans="1:21" x14ac:dyDescent="0.2">
      <c r="A9327" s="3">
        <v>9326</v>
      </c>
      <c r="B9327" s="1" t="s">
        <v>4226</v>
      </c>
      <c r="D9327" s="1" t="s">
        <v>5779</v>
      </c>
      <c r="F9327" s="1" t="s">
        <v>5780</v>
      </c>
      <c r="H9327" s="1" t="s">
        <v>5781</v>
      </c>
      <c r="J9327" s="1" t="s">
        <v>3558</v>
      </c>
      <c r="L9327" s="1" t="s">
        <v>1879</v>
      </c>
      <c r="N9327" s="1" t="s">
        <v>1880</v>
      </c>
      <c r="P9327" s="1" t="s">
        <v>74</v>
      </c>
      <c r="Q9327" s="30" t="s">
        <v>2884</v>
      </c>
      <c r="R9327" s="33" t="s">
        <v>3474</v>
      </c>
      <c r="S9327">
        <v>35</v>
      </c>
      <c r="T9327" s="1" t="s">
        <v>5416</v>
      </c>
      <c r="U9327" s="1" t="str">
        <f>HYPERLINK("http://ictvonline.org/taxonomy/p/taxonomy-history?taxnode_id=202102834","ICTVonline=202102834")</f>
        <v>ICTVonline=202102834</v>
      </c>
    </row>
    <row r="9328" spans="1:21" x14ac:dyDescent="0.2">
      <c r="A9328" s="3">
        <v>9327</v>
      </c>
      <c r="B9328" s="1" t="s">
        <v>4226</v>
      </c>
      <c r="D9328" s="1" t="s">
        <v>5779</v>
      </c>
      <c r="F9328" s="1" t="s">
        <v>5780</v>
      </c>
      <c r="H9328" s="1" t="s">
        <v>5781</v>
      </c>
      <c r="J9328" s="1" t="s">
        <v>3558</v>
      </c>
      <c r="L9328" s="1" t="s">
        <v>1879</v>
      </c>
      <c r="N9328" s="1" t="s">
        <v>1880</v>
      </c>
      <c r="P9328" s="1" t="s">
        <v>5790</v>
      </c>
      <c r="Q9328" s="30" t="s">
        <v>2884</v>
      </c>
      <c r="R9328" s="33" t="s">
        <v>3472</v>
      </c>
      <c r="S9328">
        <v>35</v>
      </c>
      <c r="T9328" s="1" t="s">
        <v>5791</v>
      </c>
      <c r="U9328" s="1" t="str">
        <f>HYPERLINK("http://ictvonline.org/taxonomy/p/taxonomy-history?taxnode_id=202107426","ICTVonline=202107426")</f>
        <v>ICTVonline=202107426</v>
      </c>
    </row>
    <row r="9329" spans="1:21" x14ac:dyDescent="0.2">
      <c r="A9329" s="3">
        <v>9328</v>
      </c>
      <c r="B9329" s="1" t="s">
        <v>4226</v>
      </c>
      <c r="D9329" s="1" t="s">
        <v>5779</v>
      </c>
      <c r="F9329" s="1" t="s">
        <v>5780</v>
      </c>
      <c r="H9329" s="1" t="s">
        <v>5781</v>
      </c>
      <c r="J9329" s="1" t="s">
        <v>3558</v>
      </c>
      <c r="L9329" s="1" t="s">
        <v>1879</v>
      </c>
      <c r="N9329" s="1" t="s">
        <v>1880</v>
      </c>
      <c r="P9329" s="1" t="s">
        <v>1808</v>
      </c>
      <c r="Q9329" s="30" t="s">
        <v>2884</v>
      </c>
      <c r="R9329" s="33" t="s">
        <v>8665</v>
      </c>
      <c r="S9329">
        <v>36</v>
      </c>
      <c r="T9329" s="1" t="s">
        <v>8661</v>
      </c>
      <c r="U9329" s="1" t="str">
        <f>HYPERLINK("http://ictvonline.org/taxonomy/p/taxonomy-history?taxnode_id=202102835","ICTVonline=202102835")</f>
        <v>ICTVonline=202102835</v>
      </c>
    </row>
    <row r="9330" spans="1:21" x14ac:dyDescent="0.2">
      <c r="A9330" s="3">
        <v>9329</v>
      </c>
      <c r="B9330" s="1" t="s">
        <v>4226</v>
      </c>
      <c r="D9330" s="1" t="s">
        <v>5779</v>
      </c>
      <c r="F9330" s="1" t="s">
        <v>5780</v>
      </c>
      <c r="H9330" s="1" t="s">
        <v>5781</v>
      </c>
      <c r="J9330" s="1" t="s">
        <v>3558</v>
      </c>
      <c r="L9330" s="1" t="s">
        <v>1879</v>
      </c>
      <c r="N9330" s="1" t="s">
        <v>1880</v>
      </c>
      <c r="P9330" s="1" t="s">
        <v>8347</v>
      </c>
      <c r="Q9330" s="30" t="s">
        <v>2884</v>
      </c>
      <c r="R9330" s="33" t="s">
        <v>3472</v>
      </c>
      <c r="S9330">
        <v>36</v>
      </c>
      <c r="T9330" s="1" t="s">
        <v>8346</v>
      </c>
      <c r="U9330" s="1" t="str">
        <f>HYPERLINK("http://ictvonline.org/taxonomy/p/taxonomy-history?taxnode_id=202108835","ICTVonline=202108835")</f>
        <v>ICTVonline=202108835</v>
      </c>
    </row>
    <row r="9331" spans="1:21" x14ac:dyDescent="0.2">
      <c r="A9331" s="3">
        <v>9330</v>
      </c>
      <c r="B9331" s="1" t="s">
        <v>4226</v>
      </c>
      <c r="D9331" s="1" t="s">
        <v>5779</v>
      </c>
      <c r="F9331" s="1" t="s">
        <v>5780</v>
      </c>
      <c r="H9331" s="1" t="s">
        <v>5781</v>
      </c>
      <c r="J9331" s="1" t="s">
        <v>3558</v>
      </c>
      <c r="L9331" s="1" t="s">
        <v>1879</v>
      </c>
      <c r="N9331" s="1" t="s">
        <v>1880</v>
      </c>
      <c r="P9331" s="1" t="s">
        <v>75</v>
      </c>
      <c r="Q9331" s="30" t="s">
        <v>2884</v>
      </c>
      <c r="R9331" s="33" t="s">
        <v>3474</v>
      </c>
      <c r="S9331">
        <v>35</v>
      </c>
      <c r="T9331" s="1" t="s">
        <v>5416</v>
      </c>
      <c r="U9331" s="1" t="str">
        <f>HYPERLINK("http://ictvonline.org/taxonomy/p/taxonomy-history?taxnode_id=202102836","ICTVonline=202102836")</f>
        <v>ICTVonline=202102836</v>
      </c>
    </row>
    <row r="9332" spans="1:21" x14ac:dyDescent="0.2">
      <c r="A9332" s="3">
        <v>9331</v>
      </c>
      <c r="B9332" s="1" t="s">
        <v>4226</v>
      </c>
      <c r="D9332" s="1" t="s">
        <v>5779</v>
      </c>
      <c r="F9332" s="1" t="s">
        <v>5780</v>
      </c>
      <c r="H9332" s="1" t="s">
        <v>5781</v>
      </c>
      <c r="J9332" s="1" t="s">
        <v>3558</v>
      </c>
      <c r="L9332" s="1" t="s">
        <v>1879</v>
      </c>
      <c r="N9332" s="1" t="s">
        <v>1880</v>
      </c>
      <c r="P9332" s="1" t="s">
        <v>4790</v>
      </c>
      <c r="Q9332" s="30" t="s">
        <v>2884</v>
      </c>
      <c r="R9332" s="33" t="s">
        <v>3474</v>
      </c>
      <c r="S9332">
        <v>35</v>
      </c>
      <c r="T9332" s="1" t="s">
        <v>5416</v>
      </c>
      <c r="U9332" s="1" t="str">
        <f>HYPERLINK("http://ictvonline.org/taxonomy/p/taxonomy-history?taxnode_id=202106650","ICTVonline=202106650")</f>
        <v>ICTVonline=202106650</v>
      </c>
    </row>
    <row r="9333" spans="1:21" x14ac:dyDescent="0.2">
      <c r="A9333" s="3">
        <v>9332</v>
      </c>
      <c r="B9333" s="1" t="s">
        <v>4226</v>
      </c>
      <c r="D9333" s="1" t="s">
        <v>5779</v>
      </c>
      <c r="F9333" s="1" t="s">
        <v>5780</v>
      </c>
      <c r="H9333" s="1" t="s">
        <v>5781</v>
      </c>
      <c r="J9333" s="1" t="s">
        <v>3558</v>
      </c>
      <c r="L9333" s="1" t="s">
        <v>1879</v>
      </c>
      <c r="N9333" s="1" t="s">
        <v>1880</v>
      </c>
      <c r="P9333" s="1" t="s">
        <v>4791</v>
      </c>
      <c r="Q9333" s="30" t="s">
        <v>2884</v>
      </c>
      <c r="R9333" s="33" t="s">
        <v>3474</v>
      </c>
      <c r="S9333">
        <v>35</v>
      </c>
      <c r="T9333" s="1" t="s">
        <v>5416</v>
      </c>
      <c r="U9333" s="1" t="str">
        <f>HYPERLINK("http://ictvonline.org/taxonomy/p/taxonomy-history?taxnode_id=202106649","ICTVonline=202106649")</f>
        <v>ICTVonline=202106649</v>
      </c>
    </row>
    <row r="9334" spans="1:21" x14ac:dyDescent="0.2">
      <c r="A9334" s="3">
        <v>9333</v>
      </c>
      <c r="B9334" s="1" t="s">
        <v>4226</v>
      </c>
      <c r="D9334" s="1" t="s">
        <v>5779</v>
      </c>
      <c r="F9334" s="1" t="s">
        <v>5780</v>
      </c>
      <c r="H9334" s="1" t="s">
        <v>5781</v>
      </c>
      <c r="J9334" s="1" t="s">
        <v>3558</v>
      </c>
      <c r="L9334" s="1" t="s">
        <v>1879</v>
      </c>
      <c r="N9334" s="1" t="s">
        <v>1880</v>
      </c>
      <c r="P9334" s="1" t="s">
        <v>3566</v>
      </c>
      <c r="Q9334" s="30" t="s">
        <v>2884</v>
      </c>
      <c r="R9334" s="33" t="s">
        <v>3474</v>
      </c>
      <c r="S9334">
        <v>35</v>
      </c>
      <c r="T9334" s="1" t="s">
        <v>5416</v>
      </c>
      <c r="U9334" s="1" t="str">
        <f>HYPERLINK("http://ictvonline.org/taxonomy/p/taxonomy-history?taxnode_id=202105763","ICTVonline=202105763")</f>
        <v>ICTVonline=202105763</v>
      </c>
    </row>
    <row r="9335" spans="1:21" x14ac:dyDescent="0.2">
      <c r="A9335" s="3">
        <v>9334</v>
      </c>
      <c r="B9335" s="1" t="s">
        <v>4226</v>
      </c>
      <c r="D9335" s="1" t="s">
        <v>5779</v>
      </c>
      <c r="F9335" s="1" t="s">
        <v>5780</v>
      </c>
      <c r="H9335" s="1" t="s">
        <v>5781</v>
      </c>
      <c r="J9335" s="1" t="s">
        <v>3558</v>
      </c>
      <c r="L9335" s="1" t="s">
        <v>1879</v>
      </c>
      <c r="N9335" s="1" t="s">
        <v>1880</v>
      </c>
      <c r="P9335" s="1" t="s">
        <v>3567</v>
      </c>
      <c r="Q9335" s="30" t="s">
        <v>2884</v>
      </c>
      <c r="R9335" s="33" t="s">
        <v>3474</v>
      </c>
      <c r="S9335">
        <v>35</v>
      </c>
      <c r="T9335" s="1" t="s">
        <v>5416</v>
      </c>
      <c r="U9335" s="1" t="str">
        <f>HYPERLINK("http://ictvonline.org/taxonomy/p/taxonomy-history?taxnode_id=202105764","ICTVonline=202105764")</f>
        <v>ICTVonline=202105764</v>
      </c>
    </row>
    <row r="9336" spans="1:21" x14ac:dyDescent="0.2">
      <c r="A9336" s="3">
        <v>9335</v>
      </c>
      <c r="B9336" s="1" t="s">
        <v>4226</v>
      </c>
      <c r="D9336" s="1" t="s">
        <v>5779</v>
      </c>
      <c r="F9336" s="1" t="s">
        <v>5780</v>
      </c>
      <c r="H9336" s="1" t="s">
        <v>5781</v>
      </c>
      <c r="J9336" s="1" t="s">
        <v>3558</v>
      </c>
      <c r="L9336" s="1" t="s">
        <v>1879</v>
      </c>
      <c r="N9336" s="1" t="s">
        <v>1880</v>
      </c>
      <c r="P9336" s="1" t="s">
        <v>8348</v>
      </c>
      <c r="Q9336" s="30" t="s">
        <v>2884</v>
      </c>
      <c r="R9336" s="33" t="s">
        <v>3472</v>
      </c>
      <c r="S9336">
        <v>36</v>
      </c>
      <c r="T9336" s="1" t="s">
        <v>8346</v>
      </c>
      <c r="U9336" s="1" t="str">
        <f>HYPERLINK("http://ictvonline.org/taxonomy/p/taxonomy-history?taxnode_id=202108836","ICTVonline=202108836")</f>
        <v>ICTVonline=202108836</v>
      </c>
    </row>
    <row r="9337" spans="1:21" x14ac:dyDescent="0.2">
      <c r="A9337" s="3">
        <v>9336</v>
      </c>
      <c r="B9337" s="1" t="s">
        <v>4226</v>
      </c>
      <c r="D9337" s="1" t="s">
        <v>5779</v>
      </c>
      <c r="F9337" s="1" t="s">
        <v>5780</v>
      </c>
      <c r="H9337" s="1" t="s">
        <v>5781</v>
      </c>
      <c r="J9337" s="1" t="s">
        <v>3558</v>
      </c>
      <c r="L9337" s="1" t="s">
        <v>1879</v>
      </c>
      <c r="N9337" s="1" t="s">
        <v>1880</v>
      </c>
      <c r="P9337" s="1" t="s">
        <v>76</v>
      </c>
      <c r="Q9337" s="30" t="s">
        <v>2884</v>
      </c>
      <c r="R9337" s="33" t="s">
        <v>3474</v>
      </c>
      <c r="S9337">
        <v>35</v>
      </c>
      <c r="T9337" s="1" t="s">
        <v>5416</v>
      </c>
      <c r="U9337" s="1" t="str">
        <f>HYPERLINK("http://ictvonline.org/taxonomy/p/taxonomy-history?taxnode_id=202102837","ICTVonline=202102837")</f>
        <v>ICTVonline=202102837</v>
      </c>
    </row>
    <row r="9338" spans="1:21" x14ac:dyDescent="0.2">
      <c r="A9338" s="3">
        <v>9337</v>
      </c>
      <c r="B9338" s="1" t="s">
        <v>4226</v>
      </c>
      <c r="D9338" s="1" t="s">
        <v>5779</v>
      </c>
      <c r="F9338" s="1" t="s">
        <v>5780</v>
      </c>
      <c r="H9338" s="1" t="s">
        <v>5781</v>
      </c>
      <c r="J9338" s="1" t="s">
        <v>3558</v>
      </c>
      <c r="L9338" s="1" t="s">
        <v>1879</v>
      </c>
      <c r="N9338" s="1" t="s">
        <v>1880</v>
      </c>
      <c r="P9338" s="1" t="s">
        <v>3568</v>
      </c>
      <c r="Q9338" s="30" t="s">
        <v>2884</v>
      </c>
      <c r="R9338" s="33" t="s">
        <v>3474</v>
      </c>
      <c r="S9338">
        <v>35</v>
      </c>
      <c r="T9338" s="1" t="s">
        <v>5416</v>
      </c>
      <c r="U9338" s="1" t="str">
        <f>HYPERLINK("http://ictvonline.org/taxonomy/p/taxonomy-history?taxnode_id=202105765","ICTVonline=202105765")</f>
        <v>ICTVonline=202105765</v>
      </c>
    </row>
    <row r="9339" spans="1:21" x14ac:dyDescent="0.2">
      <c r="A9339" s="3">
        <v>9338</v>
      </c>
      <c r="B9339" s="1" t="s">
        <v>4226</v>
      </c>
      <c r="D9339" s="1" t="s">
        <v>5779</v>
      </c>
      <c r="F9339" s="1" t="s">
        <v>5780</v>
      </c>
      <c r="H9339" s="1" t="s">
        <v>5781</v>
      </c>
      <c r="J9339" s="1" t="s">
        <v>3558</v>
      </c>
      <c r="L9339" s="1" t="s">
        <v>1879</v>
      </c>
      <c r="N9339" s="1" t="s">
        <v>1880</v>
      </c>
      <c r="P9339" s="1" t="s">
        <v>8349</v>
      </c>
      <c r="Q9339" s="30" t="s">
        <v>2884</v>
      </c>
      <c r="R9339" s="33" t="s">
        <v>3472</v>
      </c>
      <c r="S9339">
        <v>36</v>
      </c>
      <c r="T9339" s="1" t="s">
        <v>8346</v>
      </c>
      <c r="U9339" s="1" t="str">
        <f>HYPERLINK("http://ictvonline.org/taxonomy/p/taxonomy-history?taxnode_id=202108837","ICTVonline=202108837")</f>
        <v>ICTVonline=202108837</v>
      </c>
    </row>
    <row r="9340" spans="1:21" x14ac:dyDescent="0.2">
      <c r="A9340" s="3">
        <v>9339</v>
      </c>
      <c r="B9340" s="1" t="s">
        <v>4226</v>
      </c>
      <c r="D9340" s="1" t="s">
        <v>5779</v>
      </c>
      <c r="F9340" s="1" t="s">
        <v>5780</v>
      </c>
      <c r="H9340" s="1" t="s">
        <v>5781</v>
      </c>
      <c r="J9340" s="1" t="s">
        <v>3558</v>
      </c>
      <c r="L9340" s="1" t="s">
        <v>1879</v>
      </c>
      <c r="N9340" s="1" t="s">
        <v>1880</v>
      </c>
      <c r="P9340" s="1" t="s">
        <v>8350</v>
      </c>
      <c r="Q9340" s="30" t="s">
        <v>2884</v>
      </c>
      <c r="R9340" s="33" t="s">
        <v>3472</v>
      </c>
      <c r="S9340">
        <v>36</v>
      </c>
      <c r="T9340" s="1" t="s">
        <v>8346</v>
      </c>
      <c r="U9340" s="1" t="str">
        <f>HYPERLINK("http://ictvonline.org/taxonomy/p/taxonomy-history?taxnode_id=202108838","ICTVonline=202108838")</f>
        <v>ICTVonline=202108838</v>
      </c>
    </row>
    <row r="9341" spans="1:21" x14ac:dyDescent="0.2">
      <c r="A9341" s="3">
        <v>9340</v>
      </c>
      <c r="B9341" s="1" t="s">
        <v>4226</v>
      </c>
      <c r="D9341" s="1" t="s">
        <v>5779</v>
      </c>
      <c r="F9341" s="1" t="s">
        <v>5780</v>
      </c>
      <c r="H9341" s="1" t="s">
        <v>5781</v>
      </c>
      <c r="J9341" s="1" t="s">
        <v>3558</v>
      </c>
      <c r="L9341" s="1" t="s">
        <v>1879</v>
      </c>
      <c r="N9341" s="1" t="s">
        <v>1880</v>
      </c>
      <c r="P9341" s="1" t="s">
        <v>2508</v>
      </c>
      <c r="Q9341" s="30" t="s">
        <v>2884</v>
      </c>
      <c r="R9341" s="33" t="s">
        <v>3474</v>
      </c>
      <c r="S9341">
        <v>35</v>
      </c>
      <c r="T9341" s="1" t="s">
        <v>5416</v>
      </c>
      <c r="U9341" s="1" t="str">
        <f>HYPERLINK("http://ictvonline.org/taxonomy/p/taxonomy-history?taxnode_id=202102838","ICTVonline=202102838")</f>
        <v>ICTVonline=202102838</v>
      </c>
    </row>
    <row r="9342" spans="1:21" x14ac:dyDescent="0.2">
      <c r="A9342" s="3">
        <v>9341</v>
      </c>
      <c r="B9342" s="1" t="s">
        <v>4226</v>
      </c>
      <c r="D9342" s="1" t="s">
        <v>5779</v>
      </c>
      <c r="F9342" s="1" t="s">
        <v>5780</v>
      </c>
      <c r="H9342" s="1" t="s">
        <v>5781</v>
      </c>
      <c r="J9342" s="1" t="s">
        <v>3558</v>
      </c>
      <c r="L9342" s="1" t="s">
        <v>1879</v>
      </c>
      <c r="N9342" s="1" t="s">
        <v>1880</v>
      </c>
      <c r="P9342" s="1" t="s">
        <v>1064</v>
      </c>
      <c r="Q9342" s="30" t="s">
        <v>2884</v>
      </c>
      <c r="R9342" s="33" t="s">
        <v>3474</v>
      </c>
      <c r="S9342">
        <v>35</v>
      </c>
      <c r="T9342" s="1" t="s">
        <v>5416</v>
      </c>
      <c r="U9342" s="1" t="str">
        <f>HYPERLINK("http://ictvonline.org/taxonomy/p/taxonomy-history?taxnode_id=202102839","ICTVonline=202102839")</f>
        <v>ICTVonline=202102839</v>
      </c>
    </row>
    <row r="9343" spans="1:21" x14ac:dyDescent="0.2">
      <c r="A9343" s="3">
        <v>9342</v>
      </c>
      <c r="B9343" s="1" t="s">
        <v>4226</v>
      </c>
      <c r="D9343" s="1" t="s">
        <v>5779</v>
      </c>
      <c r="F9343" s="1" t="s">
        <v>5780</v>
      </c>
      <c r="H9343" s="1" t="s">
        <v>5781</v>
      </c>
      <c r="J9343" s="1" t="s">
        <v>3558</v>
      </c>
      <c r="L9343" s="1" t="s">
        <v>1879</v>
      </c>
      <c r="N9343" s="1" t="s">
        <v>1880</v>
      </c>
      <c r="P9343" s="1" t="s">
        <v>5792</v>
      </c>
      <c r="Q9343" s="30" t="s">
        <v>2884</v>
      </c>
      <c r="R9343" s="33" t="s">
        <v>3472</v>
      </c>
      <c r="S9343">
        <v>35</v>
      </c>
      <c r="T9343" s="1" t="s">
        <v>5791</v>
      </c>
      <c r="U9343" s="1" t="str">
        <f>HYPERLINK("http://ictvonline.org/taxonomy/p/taxonomy-history?taxnode_id=202107427","ICTVonline=202107427")</f>
        <v>ICTVonline=202107427</v>
      </c>
    </row>
    <row r="9344" spans="1:21" x14ac:dyDescent="0.2">
      <c r="A9344" s="3">
        <v>9343</v>
      </c>
      <c r="B9344" s="1" t="s">
        <v>4226</v>
      </c>
      <c r="D9344" s="1" t="s">
        <v>5779</v>
      </c>
      <c r="F9344" s="1" t="s">
        <v>5780</v>
      </c>
      <c r="H9344" s="1" t="s">
        <v>5781</v>
      </c>
      <c r="J9344" s="1" t="s">
        <v>3558</v>
      </c>
      <c r="L9344" s="1" t="s">
        <v>1879</v>
      </c>
      <c r="N9344" s="1" t="s">
        <v>1880</v>
      </c>
      <c r="P9344" s="1" t="s">
        <v>2887</v>
      </c>
      <c r="Q9344" s="30" t="s">
        <v>2884</v>
      </c>
      <c r="R9344" s="33" t="s">
        <v>3474</v>
      </c>
      <c r="S9344">
        <v>35</v>
      </c>
      <c r="T9344" s="1" t="s">
        <v>5416</v>
      </c>
      <c r="U9344" s="1" t="str">
        <f>HYPERLINK("http://ictvonline.org/taxonomy/p/taxonomy-history?taxnode_id=202102840","ICTVonline=202102840")</f>
        <v>ICTVonline=202102840</v>
      </c>
    </row>
    <row r="9345" spans="1:21" x14ac:dyDescent="0.2">
      <c r="A9345" s="3">
        <v>9344</v>
      </c>
      <c r="B9345" s="1" t="s">
        <v>4226</v>
      </c>
      <c r="D9345" s="1" t="s">
        <v>5779</v>
      </c>
      <c r="F9345" s="1" t="s">
        <v>5780</v>
      </c>
      <c r="H9345" s="1" t="s">
        <v>5781</v>
      </c>
      <c r="J9345" s="1" t="s">
        <v>3558</v>
      </c>
      <c r="L9345" s="1" t="s">
        <v>1879</v>
      </c>
      <c r="N9345" s="1" t="s">
        <v>1880</v>
      </c>
      <c r="P9345" s="1" t="s">
        <v>77</v>
      </c>
      <c r="Q9345" s="30" t="s">
        <v>2884</v>
      </c>
      <c r="R9345" s="33" t="s">
        <v>3474</v>
      </c>
      <c r="S9345">
        <v>35</v>
      </c>
      <c r="T9345" s="1" t="s">
        <v>5416</v>
      </c>
      <c r="U9345" s="1" t="str">
        <f>HYPERLINK("http://ictvonline.org/taxonomy/p/taxonomy-history?taxnode_id=202102841","ICTVonline=202102841")</f>
        <v>ICTVonline=202102841</v>
      </c>
    </row>
    <row r="9346" spans="1:21" x14ac:dyDescent="0.2">
      <c r="A9346" s="3">
        <v>9345</v>
      </c>
      <c r="B9346" s="1" t="s">
        <v>4226</v>
      </c>
      <c r="D9346" s="1" t="s">
        <v>5779</v>
      </c>
      <c r="F9346" s="1" t="s">
        <v>5780</v>
      </c>
      <c r="H9346" s="1" t="s">
        <v>5781</v>
      </c>
      <c r="J9346" s="1" t="s">
        <v>3558</v>
      </c>
      <c r="L9346" s="1" t="s">
        <v>1879</v>
      </c>
      <c r="N9346" s="1" t="s">
        <v>1880</v>
      </c>
      <c r="P9346" s="1" t="s">
        <v>8351</v>
      </c>
      <c r="Q9346" s="30" t="s">
        <v>2884</v>
      </c>
      <c r="R9346" s="33" t="s">
        <v>3472</v>
      </c>
      <c r="S9346">
        <v>36</v>
      </c>
      <c r="T9346" s="1" t="s">
        <v>8346</v>
      </c>
      <c r="U9346" s="1" t="str">
        <f>HYPERLINK("http://ictvonline.org/taxonomy/p/taxonomy-history?taxnode_id=202108840","ICTVonline=202108840")</f>
        <v>ICTVonline=202108840</v>
      </c>
    </row>
    <row r="9347" spans="1:21" x14ac:dyDescent="0.2">
      <c r="A9347" s="3">
        <v>9346</v>
      </c>
      <c r="B9347" s="1" t="s">
        <v>4226</v>
      </c>
      <c r="D9347" s="1" t="s">
        <v>5779</v>
      </c>
      <c r="F9347" s="1" t="s">
        <v>5780</v>
      </c>
      <c r="H9347" s="1" t="s">
        <v>5781</v>
      </c>
      <c r="J9347" s="1" t="s">
        <v>3558</v>
      </c>
      <c r="L9347" s="1" t="s">
        <v>1879</v>
      </c>
      <c r="N9347" s="1" t="s">
        <v>1880</v>
      </c>
      <c r="P9347" s="1" t="s">
        <v>8352</v>
      </c>
      <c r="Q9347" s="30" t="s">
        <v>2884</v>
      </c>
      <c r="R9347" s="33" t="s">
        <v>3472</v>
      </c>
      <c r="S9347">
        <v>36</v>
      </c>
      <c r="T9347" s="1" t="s">
        <v>8346</v>
      </c>
      <c r="U9347" s="1" t="str">
        <f>HYPERLINK("http://ictvonline.org/taxonomy/p/taxonomy-history?taxnode_id=202108841","ICTVonline=202108841")</f>
        <v>ICTVonline=202108841</v>
      </c>
    </row>
    <row r="9348" spans="1:21" x14ac:dyDescent="0.2">
      <c r="A9348" s="3">
        <v>9347</v>
      </c>
      <c r="B9348" s="1" t="s">
        <v>4226</v>
      </c>
      <c r="D9348" s="1" t="s">
        <v>5779</v>
      </c>
      <c r="F9348" s="1" t="s">
        <v>5780</v>
      </c>
      <c r="H9348" s="1" t="s">
        <v>5781</v>
      </c>
      <c r="J9348" s="1" t="s">
        <v>3558</v>
      </c>
      <c r="L9348" s="1" t="s">
        <v>1879</v>
      </c>
      <c r="N9348" s="1" t="s">
        <v>1880</v>
      </c>
      <c r="P9348" s="1" t="s">
        <v>4792</v>
      </c>
      <c r="Q9348" s="30" t="s">
        <v>2884</v>
      </c>
      <c r="R9348" s="33" t="s">
        <v>3474</v>
      </c>
      <c r="S9348">
        <v>35</v>
      </c>
      <c r="T9348" s="1" t="s">
        <v>5416</v>
      </c>
      <c r="U9348" s="1" t="str">
        <f>HYPERLINK("http://ictvonline.org/taxonomy/p/taxonomy-history?taxnode_id=202106651","ICTVonline=202106651")</f>
        <v>ICTVonline=202106651</v>
      </c>
    </row>
    <row r="9349" spans="1:21" x14ac:dyDescent="0.2">
      <c r="A9349" s="3">
        <v>9348</v>
      </c>
      <c r="B9349" s="1" t="s">
        <v>4226</v>
      </c>
      <c r="D9349" s="1" t="s">
        <v>5779</v>
      </c>
      <c r="F9349" s="1" t="s">
        <v>5780</v>
      </c>
      <c r="H9349" s="1" t="s">
        <v>5781</v>
      </c>
      <c r="J9349" s="1" t="s">
        <v>3558</v>
      </c>
      <c r="L9349" s="1" t="s">
        <v>1879</v>
      </c>
      <c r="N9349" s="1" t="s">
        <v>1880</v>
      </c>
      <c r="P9349" s="1" t="s">
        <v>3569</v>
      </c>
      <c r="Q9349" s="30" t="s">
        <v>2884</v>
      </c>
      <c r="R9349" s="33" t="s">
        <v>3474</v>
      </c>
      <c r="S9349">
        <v>35</v>
      </c>
      <c r="T9349" s="1" t="s">
        <v>5416</v>
      </c>
      <c r="U9349" s="1" t="str">
        <f>HYPERLINK("http://ictvonline.org/taxonomy/p/taxonomy-history?taxnode_id=202102842","ICTVonline=202102842")</f>
        <v>ICTVonline=202102842</v>
      </c>
    </row>
    <row r="9350" spans="1:21" x14ac:dyDescent="0.2">
      <c r="A9350" s="3">
        <v>9349</v>
      </c>
      <c r="B9350" s="1" t="s">
        <v>4226</v>
      </c>
      <c r="D9350" s="1" t="s">
        <v>5779</v>
      </c>
      <c r="F9350" s="1" t="s">
        <v>5780</v>
      </c>
      <c r="H9350" s="1" t="s">
        <v>5781</v>
      </c>
      <c r="J9350" s="1" t="s">
        <v>3558</v>
      </c>
      <c r="L9350" s="1" t="s">
        <v>1879</v>
      </c>
      <c r="N9350" s="1" t="s">
        <v>1880</v>
      </c>
      <c r="P9350" s="1" t="s">
        <v>3293</v>
      </c>
      <c r="Q9350" s="30" t="s">
        <v>2884</v>
      </c>
      <c r="R9350" s="33" t="s">
        <v>3474</v>
      </c>
      <c r="S9350">
        <v>35</v>
      </c>
      <c r="T9350" s="1" t="s">
        <v>5416</v>
      </c>
      <c r="U9350" s="1" t="str">
        <f>HYPERLINK("http://ictvonline.org/taxonomy/p/taxonomy-history?taxnode_id=202102843","ICTVonline=202102843")</f>
        <v>ICTVonline=202102843</v>
      </c>
    </row>
    <row r="9351" spans="1:21" x14ac:dyDescent="0.2">
      <c r="A9351" s="3">
        <v>9350</v>
      </c>
      <c r="B9351" s="1" t="s">
        <v>4226</v>
      </c>
      <c r="D9351" s="1" t="s">
        <v>5779</v>
      </c>
      <c r="F9351" s="1" t="s">
        <v>5780</v>
      </c>
      <c r="H9351" s="1" t="s">
        <v>5781</v>
      </c>
      <c r="J9351" s="1" t="s">
        <v>3558</v>
      </c>
      <c r="L9351" s="1" t="s">
        <v>1879</v>
      </c>
      <c r="N9351" s="1" t="s">
        <v>1880</v>
      </c>
      <c r="P9351" s="1" t="s">
        <v>2509</v>
      </c>
      <c r="Q9351" s="30" t="s">
        <v>2884</v>
      </c>
      <c r="R9351" s="33" t="s">
        <v>3474</v>
      </c>
      <c r="S9351">
        <v>35</v>
      </c>
      <c r="T9351" s="1" t="s">
        <v>5416</v>
      </c>
      <c r="U9351" s="1" t="str">
        <f>HYPERLINK("http://ictvonline.org/taxonomy/p/taxonomy-history?taxnode_id=202102844","ICTVonline=202102844")</f>
        <v>ICTVonline=202102844</v>
      </c>
    </row>
    <row r="9352" spans="1:21" x14ac:dyDescent="0.2">
      <c r="A9352" s="3">
        <v>9351</v>
      </c>
      <c r="B9352" s="1" t="s">
        <v>4226</v>
      </c>
      <c r="D9352" s="1" t="s">
        <v>5779</v>
      </c>
      <c r="F9352" s="1" t="s">
        <v>5780</v>
      </c>
      <c r="H9352" s="1" t="s">
        <v>5781</v>
      </c>
      <c r="J9352" s="1" t="s">
        <v>3558</v>
      </c>
      <c r="L9352" s="1" t="s">
        <v>1879</v>
      </c>
      <c r="N9352" s="1" t="s">
        <v>1880</v>
      </c>
      <c r="P9352" s="1" t="s">
        <v>78</v>
      </c>
      <c r="Q9352" s="30" t="s">
        <v>2884</v>
      </c>
      <c r="R9352" s="33" t="s">
        <v>3474</v>
      </c>
      <c r="S9352">
        <v>35</v>
      </c>
      <c r="T9352" s="1" t="s">
        <v>5416</v>
      </c>
      <c r="U9352" s="1" t="str">
        <f>HYPERLINK("http://ictvonline.org/taxonomy/p/taxonomy-history?taxnode_id=202102845","ICTVonline=202102845")</f>
        <v>ICTVonline=202102845</v>
      </c>
    </row>
    <row r="9353" spans="1:21" x14ac:dyDescent="0.2">
      <c r="A9353" s="3">
        <v>9352</v>
      </c>
      <c r="B9353" s="1" t="s">
        <v>4226</v>
      </c>
      <c r="D9353" s="1" t="s">
        <v>5779</v>
      </c>
      <c r="F9353" s="1" t="s">
        <v>5780</v>
      </c>
      <c r="H9353" s="1" t="s">
        <v>5781</v>
      </c>
      <c r="J9353" s="1" t="s">
        <v>3558</v>
      </c>
      <c r="L9353" s="1" t="s">
        <v>1879</v>
      </c>
      <c r="N9353" s="1" t="s">
        <v>1880</v>
      </c>
      <c r="P9353" s="1" t="s">
        <v>79</v>
      </c>
      <c r="Q9353" s="30" t="s">
        <v>2884</v>
      </c>
      <c r="R9353" s="33" t="s">
        <v>3474</v>
      </c>
      <c r="S9353">
        <v>35</v>
      </c>
      <c r="T9353" s="1" t="s">
        <v>5416</v>
      </c>
      <c r="U9353" s="1" t="str">
        <f>HYPERLINK("http://ictvonline.org/taxonomy/p/taxonomy-history?taxnode_id=202102846","ICTVonline=202102846")</f>
        <v>ICTVonline=202102846</v>
      </c>
    </row>
    <row r="9354" spans="1:21" x14ac:dyDescent="0.2">
      <c r="A9354" s="3">
        <v>9353</v>
      </c>
      <c r="B9354" s="1" t="s">
        <v>4226</v>
      </c>
      <c r="D9354" s="1" t="s">
        <v>5779</v>
      </c>
      <c r="F9354" s="1" t="s">
        <v>5780</v>
      </c>
      <c r="H9354" s="1" t="s">
        <v>5781</v>
      </c>
      <c r="J9354" s="1" t="s">
        <v>3558</v>
      </c>
      <c r="L9354" s="1" t="s">
        <v>1879</v>
      </c>
      <c r="N9354" s="1" t="s">
        <v>1880</v>
      </c>
      <c r="P9354" s="1" t="s">
        <v>1891</v>
      </c>
      <c r="Q9354" s="30" t="s">
        <v>2884</v>
      </c>
      <c r="R9354" s="33" t="s">
        <v>3474</v>
      </c>
      <c r="S9354">
        <v>35</v>
      </c>
      <c r="T9354" s="1" t="s">
        <v>5416</v>
      </c>
      <c r="U9354" s="1" t="str">
        <f>HYPERLINK("http://ictvonline.org/taxonomy/p/taxonomy-history?taxnode_id=202102847","ICTVonline=202102847")</f>
        <v>ICTVonline=202102847</v>
      </c>
    </row>
    <row r="9355" spans="1:21" x14ac:dyDescent="0.2">
      <c r="A9355" s="3">
        <v>9354</v>
      </c>
      <c r="B9355" s="1" t="s">
        <v>4226</v>
      </c>
      <c r="D9355" s="1" t="s">
        <v>5779</v>
      </c>
      <c r="F9355" s="1" t="s">
        <v>5780</v>
      </c>
      <c r="H9355" s="1" t="s">
        <v>5781</v>
      </c>
      <c r="J9355" s="1" t="s">
        <v>3558</v>
      </c>
      <c r="L9355" s="1" t="s">
        <v>1879</v>
      </c>
      <c r="N9355" s="1" t="s">
        <v>1880</v>
      </c>
      <c r="P9355" s="1" t="s">
        <v>8353</v>
      </c>
      <c r="Q9355" s="30" t="s">
        <v>2884</v>
      </c>
      <c r="R9355" s="33" t="s">
        <v>3472</v>
      </c>
      <c r="S9355">
        <v>36</v>
      </c>
      <c r="T9355" s="1" t="s">
        <v>8346</v>
      </c>
      <c r="U9355" s="1" t="str">
        <f>HYPERLINK("http://ictvonline.org/taxonomy/p/taxonomy-history?taxnode_id=202108842","ICTVonline=202108842")</f>
        <v>ICTVonline=202108842</v>
      </c>
    </row>
    <row r="9356" spans="1:21" x14ac:dyDescent="0.2">
      <c r="A9356" s="3">
        <v>9355</v>
      </c>
      <c r="B9356" s="1" t="s">
        <v>4226</v>
      </c>
      <c r="D9356" s="1" t="s">
        <v>5779</v>
      </c>
      <c r="F9356" s="1" t="s">
        <v>5780</v>
      </c>
      <c r="H9356" s="1" t="s">
        <v>5781</v>
      </c>
      <c r="J9356" s="1" t="s">
        <v>3558</v>
      </c>
      <c r="L9356" s="1" t="s">
        <v>1879</v>
      </c>
      <c r="N9356" s="1" t="s">
        <v>1880</v>
      </c>
      <c r="P9356" s="1" t="s">
        <v>1892</v>
      </c>
      <c r="Q9356" s="30" t="s">
        <v>2884</v>
      </c>
      <c r="R9356" s="33" t="s">
        <v>3474</v>
      </c>
      <c r="S9356">
        <v>35</v>
      </c>
      <c r="T9356" s="1" t="s">
        <v>5416</v>
      </c>
      <c r="U9356" s="1" t="str">
        <f>HYPERLINK("http://ictvonline.org/taxonomy/p/taxonomy-history?taxnode_id=202102848","ICTVonline=202102848")</f>
        <v>ICTVonline=202102848</v>
      </c>
    </row>
    <row r="9357" spans="1:21" x14ac:dyDescent="0.2">
      <c r="A9357" s="3">
        <v>9356</v>
      </c>
      <c r="B9357" s="1" t="s">
        <v>4226</v>
      </c>
      <c r="D9357" s="1" t="s">
        <v>5779</v>
      </c>
      <c r="F9357" s="1" t="s">
        <v>5780</v>
      </c>
      <c r="H9357" s="1" t="s">
        <v>5781</v>
      </c>
      <c r="J9357" s="1" t="s">
        <v>3558</v>
      </c>
      <c r="L9357" s="1" t="s">
        <v>1879</v>
      </c>
      <c r="N9357" s="1" t="s">
        <v>1880</v>
      </c>
      <c r="P9357" s="1" t="s">
        <v>2575</v>
      </c>
      <c r="Q9357" s="30" t="s">
        <v>2884</v>
      </c>
      <c r="R9357" s="33" t="s">
        <v>3474</v>
      </c>
      <c r="S9357">
        <v>35</v>
      </c>
      <c r="T9357" s="1" t="s">
        <v>5416</v>
      </c>
      <c r="U9357" s="1" t="str">
        <f>HYPERLINK("http://ictvonline.org/taxonomy/p/taxonomy-history?taxnode_id=202102850","ICTVonline=202102850")</f>
        <v>ICTVonline=202102850</v>
      </c>
    </row>
    <row r="9358" spans="1:21" x14ac:dyDescent="0.2">
      <c r="A9358" s="3">
        <v>9357</v>
      </c>
      <c r="B9358" s="1" t="s">
        <v>4226</v>
      </c>
      <c r="D9358" s="1" t="s">
        <v>5779</v>
      </c>
      <c r="F9358" s="1" t="s">
        <v>5780</v>
      </c>
      <c r="H9358" s="1" t="s">
        <v>5781</v>
      </c>
      <c r="J9358" s="1" t="s">
        <v>3558</v>
      </c>
      <c r="L9358" s="1" t="s">
        <v>1879</v>
      </c>
      <c r="N9358" s="1" t="s">
        <v>1880</v>
      </c>
      <c r="P9358" s="1" t="s">
        <v>2888</v>
      </c>
      <c r="Q9358" s="30" t="s">
        <v>2884</v>
      </c>
      <c r="R9358" s="33" t="s">
        <v>3474</v>
      </c>
      <c r="S9358">
        <v>35</v>
      </c>
      <c r="T9358" s="1" t="s">
        <v>5416</v>
      </c>
      <c r="U9358" s="1" t="str">
        <f>HYPERLINK("http://ictvonline.org/taxonomy/p/taxonomy-history?taxnode_id=202102851","ICTVonline=202102851")</f>
        <v>ICTVonline=202102851</v>
      </c>
    </row>
    <row r="9359" spans="1:21" x14ac:dyDescent="0.2">
      <c r="A9359" s="3">
        <v>9358</v>
      </c>
      <c r="B9359" s="1" t="s">
        <v>4226</v>
      </c>
      <c r="D9359" s="1" t="s">
        <v>5779</v>
      </c>
      <c r="F9359" s="1" t="s">
        <v>5780</v>
      </c>
      <c r="H9359" s="1" t="s">
        <v>5781</v>
      </c>
      <c r="J9359" s="1" t="s">
        <v>3558</v>
      </c>
      <c r="L9359" s="1" t="s">
        <v>1879</v>
      </c>
      <c r="N9359" s="1" t="s">
        <v>1880</v>
      </c>
      <c r="P9359" s="1" t="s">
        <v>2889</v>
      </c>
      <c r="Q9359" s="30" t="s">
        <v>2884</v>
      </c>
      <c r="R9359" s="33" t="s">
        <v>3474</v>
      </c>
      <c r="S9359">
        <v>35</v>
      </c>
      <c r="T9359" s="1" t="s">
        <v>5416</v>
      </c>
      <c r="U9359" s="1" t="str">
        <f>HYPERLINK("http://ictvonline.org/taxonomy/p/taxonomy-history?taxnode_id=202102852","ICTVonline=202102852")</f>
        <v>ICTVonline=202102852</v>
      </c>
    </row>
    <row r="9360" spans="1:21" x14ac:dyDescent="0.2">
      <c r="A9360" s="3">
        <v>9359</v>
      </c>
      <c r="B9360" s="1" t="s">
        <v>4226</v>
      </c>
      <c r="D9360" s="1" t="s">
        <v>5779</v>
      </c>
      <c r="F9360" s="1" t="s">
        <v>5780</v>
      </c>
      <c r="H9360" s="1" t="s">
        <v>5781</v>
      </c>
      <c r="J9360" s="1" t="s">
        <v>3558</v>
      </c>
      <c r="L9360" s="1" t="s">
        <v>1879</v>
      </c>
      <c r="N9360" s="1" t="s">
        <v>1880</v>
      </c>
      <c r="P9360" s="1" t="s">
        <v>1888</v>
      </c>
      <c r="Q9360" s="30" t="s">
        <v>2884</v>
      </c>
      <c r="R9360" s="33" t="s">
        <v>3474</v>
      </c>
      <c r="S9360">
        <v>35</v>
      </c>
      <c r="T9360" s="1" t="s">
        <v>5416</v>
      </c>
      <c r="U9360" s="1" t="str">
        <f>HYPERLINK("http://ictvonline.org/taxonomy/p/taxonomy-history?taxnode_id=202102853","ICTVonline=202102853")</f>
        <v>ICTVonline=202102853</v>
      </c>
    </row>
    <row r="9361" spans="1:21" x14ac:dyDescent="0.2">
      <c r="A9361" s="3">
        <v>9360</v>
      </c>
      <c r="B9361" s="1" t="s">
        <v>4226</v>
      </c>
      <c r="D9361" s="1" t="s">
        <v>5779</v>
      </c>
      <c r="F9361" s="1" t="s">
        <v>5780</v>
      </c>
      <c r="H9361" s="1" t="s">
        <v>5781</v>
      </c>
      <c r="J9361" s="1" t="s">
        <v>3558</v>
      </c>
      <c r="L9361" s="1" t="s">
        <v>1879</v>
      </c>
      <c r="N9361" s="1" t="s">
        <v>1880</v>
      </c>
      <c r="P9361" s="1" t="s">
        <v>80</v>
      </c>
      <c r="Q9361" s="30" t="s">
        <v>2884</v>
      </c>
      <c r="R9361" s="33" t="s">
        <v>3474</v>
      </c>
      <c r="S9361">
        <v>35</v>
      </c>
      <c r="T9361" s="1" t="s">
        <v>5416</v>
      </c>
      <c r="U9361" s="1" t="str">
        <f>HYPERLINK("http://ictvonline.org/taxonomy/p/taxonomy-history?taxnode_id=202102854","ICTVonline=202102854")</f>
        <v>ICTVonline=202102854</v>
      </c>
    </row>
    <row r="9362" spans="1:21" x14ac:dyDescent="0.2">
      <c r="A9362" s="3">
        <v>9361</v>
      </c>
      <c r="B9362" s="1" t="s">
        <v>4226</v>
      </c>
      <c r="D9362" s="1" t="s">
        <v>5779</v>
      </c>
      <c r="F9362" s="1" t="s">
        <v>5780</v>
      </c>
      <c r="H9362" s="1" t="s">
        <v>5781</v>
      </c>
      <c r="J9362" s="1" t="s">
        <v>3558</v>
      </c>
      <c r="L9362" s="1" t="s">
        <v>1879</v>
      </c>
      <c r="N9362" s="1" t="s">
        <v>1880</v>
      </c>
      <c r="P9362" s="1" t="s">
        <v>81</v>
      </c>
      <c r="Q9362" s="30" t="s">
        <v>2884</v>
      </c>
      <c r="R9362" s="33" t="s">
        <v>3474</v>
      </c>
      <c r="S9362">
        <v>35</v>
      </c>
      <c r="T9362" s="1" t="s">
        <v>5416</v>
      </c>
      <c r="U9362" s="1" t="str">
        <f>HYPERLINK("http://ictvonline.org/taxonomy/p/taxonomy-history?taxnode_id=202102855","ICTVonline=202102855")</f>
        <v>ICTVonline=202102855</v>
      </c>
    </row>
    <row r="9363" spans="1:21" x14ac:dyDescent="0.2">
      <c r="A9363" s="3">
        <v>9362</v>
      </c>
      <c r="B9363" s="1" t="s">
        <v>4226</v>
      </c>
      <c r="D9363" s="1" t="s">
        <v>5779</v>
      </c>
      <c r="F9363" s="1" t="s">
        <v>5780</v>
      </c>
      <c r="H9363" s="1" t="s">
        <v>5781</v>
      </c>
      <c r="J9363" s="1" t="s">
        <v>3558</v>
      </c>
      <c r="L9363" s="1" t="s">
        <v>1879</v>
      </c>
      <c r="N9363" s="1" t="s">
        <v>1880</v>
      </c>
      <c r="P9363" s="1" t="s">
        <v>3294</v>
      </c>
      <c r="Q9363" s="30" t="s">
        <v>2884</v>
      </c>
      <c r="R9363" s="33" t="s">
        <v>3474</v>
      </c>
      <c r="S9363">
        <v>35</v>
      </c>
      <c r="T9363" s="1" t="s">
        <v>5416</v>
      </c>
      <c r="U9363" s="1" t="str">
        <f>HYPERLINK("http://ictvonline.org/taxonomy/p/taxonomy-history?taxnode_id=202102856","ICTVonline=202102856")</f>
        <v>ICTVonline=202102856</v>
      </c>
    </row>
    <row r="9364" spans="1:21" x14ac:dyDescent="0.2">
      <c r="A9364" s="3">
        <v>9363</v>
      </c>
      <c r="B9364" s="1" t="s">
        <v>4226</v>
      </c>
      <c r="D9364" s="1" t="s">
        <v>5779</v>
      </c>
      <c r="F9364" s="1" t="s">
        <v>5780</v>
      </c>
      <c r="H9364" s="1" t="s">
        <v>5781</v>
      </c>
      <c r="J9364" s="1" t="s">
        <v>3558</v>
      </c>
      <c r="L9364" s="1" t="s">
        <v>1879</v>
      </c>
      <c r="N9364" s="1" t="s">
        <v>1880</v>
      </c>
      <c r="P9364" s="1" t="s">
        <v>1889</v>
      </c>
      <c r="Q9364" s="30" t="s">
        <v>2884</v>
      </c>
      <c r="R9364" s="33" t="s">
        <v>3474</v>
      </c>
      <c r="S9364">
        <v>35</v>
      </c>
      <c r="T9364" s="1" t="s">
        <v>5416</v>
      </c>
      <c r="U9364" s="1" t="str">
        <f>HYPERLINK("http://ictvonline.org/taxonomy/p/taxonomy-history?taxnode_id=202102857","ICTVonline=202102857")</f>
        <v>ICTVonline=202102857</v>
      </c>
    </row>
    <row r="9365" spans="1:21" x14ac:dyDescent="0.2">
      <c r="A9365" s="3">
        <v>9364</v>
      </c>
      <c r="B9365" s="1" t="s">
        <v>4226</v>
      </c>
      <c r="D9365" s="1" t="s">
        <v>5779</v>
      </c>
      <c r="F9365" s="1" t="s">
        <v>5780</v>
      </c>
      <c r="H9365" s="1" t="s">
        <v>5781</v>
      </c>
      <c r="J9365" s="1" t="s">
        <v>3558</v>
      </c>
      <c r="L9365" s="1" t="s">
        <v>1879</v>
      </c>
      <c r="N9365" s="1" t="s">
        <v>1880</v>
      </c>
      <c r="P9365" s="1" t="s">
        <v>3570</v>
      </c>
      <c r="Q9365" s="30" t="s">
        <v>2884</v>
      </c>
      <c r="R9365" s="33" t="s">
        <v>3474</v>
      </c>
      <c r="S9365">
        <v>35</v>
      </c>
      <c r="T9365" s="1" t="s">
        <v>5416</v>
      </c>
      <c r="U9365" s="1" t="str">
        <f>HYPERLINK("http://ictvonline.org/taxonomy/p/taxonomy-history?taxnode_id=202105766","ICTVonline=202105766")</f>
        <v>ICTVonline=202105766</v>
      </c>
    </row>
    <row r="9366" spans="1:21" x14ac:dyDescent="0.2">
      <c r="A9366" s="3">
        <v>9365</v>
      </c>
      <c r="B9366" s="1" t="s">
        <v>4226</v>
      </c>
      <c r="D9366" s="1" t="s">
        <v>5779</v>
      </c>
      <c r="F9366" s="1" t="s">
        <v>5780</v>
      </c>
      <c r="H9366" s="1" t="s">
        <v>5781</v>
      </c>
      <c r="J9366" s="1" t="s">
        <v>3558</v>
      </c>
      <c r="L9366" s="1" t="s">
        <v>1879</v>
      </c>
      <c r="N9366" s="1" t="s">
        <v>1880</v>
      </c>
      <c r="P9366" s="1" t="s">
        <v>3295</v>
      </c>
      <c r="Q9366" s="30" t="s">
        <v>2884</v>
      </c>
      <c r="R9366" s="33" t="s">
        <v>3474</v>
      </c>
      <c r="S9366">
        <v>35</v>
      </c>
      <c r="T9366" s="1" t="s">
        <v>5416</v>
      </c>
      <c r="U9366" s="1" t="str">
        <f>HYPERLINK("http://ictvonline.org/taxonomy/p/taxonomy-history?taxnode_id=202102858","ICTVonline=202102858")</f>
        <v>ICTVonline=202102858</v>
      </c>
    </row>
    <row r="9367" spans="1:21" x14ac:dyDescent="0.2">
      <c r="A9367" s="3">
        <v>9366</v>
      </c>
      <c r="B9367" s="1" t="s">
        <v>4226</v>
      </c>
      <c r="D9367" s="1" t="s">
        <v>5779</v>
      </c>
      <c r="F9367" s="1" t="s">
        <v>5780</v>
      </c>
      <c r="H9367" s="1" t="s">
        <v>5781</v>
      </c>
      <c r="J9367" s="1" t="s">
        <v>3558</v>
      </c>
      <c r="L9367" s="1" t="s">
        <v>1879</v>
      </c>
      <c r="N9367" s="1" t="s">
        <v>1995</v>
      </c>
      <c r="P9367" s="1" t="s">
        <v>4793</v>
      </c>
      <c r="Q9367" s="30" t="s">
        <v>2884</v>
      </c>
      <c r="R9367" s="33" t="s">
        <v>3474</v>
      </c>
      <c r="S9367">
        <v>35</v>
      </c>
      <c r="T9367" s="1" t="s">
        <v>5416</v>
      </c>
      <c r="U9367" s="1" t="str">
        <f>HYPERLINK("http://ictvonline.org/taxonomy/p/taxonomy-history?taxnode_id=202106640","ICTVonline=202106640")</f>
        <v>ICTVonline=202106640</v>
      </c>
    </row>
    <row r="9368" spans="1:21" x14ac:dyDescent="0.2">
      <c r="A9368" s="3">
        <v>9367</v>
      </c>
      <c r="B9368" s="1" t="s">
        <v>4226</v>
      </c>
      <c r="D9368" s="1" t="s">
        <v>5779</v>
      </c>
      <c r="F9368" s="1" t="s">
        <v>5780</v>
      </c>
      <c r="H9368" s="1" t="s">
        <v>5781</v>
      </c>
      <c r="J9368" s="1" t="s">
        <v>3558</v>
      </c>
      <c r="L9368" s="1" t="s">
        <v>1879</v>
      </c>
      <c r="N9368" s="1" t="s">
        <v>1995</v>
      </c>
      <c r="P9368" s="1" t="s">
        <v>3296</v>
      </c>
      <c r="Q9368" s="30" t="s">
        <v>2884</v>
      </c>
      <c r="R9368" s="33" t="s">
        <v>3474</v>
      </c>
      <c r="S9368">
        <v>35</v>
      </c>
      <c r="T9368" s="1" t="s">
        <v>5416</v>
      </c>
      <c r="U9368" s="1" t="str">
        <f>HYPERLINK("http://ictvonline.org/taxonomy/p/taxonomy-history?taxnode_id=202102860","ICTVonline=202102860")</f>
        <v>ICTVonline=202102860</v>
      </c>
    </row>
    <row r="9369" spans="1:21" x14ac:dyDescent="0.2">
      <c r="A9369" s="3">
        <v>9368</v>
      </c>
      <c r="B9369" s="1" t="s">
        <v>4226</v>
      </c>
      <c r="D9369" s="1" t="s">
        <v>5779</v>
      </c>
      <c r="F9369" s="1" t="s">
        <v>5780</v>
      </c>
      <c r="H9369" s="1" t="s">
        <v>5781</v>
      </c>
      <c r="J9369" s="1" t="s">
        <v>3558</v>
      </c>
      <c r="L9369" s="1" t="s">
        <v>1879</v>
      </c>
      <c r="N9369" s="1" t="s">
        <v>1995</v>
      </c>
      <c r="P9369" s="1" t="s">
        <v>1809</v>
      </c>
      <c r="Q9369" s="30" t="s">
        <v>2884</v>
      </c>
      <c r="R9369" s="33" t="s">
        <v>3474</v>
      </c>
      <c r="S9369">
        <v>35</v>
      </c>
      <c r="T9369" s="1" t="s">
        <v>5416</v>
      </c>
      <c r="U9369" s="1" t="str">
        <f>HYPERLINK("http://ictvonline.org/taxonomy/p/taxonomy-history?taxnode_id=202102861","ICTVonline=202102861")</f>
        <v>ICTVonline=202102861</v>
      </c>
    </row>
    <row r="9370" spans="1:21" x14ac:dyDescent="0.2">
      <c r="A9370" s="3">
        <v>9369</v>
      </c>
      <c r="B9370" s="1" t="s">
        <v>4226</v>
      </c>
      <c r="D9370" s="1" t="s">
        <v>5779</v>
      </c>
      <c r="F9370" s="1" t="s">
        <v>5780</v>
      </c>
      <c r="H9370" s="1" t="s">
        <v>5781</v>
      </c>
      <c r="J9370" s="1" t="s">
        <v>3558</v>
      </c>
      <c r="L9370" s="1" t="s">
        <v>1879</v>
      </c>
      <c r="N9370" s="1" t="s">
        <v>1995</v>
      </c>
      <c r="P9370" s="1" t="s">
        <v>1810</v>
      </c>
      <c r="Q9370" s="30" t="s">
        <v>2884</v>
      </c>
      <c r="R9370" s="33" t="s">
        <v>8665</v>
      </c>
      <c r="S9370">
        <v>36</v>
      </c>
      <c r="T9370" s="1" t="s">
        <v>8661</v>
      </c>
      <c r="U9370" s="1" t="str">
        <f>HYPERLINK("http://ictvonline.org/taxonomy/p/taxonomy-history?taxnode_id=202102862","ICTVonline=202102862")</f>
        <v>ICTVonline=202102862</v>
      </c>
    </row>
    <row r="9371" spans="1:21" x14ac:dyDescent="0.2">
      <c r="A9371" s="3">
        <v>9370</v>
      </c>
      <c r="B9371" s="1" t="s">
        <v>4226</v>
      </c>
      <c r="D9371" s="1" t="s">
        <v>5779</v>
      </c>
      <c r="F9371" s="1" t="s">
        <v>5780</v>
      </c>
      <c r="H9371" s="1" t="s">
        <v>5781</v>
      </c>
      <c r="J9371" s="1" t="s">
        <v>3558</v>
      </c>
      <c r="L9371" s="1" t="s">
        <v>1879</v>
      </c>
      <c r="N9371" s="1" t="s">
        <v>1995</v>
      </c>
      <c r="P9371" s="1" t="s">
        <v>1901</v>
      </c>
      <c r="Q9371" s="30" t="s">
        <v>2884</v>
      </c>
      <c r="R9371" s="33" t="s">
        <v>3474</v>
      </c>
      <c r="S9371">
        <v>35</v>
      </c>
      <c r="T9371" s="1" t="s">
        <v>5416</v>
      </c>
      <c r="U9371" s="1" t="str">
        <f>HYPERLINK("http://ictvonline.org/taxonomy/p/taxonomy-history?taxnode_id=202102863","ICTVonline=202102863")</f>
        <v>ICTVonline=202102863</v>
      </c>
    </row>
    <row r="9372" spans="1:21" x14ac:dyDescent="0.2">
      <c r="A9372" s="3">
        <v>9371</v>
      </c>
      <c r="B9372" s="1" t="s">
        <v>4226</v>
      </c>
      <c r="D9372" s="1" t="s">
        <v>5779</v>
      </c>
      <c r="F9372" s="1" t="s">
        <v>5780</v>
      </c>
      <c r="H9372" s="1" t="s">
        <v>5781</v>
      </c>
      <c r="J9372" s="1" t="s">
        <v>3558</v>
      </c>
      <c r="L9372" s="1" t="s">
        <v>1879</v>
      </c>
      <c r="N9372" s="1" t="s">
        <v>1995</v>
      </c>
      <c r="P9372" s="1" t="s">
        <v>1653</v>
      </c>
      <c r="Q9372" s="30" t="s">
        <v>2884</v>
      </c>
      <c r="R9372" s="33" t="s">
        <v>3474</v>
      </c>
      <c r="S9372">
        <v>35</v>
      </c>
      <c r="T9372" s="1" t="s">
        <v>5416</v>
      </c>
      <c r="U9372" s="1" t="str">
        <f>HYPERLINK("http://ictvonline.org/taxonomy/p/taxonomy-history?taxnode_id=202102864","ICTVonline=202102864")</f>
        <v>ICTVonline=202102864</v>
      </c>
    </row>
    <row r="9373" spans="1:21" x14ac:dyDescent="0.2">
      <c r="A9373" s="3">
        <v>9372</v>
      </c>
      <c r="B9373" s="1" t="s">
        <v>4226</v>
      </c>
      <c r="D9373" s="1" t="s">
        <v>5779</v>
      </c>
      <c r="F9373" s="1" t="s">
        <v>5780</v>
      </c>
      <c r="H9373" s="1" t="s">
        <v>5781</v>
      </c>
      <c r="J9373" s="1" t="s">
        <v>3558</v>
      </c>
      <c r="L9373" s="1" t="s">
        <v>1879</v>
      </c>
      <c r="N9373" s="1" t="s">
        <v>1995</v>
      </c>
      <c r="P9373" s="1" t="s">
        <v>1654</v>
      </c>
      <c r="Q9373" s="30" t="s">
        <v>2884</v>
      </c>
      <c r="R9373" s="33" t="s">
        <v>3474</v>
      </c>
      <c r="S9373">
        <v>35</v>
      </c>
      <c r="T9373" s="1" t="s">
        <v>5416</v>
      </c>
      <c r="U9373" s="1" t="str">
        <f>HYPERLINK("http://ictvonline.org/taxonomy/p/taxonomy-history?taxnode_id=202102865","ICTVonline=202102865")</f>
        <v>ICTVonline=202102865</v>
      </c>
    </row>
    <row r="9374" spans="1:21" x14ac:dyDescent="0.2">
      <c r="A9374" s="3">
        <v>9373</v>
      </c>
      <c r="B9374" s="1" t="s">
        <v>4226</v>
      </c>
      <c r="D9374" s="1" t="s">
        <v>5779</v>
      </c>
      <c r="F9374" s="1" t="s">
        <v>5780</v>
      </c>
      <c r="H9374" s="1" t="s">
        <v>5781</v>
      </c>
      <c r="J9374" s="1" t="s">
        <v>3558</v>
      </c>
      <c r="L9374" s="1" t="s">
        <v>1879</v>
      </c>
      <c r="N9374" s="1" t="s">
        <v>1995</v>
      </c>
      <c r="P9374" s="1" t="s">
        <v>82</v>
      </c>
      <c r="Q9374" s="30" t="s">
        <v>2884</v>
      </c>
      <c r="R9374" s="33" t="s">
        <v>3474</v>
      </c>
      <c r="S9374">
        <v>35</v>
      </c>
      <c r="T9374" s="1" t="s">
        <v>5416</v>
      </c>
      <c r="U9374" s="1" t="str">
        <f>HYPERLINK("http://ictvonline.org/taxonomy/p/taxonomy-history?taxnode_id=202102866","ICTVonline=202102866")</f>
        <v>ICTVonline=202102866</v>
      </c>
    </row>
    <row r="9375" spans="1:21" x14ac:dyDescent="0.2">
      <c r="A9375" s="3">
        <v>9374</v>
      </c>
      <c r="B9375" s="1" t="s">
        <v>4226</v>
      </c>
      <c r="D9375" s="1" t="s">
        <v>5779</v>
      </c>
      <c r="F9375" s="1" t="s">
        <v>5780</v>
      </c>
      <c r="H9375" s="1" t="s">
        <v>5781</v>
      </c>
      <c r="J9375" s="1" t="s">
        <v>3558</v>
      </c>
      <c r="L9375" s="1" t="s">
        <v>1879</v>
      </c>
      <c r="N9375" s="1" t="s">
        <v>1995</v>
      </c>
      <c r="P9375" s="1" t="s">
        <v>700</v>
      </c>
      <c r="Q9375" s="30" t="s">
        <v>2884</v>
      </c>
      <c r="R9375" s="33" t="s">
        <v>3474</v>
      </c>
      <c r="S9375">
        <v>35</v>
      </c>
      <c r="T9375" s="1" t="s">
        <v>5416</v>
      </c>
      <c r="U9375" s="1" t="str">
        <f>HYPERLINK("http://ictvonline.org/taxonomy/p/taxonomy-history?taxnode_id=202102867","ICTVonline=202102867")</f>
        <v>ICTVonline=202102867</v>
      </c>
    </row>
    <row r="9376" spans="1:21" x14ac:dyDescent="0.2">
      <c r="A9376" s="3">
        <v>9375</v>
      </c>
      <c r="B9376" s="1" t="s">
        <v>4226</v>
      </c>
      <c r="D9376" s="1" t="s">
        <v>5779</v>
      </c>
      <c r="F9376" s="1" t="s">
        <v>5780</v>
      </c>
      <c r="H9376" s="1" t="s">
        <v>5781</v>
      </c>
      <c r="J9376" s="1" t="s">
        <v>3558</v>
      </c>
      <c r="L9376" s="1" t="s">
        <v>1879</v>
      </c>
      <c r="N9376" s="1" t="s">
        <v>1995</v>
      </c>
      <c r="P9376" s="1" t="s">
        <v>2510</v>
      </c>
      <c r="Q9376" s="30" t="s">
        <v>2884</v>
      </c>
      <c r="R9376" s="33" t="s">
        <v>3474</v>
      </c>
      <c r="S9376">
        <v>35</v>
      </c>
      <c r="T9376" s="1" t="s">
        <v>5416</v>
      </c>
      <c r="U9376" s="1" t="str">
        <f>HYPERLINK("http://ictvonline.org/taxonomy/p/taxonomy-history?taxnode_id=202102868","ICTVonline=202102868")</f>
        <v>ICTVonline=202102868</v>
      </c>
    </row>
    <row r="9377" spans="1:21" x14ac:dyDescent="0.2">
      <c r="A9377" s="3">
        <v>9376</v>
      </c>
      <c r="B9377" s="1" t="s">
        <v>4226</v>
      </c>
      <c r="D9377" s="1" t="s">
        <v>5779</v>
      </c>
      <c r="F9377" s="1" t="s">
        <v>5780</v>
      </c>
      <c r="H9377" s="1" t="s">
        <v>5781</v>
      </c>
      <c r="J9377" s="1" t="s">
        <v>3558</v>
      </c>
      <c r="L9377" s="1" t="s">
        <v>1879</v>
      </c>
      <c r="N9377" s="1" t="s">
        <v>1995</v>
      </c>
      <c r="P9377" s="1" t="s">
        <v>701</v>
      </c>
      <c r="Q9377" s="30" t="s">
        <v>2884</v>
      </c>
      <c r="R9377" s="33" t="s">
        <v>3474</v>
      </c>
      <c r="S9377">
        <v>35</v>
      </c>
      <c r="T9377" s="1" t="s">
        <v>5416</v>
      </c>
      <c r="U9377" s="1" t="str">
        <f>HYPERLINK("http://ictvonline.org/taxonomy/p/taxonomy-history?taxnode_id=202102869","ICTVonline=202102869")</f>
        <v>ICTVonline=202102869</v>
      </c>
    </row>
    <row r="9378" spans="1:21" x14ac:dyDescent="0.2">
      <c r="A9378" s="3">
        <v>9377</v>
      </c>
      <c r="B9378" s="1" t="s">
        <v>4226</v>
      </c>
      <c r="D9378" s="1" t="s">
        <v>5779</v>
      </c>
      <c r="F9378" s="1" t="s">
        <v>5780</v>
      </c>
      <c r="H9378" s="1" t="s">
        <v>5781</v>
      </c>
      <c r="J9378" s="1" t="s">
        <v>3558</v>
      </c>
      <c r="L9378" s="1" t="s">
        <v>1879</v>
      </c>
      <c r="N9378" s="1" t="s">
        <v>1995</v>
      </c>
      <c r="P9378" s="1" t="s">
        <v>702</v>
      </c>
      <c r="Q9378" s="30" t="s">
        <v>2884</v>
      </c>
      <c r="R9378" s="33" t="s">
        <v>3474</v>
      </c>
      <c r="S9378">
        <v>35</v>
      </c>
      <c r="T9378" s="1" t="s">
        <v>5416</v>
      </c>
      <c r="U9378" s="1" t="str">
        <f>HYPERLINK("http://ictvonline.org/taxonomy/p/taxonomy-history?taxnode_id=202102870","ICTVonline=202102870")</f>
        <v>ICTVonline=202102870</v>
      </c>
    </row>
    <row r="9379" spans="1:21" x14ac:dyDescent="0.2">
      <c r="A9379" s="3">
        <v>9378</v>
      </c>
      <c r="B9379" s="1" t="s">
        <v>4226</v>
      </c>
      <c r="D9379" s="1" t="s">
        <v>5779</v>
      </c>
      <c r="F9379" s="1" t="s">
        <v>5780</v>
      </c>
      <c r="H9379" s="1" t="s">
        <v>5781</v>
      </c>
      <c r="J9379" s="1" t="s">
        <v>3558</v>
      </c>
      <c r="L9379" s="1" t="s">
        <v>1879</v>
      </c>
      <c r="N9379" s="1" t="s">
        <v>703</v>
      </c>
      <c r="P9379" s="1" t="s">
        <v>704</v>
      </c>
      <c r="Q9379" s="30" t="s">
        <v>2884</v>
      </c>
      <c r="R9379" s="33" t="s">
        <v>8665</v>
      </c>
      <c r="S9379">
        <v>36</v>
      </c>
      <c r="T9379" s="1" t="s">
        <v>8661</v>
      </c>
      <c r="U9379" s="1" t="str">
        <f>HYPERLINK("http://ictvonline.org/taxonomy/p/taxonomy-history?taxnode_id=202102872","ICTVonline=202102872")</f>
        <v>ICTVonline=202102872</v>
      </c>
    </row>
    <row r="9380" spans="1:21" x14ac:dyDescent="0.2">
      <c r="A9380" s="3">
        <v>9379</v>
      </c>
      <c r="B9380" s="1" t="s">
        <v>4226</v>
      </c>
      <c r="D9380" s="1" t="s">
        <v>5779</v>
      </c>
      <c r="F9380" s="1" t="s">
        <v>5780</v>
      </c>
      <c r="H9380" s="1" t="s">
        <v>5781</v>
      </c>
      <c r="J9380" s="1" t="s">
        <v>3558</v>
      </c>
      <c r="L9380" s="1" t="s">
        <v>1879</v>
      </c>
      <c r="N9380" s="1" t="s">
        <v>703</v>
      </c>
      <c r="P9380" s="1" t="s">
        <v>8354</v>
      </c>
      <c r="Q9380" s="30" t="s">
        <v>2884</v>
      </c>
      <c r="R9380" s="33" t="s">
        <v>3472</v>
      </c>
      <c r="S9380">
        <v>36</v>
      </c>
      <c r="T9380" s="1" t="s">
        <v>8346</v>
      </c>
      <c r="U9380" s="1" t="str">
        <f>HYPERLINK("http://ictvonline.org/taxonomy/p/taxonomy-history?taxnode_id=202108839","ICTVonline=202108839")</f>
        <v>ICTVonline=202108839</v>
      </c>
    </row>
    <row r="9381" spans="1:21" x14ac:dyDescent="0.2">
      <c r="A9381" s="3">
        <v>9380</v>
      </c>
      <c r="B9381" s="1" t="s">
        <v>4226</v>
      </c>
      <c r="D9381" s="1" t="s">
        <v>5779</v>
      </c>
      <c r="F9381" s="1" t="s">
        <v>5780</v>
      </c>
      <c r="H9381" s="1" t="s">
        <v>5781</v>
      </c>
      <c r="J9381" s="1" t="s">
        <v>3558</v>
      </c>
      <c r="L9381" s="1" t="s">
        <v>1879</v>
      </c>
      <c r="N9381" s="1" t="s">
        <v>703</v>
      </c>
      <c r="P9381" s="1" t="s">
        <v>1606</v>
      </c>
      <c r="Q9381" s="30" t="s">
        <v>2884</v>
      </c>
      <c r="R9381" s="33" t="s">
        <v>3474</v>
      </c>
      <c r="S9381">
        <v>35</v>
      </c>
      <c r="T9381" s="1" t="s">
        <v>5416</v>
      </c>
      <c r="U9381" s="1" t="str">
        <f>HYPERLINK("http://ictvonline.org/taxonomy/p/taxonomy-history?taxnode_id=202102873","ICTVonline=202102873")</f>
        <v>ICTVonline=202102873</v>
      </c>
    </row>
    <row r="9382" spans="1:21" x14ac:dyDescent="0.2">
      <c r="A9382" s="3">
        <v>9381</v>
      </c>
      <c r="B9382" s="1" t="s">
        <v>4226</v>
      </c>
      <c r="D9382" s="1" t="s">
        <v>5779</v>
      </c>
      <c r="F9382" s="1" t="s">
        <v>5780</v>
      </c>
      <c r="H9382" s="1" t="s">
        <v>5781</v>
      </c>
      <c r="J9382" s="1" t="s">
        <v>3558</v>
      </c>
      <c r="L9382" s="1" t="s">
        <v>1879</v>
      </c>
      <c r="N9382" s="1" t="s">
        <v>5793</v>
      </c>
      <c r="P9382" s="1" t="s">
        <v>5794</v>
      </c>
      <c r="Q9382" s="30" t="s">
        <v>2884</v>
      </c>
      <c r="R9382" s="33" t="s">
        <v>8665</v>
      </c>
      <c r="S9382">
        <v>36</v>
      </c>
      <c r="T9382" s="1" t="s">
        <v>8661</v>
      </c>
      <c r="U9382" s="1" t="str">
        <f>HYPERLINK("http://ictvonline.org/taxonomy/p/taxonomy-history?taxnode_id=202107423","ICTVonline=202107423")</f>
        <v>ICTVonline=202107423</v>
      </c>
    </row>
    <row r="9383" spans="1:21" x14ac:dyDescent="0.2">
      <c r="A9383" s="3">
        <v>9382</v>
      </c>
      <c r="B9383" s="1" t="s">
        <v>4226</v>
      </c>
      <c r="D9383" s="1" t="s">
        <v>5779</v>
      </c>
      <c r="F9383" s="1" t="s">
        <v>5780</v>
      </c>
      <c r="H9383" s="1" t="s">
        <v>5781</v>
      </c>
      <c r="J9383" s="1" t="s">
        <v>3558</v>
      </c>
      <c r="L9383" s="1" t="s">
        <v>1879</v>
      </c>
      <c r="N9383" s="1" t="s">
        <v>706</v>
      </c>
      <c r="P9383" s="1" t="s">
        <v>1103</v>
      </c>
      <c r="Q9383" s="30" t="s">
        <v>2884</v>
      </c>
      <c r="R9383" s="33" t="s">
        <v>8665</v>
      </c>
      <c r="S9383">
        <v>36</v>
      </c>
      <c r="T9383" s="1" t="s">
        <v>8661</v>
      </c>
      <c r="U9383" s="1" t="str">
        <f>HYPERLINK("http://ictvonline.org/taxonomy/p/taxonomy-history?taxnode_id=202102875","ICTVonline=202102875")</f>
        <v>ICTVonline=202102875</v>
      </c>
    </row>
    <row r="9384" spans="1:21" x14ac:dyDescent="0.2">
      <c r="A9384" s="3">
        <v>9383</v>
      </c>
      <c r="B9384" s="1" t="s">
        <v>4226</v>
      </c>
      <c r="D9384" s="1" t="s">
        <v>5779</v>
      </c>
      <c r="F9384" s="1" t="s">
        <v>5780</v>
      </c>
      <c r="H9384" s="1" t="s">
        <v>5781</v>
      </c>
      <c r="J9384" s="1" t="s">
        <v>3558</v>
      </c>
      <c r="L9384" s="1" t="s">
        <v>1879</v>
      </c>
      <c r="N9384" s="1" t="s">
        <v>2511</v>
      </c>
      <c r="P9384" s="1" t="s">
        <v>2512</v>
      </c>
      <c r="Q9384" s="30" t="s">
        <v>2884</v>
      </c>
      <c r="R9384" s="33" t="s">
        <v>8665</v>
      </c>
      <c r="S9384">
        <v>36</v>
      </c>
      <c r="T9384" s="1" t="s">
        <v>8661</v>
      </c>
      <c r="U9384" s="1" t="str">
        <f>HYPERLINK("http://ictvonline.org/taxonomy/p/taxonomy-history?taxnode_id=202102877","ICTVonline=202102877")</f>
        <v>ICTVonline=202102877</v>
      </c>
    </row>
    <row r="9385" spans="1:21" x14ac:dyDescent="0.2">
      <c r="A9385" s="3">
        <v>9384</v>
      </c>
      <c r="B9385" s="1" t="s">
        <v>4226</v>
      </c>
      <c r="D9385" s="1" t="s">
        <v>5779</v>
      </c>
      <c r="F9385" s="1" t="s">
        <v>5780</v>
      </c>
      <c r="H9385" s="1" t="s">
        <v>5781</v>
      </c>
      <c r="J9385" s="1" t="s">
        <v>3558</v>
      </c>
      <c r="L9385" s="1" t="s">
        <v>1879</v>
      </c>
      <c r="N9385" s="1" t="s">
        <v>8355</v>
      </c>
      <c r="P9385" s="1" t="s">
        <v>4794</v>
      </c>
      <c r="Q9385" s="30" t="s">
        <v>2884</v>
      </c>
      <c r="R9385" s="33" t="s">
        <v>3474</v>
      </c>
      <c r="S9385">
        <v>36</v>
      </c>
      <c r="T9385" s="1" t="s">
        <v>8346</v>
      </c>
      <c r="U9385" s="1" t="str">
        <f>HYPERLINK("http://ictvonline.org/taxonomy/p/taxonomy-history?taxnode_id=202106652","ICTVonline=202106652")</f>
        <v>ICTVonline=202106652</v>
      </c>
    </row>
    <row r="9386" spans="1:21" x14ac:dyDescent="0.2">
      <c r="A9386" s="3">
        <v>9385</v>
      </c>
      <c r="B9386" s="1" t="s">
        <v>4226</v>
      </c>
      <c r="D9386" s="1" t="s">
        <v>5779</v>
      </c>
      <c r="F9386" s="1" t="s">
        <v>5780</v>
      </c>
      <c r="H9386" s="1" t="s">
        <v>5781</v>
      </c>
      <c r="J9386" s="1" t="s">
        <v>3558</v>
      </c>
      <c r="L9386" s="1" t="s">
        <v>1879</v>
      </c>
      <c r="N9386" s="1" t="s">
        <v>83</v>
      </c>
      <c r="P9386" s="1" t="s">
        <v>84</v>
      </c>
      <c r="Q9386" s="30" t="s">
        <v>2884</v>
      </c>
      <c r="R9386" s="33" t="s">
        <v>3474</v>
      </c>
      <c r="S9386">
        <v>35</v>
      </c>
      <c r="T9386" s="1" t="s">
        <v>5416</v>
      </c>
      <c r="U9386" s="1" t="str">
        <f>HYPERLINK("http://ictvonline.org/taxonomy/p/taxonomy-history?taxnode_id=202102879","ICTVonline=202102879")</f>
        <v>ICTVonline=202102879</v>
      </c>
    </row>
    <row r="9387" spans="1:21" x14ac:dyDescent="0.2">
      <c r="A9387" s="3">
        <v>9386</v>
      </c>
      <c r="B9387" s="1" t="s">
        <v>4226</v>
      </c>
      <c r="D9387" s="1" t="s">
        <v>5779</v>
      </c>
      <c r="F9387" s="1" t="s">
        <v>5780</v>
      </c>
      <c r="H9387" s="1" t="s">
        <v>5781</v>
      </c>
      <c r="J9387" s="1" t="s">
        <v>3558</v>
      </c>
      <c r="L9387" s="1" t="s">
        <v>1879</v>
      </c>
      <c r="N9387" s="1" t="s">
        <v>83</v>
      </c>
      <c r="P9387" s="1" t="s">
        <v>705</v>
      </c>
      <c r="Q9387" s="30" t="s">
        <v>2884</v>
      </c>
      <c r="R9387" s="33" t="s">
        <v>8665</v>
      </c>
      <c r="S9387">
        <v>36</v>
      </c>
      <c r="T9387" s="1" t="s">
        <v>8661</v>
      </c>
      <c r="U9387" s="1" t="str">
        <f>HYPERLINK("http://ictvonline.org/taxonomy/p/taxonomy-history?taxnode_id=202102880","ICTVonline=202102880")</f>
        <v>ICTVonline=202102880</v>
      </c>
    </row>
    <row r="9388" spans="1:21" x14ac:dyDescent="0.2">
      <c r="A9388" s="3">
        <v>9387</v>
      </c>
      <c r="B9388" s="1" t="s">
        <v>4226</v>
      </c>
      <c r="D9388" s="1" t="s">
        <v>5779</v>
      </c>
      <c r="F9388" s="1" t="s">
        <v>5780</v>
      </c>
      <c r="H9388" s="1" t="s">
        <v>5781</v>
      </c>
      <c r="J9388" s="1" t="s">
        <v>3558</v>
      </c>
      <c r="L9388" s="1" t="s">
        <v>1879</v>
      </c>
      <c r="N9388" s="1" t="s">
        <v>1104</v>
      </c>
      <c r="P9388" s="1" t="s">
        <v>1105</v>
      </c>
      <c r="Q9388" s="30" t="s">
        <v>2884</v>
      </c>
      <c r="R9388" s="33" t="s">
        <v>3474</v>
      </c>
      <c r="S9388">
        <v>35</v>
      </c>
      <c r="T9388" s="1" t="s">
        <v>5416</v>
      </c>
      <c r="U9388" s="1" t="str">
        <f>HYPERLINK("http://ictvonline.org/taxonomy/p/taxonomy-history?taxnode_id=202102882","ICTVonline=202102882")</f>
        <v>ICTVonline=202102882</v>
      </c>
    </row>
    <row r="9389" spans="1:21" x14ac:dyDescent="0.2">
      <c r="A9389" s="3">
        <v>9388</v>
      </c>
      <c r="B9389" s="1" t="s">
        <v>4226</v>
      </c>
      <c r="D9389" s="1" t="s">
        <v>5779</v>
      </c>
      <c r="F9389" s="1" t="s">
        <v>5780</v>
      </c>
      <c r="H9389" s="1" t="s">
        <v>5781</v>
      </c>
      <c r="J9389" s="1" t="s">
        <v>3558</v>
      </c>
      <c r="L9389" s="1" t="s">
        <v>1879</v>
      </c>
      <c r="N9389" s="1" t="s">
        <v>1104</v>
      </c>
      <c r="P9389" s="1" t="s">
        <v>85</v>
      </c>
      <c r="Q9389" s="30" t="s">
        <v>2884</v>
      </c>
      <c r="R9389" s="33" t="s">
        <v>3474</v>
      </c>
      <c r="S9389">
        <v>35</v>
      </c>
      <c r="T9389" s="1" t="s">
        <v>5416</v>
      </c>
      <c r="U9389" s="1" t="str">
        <f>HYPERLINK("http://ictvonline.org/taxonomy/p/taxonomy-history?taxnode_id=202102883","ICTVonline=202102883")</f>
        <v>ICTVonline=202102883</v>
      </c>
    </row>
    <row r="9390" spans="1:21" x14ac:dyDescent="0.2">
      <c r="A9390" s="3">
        <v>9389</v>
      </c>
      <c r="B9390" s="1" t="s">
        <v>4226</v>
      </c>
      <c r="D9390" s="1" t="s">
        <v>5779</v>
      </c>
      <c r="F9390" s="1" t="s">
        <v>5780</v>
      </c>
      <c r="H9390" s="1" t="s">
        <v>5781</v>
      </c>
      <c r="J9390" s="1" t="s">
        <v>3558</v>
      </c>
      <c r="L9390" s="1" t="s">
        <v>1879</v>
      </c>
      <c r="N9390" s="1" t="s">
        <v>1104</v>
      </c>
      <c r="P9390" s="1" t="s">
        <v>1106</v>
      </c>
      <c r="Q9390" s="30" t="s">
        <v>2884</v>
      </c>
      <c r="R9390" s="33" t="s">
        <v>3474</v>
      </c>
      <c r="S9390">
        <v>35</v>
      </c>
      <c r="T9390" s="1" t="s">
        <v>5416</v>
      </c>
      <c r="U9390" s="1" t="str">
        <f>HYPERLINK("http://ictvonline.org/taxonomy/p/taxonomy-history?taxnode_id=202102884","ICTVonline=202102884")</f>
        <v>ICTVonline=202102884</v>
      </c>
    </row>
    <row r="9391" spans="1:21" x14ac:dyDescent="0.2">
      <c r="A9391" s="3">
        <v>9390</v>
      </c>
      <c r="B9391" s="1" t="s">
        <v>4226</v>
      </c>
      <c r="D9391" s="1" t="s">
        <v>5779</v>
      </c>
      <c r="F9391" s="1" t="s">
        <v>5780</v>
      </c>
      <c r="H9391" s="1" t="s">
        <v>5781</v>
      </c>
      <c r="J9391" s="1" t="s">
        <v>3558</v>
      </c>
      <c r="L9391" s="1" t="s">
        <v>1879</v>
      </c>
      <c r="N9391" s="1" t="s">
        <v>1104</v>
      </c>
      <c r="P9391" s="1" t="s">
        <v>1107</v>
      </c>
      <c r="Q9391" s="30" t="s">
        <v>2884</v>
      </c>
      <c r="R9391" s="33" t="s">
        <v>8665</v>
      </c>
      <c r="S9391">
        <v>36</v>
      </c>
      <c r="T9391" s="1" t="s">
        <v>8661</v>
      </c>
      <c r="U9391" s="1" t="str">
        <f>HYPERLINK("http://ictvonline.org/taxonomy/p/taxonomy-history?taxnode_id=202102885","ICTVonline=202102885")</f>
        <v>ICTVonline=202102885</v>
      </c>
    </row>
    <row r="9392" spans="1:21" x14ac:dyDescent="0.2">
      <c r="A9392" s="3">
        <v>9391</v>
      </c>
      <c r="B9392" s="1" t="s">
        <v>4226</v>
      </c>
      <c r="D9392" s="1" t="s">
        <v>5779</v>
      </c>
      <c r="F9392" s="1" t="s">
        <v>5780</v>
      </c>
      <c r="H9392" s="1" t="s">
        <v>5781</v>
      </c>
      <c r="J9392" s="1" t="s">
        <v>3558</v>
      </c>
      <c r="L9392" s="1" t="s">
        <v>1879</v>
      </c>
      <c r="N9392" s="1" t="s">
        <v>1108</v>
      </c>
      <c r="P9392" s="1" t="s">
        <v>715</v>
      </c>
      <c r="Q9392" s="30" t="s">
        <v>2884</v>
      </c>
      <c r="R9392" s="33" t="s">
        <v>8665</v>
      </c>
      <c r="S9392">
        <v>36</v>
      </c>
      <c r="T9392" s="1" t="s">
        <v>8661</v>
      </c>
      <c r="U9392" s="1" t="str">
        <f>HYPERLINK("http://ictvonline.org/taxonomy/p/taxonomy-history?taxnode_id=202102887","ICTVonline=202102887")</f>
        <v>ICTVonline=202102887</v>
      </c>
    </row>
    <row r="9393" spans="1:21" x14ac:dyDescent="0.2">
      <c r="A9393" s="3">
        <v>9392</v>
      </c>
      <c r="B9393" s="1" t="s">
        <v>4226</v>
      </c>
      <c r="D9393" s="1" t="s">
        <v>5779</v>
      </c>
      <c r="F9393" s="1" t="s">
        <v>5780</v>
      </c>
      <c r="H9393" s="1" t="s">
        <v>5781</v>
      </c>
      <c r="J9393" s="1" t="s">
        <v>3558</v>
      </c>
      <c r="L9393" s="1" t="s">
        <v>1879</v>
      </c>
      <c r="N9393" s="1" t="s">
        <v>5795</v>
      </c>
      <c r="P9393" s="1" t="s">
        <v>5796</v>
      </c>
      <c r="Q9393" s="30" t="s">
        <v>2884</v>
      </c>
      <c r="R9393" s="33" t="s">
        <v>8665</v>
      </c>
      <c r="S9393">
        <v>36</v>
      </c>
      <c r="T9393" s="1" t="s">
        <v>8661</v>
      </c>
      <c r="U9393" s="1" t="str">
        <f>HYPERLINK("http://ictvonline.org/taxonomy/p/taxonomy-history?taxnode_id=202107425","ICTVonline=202107425")</f>
        <v>ICTVonline=202107425</v>
      </c>
    </row>
    <row r="9394" spans="1:21" x14ac:dyDescent="0.2">
      <c r="A9394" s="3">
        <v>9393</v>
      </c>
      <c r="B9394" s="1" t="s">
        <v>4226</v>
      </c>
      <c r="D9394" s="1" t="s">
        <v>5779</v>
      </c>
      <c r="F9394" s="1" t="s">
        <v>5780</v>
      </c>
      <c r="H9394" s="1" t="s">
        <v>5781</v>
      </c>
      <c r="J9394" s="1" t="s">
        <v>3558</v>
      </c>
      <c r="L9394" s="1" t="s">
        <v>1527</v>
      </c>
      <c r="N9394" s="1" t="s">
        <v>959</v>
      </c>
      <c r="P9394" s="1" t="s">
        <v>960</v>
      </c>
      <c r="Q9394" s="30" t="s">
        <v>2570</v>
      </c>
      <c r="R9394" s="33" t="s">
        <v>3474</v>
      </c>
      <c r="S9394">
        <v>35</v>
      </c>
      <c r="T9394" s="1" t="s">
        <v>5416</v>
      </c>
      <c r="U9394" s="1" t="str">
        <f>HYPERLINK("http://ictvonline.org/taxonomy/p/taxonomy-history?taxnode_id=202103814","ICTVonline=202103814")</f>
        <v>ICTVonline=202103814</v>
      </c>
    </row>
    <row r="9395" spans="1:21" x14ac:dyDescent="0.2">
      <c r="A9395" s="3">
        <v>9394</v>
      </c>
      <c r="B9395" s="1" t="s">
        <v>4226</v>
      </c>
      <c r="D9395" s="1" t="s">
        <v>5779</v>
      </c>
      <c r="F9395" s="1" t="s">
        <v>5780</v>
      </c>
      <c r="H9395" s="1" t="s">
        <v>5781</v>
      </c>
      <c r="J9395" s="1" t="s">
        <v>3558</v>
      </c>
      <c r="L9395" s="1" t="s">
        <v>1527</v>
      </c>
      <c r="N9395" s="1" t="s">
        <v>959</v>
      </c>
      <c r="P9395" s="1" t="s">
        <v>961</v>
      </c>
      <c r="Q9395" s="30" t="s">
        <v>2570</v>
      </c>
      <c r="R9395" s="33" t="s">
        <v>3474</v>
      </c>
      <c r="S9395">
        <v>35</v>
      </c>
      <c r="T9395" s="1" t="s">
        <v>5416</v>
      </c>
      <c r="U9395" s="1" t="str">
        <f>HYPERLINK("http://ictvonline.org/taxonomy/p/taxonomy-history?taxnode_id=202103815","ICTVonline=202103815")</f>
        <v>ICTVonline=202103815</v>
      </c>
    </row>
    <row r="9396" spans="1:21" x14ac:dyDescent="0.2">
      <c r="A9396" s="3">
        <v>9395</v>
      </c>
      <c r="B9396" s="1" t="s">
        <v>4226</v>
      </c>
      <c r="D9396" s="1" t="s">
        <v>5779</v>
      </c>
      <c r="F9396" s="1" t="s">
        <v>5780</v>
      </c>
      <c r="H9396" s="1" t="s">
        <v>5781</v>
      </c>
      <c r="J9396" s="1" t="s">
        <v>3558</v>
      </c>
      <c r="L9396" s="1" t="s">
        <v>1527</v>
      </c>
      <c r="N9396" s="1" t="s">
        <v>959</v>
      </c>
      <c r="P9396" s="1" t="s">
        <v>3571</v>
      </c>
      <c r="Q9396" s="30" t="s">
        <v>2570</v>
      </c>
      <c r="R9396" s="33" t="s">
        <v>3474</v>
      </c>
      <c r="S9396">
        <v>35</v>
      </c>
      <c r="T9396" s="1" t="s">
        <v>5416</v>
      </c>
      <c r="U9396" s="1" t="str">
        <f>HYPERLINK("http://ictvonline.org/taxonomy/p/taxonomy-history?taxnode_id=202103816","ICTVonline=202103816")</f>
        <v>ICTVonline=202103816</v>
      </c>
    </row>
    <row r="9397" spans="1:21" x14ac:dyDescent="0.2">
      <c r="A9397" s="3">
        <v>9396</v>
      </c>
      <c r="B9397" s="1" t="s">
        <v>4226</v>
      </c>
      <c r="D9397" s="1" t="s">
        <v>5779</v>
      </c>
      <c r="F9397" s="1" t="s">
        <v>5780</v>
      </c>
      <c r="H9397" s="1" t="s">
        <v>5781</v>
      </c>
      <c r="J9397" s="1" t="s">
        <v>3558</v>
      </c>
      <c r="L9397" s="1" t="s">
        <v>1527</v>
      </c>
      <c r="N9397" s="1" t="s">
        <v>959</v>
      </c>
      <c r="P9397" s="1" t="s">
        <v>962</v>
      </c>
      <c r="Q9397" s="30" t="s">
        <v>2570</v>
      </c>
      <c r="R9397" s="33" t="s">
        <v>3474</v>
      </c>
      <c r="S9397">
        <v>35</v>
      </c>
      <c r="T9397" s="1" t="s">
        <v>5416</v>
      </c>
      <c r="U9397" s="1" t="str">
        <f>HYPERLINK("http://ictvonline.org/taxonomy/p/taxonomy-history?taxnode_id=202103817","ICTVonline=202103817")</f>
        <v>ICTVonline=202103817</v>
      </c>
    </row>
    <row r="9398" spans="1:21" x14ac:dyDescent="0.2">
      <c r="A9398" s="3">
        <v>9397</v>
      </c>
      <c r="B9398" s="1" t="s">
        <v>4226</v>
      </c>
      <c r="D9398" s="1" t="s">
        <v>5779</v>
      </c>
      <c r="F9398" s="1" t="s">
        <v>5780</v>
      </c>
      <c r="H9398" s="1" t="s">
        <v>5781</v>
      </c>
      <c r="J9398" s="1" t="s">
        <v>3558</v>
      </c>
      <c r="L9398" s="1" t="s">
        <v>1527</v>
      </c>
      <c r="N9398" s="1" t="s">
        <v>959</v>
      </c>
      <c r="P9398" s="1" t="s">
        <v>639</v>
      </c>
      <c r="Q9398" s="30" t="s">
        <v>2570</v>
      </c>
      <c r="R9398" s="33" t="s">
        <v>8665</v>
      </c>
      <c r="S9398">
        <v>36</v>
      </c>
      <c r="T9398" s="1" t="s">
        <v>8661</v>
      </c>
      <c r="U9398" s="1" t="str">
        <f>HYPERLINK("http://ictvonline.org/taxonomy/p/taxonomy-history?taxnode_id=202103818","ICTVonline=202103818")</f>
        <v>ICTVonline=202103818</v>
      </c>
    </row>
    <row r="9399" spans="1:21" x14ac:dyDescent="0.2">
      <c r="A9399" s="3">
        <v>9398</v>
      </c>
      <c r="B9399" s="1" t="s">
        <v>4226</v>
      </c>
      <c r="D9399" s="1" t="s">
        <v>5779</v>
      </c>
      <c r="F9399" s="1" t="s">
        <v>5780</v>
      </c>
      <c r="H9399" s="1" t="s">
        <v>5781</v>
      </c>
      <c r="J9399" s="1" t="s">
        <v>3558</v>
      </c>
      <c r="L9399" s="1" t="s">
        <v>1527</v>
      </c>
      <c r="N9399" s="1" t="s">
        <v>959</v>
      </c>
      <c r="P9399" s="1" t="s">
        <v>640</v>
      </c>
      <c r="Q9399" s="30" t="s">
        <v>2570</v>
      </c>
      <c r="R9399" s="33" t="s">
        <v>3474</v>
      </c>
      <c r="S9399">
        <v>35</v>
      </c>
      <c r="T9399" s="1" t="s">
        <v>5416</v>
      </c>
      <c r="U9399" s="1" t="str">
        <f>HYPERLINK("http://ictvonline.org/taxonomy/p/taxonomy-history?taxnode_id=202103819","ICTVonline=202103819")</f>
        <v>ICTVonline=202103819</v>
      </c>
    </row>
    <row r="9400" spans="1:21" x14ac:dyDescent="0.2">
      <c r="A9400" s="3">
        <v>9399</v>
      </c>
      <c r="B9400" s="1" t="s">
        <v>4226</v>
      </c>
      <c r="D9400" s="1" t="s">
        <v>5779</v>
      </c>
      <c r="F9400" s="1" t="s">
        <v>5780</v>
      </c>
      <c r="H9400" s="1" t="s">
        <v>5781</v>
      </c>
      <c r="J9400" s="1" t="s">
        <v>3558</v>
      </c>
      <c r="L9400" s="1" t="s">
        <v>1527</v>
      </c>
      <c r="N9400" s="1" t="s">
        <v>959</v>
      </c>
      <c r="P9400" s="1" t="s">
        <v>641</v>
      </c>
      <c r="Q9400" s="30" t="s">
        <v>2570</v>
      </c>
      <c r="R9400" s="33" t="s">
        <v>3474</v>
      </c>
      <c r="S9400">
        <v>35</v>
      </c>
      <c r="T9400" s="1" t="s">
        <v>5416</v>
      </c>
      <c r="U9400" s="1" t="str">
        <f>HYPERLINK("http://ictvonline.org/taxonomy/p/taxonomy-history?taxnode_id=202103820","ICTVonline=202103820")</f>
        <v>ICTVonline=202103820</v>
      </c>
    </row>
    <row r="9401" spans="1:21" x14ac:dyDescent="0.2">
      <c r="A9401" s="3">
        <v>9400</v>
      </c>
      <c r="B9401" s="1" t="s">
        <v>4226</v>
      </c>
      <c r="D9401" s="1" t="s">
        <v>5779</v>
      </c>
      <c r="F9401" s="1" t="s">
        <v>5780</v>
      </c>
      <c r="H9401" s="1" t="s">
        <v>5781</v>
      </c>
      <c r="J9401" s="1" t="s">
        <v>3558</v>
      </c>
      <c r="L9401" s="1" t="s">
        <v>1527</v>
      </c>
      <c r="N9401" s="1" t="s">
        <v>959</v>
      </c>
      <c r="P9401" s="1" t="s">
        <v>642</v>
      </c>
      <c r="Q9401" s="30" t="s">
        <v>2570</v>
      </c>
      <c r="R9401" s="33" t="s">
        <v>3474</v>
      </c>
      <c r="S9401">
        <v>35</v>
      </c>
      <c r="T9401" s="1" t="s">
        <v>5416</v>
      </c>
      <c r="U9401" s="1" t="str">
        <f>HYPERLINK("http://ictvonline.org/taxonomy/p/taxonomy-history?taxnode_id=202103821","ICTVonline=202103821")</f>
        <v>ICTVonline=202103821</v>
      </c>
    </row>
    <row r="9402" spans="1:21" x14ac:dyDescent="0.2">
      <c r="A9402" s="3">
        <v>9401</v>
      </c>
      <c r="B9402" s="1" t="s">
        <v>4226</v>
      </c>
      <c r="D9402" s="1" t="s">
        <v>5779</v>
      </c>
      <c r="F9402" s="1" t="s">
        <v>5780</v>
      </c>
      <c r="H9402" s="1" t="s">
        <v>5781</v>
      </c>
      <c r="J9402" s="1" t="s">
        <v>3558</v>
      </c>
      <c r="L9402" s="1" t="s">
        <v>1527</v>
      </c>
      <c r="N9402" s="1" t="s">
        <v>959</v>
      </c>
      <c r="P9402" s="1" t="s">
        <v>643</v>
      </c>
      <c r="Q9402" s="30" t="s">
        <v>2570</v>
      </c>
      <c r="R9402" s="33" t="s">
        <v>3474</v>
      </c>
      <c r="S9402">
        <v>35</v>
      </c>
      <c r="T9402" s="1" t="s">
        <v>5416</v>
      </c>
      <c r="U9402" s="1" t="str">
        <f>HYPERLINK("http://ictvonline.org/taxonomy/p/taxonomy-history?taxnode_id=202103822","ICTVonline=202103822")</f>
        <v>ICTVonline=202103822</v>
      </c>
    </row>
    <row r="9403" spans="1:21" x14ac:dyDescent="0.2">
      <c r="A9403" s="3">
        <v>9402</v>
      </c>
      <c r="B9403" s="1" t="s">
        <v>4226</v>
      </c>
      <c r="D9403" s="1" t="s">
        <v>5779</v>
      </c>
      <c r="F9403" s="1" t="s">
        <v>5780</v>
      </c>
      <c r="H9403" s="1" t="s">
        <v>5781</v>
      </c>
      <c r="J9403" s="1" t="s">
        <v>3558</v>
      </c>
      <c r="L9403" s="1" t="s">
        <v>1527</v>
      </c>
      <c r="N9403" s="1" t="s">
        <v>959</v>
      </c>
      <c r="P9403" s="1" t="s">
        <v>964</v>
      </c>
      <c r="Q9403" s="30" t="s">
        <v>2570</v>
      </c>
      <c r="R9403" s="33" t="s">
        <v>3474</v>
      </c>
      <c r="S9403">
        <v>35</v>
      </c>
      <c r="T9403" s="1" t="s">
        <v>5416</v>
      </c>
      <c r="U9403" s="1" t="str">
        <f>HYPERLINK("http://ictvonline.org/taxonomy/p/taxonomy-history?taxnode_id=202103823","ICTVonline=202103823")</f>
        <v>ICTVonline=202103823</v>
      </c>
    </row>
    <row r="9404" spans="1:21" x14ac:dyDescent="0.2">
      <c r="A9404" s="3">
        <v>9403</v>
      </c>
      <c r="B9404" s="1" t="s">
        <v>4226</v>
      </c>
      <c r="D9404" s="1" t="s">
        <v>5779</v>
      </c>
      <c r="F9404" s="1" t="s">
        <v>5780</v>
      </c>
      <c r="H9404" s="1" t="s">
        <v>5781</v>
      </c>
      <c r="J9404" s="1" t="s">
        <v>3558</v>
      </c>
      <c r="L9404" s="1" t="s">
        <v>1527</v>
      </c>
      <c r="N9404" s="1" t="s">
        <v>965</v>
      </c>
      <c r="P9404" s="1" t="s">
        <v>966</v>
      </c>
      <c r="Q9404" s="30" t="s">
        <v>2570</v>
      </c>
      <c r="R9404" s="33" t="s">
        <v>3474</v>
      </c>
      <c r="S9404">
        <v>35</v>
      </c>
      <c r="T9404" s="1" t="s">
        <v>5416</v>
      </c>
      <c r="U9404" s="1" t="str">
        <f>HYPERLINK("http://ictvonline.org/taxonomy/p/taxonomy-history?taxnode_id=202103825","ICTVonline=202103825")</f>
        <v>ICTVonline=202103825</v>
      </c>
    </row>
    <row r="9405" spans="1:21" x14ac:dyDescent="0.2">
      <c r="A9405" s="3">
        <v>9404</v>
      </c>
      <c r="B9405" s="1" t="s">
        <v>4226</v>
      </c>
      <c r="D9405" s="1" t="s">
        <v>5779</v>
      </c>
      <c r="F9405" s="1" t="s">
        <v>5780</v>
      </c>
      <c r="H9405" s="1" t="s">
        <v>5781</v>
      </c>
      <c r="J9405" s="1" t="s">
        <v>3558</v>
      </c>
      <c r="L9405" s="1" t="s">
        <v>1527</v>
      </c>
      <c r="N9405" s="1" t="s">
        <v>965</v>
      </c>
      <c r="P9405" s="1" t="s">
        <v>967</v>
      </c>
      <c r="Q9405" s="30" t="s">
        <v>2570</v>
      </c>
      <c r="R9405" s="33" t="s">
        <v>3474</v>
      </c>
      <c r="S9405">
        <v>35</v>
      </c>
      <c r="T9405" s="1" t="s">
        <v>5416</v>
      </c>
      <c r="U9405" s="1" t="str">
        <f>HYPERLINK("http://ictvonline.org/taxonomy/p/taxonomy-history?taxnode_id=202103826","ICTVonline=202103826")</f>
        <v>ICTVonline=202103826</v>
      </c>
    </row>
    <row r="9406" spans="1:21" x14ac:dyDescent="0.2">
      <c r="A9406" s="3">
        <v>9405</v>
      </c>
      <c r="B9406" s="1" t="s">
        <v>4226</v>
      </c>
      <c r="D9406" s="1" t="s">
        <v>5779</v>
      </c>
      <c r="F9406" s="1" t="s">
        <v>5780</v>
      </c>
      <c r="H9406" s="1" t="s">
        <v>5781</v>
      </c>
      <c r="J9406" s="1" t="s">
        <v>3558</v>
      </c>
      <c r="L9406" s="1" t="s">
        <v>1527</v>
      </c>
      <c r="N9406" s="1" t="s">
        <v>965</v>
      </c>
      <c r="P9406" s="1" t="s">
        <v>968</v>
      </c>
      <c r="Q9406" s="30" t="s">
        <v>2570</v>
      </c>
      <c r="R9406" s="33" t="s">
        <v>3474</v>
      </c>
      <c r="S9406">
        <v>35</v>
      </c>
      <c r="T9406" s="1" t="s">
        <v>5416</v>
      </c>
      <c r="U9406" s="1" t="str">
        <f>HYPERLINK("http://ictvonline.org/taxonomy/p/taxonomy-history?taxnode_id=202103827","ICTVonline=202103827")</f>
        <v>ICTVonline=202103827</v>
      </c>
    </row>
    <row r="9407" spans="1:21" x14ac:dyDescent="0.2">
      <c r="A9407" s="3">
        <v>9406</v>
      </c>
      <c r="B9407" s="1" t="s">
        <v>4226</v>
      </c>
      <c r="D9407" s="1" t="s">
        <v>5779</v>
      </c>
      <c r="F9407" s="1" t="s">
        <v>5780</v>
      </c>
      <c r="H9407" s="1" t="s">
        <v>5781</v>
      </c>
      <c r="J9407" s="1" t="s">
        <v>3558</v>
      </c>
      <c r="L9407" s="1" t="s">
        <v>1527</v>
      </c>
      <c r="N9407" s="1" t="s">
        <v>965</v>
      </c>
      <c r="P9407" s="1" t="s">
        <v>969</v>
      </c>
      <c r="Q9407" s="30" t="s">
        <v>2570</v>
      </c>
      <c r="R9407" s="33" t="s">
        <v>3474</v>
      </c>
      <c r="S9407">
        <v>35</v>
      </c>
      <c r="T9407" s="1" t="s">
        <v>5416</v>
      </c>
      <c r="U9407" s="1" t="str">
        <f>HYPERLINK("http://ictvonline.org/taxonomy/p/taxonomy-history?taxnode_id=202103828","ICTVonline=202103828")</f>
        <v>ICTVonline=202103828</v>
      </c>
    </row>
    <row r="9408" spans="1:21" x14ac:dyDescent="0.2">
      <c r="A9408" s="3">
        <v>9407</v>
      </c>
      <c r="B9408" s="1" t="s">
        <v>4226</v>
      </c>
      <c r="D9408" s="1" t="s">
        <v>5779</v>
      </c>
      <c r="F9408" s="1" t="s">
        <v>5780</v>
      </c>
      <c r="H9408" s="1" t="s">
        <v>5781</v>
      </c>
      <c r="J9408" s="1" t="s">
        <v>3558</v>
      </c>
      <c r="L9408" s="1" t="s">
        <v>1527</v>
      </c>
      <c r="N9408" s="1" t="s">
        <v>965</v>
      </c>
      <c r="P9408" s="1" t="s">
        <v>970</v>
      </c>
      <c r="Q9408" s="30" t="s">
        <v>2570</v>
      </c>
      <c r="R9408" s="33" t="s">
        <v>3474</v>
      </c>
      <c r="S9408">
        <v>35</v>
      </c>
      <c r="T9408" s="1" t="s">
        <v>5416</v>
      </c>
      <c r="U9408" s="1" t="str">
        <f>HYPERLINK("http://ictvonline.org/taxonomy/p/taxonomy-history?taxnode_id=202103829","ICTVonline=202103829")</f>
        <v>ICTVonline=202103829</v>
      </c>
    </row>
    <row r="9409" spans="1:21" x14ac:dyDescent="0.2">
      <c r="A9409" s="3">
        <v>9408</v>
      </c>
      <c r="B9409" s="1" t="s">
        <v>4226</v>
      </c>
      <c r="D9409" s="1" t="s">
        <v>5779</v>
      </c>
      <c r="F9409" s="1" t="s">
        <v>5780</v>
      </c>
      <c r="H9409" s="1" t="s">
        <v>5781</v>
      </c>
      <c r="J9409" s="1" t="s">
        <v>3558</v>
      </c>
      <c r="L9409" s="1" t="s">
        <v>1527</v>
      </c>
      <c r="N9409" s="1" t="s">
        <v>965</v>
      </c>
      <c r="P9409" s="1" t="s">
        <v>971</v>
      </c>
      <c r="Q9409" s="30" t="s">
        <v>2570</v>
      </c>
      <c r="R9409" s="33" t="s">
        <v>3474</v>
      </c>
      <c r="S9409">
        <v>35</v>
      </c>
      <c r="T9409" s="1" t="s">
        <v>5416</v>
      </c>
      <c r="U9409" s="1" t="str">
        <f>HYPERLINK("http://ictvonline.org/taxonomy/p/taxonomy-history?taxnode_id=202103830","ICTVonline=202103830")</f>
        <v>ICTVonline=202103830</v>
      </c>
    </row>
    <row r="9410" spans="1:21" x14ac:dyDescent="0.2">
      <c r="A9410" s="3">
        <v>9409</v>
      </c>
      <c r="B9410" s="1" t="s">
        <v>4226</v>
      </c>
      <c r="D9410" s="1" t="s">
        <v>5779</v>
      </c>
      <c r="F9410" s="1" t="s">
        <v>5780</v>
      </c>
      <c r="H9410" s="1" t="s">
        <v>5781</v>
      </c>
      <c r="J9410" s="1" t="s">
        <v>3558</v>
      </c>
      <c r="L9410" s="1" t="s">
        <v>1527</v>
      </c>
      <c r="N9410" s="1" t="s">
        <v>965</v>
      </c>
      <c r="P9410" s="1" t="s">
        <v>1052</v>
      </c>
      <c r="Q9410" s="30" t="s">
        <v>2570</v>
      </c>
      <c r="R9410" s="33" t="s">
        <v>3474</v>
      </c>
      <c r="S9410">
        <v>35</v>
      </c>
      <c r="T9410" s="1" t="s">
        <v>5416</v>
      </c>
      <c r="U9410" s="1" t="str">
        <f>HYPERLINK("http://ictvonline.org/taxonomy/p/taxonomy-history?taxnode_id=202103831","ICTVonline=202103831")</f>
        <v>ICTVonline=202103831</v>
      </c>
    </row>
    <row r="9411" spans="1:21" x14ac:dyDescent="0.2">
      <c r="A9411" s="3">
        <v>9410</v>
      </c>
      <c r="B9411" s="1" t="s">
        <v>4226</v>
      </c>
      <c r="D9411" s="1" t="s">
        <v>5779</v>
      </c>
      <c r="F9411" s="1" t="s">
        <v>5780</v>
      </c>
      <c r="H9411" s="1" t="s">
        <v>5781</v>
      </c>
      <c r="J9411" s="1" t="s">
        <v>3558</v>
      </c>
      <c r="L9411" s="1" t="s">
        <v>1527</v>
      </c>
      <c r="N9411" s="1" t="s">
        <v>965</v>
      </c>
      <c r="P9411" s="1" t="s">
        <v>1053</v>
      </c>
      <c r="Q9411" s="30" t="s">
        <v>2570</v>
      </c>
      <c r="R9411" s="33" t="s">
        <v>3474</v>
      </c>
      <c r="S9411">
        <v>35</v>
      </c>
      <c r="T9411" s="1" t="s">
        <v>5416</v>
      </c>
      <c r="U9411" s="1" t="str">
        <f>HYPERLINK("http://ictvonline.org/taxonomy/p/taxonomy-history?taxnode_id=202103832","ICTVonline=202103832")</f>
        <v>ICTVonline=202103832</v>
      </c>
    </row>
    <row r="9412" spans="1:21" x14ac:dyDescent="0.2">
      <c r="A9412" s="3">
        <v>9411</v>
      </c>
      <c r="B9412" s="1" t="s">
        <v>4226</v>
      </c>
      <c r="D9412" s="1" t="s">
        <v>5779</v>
      </c>
      <c r="F9412" s="1" t="s">
        <v>5780</v>
      </c>
      <c r="H9412" s="1" t="s">
        <v>5781</v>
      </c>
      <c r="J9412" s="1" t="s">
        <v>3558</v>
      </c>
      <c r="L9412" s="1" t="s">
        <v>1527</v>
      </c>
      <c r="N9412" s="1" t="s">
        <v>965</v>
      </c>
      <c r="P9412" s="1" t="s">
        <v>1054</v>
      </c>
      <c r="Q9412" s="30" t="s">
        <v>2570</v>
      </c>
      <c r="R9412" s="33" t="s">
        <v>3474</v>
      </c>
      <c r="S9412">
        <v>35</v>
      </c>
      <c r="T9412" s="1" t="s">
        <v>5416</v>
      </c>
      <c r="U9412" s="1" t="str">
        <f>HYPERLINK("http://ictvonline.org/taxonomy/p/taxonomy-history?taxnode_id=202103833","ICTVonline=202103833")</f>
        <v>ICTVonline=202103833</v>
      </c>
    </row>
    <row r="9413" spans="1:21" x14ac:dyDescent="0.2">
      <c r="A9413" s="3">
        <v>9412</v>
      </c>
      <c r="B9413" s="1" t="s">
        <v>4226</v>
      </c>
      <c r="D9413" s="1" t="s">
        <v>5779</v>
      </c>
      <c r="F9413" s="1" t="s">
        <v>5780</v>
      </c>
      <c r="H9413" s="1" t="s">
        <v>5781</v>
      </c>
      <c r="J9413" s="1" t="s">
        <v>3558</v>
      </c>
      <c r="L9413" s="1" t="s">
        <v>1527</v>
      </c>
      <c r="N9413" s="1" t="s">
        <v>965</v>
      </c>
      <c r="P9413" s="1" t="s">
        <v>1055</v>
      </c>
      <c r="Q9413" s="30" t="s">
        <v>2570</v>
      </c>
      <c r="R9413" s="33" t="s">
        <v>3474</v>
      </c>
      <c r="S9413">
        <v>35</v>
      </c>
      <c r="T9413" s="1" t="s">
        <v>5416</v>
      </c>
      <c r="U9413" s="1" t="str">
        <f>HYPERLINK("http://ictvonline.org/taxonomy/p/taxonomy-history?taxnode_id=202103834","ICTVonline=202103834")</f>
        <v>ICTVonline=202103834</v>
      </c>
    </row>
    <row r="9414" spans="1:21" x14ac:dyDescent="0.2">
      <c r="A9414" s="3">
        <v>9413</v>
      </c>
      <c r="B9414" s="1" t="s">
        <v>4226</v>
      </c>
      <c r="D9414" s="1" t="s">
        <v>5779</v>
      </c>
      <c r="F9414" s="1" t="s">
        <v>5780</v>
      </c>
      <c r="H9414" s="1" t="s">
        <v>5781</v>
      </c>
      <c r="J9414" s="1" t="s">
        <v>3558</v>
      </c>
      <c r="L9414" s="1" t="s">
        <v>1527</v>
      </c>
      <c r="N9414" s="1" t="s">
        <v>965</v>
      </c>
      <c r="P9414" s="1" t="s">
        <v>1056</v>
      </c>
      <c r="Q9414" s="30" t="s">
        <v>2570</v>
      </c>
      <c r="R9414" s="33" t="s">
        <v>3474</v>
      </c>
      <c r="S9414">
        <v>35</v>
      </c>
      <c r="T9414" s="1" t="s">
        <v>5416</v>
      </c>
      <c r="U9414" s="1" t="str">
        <f>HYPERLINK("http://ictvonline.org/taxonomy/p/taxonomy-history?taxnode_id=202103835","ICTVonline=202103835")</f>
        <v>ICTVonline=202103835</v>
      </c>
    </row>
    <row r="9415" spans="1:21" x14ac:dyDescent="0.2">
      <c r="A9415" s="3">
        <v>9414</v>
      </c>
      <c r="B9415" s="1" t="s">
        <v>4226</v>
      </c>
      <c r="D9415" s="1" t="s">
        <v>5779</v>
      </c>
      <c r="F9415" s="1" t="s">
        <v>5780</v>
      </c>
      <c r="H9415" s="1" t="s">
        <v>5781</v>
      </c>
      <c r="J9415" s="1" t="s">
        <v>3558</v>
      </c>
      <c r="L9415" s="1" t="s">
        <v>1527</v>
      </c>
      <c r="N9415" s="1" t="s">
        <v>965</v>
      </c>
      <c r="P9415" s="1" t="s">
        <v>1057</v>
      </c>
      <c r="Q9415" s="30" t="s">
        <v>2570</v>
      </c>
      <c r="R9415" s="33" t="s">
        <v>3474</v>
      </c>
      <c r="S9415">
        <v>35</v>
      </c>
      <c r="T9415" s="1" t="s">
        <v>5416</v>
      </c>
      <c r="U9415" s="1" t="str">
        <f>HYPERLINK("http://ictvonline.org/taxonomy/p/taxonomy-history?taxnode_id=202103836","ICTVonline=202103836")</f>
        <v>ICTVonline=202103836</v>
      </c>
    </row>
    <row r="9416" spans="1:21" x14ac:dyDescent="0.2">
      <c r="A9416" s="3">
        <v>9415</v>
      </c>
      <c r="B9416" s="1" t="s">
        <v>4226</v>
      </c>
      <c r="D9416" s="1" t="s">
        <v>5779</v>
      </c>
      <c r="F9416" s="1" t="s">
        <v>5780</v>
      </c>
      <c r="H9416" s="1" t="s">
        <v>5781</v>
      </c>
      <c r="J9416" s="1" t="s">
        <v>3558</v>
      </c>
      <c r="L9416" s="1" t="s">
        <v>1527</v>
      </c>
      <c r="N9416" s="1" t="s">
        <v>965</v>
      </c>
      <c r="P9416" s="1" t="s">
        <v>1559</v>
      </c>
      <c r="Q9416" s="30" t="s">
        <v>2570</v>
      </c>
      <c r="R9416" s="33" t="s">
        <v>3474</v>
      </c>
      <c r="S9416">
        <v>35</v>
      </c>
      <c r="T9416" s="1" t="s">
        <v>5416</v>
      </c>
      <c r="U9416" s="1" t="str">
        <f>HYPERLINK("http://ictvonline.org/taxonomy/p/taxonomy-history?taxnode_id=202103837","ICTVonline=202103837")</f>
        <v>ICTVonline=202103837</v>
      </c>
    </row>
    <row r="9417" spans="1:21" x14ac:dyDescent="0.2">
      <c r="A9417" s="3">
        <v>9416</v>
      </c>
      <c r="B9417" s="1" t="s">
        <v>4226</v>
      </c>
      <c r="D9417" s="1" t="s">
        <v>5779</v>
      </c>
      <c r="F9417" s="1" t="s">
        <v>5780</v>
      </c>
      <c r="H9417" s="1" t="s">
        <v>5781</v>
      </c>
      <c r="J9417" s="1" t="s">
        <v>3558</v>
      </c>
      <c r="L9417" s="1" t="s">
        <v>1527</v>
      </c>
      <c r="N9417" s="1" t="s">
        <v>965</v>
      </c>
      <c r="P9417" s="1" t="s">
        <v>1560</v>
      </c>
      <c r="Q9417" s="30" t="s">
        <v>2570</v>
      </c>
      <c r="R9417" s="33" t="s">
        <v>3474</v>
      </c>
      <c r="S9417">
        <v>35</v>
      </c>
      <c r="T9417" s="1" t="s">
        <v>5416</v>
      </c>
      <c r="U9417" s="1" t="str">
        <f>HYPERLINK("http://ictvonline.org/taxonomy/p/taxonomy-history?taxnode_id=202103838","ICTVonline=202103838")</f>
        <v>ICTVonline=202103838</v>
      </c>
    </row>
    <row r="9418" spans="1:21" x14ac:dyDescent="0.2">
      <c r="A9418" s="3">
        <v>9417</v>
      </c>
      <c r="B9418" s="1" t="s">
        <v>4226</v>
      </c>
      <c r="D9418" s="1" t="s">
        <v>5779</v>
      </c>
      <c r="F9418" s="1" t="s">
        <v>5780</v>
      </c>
      <c r="H9418" s="1" t="s">
        <v>5781</v>
      </c>
      <c r="J9418" s="1" t="s">
        <v>3558</v>
      </c>
      <c r="L9418" s="1" t="s">
        <v>1527</v>
      </c>
      <c r="N9418" s="1" t="s">
        <v>965</v>
      </c>
      <c r="P9418" s="1" t="s">
        <v>1561</v>
      </c>
      <c r="Q9418" s="30" t="s">
        <v>2570</v>
      </c>
      <c r="R9418" s="33" t="s">
        <v>3474</v>
      </c>
      <c r="S9418">
        <v>35</v>
      </c>
      <c r="T9418" s="1" t="s">
        <v>5416</v>
      </c>
      <c r="U9418" s="1" t="str">
        <f>HYPERLINK("http://ictvonline.org/taxonomy/p/taxonomy-history?taxnode_id=202103839","ICTVonline=202103839")</f>
        <v>ICTVonline=202103839</v>
      </c>
    </row>
    <row r="9419" spans="1:21" x14ac:dyDescent="0.2">
      <c r="A9419" s="3">
        <v>9418</v>
      </c>
      <c r="B9419" s="1" t="s">
        <v>4226</v>
      </c>
      <c r="D9419" s="1" t="s">
        <v>5779</v>
      </c>
      <c r="F9419" s="1" t="s">
        <v>5780</v>
      </c>
      <c r="H9419" s="1" t="s">
        <v>5781</v>
      </c>
      <c r="J9419" s="1" t="s">
        <v>3558</v>
      </c>
      <c r="L9419" s="1" t="s">
        <v>1527</v>
      </c>
      <c r="N9419" s="1" t="s">
        <v>965</v>
      </c>
      <c r="P9419" s="1" t="s">
        <v>1562</v>
      </c>
      <c r="Q9419" s="30" t="s">
        <v>2570</v>
      </c>
      <c r="R9419" s="33" t="s">
        <v>8665</v>
      </c>
      <c r="S9419">
        <v>36</v>
      </c>
      <c r="T9419" s="1" t="s">
        <v>8661</v>
      </c>
      <c r="U9419" s="1" t="str">
        <f>HYPERLINK("http://ictvonline.org/taxonomy/p/taxonomy-history?taxnode_id=202103840","ICTVonline=202103840")</f>
        <v>ICTVonline=202103840</v>
      </c>
    </row>
    <row r="9420" spans="1:21" x14ac:dyDescent="0.2">
      <c r="A9420" s="3">
        <v>9419</v>
      </c>
      <c r="B9420" s="1" t="s">
        <v>4226</v>
      </c>
      <c r="D9420" s="1" t="s">
        <v>5779</v>
      </c>
      <c r="F9420" s="1" t="s">
        <v>5780</v>
      </c>
      <c r="H9420" s="1" t="s">
        <v>5781</v>
      </c>
      <c r="J9420" s="1" t="s">
        <v>3558</v>
      </c>
      <c r="L9420" s="1" t="s">
        <v>1527</v>
      </c>
      <c r="N9420" s="1" t="s">
        <v>965</v>
      </c>
      <c r="P9420" s="1" t="s">
        <v>1563</v>
      </c>
      <c r="Q9420" s="30" t="s">
        <v>2570</v>
      </c>
      <c r="R9420" s="33" t="s">
        <v>3474</v>
      </c>
      <c r="S9420">
        <v>35</v>
      </c>
      <c r="T9420" s="1" t="s">
        <v>5416</v>
      </c>
      <c r="U9420" s="1" t="str">
        <f>HYPERLINK("http://ictvonline.org/taxonomy/p/taxonomy-history?taxnode_id=202103841","ICTVonline=202103841")</f>
        <v>ICTVonline=202103841</v>
      </c>
    </row>
    <row r="9421" spans="1:21" x14ac:dyDescent="0.2">
      <c r="A9421" s="3">
        <v>9420</v>
      </c>
      <c r="B9421" s="1" t="s">
        <v>4226</v>
      </c>
      <c r="D9421" s="1" t="s">
        <v>5779</v>
      </c>
      <c r="F9421" s="1" t="s">
        <v>5780</v>
      </c>
      <c r="H9421" s="1" t="s">
        <v>5781</v>
      </c>
      <c r="J9421" s="1" t="s">
        <v>3558</v>
      </c>
      <c r="L9421" s="1" t="s">
        <v>1527</v>
      </c>
      <c r="N9421" s="1" t="s">
        <v>965</v>
      </c>
      <c r="P9421" s="1" t="s">
        <v>1555</v>
      </c>
      <c r="Q9421" s="30" t="s">
        <v>2570</v>
      </c>
      <c r="R9421" s="33" t="s">
        <v>3474</v>
      </c>
      <c r="S9421">
        <v>35</v>
      </c>
      <c r="T9421" s="1" t="s">
        <v>5416</v>
      </c>
      <c r="U9421" s="1" t="str">
        <f>HYPERLINK("http://ictvonline.org/taxonomy/p/taxonomy-history?taxnode_id=202103842","ICTVonline=202103842")</f>
        <v>ICTVonline=202103842</v>
      </c>
    </row>
    <row r="9422" spans="1:21" x14ac:dyDescent="0.2">
      <c r="A9422" s="3">
        <v>9421</v>
      </c>
      <c r="B9422" s="1" t="s">
        <v>4226</v>
      </c>
      <c r="D9422" s="1" t="s">
        <v>5779</v>
      </c>
      <c r="F9422" s="1" t="s">
        <v>5780</v>
      </c>
      <c r="H9422" s="1" t="s">
        <v>5781</v>
      </c>
      <c r="J9422" s="1" t="s">
        <v>3558</v>
      </c>
      <c r="L9422" s="1" t="s">
        <v>1527</v>
      </c>
      <c r="N9422" s="1" t="s">
        <v>965</v>
      </c>
      <c r="P9422" s="1" t="s">
        <v>1556</v>
      </c>
      <c r="Q9422" s="30" t="s">
        <v>2570</v>
      </c>
      <c r="R9422" s="33" t="s">
        <v>3474</v>
      </c>
      <c r="S9422">
        <v>35</v>
      </c>
      <c r="T9422" s="1" t="s">
        <v>5416</v>
      </c>
      <c r="U9422" s="1" t="str">
        <f>HYPERLINK("http://ictvonline.org/taxonomy/p/taxonomy-history?taxnode_id=202103843","ICTVonline=202103843")</f>
        <v>ICTVonline=202103843</v>
      </c>
    </row>
    <row r="9423" spans="1:21" x14ac:dyDescent="0.2">
      <c r="A9423" s="3">
        <v>9422</v>
      </c>
      <c r="B9423" s="1" t="s">
        <v>4226</v>
      </c>
      <c r="D9423" s="1" t="s">
        <v>5779</v>
      </c>
      <c r="F9423" s="1" t="s">
        <v>5780</v>
      </c>
      <c r="H9423" s="1" t="s">
        <v>5781</v>
      </c>
      <c r="J9423" s="1" t="s">
        <v>3558</v>
      </c>
      <c r="L9423" s="1" t="s">
        <v>1527</v>
      </c>
      <c r="N9423" s="1" t="s">
        <v>965</v>
      </c>
      <c r="P9423" s="1" t="s">
        <v>1557</v>
      </c>
      <c r="Q9423" s="30" t="s">
        <v>2570</v>
      </c>
      <c r="R9423" s="33" t="s">
        <v>3474</v>
      </c>
      <c r="S9423">
        <v>35</v>
      </c>
      <c r="T9423" s="1" t="s">
        <v>5416</v>
      </c>
      <c r="U9423" s="1" t="str">
        <f>HYPERLINK("http://ictvonline.org/taxonomy/p/taxonomy-history?taxnode_id=202103844","ICTVonline=202103844")</f>
        <v>ICTVonline=202103844</v>
      </c>
    </row>
    <row r="9424" spans="1:21" x14ac:dyDescent="0.2">
      <c r="A9424" s="3">
        <v>9423</v>
      </c>
      <c r="B9424" s="1" t="s">
        <v>4226</v>
      </c>
      <c r="D9424" s="1" t="s">
        <v>5779</v>
      </c>
      <c r="F9424" s="1" t="s">
        <v>5780</v>
      </c>
      <c r="H9424" s="1" t="s">
        <v>5781</v>
      </c>
      <c r="J9424" s="1" t="s">
        <v>3558</v>
      </c>
      <c r="L9424" s="1" t="s">
        <v>1527</v>
      </c>
      <c r="N9424" s="1" t="s">
        <v>965</v>
      </c>
      <c r="P9424" s="1" t="s">
        <v>1558</v>
      </c>
      <c r="Q9424" s="30" t="s">
        <v>2570</v>
      </c>
      <c r="R9424" s="33" t="s">
        <v>3474</v>
      </c>
      <c r="S9424">
        <v>35</v>
      </c>
      <c r="T9424" s="1" t="s">
        <v>5416</v>
      </c>
      <c r="U9424" s="1" t="str">
        <f>HYPERLINK("http://ictvonline.org/taxonomy/p/taxonomy-history?taxnode_id=202103845","ICTVonline=202103845")</f>
        <v>ICTVonline=202103845</v>
      </c>
    </row>
    <row r="9425" spans="1:21" x14ac:dyDescent="0.2">
      <c r="A9425" s="3">
        <v>9424</v>
      </c>
      <c r="B9425" s="1" t="s">
        <v>4226</v>
      </c>
      <c r="D9425" s="1" t="s">
        <v>5779</v>
      </c>
      <c r="F9425" s="1" t="s">
        <v>5780</v>
      </c>
      <c r="H9425" s="1" t="s">
        <v>5781</v>
      </c>
      <c r="J9425" s="1" t="s">
        <v>3558</v>
      </c>
      <c r="L9425" s="1" t="s">
        <v>1997</v>
      </c>
      <c r="N9425" s="1" t="s">
        <v>1998</v>
      </c>
      <c r="P9425" s="1" t="s">
        <v>1413</v>
      </c>
      <c r="Q9425" s="30" t="s">
        <v>2570</v>
      </c>
      <c r="R9425" s="33" t="s">
        <v>3474</v>
      </c>
      <c r="S9425">
        <v>35</v>
      </c>
      <c r="T9425" s="1" t="s">
        <v>5416</v>
      </c>
      <c r="U9425" s="1" t="str">
        <f>HYPERLINK("http://ictvonline.org/taxonomy/p/taxonomy-history?taxnode_id=202104830","ICTVonline=202104830")</f>
        <v>ICTVonline=202104830</v>
      </c>
    </row>
    <row r="9426" spans="1:21" x14ac:dyDescent="0.2">
      <c r="A9426" s="3">
        <v>9425</v>
      </c>
      <c r="B9426" s="1" t="s">
        <v>4226</v>
      </c>
      <c r="D9426" s="1" t="s">
        <v>5779</v>
      </c>
      <c r="F9426" s="1" t="s">
        <v>5780</v>
      </c>
      <c r="H9426" s="1" t="s">
        <v>5781</v>
      </c>
      <c r="J9426" s="1" t="s">
        <v>3558</v>
      </c>
      <c r="L9426" s="1" t="s">
        <v>1997</v>
      </c>
      <c r="N9426" s="1" t="s">
        <v>1998</v>
      </c>
      <c r="P9426" s="1" t="s">
        <v>1414</v>
      </c>
      <c r="Q9426" s="30" t="s">
        <v>2570</v>
      </c>
      <c r="R9426" s="33" t="s">
        <v>3474</v>
      </c>
      <c r="S9426">
        <v>35</v>
      </c>
      <c r="T9426" s="1" t="s">
        <v>5416</v>
      </c>
      <c r="U9426" s="1" t="str">
        <f>HYPERLINK("http://ictvonline.org/taxonomy/p/taxonomy-history?taxnode_id=202104831","ICTVonline=202104831")</f>
        <v>ICTVonline=202104831</v>
      </c>
    </row>
    <row r="9427" spans="1:21" x14ac:dyDescent="0.2">
      <c r="A9427" s="3">
        <v>9426</v>
      </c>
      <c r="B9427" s="1" t="s">
        <v>4226</v>
      </c>
      <c r="D9427" s="1" t="s">
        <v>5779</v>
      </c>
      <c r="F9427" s="1" t="s">
        <v>5780</v>
      </c>
      <c r="H9427" s="1" t="s">
        <v>5781</v>
      </c>
      <c r="J9427" s="1" t="s">
        <v>3558</v>
      </c>
      <c r="L9427" s="1" t="s">
        <v>1997</v>
      </c>
      <c r="N9427" s="1" t="s">
        <v>1998</v>
      </c>
      <c r="P9427" s="1" t="s">
        <v>1449</v>
      </c>
      <c r="Q9427" s="30" t="s">
        <v>2570</v>
      </c>
      <c r="R9427" s="33" t="s">
        <v>3474</v>
      </c>
      <c r="S9427">
        <v>35</v>
      </c>
      <c r="T9427" s="1" t="s">
        <v>5416</v>
      </c>
      <c r="U9427" s="1" t="str">
        <f>HYPERLINK("http://ictvonline.org/taxonomy/p/taxonomy-history?taxnode_id=202104832","ICTVonline=202104832")</f>
        <v>ICTVonline=202104832</v>
      </c>
    </row>
    <row r="9428" spans="1:21" x14ac:dyDescent="0.2">
      <c r="A9428" s="3">
        <v>9427</v>
      </c>
      <c r="B9428" s="1" t="s">
        <v>4226</v>
      </c>
      <c r="D9428" s="1" t="s">
        <v>5779</v>
      </c>
      <c r="F9428" s="1" t="s">
        <v>5780</v>
      </c>
      <c r="H9428" s="1" t="s">
        <v>5781</v>
      </c>
      <c r="J9428" s="1" t="s">
        <v>3558</v>
      </c>
      <c r="L9428" s="1" t="s">
        <v>1997</v>
      </c>
      <c r="N9428" s="1" t="s">
        <v>1998</v>
      </c>
      <c r="P9428" s="1" t="s">
        <v>1450</v>
      </c>
      <c r="Q9428" s="30" t="s">
        <v>2570</v>
      </c>
      <c r="R9428" s="33" t="s">
        <v>3474</v>
      </c>
      <c r="S9428">
        <v>35</v>
      </c>
      <c r="T9428" s="1" t="s">
        <v>5416</v>
      </c>
      <c r="U9428" s="1" t="str">
        <f>HYPERLINK("http://ictvonline.org/taxonomy/p/taxonomy-history?taxnode_id=202104833","ICTVonline=202104833")</f>
        <v>ICTVonline=202104833</v>
      </c>
    </row>
    <row r="9429" spans="1:21" x14ac:dyDescent="0.2">
      <c r="A9429" s="3">
        <v>9428</v>
      </c>
      <c r="B9429" s="1" t="s">
        <v>4226</v>
      </c>
      <c r="D9429" s="1" t="s">
        <v>5779</v>
      </c>
      <c r="F9429" s="1" t="s">
        <v>5780</v>
      </c>
      <c r="H9429" s="1" t="s">
        <v>5781</v>
      </c>
      <c r="J9429" s="1" t="s">
        <v>3558</v>
      </c>
      <c r="L9429" s="1" t="s">
        <v>1997</v>
      </c>
      <c r="N9429" s="1" t="s">
        <v>1998</v>
      </c>
      <c r="P9429" s="1" t="s">
        <v>1748</v>
      </c>
      <c r="Q9429" s="30" t="s">
        <v>2570</v>
      </c>
      <c r="R9429" s="33" t="s">
        <v>8665</v>
      </c>
      <c r="S9429">
        <v>36</v>
      </c>
      <c r="T9429" s="1" t="s">
        <v>8661</v>
      </c>
      <c r="U9429" s="1" t="str">
        <f>HYPERLINK("http://ictvonline.org/taxonomy/p/taxonomy-history?taxnode_id=202104834","ICTVonline=202104834")</f>
        <v>ICTVonline=202104834</v>
      </c>
    </row>
    <row r="9430" spans="1:21" x14ac:dyDescent="0.2">
      <c r="A9430" s="3">
        <v>9429</v>
      </c>
      <c r="B9430" s="1" t="s">
        <v>4226</v>
      </c>
      <c r="D9430" s="1" t="s">
        <v>5779</v>
      </c>
      <c r="F9430" s="1" t="s">
        <v>5780</v>
      </c>
      <c r="H9430" s="1" t="s">
        <v>5781</v>
      </c>
      <c r="J9430" s="1" t="s">
        <v>3558</v>
      </c>
      <c r="L9430" s="1" t="s">
        <v>1997</v>
      </c>
      <c r="N9430" s="1" t="s">
        <v>1998</v>
      </c>
      <c r="P9430" s="1" t="s">
        <v>1749</v>
      </c>
      <c r="Q9430" s="30" t="s">
        <v>2570</v>
      </c>
      <c r="R9430" s="33" t="s">
        <v>3474</v>
      </c>
      <c r="S9430">
        <v>35</v>
      </c>
      <c r="T9430" s="1" t="s">
        <v>5416</v>
      </c>
      <c r="U9430" s="1" t="str">
        <f>HYPERLINK("http://ictvonline.org/taxonomy/p/taxonomy-history?taxnode_id=202104835","ICTVonline=202104835")</f>
        <v>ICTVonline=202104835</v>
      </c>
    </row>
    <row r="9431" spans="1:21" x14ac:dyDescent="0.2">
      <c r="A9431" s="3">
        <v>9430</v>
      </c>
      <c r="B9431" s="1" t="s">
        <v>4226</v>
      </c>
      <c r="D9431" s="1" t="s">
        <v>5779</v>
      </c>
      <c r="F9431" s="1" t="s">
        <v>5780</v>
      </c>
      <c r="H9431" s="1" t="s">
        <v>5781</v>
      </c>
      <c r="J9431" s="1" t="s">
        <v>3558</v>
      </c>
      <c r="L9431" s="1" t="s">
        <v>1997</v>
      </c>
      <c r="N9431" s="1" t="s">
        <v>1998</v>
      </c>
      <c r="P9431" s="1" t="s">
        <v>1941</v>
      </c>
      <c r="Q9431" s="30" t="s">
        <v>2570</v>
      </c>
      <c r="R9431" s="33" t="s">
        <v>3474</v>
      </c>
      <c r="S9431">
        <v>35</v>
      </c>
      <c r="T9431" s="1" t="s">
        <v>5416</v>
      </c>
      <c r="U9431" s="1" t="str">
        <f>HYPERLINK("http://ictvonline.org/taxonomy/p/taxonomy-history?taxnode_id=202104836","ICTVonline=202104836")</f>
        <v>ICTVonline=202104836</v>
      </c>
    </row>
    <row r="9432" spans="1:21" x14ac:dyDescent="0.2">
      <c r="A9432" s="3">
        <v>9431</v>
      </c>
      <c r="B9432" s="1" t="s">
        <v>4226</v>
      </c>
      <c r="D9432" s="1" t="s">
        <v>5779</v>
      </c>
      <c r="F9432" s="1" t="s">
        <v>5780</v>
      </c>
      <c r="H9432" s="1" t="s">
        <v>5781</v>
      </c>
      <c r="J9432" s="1" t="s">
        <v>3558</v>
      </c>
      <c r="L9432" s="1" t="s">
        <v>1997</v>
      </c>
      <c r="N9432" s="1" t="s">
        <v>1998</v>
      </c>
      <c r="P9432" s="1" t="s">
        <v>1766</v>
      </c>
      <c r="Q9432" s="30" t="s">
        <v>2570</v>
      </c>
      <c r="R9432" s="33" t="s">
        <v>3474</v>
      </c>
      <c r="S9432">
        <v>35</v>
      </c>
      <c r="T9432" s="1" t="s">
        <v>5416</v>
      </c>
      <c r="U9432" s="1" t="str">
        <f>HYPERLINK("http://ictvonline.org/taxonomy/p/taxonomy-history?taxnode_id=202104837","ICTVonline=202104837")</f>
        <v>ICTVonline=202104837</v>
      </c>
    </row>
    <row r="9433" spans="1:21" x14ac:dyDescent="0.2">
      <c r="A9433" s="3">
        <v>9432</v>
      </c>
      <c r="B9433" s="1" t="s">
        <v>4226</v>
      </c>
      <c r="D9433" s="1" t="s">
        <v>5779</v>
      </c>
      <c r="F9433" s="1" t="s">
        <v>5780</v>
      </c>
      <c r="H9433" s="1" t="s">
        <v>5781</v>
      </c>
      <c r="J9433" s="1" t="s">
        <v>3558</v>
      </c>
      <c r="L9433" s="1" t="s">
        <v>1997</v>
      </c>
      <c r="N9433" s="1" t="s">
        <v>1767</v>
      </c>
      <c r="P9433" s="1" t="s">
        <v>276</v>
      </c>
      <c r="Q9433" s="30" t="s">
        <v>2570</v>
      </c>
      <c r="R9433" s="33" t="s">
        <v>3474</v>
      </c>
      <c r="S9433">
        <v>35</v>
      </c>
      <c r="T9433" s="1" t="s">
        <v>5416</v>
      </c>
      <c r="U9433" s="1" t="str">
        <f>HYPERLINK("http://ictvonline.org/taxonomy/p/taxonomy-history?taxnode_id=202104839","ICTVonline=202104839")</f>
        <v>ICTVonline=202104839</v>
      </c>
    </row>
    <row r="9434" spans="1:21" x14ac:dyDescent="0.2">
      <c r="A9434" s="3">
        <v>9433</v>
      </c>
      <c r="B9434" s="1" t="s">
        <v>4226</v>
      </c>
      <c r="D9434" s="1" t="s">
        <v>5779</v>
      </c>
      <c r="F9434" s="1" t="s">
        <v>5780</v>
      </c>
      <c r="H9434" s="1" t="s">
        <v>5781</v>
      </c>
      <c r="J9434" s="1" t="s">
        <v>3558</v>
      </c>
      <c r="L9434" s="1" t="s">
        <v>1997</v>
      </c>
      <c r="N9434" s="1" t="s">
        <v>1767</v>
      </c>
      <c r="P9434" s="1" t="s">
        <v>277</v>
      </c>
      <c r="Q9434" s="30" t="s">
        <v>2570</v>
      </c>
      <c r="R9434" s="33" t="s">
        <v>3474</v>
      </c>
      <c r="S9434">
        <v>35</v>
      </c>
      <c r="T9434" s="1" t="s">
        <v>5416</v>
      </c>
      <c r="U9434" s="1" t="str">
        <f>HYPERLINK("http://ictvonline.org/taxonomy/p/taxonomy-history?taxnode_id=202104840","ICTVonline=202104840")</f>
        <v>ICTVonline=202104840</v>
      </c>
    </row>
    <row r="9435" spans="1:21" x14ac:dyDescent="0.2">
      <c r="A9435" s="3">
        <v>9434</v>
      </c>
      <c r="B9435" s="1" t="s">
        <v>4226</v>
      </c>
      <c r="D9435" s="1" t="s">
        <v>5779</v>
      </c>
      <c r="F9435" s="1" t="s">
        <v>5780</v>
      </c>
      <c r="H9435" s="1" t="s">
        <v>5781</v>
      </c>
      <c r="J9435" s="1" t="s">
        <v>3558</v>
      </c>
      <c r="L9435" s="1" t="s">
        <v>1997</v>
      </c>
      <c r="N9435" s="1" t="s">
        <v>1767</v>
      </c>
      <c r="P9435" s="1" t="s">
        <v>2576</v>
      </c>
      <c r="Q9435" s="30" t="s">
        <v>2570</v>
      </c>
      <c r="R9435" s="33" t="s">
        <v>3474</v>
      </c>
      <c r="S9435">
        <v>35</v>
      </c>
      <c r="T9435" s="1" t="s">
        <v>5416</v>
      </c>
      <c r="U9435" s="1" t="str">
        <f>HYPERLINK("http://ictvonline.org/taxonomy/p/taxonomy-history?taxnode_id=202104841","ICTVonline=202104841")</f>
        <v>ICTVonline=202104841</v>
      </c>
    </row>
    <row r="9436" spans="1:21" x14ac:dyDescent="0.2">
      <c r="A9436" s="3">
        <v>9435</v>
      </c>
      <c r="B9436" s="1" t="s">
        <v>4226</v>
      </c>
      <c r="D9436" s="1" t="s">
        <v>5779</v>
      </c>
      <c r="F9436" s="1" t="s">
        <v>5780</v>
      </c>
      <c r="H9436" s="1" t="s">
        <v>5781</v>
      </c>
      <c r="J9436" s="1" t="s">
        <v>3558</v>
      </c>
      <c r="L9436" s="1" t="s">
        <v>1997</v>
      </c>
      <c r="N9436" s="1" t="s">
        <v>1767</v>
      </c>
      <c r="P9436" s="1" t="s">
        <v>1186</v>
      </c>
      <c r="Q9436" s="30" t="s">
        <v>2570</v>
      </c>
      <c r="R9436" s="33" t="s">
        <v>3474</v>
      </c>
      <c r="S9436">
        <v>35</v>
      </c>
      <c r="T9436" s="1" t="s">
        <v>5416</v>
      </c>
      <c r="U9436" s="1" t="str">
        <f>HYPERLINK("http://ictvonline.org/taxonomy/p/taxonomy-history?taxnode_id=202104842","ICTVonline=202104842")</f>
        <v>ICTVonline=202104842</v>
      </c>
    </row>
    <row r="9437" spans="1:21" x14ac:dyDescent="0.2">
      <c r="A9437" s="3">
        <v>9436</v>
      </c>
      <c r="B9437" s="1" t="s">
        <v>4226</v>
      </c>
      <c r="D9437" s="1" t="s">
        <v>5779</v>
      </c>
      <c r="F9437" s="1" t="s">
        <v>5780</v>
      </c>
      <c r="H9437" s="1" t="s">
        <v>5781</v>
      </c>
      <c r="J9437" s="1" t="s">
        <v>3558</v>
      </c>
      <c r="L9437" s="1" t="s">
        <v>1997</v>
      </c>
      <c r="N9437" s="1" t="s">
        <v>1767</v>
      </c>
      <c r="P9437" s="1" t="s">
        <v>1187</v>
      </c>
      <c r="Q9437" s="30" t="s">
        <v>2570</v>
      </c>
      <c r="R9437" s="33" t="s">
        <v>3474</v>
      </c>
      <c r="S9437">
        <v>35</v>
      </c>
      <c r="T9437" s="1" t="s">
        <v>5416</v>
      </c>
      <c r="U9437" s="1" t="str">
        <f>HYPERLINK("http://ictvonline.org/taxonomy/p/taxonomy-history?taxnode_id=202104843","ICTVonline=202104843")</f>
        <v>ICTVonline=202104843</v>
      </c>
    </row>
    <row r="9438" spans="1:21" x14ac:dyDescent="0.2">
      <c r="A9438" s="3">
        <v>9437</v>
      </c>
      <c r="B9438" s="1" t="s">
        <v>4226</v>
      </c>
      <c r="D9438" s="1" t="s">
        <v>5779</v>
      </c>
      <c r="F9438" s="1" t="s">
        <v>5780</v>
      </c>
      <c r="H9438" s="1" t="s">
        <v>5781</v>
      </c>
      <c r="J9438" s="1" t="s">
        <v>3558</v>
      </c>
      <c r="L9438" s="1" t="s">
        <v>1997</v>
      </c>
      <c r="N9438" s="1" t="s">
        <v>1767</v>
      </c>
      <c r="P9438" s="1" t="s">
        <v>1188</v>
      </c>
      <c r="Q9438" s="30" t="s">
        <v>2570</v>
      </c>
      <c r="R9438" s="33" t="s">
        <v>3474</v>
      </c>
      <c r="S9438">
        <v>35</v>
      </c>
      <c r="T9438" s="1" t="s">
        <v>5416</v>
      </c>
      <c r="U9438" s="1" t="str">
        <f>HYPERLINK("http://ictvonline.org/taxonomy/p/taxonomy-history?taxnode_id=202104844","ICTVonline=202104844")</f>
        <v>ICTVonline=202104844</v>
      </c>
    </row>
    <row r="9439" spans="1:21" x14ac:dyDescent="0.2">
      <c r="A9439" s="3">
        <v>9438</v>
      </c>
      <c r="B9439" s="1" t="s">
        <v>4226</v>
      </c>
      <c r="D9439" s="1" t="s">
        <v>5779</v>
      </c>
      <c r="F9439" s="1" t="s">
        <v>5780</v>
      </c>
      <c r="H9439" s="1" t="s">
        <v>5781</v>
      </c>
      <c r="J9439" s="1" t="s">
        <v>3558</v>
      </c>
      <c r="L9439" s="1" t="s">
        <v>1997</v>
      </c>
      <c r="N9439" s="1" t="s">
        <v>1767</v>
      </c>
      <c r="P9439" s="1" t="s">
        <v>1189</v>
      </c>
      <c r="Q9439" s="30" t="s">
        <v>2570</v>
      </c>
      <c r="R9439" s="33" t="s">
        <v>3474</v>
      </c>
      <c r="S9439">
        <v>35</v>
      </c>
      <c r="T9439" s="1" t="s">
        <v>5416</v>
      </c>
      <c r="U9439" s="1" t="str">
        <f>HYPERLINK("http://ictvonline.org/taxonomy/p/taxonomy-history?taxnode_id=202104845","ICTVonline=202104845")</f>
        <v>ICTVonline=202104845</v>
      </c>
    </row>
    <row r="9440" spans="1:21" x14ac:dyDescent="0.2">
      <c r="A9440" s="3">
        <v>9439</v>
      </c>
      <c r="B9440" s="1" t="s">
        <v>4226</v>
      </c>
      <c r="D9440" s="1" t="s">
        <v>5779</v>
      </c>
      <c r="F9440" s="1" t="s">
        <v>5780</v>
      </c>
      <c r="H9440" s="1" t="s">
        <v>5781</v>
      </c>
      <c r="J9440" s="1" t="s">
        <v>3558</v>
      </c>
      <c r="L9440" s="1" t="s">
        <v>1997</v>
      </c>
      <c r="N9440" s="1" t="s">
        <v>1767</v>
      </c>
      <c r="P9440" s="1" t="s">
        <v>1190</v>
      </c>
      <c r="Q9440" s="30" t="s">
        <v>2570</v>
      </c>
      <c r="R9440" s="33" t="s">
        <v>3474</v>
      </c>
      <c r="S9440">
        <v>35</v>
      </c>
      <c r="T9440" s="1" t="s">
        <v>5416</v>
      </c>
      <c r="U9440" s="1" t="str">
        <f>HYPERLINK("http://ictvonline.org/taxonomy/p/taxonomy-history?taxnode_id=202104846","ICTVonline=202104846")</f>
        <v>ICTVonline=202104846</v>
      </c>
    </row>
    <row r="9441" spans="1:21" x14ac:dyDescent="0.2">
      <c r="A9441" s="3">
        <v>9440</v>
      </c>
      <c r="B9441" s="1" t="s">
        <v>4226</v>
      </c>
      <c r="D9441" s="1" t="s">
        <v>5779</v>
      </c>
      <c r="F9441" s="1" t="s">
        <v>5780</v>
      </c>
      <c r="H9441" s="1" t="s">
        <v>5781</v>
      </c>
      <c r="J9441" s="1" t="s">
        <v>3558</v>
      </c>
      <c r="L9441" s="1" t="s">
        <v>1997</v>
      </c>
      <c r="N9441" s="1" t="s">
        <v>1767</v>
      </c>
      <c r="P9441" s="1" t="s">
        <v>1191</v>
      </c>
      <c r="Q9441" s="30" t="s">
        <v>2570</v>
      </c>
      <c r="R9441" s="33" t="s">
        <v>3474</v>
      </c>
      <c r="S9441">
        <v>35</v>
      </c>
      <c r="T9441" s="1" t="s">
        <v>5416</v>
      </c>
      <c r="U9441" s="1" t="str">
        <f>HYPERLINK("http://ictvonline.org/taxonomy/p/taxonomy-history?taxnode_id=202104847","ICTVonline=202104847")</f>
        <v>ICTVonline=202104847</v>
      </c>
    </row>
    <row r="9442" spans="1:21" x14ac:dyDescent="0.2">
      <c r="A9442" s="3">
        <v>9441</v>
      </c>
      <c r="B9442" s="1" t="s">
        <v>4226</v>
      </c>
      <c r="D9442" s="1" t="s">
        <v>5779</v>
      </c>
      <c r="F9442" s="1" t="s">
        <v>5780</v>
      </c>
      <c r="H9442" s="1" t="s">
        <v>5781</v>
      </c>
      <c r="J9442" s="1" t="s">
        <v>3558</v>
      </c>
      <c r="L9442" s="1" t="s">
        <v>1997</v>
      </c>
      <c r="N9442" s="1" t="s">
        <v>1767</v>
      </c>
      <c r="P9442" s="1" t="s">
        <v>1192</v>
      </c>
      <c r="Q9442" s="30" t="s">
        <v>2570</v>
      </c>
      <c r="R9442" s="33" t="s">
        <v>3474</v>
      </c>
      <c r="S9442">
        <v>35</v>
      </c>
      <c r="T9442" s="1" t="s">
        <v>5416</v>
      </c>
      <c r="U9442" s="1" t="str">
        <f>HYPERLINK("http://ictvonline.org/taxonomy/p/taxonomy-history?taxnode_id=202104848","ICTVonline=202104848")</f>
        <v>ICTVonline=202104848</v>
      </c>
    </row>
    <row r="9443" spans="1:21" x14ac:dyDescent="0.2">
      <c r="A9443" s="3">
        <v>9442</v>
      </c>
      <c r="B9443" s="1" t="s">
        <v>4226</v>
      </c>
      <c r="D9443" s="1" t="s">
        <v>5779</v>
      </c>
      <c r="F9443" s="1" t="s">
        <v>5780</v>
      </c>
      <c r="H9443" s="1" t="s">
        <v>5781</v>
      </c>
      <c r="J9443" s="1" t="s">
        <v>3558</v>
      </c>
      <c r="L9443" s="1" t="s">
        <v>1997</v>
      </c>
      <c r="N9443" s="1" t="s">
        <v>1767</v>
      </c>
      <c r="P9443" s="1" t="s">
        <v>1568</v>
      </c>
      <c r="Q9443" s="30" t="s">
        <v>2570</v>
      </c>
      <c r="R9443" s="33" t="s">
        <v>3474</v>
      </c>
      <c r="S9443">
        <v>35</v>
      </c>
      <c r="T9443" s="1" t="s">
        <v>5416</v>
      </c>
      <c r="U9443" s="1" t="str">
        <f>HYPERLINK("http://ictvonline.org/taxonomy/p/taxonomy-history?taxnode_id=202104849","ICTVonline=202104849")</f>
        <v>ICTVonline=202104849</v>
      </c>
    </row>
    <row r="9444" spans="1:21" x14ac:dyDescent="0.2">
      <c r="A9444" s="3">
        <v>9443</v>
      </c>
      <c r="B9444" s="1" t="s">
        <v>4226</v>
      </c>
      <c r="D9444" s="1" t="s">
        <v>5779</v>
      </c>
      <c r="F9444" s="1" t="s">
        <v>5780</v>
      </c>
      <c r="H9444" s="1" t="s">
        <v>5781</v>
      </c>
      <c r="J9444" s="1" t="s">
        <v>3558</v>
      </c>
      <c r="L9444" s="1" t="s">
        <v>1997</v>
      </c>
      <c r="N9444" s="1" t="s">
        <v>1767</v>
      </c>
      <c r="P9444" s="1" t="s">
        <v>1569</v>
      </c>
      <c r="Q9444" s="30" t="s">
        <v>2570</v>
      </c>
      <c r="R9444" s="33" t="s">
        <v>3474</v>
      </c>
      <c r="S9444">
        <v>35</v>
      </c>
      <c r="T9444" s="1" t="s">
        <v>5416</v>
      </c>
      <c r="U9444" s="1" t="str">
        <f>HYPERLINK("http://ictvonline.org/taxonomy/p/taxonomy-history?taxnode_id=202104850","ICTVonline=202104850")</f>
        <v>ICTVonline=202104850</v>
      </c>
    </row>
    <row r="9445" spans="1:21" x14ac:dyDescent="0.2">
      <c r="A9445" s="3">
        <v>9444</v>
      </c>
      <c r="B9445" s="1" t="s">
        <v>4226</v>
      </c>
      <c r="D9445" s="1" t="s">
        <v>5779</v>
      </c>
      <c r="F9445" s="1" t="s">
        <v>5780</v>
      </c>
      <c r="H9445" s="1" t="s">
        <v>5781</v>
      </c>
      <c r="J9445" s="1" t="s">
        <v>3558</v>
      </c>
      <c r="L9445" s="1" t="s">
        <v>1997</v>
      </c>
      <c r="N9445" s="1" t="s">
        <v>1767</v>
      </c>
      <c r="P9445" s="1" t="s">
        <v>1570</v>
      </c>
      <c r="Q9445" s="30" t="s">
        <v>2570</v>
      </c>
      <c r="R9445" s="33" t="s">
        <v>3474</v>
      </c>
      <c r="S9445">
        <v>35</v>
      </c>
      <c r="T9445" s="1" t="s">
        <v>5416</v>
      </c>
      <c r="U9445" s="1" t="str">
        <f>HYPERLINK("http://ictvonline.org/taxonomy/p/taxonomy-history?taxnode_id=202104851","ICTVonline=202104851")</f>
        <v>ICTVonline=202104851</v>
      </c>
    </row>
    <row r="9446" spans="1:21" x14ac:dyDescent="0.2">
      <c r="A9446" s="3">
        <v>9445</v>
      </c>
      <c r="B9446" s="1" t="s">
        <v>4226</v>
      </c>
      <c r="D9446" s="1" t="s">
        <v>5779</v>
      </c>
      <c r="F9446" s="1" t="s">
        <v>5780</v>
      </c>
      <c r="H9446" s="1" t="s">
        <v>5781</v>
      </c>
      <c r="J9446" s="1" t="s">
        <v>3558</v>
      </c>
      <c r="L9446" s="1" t="s">
        <v>1997</v>
      </c>
      <c r="N9446" s="1" t="s">
        <v>1767</v>
      </c>
      <c r="P9446" s="1" t="s">
        <v>1571</v>
      </c>
      <c r="Q9446" s="30" t="s">
        <v>2570</v>
      </c>
      <c r="R9446" s="33" t="s">
        <v>8665</v>
      </c>
      <c r="S9446">
        <v>36</v>
      </c>
      <c r="T9446" s="1" t="s">
        <v>8661</v>
      </c>
      <c r="U9446" s="1" t="str">
        <f>HYPERLINK("http://ictvonline.org/taxonomy/p/taxonomy-history?taxnode_id=202104852","ICTVonline=202104852")</f>
        <v>ICTVonline=202104852</v>
      </c>
    </row>
    <row r="9447" spans="1:21" x14ac:dyDescent="0.2">
      <c r="A9447" s="3">
        <v>9446</v>
      </c>
      <c r="B9447" s="1" t="s">
        <v>4226</v>
      </c>
      <c r="D9447" s="1" t="s">
        <v>5779</v>
      </c>
      <c r="F9447" s="1" t="s">
        <v>5780</v>
      </c>
      <c r="H9447" s="1" t="s">
        <v>5781</v>
      </c>
      <c r="J9447" s="1" t="s">
        <v>3558</v>
      </c>
      <c r="L9447" s="1" t="s">
        <v>1997</v>
      </c>
      <c r="N9447" s="1" t="s">
        <v>1767</v>
      </c>
      <c r="P9447" s="1" t="s">
        <v>1572</v>
      </c>
      <c r="Q9447" s="30" t="s">
        <v>2570</v>
      </c>
      <c r="R9447" s="33" t="s">
        <v>3474</v>
      </c>
      <c r="S9447">
        <v>35</v>
      </c>
      <c r="T9447" s="1" t="s">
        <v>5416</v>
      </c>
      <c r="U9447" s="1" t="str">
        <f>HYPERLINK("http://ictvonline.org/taxonomy/p/taxonomy-history?taxnode_id=202104853","ICTVonline=202104853")</f>
        <v>ICTVonline=202104853</v>
      </c>
    </row>
    <row r="9448" spans="1:21" x14ac:dyDescent="0.2">
      <c r="A9448" s="3">
        <v>9447</v>
      </c>
      <c r="B9448" s="1" t="s">
        <v>4226</v>
      </c>
      <c r="D9448" s="1" t="s">
        <v>5779</v>
      </c>
      <c r="F9448" s="1" t="s">
        <v>5780</v>
      </c>
      <c r="H9448" s="1" t="s">
        <v>5781</v>
      </c>
      <c r="J9448" s="1" t="s">
        <v>3558</v>
      </c>
      <c r="L9448" s="1" t="s">
        <v>1997</v>
      </c>
      <c r="N9448" s="1" t="s">
        <v>1767</v>
      </c>
      <c r="P9448" s="1" t="s">
        <v>673</v>
      </c>
      <c r="Q9448" s="30" t="s">
        <v>2570</v>
      </c>
      <c r="R9448" s="33" t="s">
        <v>3474</v>
      </c>
      <c r="S9448">
        <v>35</v>
      </c>
      <c r="T9448" s="1" t="s">
        <v>5416</v>
      </c>
      <c r="U9448" s="1" t="str">
        <f>HYPERLINK("http://ictvonline.org/taxonomy/p/taxonomy-history?taxnode_id=202104854","ICTVonline=202104854")</f>
        <v>ICTVonline=202104854</v>
      </c>
    </row>
    <row r="9449" spans="1:21" x14ac:dyDescent="0.2">
      <c r="A9449" s="3">
        <v>9448</v>
      </c>
      <c r="B9449" s="1" t="s">
        <v>4226</v>
      </c>
      <c r="D9449" s="1" t="s">
        <v>5779</v>
      </c>
      <c r="F9449" s="1" t="s">
        <v>5780</v>
      </c>
      <c r="H9449" s="1" t="s">
        <v>5781</v>
      </c>
      <c r="J9449" s="1" t="s">
        <v>3558</v>
      </c>
      <c r="L9449" s="1" t="s">
        <v>1997</v>
      </c>
      <c r="N9449" s="1" t="s">
        <v>1767</v>
      </c>
      <c r="P9449" s="1" t="s">
        <v>1637</v>
      </c>
      <c r="Q9449" s="30" t="s">
        <v>2570</v>
      </c>
      <c r="R9449" s="33" t="s">
        <v>3474</v>
      </c>
      <c r="S9449">
        <v>35</v>
      </c>
      <c r="T9449" s="1" t="s">
        <v>5416</v>
      </c>
      <c r="U9449" s="1" t="str">
        <f>HYPERLINK("http://ictvonline.org/taxonomy/p/taxonomy-history?taxnode_id=202104855","ICTVonline=202104855")</f>
        <v>ICTVonline=202104855</v>
      </c>
    </row>
    <row r="9450" spans="1:21" x14ac:dyDescent="0.2">
      <c r="A9450" s="3">
        <v>9449</v>
      </c>
      <c r="B9450" s="1" t="s">
        <v>4226</v>
      </c>
      <c r="D9450" s="1" t="s">
        <v>5779</v>
      </c>
      <c r="F9450" s="1" t="s">
        <v>5780</v>
      </c>
      <c r="H9450" s="1" t="s">
        <v>5781</v>
      </c>
      <c r="J9450" s="1" t="s">
        <v>3558</v>
      </c>
      <c r="L9450" s="1" t="s">
        <v>1997</v>
      </c>
      <c r="N9450" s="1" t="s">
        <v>1767</v>
      </c>
      <c r="P9450" s="1" t="s">
        <v>3573</v>
      </c>
      <c r="Q9450" s="30" t="s">
        <v>2570</v>
      </c>
      <c r="R9450" s="33" t="s">
        <v>3474</v>
      </c>
      <c r="S9450">
        <v>35</v>
      </c>
      <c r="T9450" s="1" t="s">
        <v>5416</v>
      </c>
      <c r="U9450" s="1" t="str">
        <f>HYPERLINK("http://ictvonline.org/taxonomy/p/taxonomy-history?taxnode_id=202104856","ICTVonline=202104856")</f>
        <v>ICTVonline=202104856</v>
      </c>
    </row>
    <row r="9451" spans="1:21" x14ac:dyDescent="0.2">
      <c r="A9451" s="3">
        <v>9450</v>
      </c>
      <c r="B9451" s="1" t="s">
        <v>4226</v>
      </c>
      <c r="D9451" s="1" t="s">
        <v>5779</v>
      </c>
      <c r="F9451" s="1" t="s">
        <v>5780</v>
      </c>
      <c r="H9451" s="1" t="s">
        <v>5781</v>
      </c>
      <c r="J9451" s="1" t="s">
        <v>3558</v>
      </c>
      <c r="L9451" s="1" t="s">
        <v>1997</v>
      </c>
      <c r="N9451" s="1" t="s">
        <v>1767</v>
      </c>
      <c r="P9451" s="1" t="s">
        <v>1638</v>
      </c>
      <c r="Q9451" s="30" t="s">
        <v>2570</v>
      </c>
      <c r="R9451" s="33" t="s">
        <v>3474</v>
      </c>
      <c r="S9451">
        <v>35</v>
      </c>
      <c r="T9451" s="1" t="s">
        <v>5416</v>
      </c>
      <c r="U9451" s="1" t="str">
        <f>HYPERLINK("http://ictvonline.org/taxonomy/p/taxonomy-history?taxnode_id=202104857","ICTVonline=202104857")</f>
        <v>ICTVonline=202104857</v>
      </c>
    </row>
    <row r="9452" spans="1:21" x14ac:dyDescent="0.2">
      <c r="A9452" s="3">
        <v>9451</v>
      </c>
      <c r="B9452" s="1" t="s">
        <v>4226</v>
      </c>
      <c r="D9452" s="1" t="s">
        <v>5779</v>
      </c>
      <c r="F9452" s="1" t="s">
        <v>5780</v>
      </c>
      <c r="H9452" s="1" t="s">
        <v>5781</v>
      </c>
      <c r="J9452" s="1" t="s">
        <v>3558</v>
      </c>
      <c r="L9452" s="1" t="s">
        <v>1997</v>
      </c>
      <c r="N9452" s="1" t="s">
        <v>1767</v>
      </c>
      <c r="P9452" s="1" t="s">
        <v>3574</v>
      </c>
      <c r="Q9452" s="30" t="s">
        <v>2570</v>
      </c>
      <c r="R9452" s="33" t="s">
        <v>3474</v>
      </c>
      <c r="S9452">
        <v>35</v>
      </c>
      <c r="T9452" s="1" t="s">
        <v>5416</v>
      </c>
      <c r="U9452" s="1" t="str">
        <f>HYPERLINK("http://ictvonline.org/taxonomy/p/taxonomy-history?taxnode_id=202104858","ICTVonline=202104858")</f>
        <v>ICTVonline=202104858</v>
      </c>
    </row>
    <row r="9453" spans="1:21" x14ac:dyDescent="0.2">
      <c r="A9453" s="3">
        <v>9452</v>
      </c>
      <c r="B9453" s="1" t="s">
        <v>4226</v>
      </c>
      <c r="D9453" s="1" t="s">
        <v>5779</v>
      </c>
      <c r="F9453" s="1" t="s">
        <v>5780</v>
      </c>
      <c r="H9453" s="1" t="s">
        <v>5781</v>
      </c>
      <c r="J9453" s="1" t="s">
        <v>3558</v>
      </c>
      <c r="L9453" s="1" t="s">
        <v>1997</v>
      </c>
      <c r="N9453" s="1" t="s">
        <v>676</v>
      </c>
      <c r="P9453" s="1" t="s">
        <v>677</v>
      </c>
      <c r="Q9453" s="30" t="s">
        <v>2570</v>
      </c>
      <c r="R9453" s="33" t="s">
        <v>3474</v>
      </c>
      <c r="S9453">
        <v>35</v>
      </c>
      <c r="T9453" s="1" t="s">
        <v>5416</v>
      </c>
      <c r="U9453" s="1" t="str">
        <f>HYPERLINK("http://ictvonline.org/taxonomy/p/taxonomy-history?taxnode_id=202104860","ICTVonline=202104860")</f>
        <v>ICTVonline=202104860</v>
      </c>
    </row>
    <row r="9454" spans="1:21" x14ac:dyDescent="0.2">
      <c r="A9454" s="3">
        <v>9453</v>
      </c>
      <c r="B9454" s="1" t="s">
        <v>4226</v>
      </c>
      <c r="D9454" s="1" t="s">
        <v>5779</v>
      </c>
      <c r="F9454" s="1" t="s">
        <v>5780</v>
      </c>
      <c r="H9454" s="1" t="s">
        <v>5781</v>
      </c>
      <c r="J9454" s="1" t="s">
        <v>3558</v>
      </c>
      <c r="L9454" s="1" t="s">
        <v>1997</v>
      </c>
      <c r="N9454" s="1" t="s">
        <v>676</v>
      </c>
      <c r="P9454" s="1" t="s">
        <v>678</v>
      </c>
      <c r="Q9454" s="30" t="s">
        <v>2570</v>
      </c>
      <c r="R9454" s="33" t="s">
        <v>8665</v>
      </c>
      <c r="S9454">
        <v>36</v>
      </c>
      <c r="T9454" s="1" t="s">
        <v>8661</v>
      </c>
      <c r="U9454" s="1" t="str">
        <f>HYPERLINK("http://ictvonline.org/taxonomy/p/taxonomy-history?taxnode_id=202104861","ICTVonline=202104861")</f>
        <v>ICTVonline=202104861</v>
      </c>
    </row>
    <row r="9455" spans="1:21" x14ac:dyDescent="0.2">
      <c r="A9455" s="3">
        <v>9454</v>
      </c>
      <c r="B9455" s="1" t="s">
        <v>4226</v>
      </c>
      <c r="D9455" s="1" t="s">
        <v>5779</v>
      </c>
      <c r="F9455" s="1" t="s">
        <v>5780</v>
      </c>
      <c r="H9455" s="1" t="s">
        <v>5781</v>
      </c>
      <c r="J9455" s="1" t="s">
        <v>3558</v>
      </c>
      <c r="L9455" s="1" t="s">
        <v>1997</v>
      </c>
      <c r="N9455" s="1" t="s">
        <v>676</v>
      </c>
      <c r="P9455" s="1" t="s">
        <v>679</v>
      </c>
      <c r="Q9455" s="30" t="s">
        <v>2570</v>
      </c>
      <c r="R9455" s="33" t="s">
        <v>3474</v>
      </c>
      <c r="S9455">
        <v>35</v>
      </c>
      <c r="T9455" s="1" t="s">
        <v>5416</v>
      </c>
      <c r="U9455" s="1" t="str">
        <f>HYPERLINK("http://ictvonline.org/taxonomy/p/taxonomy-history?taxnode_id=202104862","ICTVonline=202104862")</f>
        <v>ICTVonline=202104862</v>
      </c>
    </row>
    <row r="9456" spans="1:21" x14ac:dyDescent="0.2">
      <c r="A9456" s="3">
        <v>9455</v>
      </c>
      <c r="B9456" s="1" t="s">
        <v>4226</v>
      </c>
      <c r="D9456" s="1" t="s">
        <v>5779</v>
      </c>
      <c r="F9456" s="1" t="s">
        <v>5780</v>
      </c>
      <c r="H9456" s="1" t="s">
        <v>5781</v>
      </c>
      <c r="J9456" s="1" t="s">
        <v>3558</v>
      </c>
      <c r="L9456" s="1" t="s">
        <v>1997</v>
      </c>
      <c r="N9456" s="1" t="s">
        <v>676</v>
      </c>
      <c r="P9456" s="1" t="s">
        <v>3575</v>
      </c>
      <c r="Q9456" s="30" t="s">
        <v>2570</v>
      </c>
      <c r="R9456" s="33" t="s">
        <v>3474</v>
      </c>
      <c r="S9456">
        <v>35</v>
      </c>
      <c r="T9456" s="1" t="s">
        <v>5416</v>
      </c>
      <c r="U9456" s="1" t="str">
        <f>HYPERLINK("http://ictvonline.org/taxonomy/p/taxonomy-history?taxnode_id=202104863","ICTVonline=202104863")</f>
        <v>ICTVonline=202104863</v>
      </c>
    </row>
    <row r="9457" spans="1:21" x14ac:dyDescent="0.2">
      <c r="A9457" s="3">
        <v>9456</v>
      </c>
      <c r="B9457" s="1" t="s">
        <v>4226</v>
      </c>
      <c r="D9457" s="1" t="s">
        <v>5779</v>
      </c>
      <c r="F9457" s="1" t="s">
        <v>5780</v>
      </c>
      <c r="H9457" s="1" t="s">
        <v>5781</v>
      </c>
      <c r="J9457" s="1" t="s">
        <v>3558</v>
      </c>
      <c r="L9457" s="1" t="s">
        <v>1997</v>
      </c>
      <c r="N9457" s="1" t="s">
        <v>676</v>
      </c>
      <c r="P9457" s="1" t="s">
        <v>3576</v>
      </c>
      <c r="Q9457" s="30" t="s">
        <v>2570</v>
      </c>
      <c r="R9457" s="33" t="s">
        <v>3474</v>
      </c>
      <c r="S9457">
        <v>35</v>
      </c>
      <c r="T9457" s="1" t="s">
        <v>5416</v>
      </c>
      <c r="U9457" s="1" t="str">
        <f>HYPERLINK("http://ictvonline.org/taxonomy/p/taxonomy-history?taxnode_id=202104864","ICTVonline=202104864")</f>
        <v>ICTVonline=202104864</v>
      </c>
    </row>
    <row r="9458" spans="1:21" x14ac:dyDescent="0.2">
      <c r="A9458" s="3">
        <v>9457</v>
      </c>
      <c r="B9458" s="1" t="s">
        <v>4226</v>
      </c>
      <c r="D9458" s="1" t="s">
        <v>5779</v>
      </c>
      <c r="F9458" s="1" t="s">
        <v>5780</v>
      </c>
      <c r="H9458" s="1" t="s">
        <v>5781</v>
      </c>
      <c r="J9458" s="1" t="s">
        <v>3558</v>
      </c>
      <c r="L9458" s="1" t="s">
        <v>1997</v>
      </c>
      <c r="P9458" s="1" t="s">
        <v>1642</v>
      </c>
      <c r="Q9458" s="30" t="s">
        <v>2570</v>
      </c>
      <c r="R9458" s="33" t="s">
        <v>3474</v>
      </c>
      <c r="S9458">
        <v>35</v>
      </c>
      <c r="T9458" s="1" t="s">
        <v>5416</v>
      </c>
      <c r="U9458" s="1" t="str">
        <f>HYPERLINK("http://ictvonline.org/taxonomy/p/taxonomy-history?taxnode_id=202104866","ICTVonline=202104866")</f>
        <v>ICTVonline=202104866</v>
      </c>
    </row>
    <row r="9459" spans="1:21" x14ac:dyDescent="0.2">
      <c r="A9459" s="3">
        <v>9458</v>
      </c>
      <c r="B9459" s="1" t="s">
        <v>4226</v>
      </c>
      <c r="D9459" s="1" t="s">
        <v>5779</v>
      </c>
      <c r="F9459" s="1" t="s">
        <v>5780</v>
      </c>
      <c r="H9459" s="1" t="s">
        <v>5781</v>
      </c>
      <c r="J9459" s="1" t="s">
        <v>3558</v>
      </c>
      <c r="L9459" s="1" t="s">
        <v>342</v>
      </c>
      <c r="M9459" s="1" t="s">
        <v>343</v>
      </c>
      <c r="N9459" s="1" t="s">
        <v>344</v>
      </c>
      <c r="P9459" s="1" t="s">
        <v>236</v>
      </c>
      <c r="Q9459" s="30" t="s">
        <v>2570</v>
      </c>
      <c r="R9459" s="33" t="s">
        <v>3474</v>
      </c>
      <c r="S9459">
        <v>35</v>
      </c>
      <c r="T9459" s="1" t="s">
        <v>5416</v>
      </c>
      <c r="U9459" s="1" t="str">
        <f>HYPERLINK("http://ictvonline.org/taxonomy/p/taxonomy-history?taxnode_id=202104982","ICTVonline=202104982")</f>
        <v>ICTVonline=202104982</v>
      </c>
    </row>
    <row r="9460" spans="1:21" x14ac:dyDescent="0.2">
      <c r="A9460" s="3">
        <v>9459</v>
      </c>
      <c r="B9460" s="1" t="s">
        <v>4226</v>
      </c>
      <c r="D9460" s="1" t="s">
        <v>5779</v>
      </c>
      <c r="F9460" s="1" t="s">
        <v>5780</v>
      </c>
      <c r="H9460" s="1" t="s">
        <v>5781</v>
      </c>
      <c r="J9460" s="1" t="s">
        <v>3558</v>
      </c>
      <c r="L9460" s="1" t="s">
        <v>342</v>
      </c>
      <c r="M9460" s="1" t="s">
        <v>343</v>
      </c>
      <c r="N9460" s="1" t="s">
        <v>344</v>
      </c>
      <c r="P9460" s="1" t="s">
        <v>348</v>
      </c>
      <c r="Q9460" s="30" t="s">
        <v>2570</v>
      </c>
      <c r="R9460" s="33" t="s">
        <v>8665</v>
      </c>
      <c r="S9460">
        <v>36</v>
      </c>
      <c r="T9460" s="1" t="s">
        <v>8661</v>
      </c>
      <c r="U9460" s="1" t="str">
        <f>HYPERLINK("http://ictvonline.org/taxonomy/p/taxonomy-history?taxnode_id=202104983","ICTVonline=202104983")</f>
        <v>ICTVonline=202104983</v>
      </c>
    </row>
    <row r="9461" spans="1:21" x14ac:dyDescent="0.2">
      <c r="A9461" s="3">
        <v>9460</v>
      </c>
      <c r="B9461" s="1" t="s">
        <v>4226</v>
      </c>
      <c r="D9461" s="1" t="s">
        <v>5779</v>
      </c>
      <c r="F9461" s="1" t="s">
        <v>5780</v>
      </c>
      <c r="H9461" s="1" t="s">
        <v>5781</v>
      </c>
      <c r="J9461" s="1" t="s">
        <v>3558</v>
      </c>
      <c r="L9461" s="1" t="s">
        <v>342</v>
      </c>
      <c r="M9461" s="1" t="s">
        <v>343</v>
      </c>
      <c r="N9461" s="1" t="s">
        <v>344</v>
      </c>
      <c r="P9461" s="1" t="s">
        <v>237</v>
      </c>
      <c r="Q9461" s="30" t="s">
        <v>2570</v>
      </c>
      <c r="R9461" s="33" t="s">
        <v>3474</v>
      </c>
      <c r="S9461">
        <v>35</v>
      </c>
      <c r="T9461" s="1" t="s">
        <v>5416</v>
      </c>
      <c r="U9461" s="1" t="str">
        <f>HYPERLINK("http://ictvonline.org/taxonomy/p/taxonomy-history?taxnode_id=202104984","ICTVonline=202104984")</f>
        <v>ICTVonline=202104984</v>
      </c>
    </row>
    <row r="9462" spans="1:21" x14ac:dyDescent="0.2">
      <c r="A9462" s="3">
        <v>9461</v>
      </c>
      <c r="B9462" s="1" t="s">
        <v>4226</v>
      </c>
      <c r="D9462" s="1" t="s">
        <v>5779</v>
      </c>
      <c r="F9462" s="1" t="s">
        <v>5780</v>
      </c>
      <c r="H9462" s="1" t="s">
        <v>5781</v>
      </c>
      <c r="J9462" s="1" t="s">
        <v>3558</v>
      </c>
      <c r="L9462" s="1" t="s">
        <v>342</v>
      </c>
      <c r="M9462" s="1" t="s">
        <v>343</v>
      </c>
      <c r="N9462" s="1" t="s">
        <v>344</v>
      </c>
      <c r="P9462" s="1" t="s">
        <v>238</v>
      </c>
      <c r="Q9462" s="30" t="s">
        <v>2570</v>
      </c>
      <c r="R9462" s="33" t="s">
        <v>3474</v>
      </c>
      <c r="S9462">
        <v>35</v>
      </c>
      <c r="T9462" s="1" t="s">
        <v>5416</v>
      </c>
      <c r="U9462" s="1" t="str">
        <f>HYPERLINK("http://ictvonline.org/taxonomy/p/taxonomy-history?taxnode_id=202104985","ICTVonline=202104985")</f>
        <v>ICTVonline=202104985</v>
      </c>
    </row>
    <row r="9463" spans="1:21" x14ac:dyDescent="0.2">
      <c r="A9463" s="3">
        <v>9462</v>
      </c>
      <c r="B9463" s="1" t="s">
        <v>4226</v>
      </c>
      <c r="D9463" s="1" t="s">
        <v>5779</v>
      </c>
      <c r="F9463" s="1" t="s">
        <v>5780</v>
      </c>
      <c r="H9463" s="1" t="s">
        <v>5781</v>
      </c>
      <c r="J9463" s="1" t="s">
        <v>3558</v>
      </c>
      <c r="L9463" s="1" t="s">
        <v>342</v>
      </c>
      <c r="M9463" s="1" t="s">
        <v>343</v>
      </c>
      <c r="N9463" s="1" t="s">
        <v>344</v>
      </c>
      <c r="P9463" s="1" t="s">
        <v>239</v>
      </c>
      <c r="Q9463" s="30" t="s">
        <v>2570</v>
      </c>
      <c r="R9463" s="33" t="s">
        <v>3474</v>
      </c>
      <c r="S9463">
        <v>35</v>
      </c>
      <c r="T9463" s="1" t="s">
        <v>5416</v>
      </c>
      <c r="U9463" s="1" t="str">
        <f>HYPERLINK("http://ictvonline.org/taxonomy/p/taxonomy-history?taxnode_id=202104986","ICTVonline=202104986")</f>
        <v>ICTVonline=202104986</v>
      </c>
    </row>
    <row r="9464" spans="1:21" x14ac:dyDescent="0.2">
      <c r="A9464" s="3">
        <v>9463</v>
      </c>
      <c r="B9464" s="1" t="s">
        <v>4226</v>
      </c>
      <c r="D9464" s="1" t="s">
        <v>5779</v>
      </c>
      <c r="F9464" s="1" t="s">
        <v>5780</v>
      </c>
      <c r="H9464" s="1" t="s">
        <v>5781</v>
      </c>
      <c r="J9464" s="1" t="s">
        <v>3558</v>
      </c>
      <c r="L9464" s="1" t="s">
        <v>342</v>
      </c>
      <c r="M9464" s="1" t="s">
        <v>343</v>
      </c>
      <c r="N9464" s="1" t="s">
        <v>344</v>
      </c>
      <c r="P9464" s="1" t="s">
        <v>1689</v>
      </c>
      <c r="Q9464" s="30" t="s">
        <v>2570</v>
      </c>
      <c r="R9464" s="33" t="s">
        <v>3474</v>
      </c>
      <c r="S9464">
        <v>35</v>
      </c>
      <c r="T9464" s="1" t="s">
        <v>5416</v>
      </c>
      <c r="U9464" s="1" t="str">
        <f>HYPERLINK("http://ictvonline.org/taxonomy/p/taxonomy-history?taxnode_id=202104987","ICTVonline=202104987")</f>
        <v>ICTVonline=202104987</v>
      </c>
    </row>
    <row r="9465" spans="1:21" x14ac:dyDescent="0.2">
      <c r="A9465" s="3">
        <v>9464</v>
      </c>
      <c r="B9465" s="1" t="s">
        <v>4226</v>
      </c>
      <c r="D9465" s="1" t="s">
        <v>5779</v>
      </c>
      <c r="F9465" s="1" t="s">
        <v>5780</v>
      </c>
      <c r="H9465" s="1" t="s">
        <v>5781</v>
      </c>
      <c r="J9465" s="1" t="s">
        <v>3558</v>
      </c>
      <c r="L9465" s="1" t="s">
        <v>342</v>
      </c>
      <c r="M9465" s="1" t="s">
        <v>343</v>
      </c>
      <c r="N9465" s="1" t="s">
        <v>344</v>
      </c>
      <c r="P9465" s="1" t="s">
        <v>1690</v>
      </c>
      <c r="Q9465" s="30" t="s">
        <v>2570</v>
      </c>
      <c r="R9465" s="33" t="s">
        <v>3474</v>
      </c>
      <c r="S9465">
        <v>35</v>
      </c>
      <c r="T9465" s="1" t="s">
        <v>5416</v>
      </c>
      <c r="U9465" s="1" t="str">
        <f>HYPERLINK("http://ictvonline.org/taxonomy/p/taxonomy-history?taxnode_id=202104988","ICTVonline=202104988")</f>
        <v>ICTVonline=202104988</v>
      </c>
    </row>
    <row r="9466" spans="1:21" x14ac:dyDescent="0.2">
      <c r="A9466" s="3">
        <v>9465</v>
      </c>
      <c r="B9466" s="1" t="s">
        <v>4226</v>
      </c>
      <c r="D9466" s="1" t="s">
        <v>5779</v>
      </c>
      <c r="F9466" s="1" t="s">
        <v>5780</v>
      </c>
      <c r="H9466" s="1" t="s">
        <v>5781</v>
      </c>
      <c r="J9466" s="1" t="s">
        <v>3558</v>
      </c>
      <c r="L9466" s="1" t="s">
        <v>342</v>
      </c>
      <c r="M9466" s="1" t="s">
        <v>343</v>
      </c>
      <c r="N9466" s="1" t="s">
        <v>344</v>
      </c>
      <c r="P9466" s="1" t="s">
        <v>655</v>
      </c>
      <c r="Q9466" s="30" t="s">
        <v>2570</v>
      </c>
      <c r="R9466" s="33" t="s">
        <v>3474</v>
      </c>
      <c r="S9466">
        <v>35</v>
      </c>
      <c r="T9466" s="1" t="s">
        <v>5416</v>
      </c>
      <c r="U9466" s="1" t="str">
        <f>HYPERLINK("http://ictvonline.org/taxonomy/p/taxonomy-history?taxnode_id=202104989","ICTVonline=202104989")</f>
        <v>ICTVonline=202104989</v>
      </c>
    </row>
    <row r="9467" spans="1:21" x14ac:dyDescent="0.2">
      <c r="A9467" s="3">
        <v>9466</v>
      </c>
      <c r="B9467" s="1" t="s">
        <v>4226</v>
      </c>
      <c r="D9467" s="1" t="s">
        <v>5779</v>
      </c>
      <c r="F9467" s="1" t="s">
        <v>5780</v>
      </c>
      <c r="H9467" s="1" t="s">
        <v>5781</v>
      </c>
      <c r="J9467" s="1" t="s">
        <v>3558</v>
      </c>
      <c r="L9467" s="1" t="s">
        <v>342</v>
      </c>
      <c r="M9467" s="1" t="s">
        <v>343</v>
      </c>
      <c r="N9467" s="1" t="s">
        <v>344</v>
      </c>
      <c r="P9467" s="1" t="s">
        <v>656</v>
      </c>
      <c r="Q9467" s="30" t="s">
        <v>2570</v>
      </c>
      <c r="R9467" s="33" t="s">
        <v>3474</v>
      </c>
      <c r="S9467">
        <v>35</v>
      </c>
      <c r="T9467" s="1" t="s">
        <v>5416</v>
      </c>
      <c r="U9467" s="1" t="str">
        <f>HYPERLINK("http://ictvonline.org/taxonomy/p/taxonomy-history?taxnode_id=202104990","ICTVonline=202104990")</f>
        <v>ICTVonline=202104990</v>
      </c>
    </row>
    <row r="9468" spans="1:21" x14ac:dyDescent="0.2">
      <c r="A9468" s="3">
        <v>9467</v>
      </c>
      <c r="B9468" s="1" t="s">
        <v>4226</v>
      </c>
      <c r="D9468" s="1" t="s">
        <v>5779</v>
      </c>
      <c r="F9468" s="1" t="s">
        <v>5780</v>
      </c>
      <c r="H9468" s="1" t="s">
        <v>5781</v>
      </c>
      <c r="J9468" s="1" t="s">
        <v>3558</v>
      </c>
      <c r="L9468" s="1" t="s">
        <v>342</v>
      </c>
      <c r="M9468" s="1" t="s">
        <v>343</v>
      </c>
      <c r="N9468" s="1" t="s">
        <v>657</v>
      </c>
      <c r="P9468" s="1" t="s">
        <v>753</v>
      </c>
      <c r="Q9468" s="30" t="s">
        <v>2570</v>
      </c>
      <c r="R9468" s="33" t="s">
        <v>3474</v>
      </c>
      <c r="S9468">
        <v>35</v>
      </c>
      <c r="T9468" s="1" t="s">
        <v>5416</v>
      </c>
      <c r="U9468" s="1" t="str">
        <f>HYPERLINK("http://ictvonline.org/taxonomy/p/taxonomy-history?taxnode_id=202104992","ICTVonline=202104992")</f>
        <v>ICTVonline=202104992</v>
      </c>
    </row>
    <row r="9469" spans="1:21" x14ac:dyDescent="0.2">
      <c r="A9469" s="3">
        <v>9468</v>
      </c>
      <c r="B9469" s="1" t="s">
        <v>4226</v>
      </c>
      <c r="D9469" s="1" t="s">
        <v>5779</v>
      </c>
      <c r="F9469" s="1" t="s">
        <v>5780</v>
      </c>
      <c r="H9469" s="1" t="s">
        <v>5781</v>
      </c>
      <c r="J9469" s="1" t="s">
        <v>3558</v>
      </c>
      <c r="L9469" s="1" t="s">
        <v>342</v>
      </c>
      <c r="M9469" s="1" t="s">
        <v>343</v>
      </c>
      <c r="N9469" s="1" t="s">
        <v>657</v>
      </c>
      <c r="P9469" s="1" t="s">
        <v>754</v>
      </c>
      <c r="Q9469" s="30" t="s">
        <v>2570</v>
      </c>
      <c r="R9469" s="33" t="s">
        <v>3474</v>
      </c>
      <c r="S9469">
        <v>35</v>
      </c>
      <c r="T9469" s="1" t="s">
        <v>5416</v>
      </c>
      <c r="U9469" s="1" t="str">
        <f>HYPERLINK("http://ictvonline.org/taxonomy/p/taxonomy-history?taxnode_id=202104993","ICTVonline=202104993")</f>
        <v>ICTVonline=202104993</v>
      </c>
    </row>
    <row r="9470" spans="1:21" x14ac:dyDescent="0.2">
      <c r="A9470" s="3">
        <v>9469</v>
      </c>
      <c r="B9470" s="1" t="s">
        <v>4226</v>
      </c>
      <c r="D9470" s="1" t="s">
        <v>5779</v>
      </c>
      <c r="F9470" s="1" t="s">
        <v>5780</v>
      </c>
      <c r="H9470" s="1" t="s">
        <v>5781</v>
      </c>
      <c r="J9470" s="1" t="s">
        <v>3558</v>
      </c>
      <c r="L9470" s="1" t="s">
        <v>342</v>
      </c>
      <c r="M9470" s="1" t="s">
        <v>343</v>
      </c>
      <c r="N9470" s="1" t="s">
        <v>657</v>
      </c>
      <c r="P9470" s="1" t="s">
        <v>755</v>
      </c>
      <c r="Q9470" s="30" t="s">
        <v>2570</v>
      </c>
      <c r="R9470" s="33" t="s">
        <v>3474</v>
      </c>
      <c r="S9470">
        <v>35</v>
      </c>
      <c r="T9470" s="1" t="s">
        <v>5416</v>
      </c>
      <c r="U9470" s="1" t="str">
        <f>HYPERLINK("http://ictvonline.org/taxonomy/p/taxonomy-history?taxnode_id=202104994","ICTVonline=202104994")</f>
        <v>ICTVonline=202104994</v>
      </c>
    </row>
    <row r="9471" spans="1:21" x14ac:dyDescent="0.2">
      <c r="A9471" s="3">
        <v>9470</v>
      </c>
      <c r="B9471" s="1" t="s">
        <v>4226</v>
      </c>
      <c r="D9471" s="1" t="s">
        <v>5779</v>
      </c>
      <c r="F9471" s="1" t="s">
        <v>5780</v>
      </c>
      <c r="H9471" s="1" t="s">
        <v>5781</v>
      </c>
      <c r="J9471" s="1" t="s">
        <v>3558</v>
      </c>
      <c r="L9471" s="1" t="s">
        <v>342</v>
      </c>
      <c r="M9471" s="1" t="s">
        <v>343</v>
      </c>
      <c r="N9471" s="1" t="s">
        <v>657</v>
      </c>
      <c r="P9471" s="1" t="s">
        <v>750</v>
      </c>
      <c r="Q9471" s="30" t="s">
        <v>2570</v>
      </c>
      <c r="R9471" s="33" t="s">
        <v>8665</v>
      </c>
      <c r="S9471">
        <v>36</v>
      </c>
      <c r="T9471" s="1" t="s">
        <v>8661</v>
      </c>
      <c r="U9471" s="1" t="str">
        <f>HYPERLINK("http://ictvonline.org/taxonomy/p/taxonomy-history?taxnode_id=202104995","ICTVonline=202104995")</f>
        <v>ICTVonline=202104995</v>
      </c>
    </row>
    <row r="9472" spans="1:21" x14ac:dyDescent="0.2">
      <c r="A9472" s="3">
        <v>9471</v>
      </c>
      <c r="B9472" s="1" t="s">
        <v>4226</v>
      </c>
      <c r="D9472" s="1" t="s">
        <v>5779</v>
      </c>
      <c r="F9472" s="1" t="s">
        <v>5780</v>
      </c>
      <c r="H9472" s="1" t="s">
        <v>5781</v>
      </c>
      <c r="J9472" s="1" t="s">
        <v>3558</v>
      </c>
      <c r="L9472" s="1" t="s">
        <v>342</v>
      </c>
      <c r="M9472" s="1" t="s">
        <v>343</v>
      </c>
      <c r="N9472" s="1" t="s">
        <v>657</v>
      </c>
      <c r="P9472" s="1" t="s">
        <v>751</v>
      </c>
      <c r="Q9472" s="30" t="s">
        <v>2570</v>
      </c>
      <c r="R9472" s="33" t="s">
        <v>3474</v>
      </c>
      <c r="S9472">
        <v>35</v>
      </c>
      <c r="T9472" s="1" t="s">
        <v>5416</v>
      </c>
      <c r="U9472" s="1" t="str">
        <f>HYPERLINK("http://ictvonline.org/taxonomy/p/taxonomy-history?taxnode_id=202104996","ICTVonline=202104996")</f>
        <v>ICTVonline=202104996</v>
      </c>
    </row>
    <row r="9473" spans="1:21" x14ac:dyDescent="0.2">
      <c r="A9473" s="3">
        <v>9472</v>
      </c>
      <c r="B9473" s="1" t="s">
        <v>4226</v>
      </c>
      <c r="D9473" s="1" t="s">
        <v>5779</v>
      </c>
      <c r="F9473" s="1" t="s">
        <v>5780</v>
      </c>
      <c r="H9473" s="1" t="s">
        <v>5781</v>
      </c>
      <c r="J9473" s="1" t="s">
        <v>3558</v>
      </c>
      <c r="L9473" s="1" t="s">
        <v>342</v>
      </c>
      <c r="M9473" s="1" t="s">
        <v>343</v>
      </c>
      <c r="N9473" s="1" t="s">
        <v>752</v>
      </c>
      <c r="P9473" s="1" t="s">
        <v>1166</v>
      </c>
      <c r="Q9473" s="30" t="s">
        <v>2570</v>
      </c>
      <c r="R9473" s="33" t="s">
        <v>8665</v>
      </c>
      <c r="S9473">
        <v>36</v>
      </c>
      <c r="T9473" s="1" t="s">
        <v>8661</v>
      </c>
      <c r="U9473" s="1" t="str">
        <f>HYPERLINK("http://ictvonline.org/taxonomy/p/taxonomy-history?taxnode_id=202104998","ICTVonline=202104998")</f>
        <v>ICTVonline=202104998</v>
      </c>
    </row>
    <row r="9474" spans="1:21" x14ac:dyDescent="0.2">
      <c r="A9474" s="3">
        <v>9473</v>
      </c>
      <c r="B9474" s="1" t="s">
        <v>4226</v>
      </c>
      <c r="D9474" s="1" t="s">
        <v>5779</v>
      </c>
      <c r="F9474" s="1" t="s">
        <v>5780</v>
      </c>
      <c r="H9474" s="1" t="s">
        <v>5781</v>
      </c>
      <c r="J9474" s="1" t="s">
        <v>3558</v>
      </c>
      <c r="L9474" s="1" t="s">
        <v>342</v>
      </c>
      <c r="M9474" s="1" t="s">
        <v>343</v>
      </c>
      <c r="N9474" s="1" t="s">
        <v>752</v>
      </c>
      <c r="P9474" s="1" t="s">
        <v>1167</v>
      </c>
      <c r="Q9474" s="30" t="s">
        <v>2570</v>
      </c>
      <c r="R9474" s="33" t="s">
        <v>3474</v>
      </c>
      <c r="S9474">
        <v>35</v>
      </c>
      <c r="T9474" s="1" t="s">
        <v>5416</v>
      </c>
      <c r="U9474" s="1" t="str">
        <f>HYPERLINK("http://ictvonline.org/taxonomy/p/taxonomy-history?taxnode_id=202104999","ICTVonline=202104999")</f>
        <v>ICTVonline=202104999</v>
      </c>
    </row>
    <row r="9475" spans="1:21" x14ac:dyDescent="0.2">
      <c r="A9475" s="3">
        <v>9474</v>
      </c>
      <c r="B9475" s="1" t="s">
        <v>4226</v>
      </c>
      <c r="D9475" s="1" t="s">
        <v>5779</v>
      </c>
      <c r="F9475" s="1" t="s">
        <v>5780</v>
      </c>
      <c r="H9475" s="1" t="s">
        <v>5781</v>
      </c>
      <c r="J9475" s="1" t="s">
        <v>3558</v>
      </c>
      <c r="L9475" s="1" t="s">
        <v>342</v>
      </c>
      <c r="M9475" s="1" t="s">
        <v>343</v>
      </c>
      <c r="N9475" s="1" t="s">
        <v>752</v>
      </c>
      <c r="P9475" s="1" t="s">
        <v>1168</v>
      </c>
      <c r="Q9475" s="30" t="s">
        <v>2570</v>
      </c>
      <c r="R9475" s="33" t="s">
        <v>3474</v>
      </c>
      <c r="S9475">
        <v>35</v>
      </c>
      <c r="T9475" s="1" t="s">
        <v>5416</v>
      </c>
      <c r="U9475" s="1" t="str">
        <f>HYPERLINK("http://ictvonline.org/taxonomy/p/taxonomy-history?taxnode_id=202105000","ICTVonline=202105000")</f>
        <v>ICTVonline=202105000</v>
      </c>
    </row>
    <row r="9476" spans="1:21" x14ac:dyDescent="0.2">
      <c r="A9476" s="3">
        <v>9475</v>
      </c>
      <c r="B9476" s="1" t="s">
        <v>4226</v>
      </c>
      <c r="D9476" s="1" t="s">
        <v>5779</v>
      </c>
      <c r="F9476" s="1" t="s">
        <v>5780</v>
      </c>
      <c r="H9476" s="1" t="s">
        <v>5781</v>
      </c>
      <c r="J9476" s="1" t="s">
        <v>3558</v>
      </c>
      <c r="L9476" s="1" t="s">
        <v>342</v>
      </c>
      <c r="M9476" s="1" t="s">
        <v>343</v>
      </c>
      <c r="N9476" s="1" t="s">
        <v>752</v>
      </c>
      <c r="P9476" s="1" t="s">
        <v>756</v>
      </c>
      <c r="Q9476" s="30" t="s">
        <v>2570</v>
      </c>
      <c r="R9476" s="33" t="s">
        <v>3474</v>
      </c>
      <c r="S9476">
        <v>35</v>
      </c>
      <c r="T9476" s="1" t="s">
        <v>5416</v>
      </c>
      <c r="U9476" s="1" t="str">
        <f>HYPERLINK("http://ictvonline.org/taxonomy/p/taxonomy-history?taxnode_id=202105001","ICTVonline=202105001")</f>
        <v>ICTVonline=202105001</v>
      </c>
    </row>
    <row r="9477" spans="1:21" x14ac:dyDescent="0.2">
      <c r="A9477" s="3">
        <v>9476</v>
      </c>
      <c r="B9477" s="1" t="s">
        <v>4226</v>
      </c>
      <c r="D9477" s="1" t="s">
        <v>5779</v>
      </c>
      <c r="F9477" s="1" t="s">
        <v>5780</v>
      </c>
      <c r="H9477" s="1" t="s">
        <v>5781</v>
      </c>
      <c r="J9477" s="1" t="s">
        <v>3558</v>
      </c>
      <c r="L9477" s="1" t="s">
        <v>342</v>
      </c>
      <c r="M9477" s="1" t="s">
        <v>343</v>
      </c>
      <c r="N9477" s="1" t="s">
        <v>757</v>
      </c>
      <c r="P9477" s="1" t="s">
        <v>758</v>
      </c>
      <c r="Q9477" s="30" t="s">
        <v>2570</v>
      </c>
      <c r="R9477" s="33" t="s">
        <v>8665</v>
      </c>
      <c r="S9477">
        <v>36</v>
      </c>
      <c r="T9477" s="1" t="s">
        <v>8661</v>
      </c>
      <c r="U9477" s="1" t="str">
        <f>HYPERLINK("http://ictvonline.org/taxonomy/p/taxonomy-history?taxnode_id=202105003","ICTVonline=202105003")</f>
        <v>ICTVonline=202105003</v>
      </c>
    </row>
    <row r="9478" spans="1:21" x14ac:dyDescent="0.2">
      <c r="A9478" s="3">
        <v>9477</v>
      </c>
      <c r="B9478" s="1" t="s">
        <v>4226</v>
      </c>
      <c r="D9478" s="1" t="s">
        <v>5779</v>
      </c>
      <c r="F9478" s="1" t="s">
        <v>5780</v>
      </c>
      <c r="H9478" s="1" t="s">
        <v>5781</v>
      </c>
      <c r="J9478" s="1" t="s">
        <v>3558</v>
      </c>
      <c r="L9478" s="1" t="s">
        <v>342</v>
      </c>
      <c r="M9478" s="1" t="s">
        <v>343</v>
      </c>
      <c r="N9478" s="1" t="s">
        <v>757</v>
      </c>
      <c r="P9478" s="1" t="s">
        <v>759</v>
      </c>
      <c r="Q9478" s="30" t="s">
        <v>2570</v>
      </c>
      <c r="R9478" s="33" t="s">
        <v>3474</v>
      </c>
      <c r="S9478">
        <v>35</v>
      </c>
      <c r="T9478" s="1" t="s">
        <v>5416</v>
      </c>
      <c r="U9478" s="1" t="str">
        <f>HYPERLINK("http://ictvonline.org/taxonomy/p/taxonomy-history?taxnode_id=202105004","ICTVonline=202105004")</f>
        <v>ICTVonline=202105004</v>
      </c>
    </row>
    <row r="9479" spans="1:21" x14ac:dyDescent="0.2">
      <c r="A9479" s="3">
        <v>9478</v>
      </c>
      <c r="B9479" s="1" t="s">
        <v>4226</v>
      </c>
      <c r="D9479" s="1" t="s">
        <v>5779</v>
      </c>
      <c r="F9479" s="1" t="s">
        <v>5780</v>
      </c>
      <c r="H9479" s="1" t="s">
        <v>5781</v>
      </c>
      <c r="J9479" s="1" t="s">
        <v>3558</v>
      </c>
      <c r="L9479" s="1" t="s">
        <v>342</v>
      </c>
      <c r="M9479" s="1" t="s">
        <v>343</v>
      </c>
      <c r="N9479" s="1" t="s">
        <v>757</v>
      </c>
      <c r="P9479" s="1" t="s">
        <v>760</v>
      </c>
      <c r="Q9479" s="30" t="s">
        <v>2570</v>
      </c>
      <c r="R9479" s="33" t="s">
        <v>3474</v>
      </c>
      <c r="S9479">
        <v>35</v>
      </c>
      <c r="T9479" s="1" t="s">
        <v>5416</v>
      </c>
      <c r="U9479" s="1" t="str">
        <f>HYPERLINK("http://ictvonline.org/taxonomy/p/taxonomy-history?taxnode_id=202105005","ICTVonline=202105005")</f>
        <v>ICTVonline=202105005</v>
      </c>
    </row>
    <row r="9480" spans="1:21" x14ac:dyDescent="0.2">
      <c r="A9480" s="3">
        <v>9479</v>
      </c>
      <c r="B9480" s="1" t="s">
        <v>4226</v>
      </c>
      <c r="D9480" s="1" t="s">
        <v>5779</v>
      </c>
      <c r="F9480" s="1" t="s">
        <v>5780</v>
      </c>
      <c r="H9480" s="1" t="s">
        <v>5781</v>
      </c>
      <c r="J9480" s="1" t="s">
        <v>3558</v>
      </c>
      <c r="L9480" s="1" t="s">
        <v>342</v>
      </c>
      <c r="M9480" s="1" t="s">
        <v>343</v>
      </c>
      <c r="N9480" s="1" t="s">
        <v>761</v>
      </c>
      <c r="P9480" s="1" t="s">
        <v>762</v>
      </c>
      <c r="Q9480" s="30" t="s">
        <v>2570</v>
      </c>
      <c r="R9480" s="33" t="s">
        <v>3474</v>
      </c>
      <c r="S9480">
        <v>35</v>
      </c>
      <c r="T9480" s="1" t="s">
        <v>5416</v>
      </c>
      <c r="U9480" s="1" t="str">
        <f>HYPERLINK("http://ictvonline.org/taxonomy/p/taxonomy-history?taxnode_id=202105007","ICTVonline=202105007")</f>
        <v>ICTVonline=202105007</v>
      </c>
    </row>
    <row r="9481" spans="1:21" x14ac:dyDescent="0.2">
      <c r="A9481" s="3">
        <v>9480</v>
      </c>
      <c r="B9481" s="1" t="s">
        <v>4226</v>
      </c>
      <c r="D9481" s="1" t="s">
        <v>5779</v>
      </c>
      <c r="F9481" s="1" t="s">
        <v>5780</v>
      </c>
      <c r="H9481" s="1" t="s">
        <v>5781</v>
      </c>
      <c r="J9481" s="1" t="s">
        <v>3558</v>
      </c>
      <c r="L9481" s="1" t="s">
        <v>342</v>
      </c>
      <c r="M9481" s="1" t="s">
        <v>343</v>
      </c>
      <c r="N9481" s="1" t="s">
        <v>761</v>
      </c>
      <c r="P9481" s="1" t="s">
        <v>763</v>
      </c>
      <c r="Q9481" s="30" t="s">
        <v>2570</v>
      </c>
      <c r="R9481" s="33" t="s">
        <v>3474</v>
      </c>
      <c r="S9481">
        <v>35</v>
      </c>
      <c r="T9481" s="1" t="s">
        <v>5416</v>
      </c>
      <c r="U9481" s="1" t="str">
        <f>HYPERLINK("http://ictvonline.org/taxonomy/p/taxonomy-history?taxnode_id=202105008","ICTVonline=202105008")</f>
        <v>ICTVonline=202105008</v>
      </c>
    </row>
    <row r="9482" spans="1:21" x14ac:dyDescent="0.2">
      <c r="A9482" s="3">
        <v>9481</v>
      </c>
      <c r="B9482" s="1" t="s">
        <v>4226</v>
      </c>
      <c r="D9482" s="1" t="s">
        <v>5779</v>
      </c>
      <c r="F9482" s="1" t="s">
        <v>5780</v>
      </c>
      <c r="H9482" s="1" t="s">
        <v>5781</v>
      </c>
      <c r="J9482" s="1" t="s">
        <v>3558</v>
      </c>
      <c r="L9482" s="1" t="s">
        <v>342</v>
      </c>
      <c r="M9482" s="1" t="s">
        <v>343</v>
      </c>
      <c r="N9482" s="1" t="s">
        <v>761</v>
      </c>
      <c r="P9482" s="1" t="s">
        <v>764</v>
      </c>
      <c r="Q9482" s="30" t="s">
        <v>2570</v>
      </c>
      <c r="R9482" s="33" t="s">
        <v>3474</v>
      </c>
      <c r="S9482">
        <v>35</v>
      </c>
      <c r="T9482" s="1" t="s">
        <v>5416</v>
      </c>
      <c r="U9482" s="1" t="str">
        <f>HYPERLINK("http://ictvonline.org/taxonomy/p/taxonomy-history?taxnode_id=202105009","ICTVonline=202105009")</f>
        <v>ICTVonline=202105009</v>
      </c>
    </row>
    <row r="9483" spans="1:21" x14ac:dyDescent="0.2">
      <c r="A9483" s="3">
        <v>9482</v>
      </c>
      <c r="B9483" s="1" t="s">
        <v>4226</v>
      </c>
      <c r="D9483" s="1" t="s">
        <v>5779</v>
      </c>
      <c r="F9483" s="1" t="s">
        <v>5780</v>
      </c>
      <c r="H9483" s="1" t="s">
        <v>5781</v>
      </c>
      <c r="J9483" s="1" t="s">
        <v>3558</v>
      </c>
      <c r="L9483" s="1" t="s">
        <v>342</v>
      </c>
      <c r="M9483" s="1" t="s">
        <v>343</v>
      </c>
      <c r="N9483" s="1" t="s">
        <v>761</v>
      </c>
      <c r="P9483" s="1" t="s">
        <v>1180</v>
      </c>
      <c r="Q9483" s="30" t="s">
        <v>2570</v>
      </c>
      <c r="R9483" s="33" t="s">
        <v>3474</v>
      </c>
      <c r="S9483">
        <v>35</v>
      </c>
      <c r="T9483" s="1" t="s">
        <v>5416</v>
      </c>
      <c r="U9483" s="1" t="str">
        <f>HYPERLINK("http://ictvonline.org/taxonomy/p/taxonomy-history?taxnode_id=202105010","ICTVonline=202105010")</f>
        <v>ICTVonline=202105010</v>
      </c>
    </row>
    <row r="9484" spans="1:21" x14ac:dyDescent="0.2">
      <c r="A9484" s="3">
        <v>9483</v>
      </c>
      <c r="B9484" s="1" t="s">
        <v>4226</v>
      </c>
      <c r="D9484" s="1" t="s">
        <v>5779</v>
      </c>
      <c r="F9484" s="1" t="s">
        <v>5780</v>
      </c>
      <c r="H9484" s="1" t="s">
        <v>5781</v>
      </c>
      <c r="J9484" s="1" t="s">
        <v>3558</v>
      </c>
      <c r="L9484" s="1" t="s">
        <v>342</v>
      </c>
      <c r="M9484" s="1" t="s">
        <v>343</v>
      </c>
      <c r="N9484" s="1" t="s">
        <v>761</v>
      </c>
      <c r="P9484" s="1" t="s">
        <v>1181</v>
      </c>
      <c r="Q9484" s="30" t="s">
        <v>2570</v>
      </c>
      <c r="R9484" s="33" t="s">
        <v>3474</v>
      </c>
      <c r="S9484">
        <v>35</v>
      </c>
      <c r="T9484" s="1" t="s">
        <v>5416</v>
      </c>
      <c r="U9484" s="1" t="str">
        <f>HYPERLINK("http://ictvonline.org/taxonomy/p/taxonomy-history?taxnode_id=202105011","ICTVonline=202105011")</f>
        <v>ICTVonline=202105011</v>
      </c>
    </row>
    <row r="9485" spans="1:21" x14ac:dyDescent="0.2">
      <c r="A9485" s="3">
        <v>9484</v>
      </c>
      <c r="B9485" s="1" t="s">
        <v>4226</v>
      </c>
      <c r="D9485" s="1" t="s">
        <v>5779</v>
      </c>
      <c r="F9485" s="1" t="s">
        <v>5780</v>
      </c>
      <c r="H9485" s="1" t="s">
        <v>5781</v>
      </c>
      <c r="J9485" s="1" t="s">
        <v>3558</v>
      </c>
      <c r="L9485" s="1" t="s">
        <v>342</v>
      </c>
      <c r="M9485" s="1" t="s">
        <v>343</v>
      </c>
      <c r="N9485" s="1" t="s">
        <v>761</v>
      </c>
      <c r="P9485" s="1" t="s">
        <v>1182</v>
      </c>
      <c r="Q9485" s="30" t="s">
        <v>2570</v>
      </c>
      <c r="R9485" s="33" t="s">
        <v>3474</v>
      </c>
      <c r="S9485">
        <v>35</v>
      </c>
      <c r="T9485" s="1" t="s">
        <v>5416</v>
      </c>
      <c r="U9485" s="1" t="str">
        <f>HYPERLINK("http://ictvonline.org/taxonomy/p/taxonomy-history?taxnode_id=202105012","ICTVonline=202105012")</f>
        <v>ICTVonline=202105012</v>
      </c>
    </row>
    <row r="9486" spans="1:21" x14ac:dyDescent="0.2">
      <c r="A9486" s="3">
        <v>9485</v>
      </c>
      <c r="B9486" s="1" t="s">
        <v>4226</v>
      </c>
      <c r="D9486" s="1" t="s">
        <v>5779</v>
      </c>
      <c r="F9486" s="1" t="s">
        <v>5780</v>
      </c>
      <c r="H9486" s="1" t="s">
        <v>5781</v>
      </c>
      <c r="J9486" s="1" t="s">
        <v>3558</v>
      </c>
      <c r="L9486" s="1" t="s">
        <v>342</v>
      </c>
      <c r="M9486" s="1" t="s">
        <v>343</v>
      </c>
      <c r="N9486" s="1" t="s">
        <v>761</v>
      </c>
      <c r="P9486" s="1" t="s">
        <v>1183</v>
      </c>
      <c r="Q9486" s="30" t="s">
        <v>2570</v>
      </c>
      <c r="R9486" s="33" t="s">
        <v>3474</v>
      </c>
      <c r="S9486">
        <v>35</v>
      </c>
      <c r="T9486" s="1" t="s">
        <v>5416</v>
      </c>
      <c r="U9486" s="1" t="str">
        <f>HYPERLINK("http://ictvonline.org/taxonomy/p/taxonomy-history?taxnode_id=202105013","ICTVonline=202105013")</f>
        <v>ICTVonline=202105013</v>
      </c>
    </row>
    <row r="9487" spans="1:21" x14ac:dyDescent="0.2">
      <c r="A9487" s="3">
        <v>9486</v>
      </c>
      <c r="B9487" s="1" t="s">
        <v>4226</v>
      </c>
      <c r="D9487" s="1" t="s">
        <v>5779</v>
      </c>
      <c r="F9487" s="1" t="s">
        <v>5780</v>
      </c>
      <c r="H9487" s="1" t="s">
        <v>5781</v>
      </c>
      <c r="J9487" s="1" t="s">
        <v>3558</v>
      </c>
      <c r="L9487" s="1" t="s">
        <v>342</v>
      </c>
      <c r="M9487" s="1" t="s">
        <v>343</v>
      </c>
      <c r="N9487" s="1" t="s">
        <v>761</v>
      </c>
      <c r="P9487" s="1" t="s">
        <v>1184</v>
      </c>
      <c r="Q9487" s="30" t="s">
        <v>2570</v>
      </c>
      <c r="R9487" s="33" t="s">
        <v>3474</v>
      </c>
      <c r="S9487">
        <v>35</v>
      </c>
      <c r="T9487" s="1" t="s">
        <v>5416</v>
      </c>
      <c r="U9487" s="1" t="str">
        <f>HYPERLINK("http://ictvonline.org/taxonomy/p/taxonomy-history?taxnode_id=202105014","ICTVonline=202105014")</f>
        <v>ICTVonline=202105014</v>
      </c>
    </row>
    <row r="9488" spans="1:21" x14ac:dyDescent="0.2">
      <c r="A9488" s="3">
        <v>9487</v>
      </c>
      <c r="B9488" s="1" t="s">
        <v>4226</v>
      </c>
      <c r="D9488" s="1" t="s">
        <v>5779</v>
      </c>
      <c r="F9488" s="1" t="s">
        <v>5780</v>
      </c>
      <c r="H9488" s="1" t="s">
        <v>5781</v>
      </c>
      <c r="J9488" s="1" t="s">
        <v>3558</v>
      </c>
      <c r="L9488" s="1" t="s">
        <v>342</v>
      </c>
      <c r="M9488" s="1" t="s">
        <v>343</v>
      </c>
      <c r="N9488" s="1" t="s">
        <v>761</v>
      </c>
      <c r="P9488" s="1" t="s">
        <v>699</v>
      </c>
      <c r="Q9488" s="30" t="s">
        <v>2570</v>
      </c>
      <c r="R9488" s="33" t="s">
        <v>3474</v>
      </c>
      <c r="S9488">
        <v>35</v>
      </c>
      <c r="T9488" s="1" t="s">
        <v>5416</v>
      </c>
      <c r="U9488" s="1" t="str">
        <f>HYPERLINK("http://ictvonline.org/taxonomy/p/taxonomy-history?taxnode_id=202105015","ICTVonline=202105015")</f>
        <v>ICTVonline=202105015</v>
      </c>
    </row>
    <row r="9489" spans="1:21" x14ac:dyDescent="0.2">
      <c r="A9489" s="3">
        <v>9488</v>
      </c>
      <c r="B9489" s="1" t="s">
        <v>4226</v>
      </c>
      <c r="D9489" s="1" t="s">
        <v>5779</v>
      </c>
      <c r="F9489" s="1" t="s">
        <v>5780</v>
      </c>
      <c r="H9489" s="1" t="s">
        <v>5781</v>
      </c>
      <c r="J9489" s="1" t="s">
        <v>3558</v>
      </c>
      <c r="L9489" s="1" t="s">
        <v>342</v>
      </c>
      <c r="M9489" s="1" t="s">
        <v>343</v>
      </c>
      <c r="N9489" s="1" t="s">
        <v>761</v>
      </c>
      <c r="P9489" s="1" t="s">
        <v>3385</v>
      </c>
      <c r="Q9489" s="30" t="s">
        <v>2570</v>
      </c>
      <c r="R9489" s="33" t="s">
        <v>3474</v>
      </c>
      <c r="S9489">
        <v>35</v>
      </c>
      <c r="T9489" s="1" t="s">
        <v>5416</v>
      </c>
      <c r="U9489" s="1" t="str">
        <f>HYPERLINK("http://ictvonline.org/taxonomy/p/taxonomy-history?taxnode_id=202105016","ICTVonline=202105016")</f>
        <v>ICTVonline=202105016</v>
      </c>
    </row>
    <row r="9490" spans="1:21" x14ac:dyDescent="0.2">
      <c r="A9490" s="3">
        <v>9489</v>
      </c>
      <c r="B9490" s="1" t="s">
        <v>4226</v>
      </c>
      <c r="D9490" s="1" t="s">
        <v>5779</v>
      </c>
      <c r="F9490" s="1" t="s">
        <v>5780</v>
      </c>
      <c r="H9490" s="1" t="s">
        <v>5781</v>
      </c>
      <c r="J9490" s="1" t="s">
        <v>3558</v>
      </c>
      <c r="L9490" s="1" t="s">
        <v>342</v>
      </c>
      <c r="M9490" s="1" t="s">
        <v>343</v>
      </c>
      <c r="N9490" s="1" t="s">
        <v>761</v>
      </c>
      <c r="P9490" s="1" t="s">
        <v>1099</v>
      </c>
      <c r="Q9490" s="30" t="s">
        <v>2570</v>
      </c>
      <c r="R9490" s="33" t="s">
        <v>3474</v>
      </c>
      <c r="S9490">
        <v>35</v>
      </c>
      <c r="T9490" s="1" t="s">
        <v>5416</v>
      </c>
      <c r="U9490" s="1" t="str">
        <f>HYPERLINK("http://ictvonline.org/taxonomy/p/taxonomy-history?taxnode_id=202105017","ICTVonline=202105017")</f>
        <v>ICTVonline=202105017</v>
      </c>
    </row>
    <row r="9491" spans="1:21" x14ac:dyDescent="0.2">
      <c r="A9491" s="3">
        <v>9490</v>
      </c>
      <c r="B9491" s="1" t="s">
        <v>4226</v>
      </c>
      <c r="D9491" s="1" t="s">
        <v>5779</v>
      </c>
      <c r="F9491" s="1" t="s">
        <v>5780</v>
      </c>
      <c r="H9491" s="1" t="s">
        <v>5781</v>
      </c>
      <c r="J9491" s="1" t="s">
        <v>3558</v>
      </c>
      <c r="L9491" s="1" t="s">
        <v>342</v>
      </c>
      <c r="M9491" s="1" t="s">
        <v>343</v>
      </c>
      <c r="N9491" s="1" t="s">
        <v>761</v>
      </c>
      <c r="P9491" s="1" t="s">
        <v>1100</v>
      </c>
      <c r="Q9491" s="30" t="s">
        <v>2570</v>
      </c>
      <c r="R9491" s="33" t="s">
        <v>8665</v>
      </c>
      <c r="S9491">
        <v>36</v>
      </c>
      <c r="T9491" s="1" t="s">
        <v>8661</v>
      </c>
      <c r="U9491" s="1" t="str">
        <f>HYPERLINK("http://ictvonline.org/taxonomy/p/taxonomy-history?taxnode_id=202105018","ICTVonline=202105018")</f>
        <v>ICTVonline=202105018</v>
      </c>
    </row>
    <row r="9492" spans="1:21" x14ac:dyDescent="0.2">
      <c r="A9492" s="3">
        <v>9491</v>
      </c>
      <c r="B9492" s="1" t="s">
        <v>4226</v>
      </c>
      <c r="D9492" s="1" t="s">
        <v>5779</v>
      </c>
      <c r="F9492" s="1" t="s">
        <v>5780</v>
      </c>
      <c r="H9492" s="1" t="s">
        <v>5781</v>
      </c>
      <c r="J9492" s="1" t="s">
        <v>3558</v>
      </c>
      <c r="L9492" s="1" t="s">
        <v>342</v>
      </c>
      <c r="M9492" s="1" t="s">
        <v>343</v>
      </c>
      <c r="N9492" s="1" t="s">
        <v>761</v>
      </c>
      <c r="P9492" s="1" t="s">
        <v>1101</v>
      </c>
      <c r="Q9492" s="30" t="s">
        <v>2570</v>
      </c>
      <c r="R9492" s="33" t="s">
        <v>3474</v>
      </c>
      <c r="S9492">
        <v>35</v>
      </c>
      <c r="T9492" s="1" t="s">
        <v>5416</v>
      </c>
      <c r="U9492" s="1" t="str">
        <f>HYPERLINK("http://ictvonline.org/taxonomy/p/taxonomy-history?taxnode_id=202105019","ICTVonline=202105019")</f>
        <v>ICTVonline=202105019</v>
      </c>
    </row>
    <row r="9493" spans="1:21" x14ac:dyDescent="0.2">
      <c r="A9493" s="3">
        <v>9492</v>
      </c>
      <c r="B9493" s="1" t="s">
        <v>4226</v>
      </c>
      <c r="D9493" s="1" t="s">
        <v>5779</v>
      </c>
      <c r="F9493" s="1" t="s">
        <v>5780</v>
      </c>
      <c r="H9493" s="1" t="s">
        <v>5781</v>
      </c>
      <c r="J9493" s="1" t="s">
        <v>3558</v>
      </c>
      <c r="L9493" s="1" t="s">
        <v>342</v>
      </c>
      <c r="M9493" s="1" t="s">
        <v>343</v>
      </c>
      <c r="N9493" s="1" t="s">
        <v>761</v>
      </c>
      <c r="P9493" s="1" t="s">
        <v>1102</v>
      </c>
      <c r="Q9493" s="30" t="s">
        <v>2570</v>
      </c>
      <c r="R9493" s="33" t="s">
        <v>3474</v>
      </c>
      <c r="S9493">
        <v>35</v>
      </c>
      <c r="T9493" s="1" t="s">
        <v>5416</v>
      </c>
      <c r="U9493" s="1" t="str">
        <f>HYPERLINK("http://ictvonline.org/taxonomy/p/taxonomy-history?taxnode_id=202105020","ICTVonline=202105020")</f>
        <v>ICTVonline=202105020</v>
      </c>
    </row>
    <row r="9494" spans="1:21" x14ac:dyDescent="0.2">
      <c r="A9494" s="3">
        <v>9493</v>
      </c>
      <c r="B9494" s="1" t="s">
        <v>4226</v>
      </c>
      <c r="D9494" s="1" t="s">
        <v>5779</v>
      </c>
      <c r="F9494" s="1" t="s">
        <v>5780</v>
      </c>
      <c r="H9494" s="1" t="s">
        <v>5781</v>
      </c>
      <c r="J9494" s="1" t="s">
        <v>3558</v>
      </c>
      <c r="L9494" s="1" t="s">
        <v>342</v>
      </c>
      <c r="M9494" s="1" t="s">
        <v>343</v>
      </c>
      <c r="N9494" s="1" t="s">
        <v>761</v>
      </c>
      <c r="P9494" s="1" t="s">
        <v>1321</v>
      </c>
      <c r="Q9494" s="30" t="s">
        <v>2570</v>
      </c>
      <c r="R9494" s="33" t="s">
        <v>3474</v>
      </c>
      <c r="S9494">
        <v>35</v>
      </c>
      <c r="T9494" s="1" t="s">
        <v>5416</v>
      </c>
      <c r="U9494" s="1" t="str">
        <f>HYPERLINK("http://ictvonline.org/taxonomy/p/taxonomy-history?taxnode_id=202105021","ICTVonline=202105021")</f>
        <v>ICTVonline=202105021</v>
      </c>
    </row>
    <row r="9495" spans="1:21" x14ac:dyDescent="0.2">
      <c r="A9495" s="3">
        <v>9494</v>
      </c>
      <c r="B9495" s="1" t="s">
        <v>4226</v>
      </c>
      <c r="D9495" s="1" t="s">
        <v>5779</v>
      </c>
      <c r="F9495" s="1" t="s">
        <v>5780</v>
      </c>
      <c r="H9495" s="1" t="s">
        <v>5781</v>
      </c>
      <c r="J9495" s="1" t="s">
        <v>3558</v>
      </c>
      <c r="L9495" s="1" t="s">
        <v>342</v>
      </c>
      <c r="M9495" s="1" t="s">
        <v>343</v>
      </c>
      <c r="N9495" s="1" t="s">
        <v>761</v>
      </c>
      <c r="P9495" s="1" t="s">
        <v>1322</v>
      </c>
      <c r="Q9495" s="30" t="s">
        <v>2570</v>
      </c>
      <c r="R9495" s="33" t="s">
        <v>3474</v>
      </c>
      <c r="S9495">
        <v>35</v>
      </c>
      <c r="T9495" s="1" t="s">
        <v>5416</v>
      </c>
      <c r="U9495" s="1" t="str">
        <f>HYPERLINK("http://ictvonline.org/taxonomy/p/taxonomy-history?taxnode_id=202105022","ICTVonline=202105022")</f>
        <v>ICTVonline=202105022</v>
      </c>
    </row>
    <row r="9496" spans="1:21" x14ac:dyDescent="0.2">
      <c r="A9496" s="3">
        <v>9495</v>
      </c>
      <c r="B9496" s="1" t="s">
        <v>4226</v>
      </c>
      <c r="D9496" s="1" t="s">
        <v>5779</v>
      </c>
      <c r="F9496" s="1" t="s">
        <v>5780</v>
      </c>
      <c r="H9496" s="1" t="s">
        <v>5781</v>
      </c>
      <c r="J9496" s="1" t="s">
        <v>3558</v>
      </c>
      <c r="L9496" s="1" t="s">
        <v>342</v>
      </c>
      <c r="M9496" s="1" t="s">
        <v>343</v>
      </c>
      <c r="N9496" s="1" t="s">
        <v>761</v>
      </c>
      <c r="P9496" s="1" t="s">
        <v>1323</v>
      </c>
      <c r="Q9496" s="30" t="s">
        <v>2570</v>
      </c>
      <c r="R9496" s="33" t="s">
        <v>3474</v>
      </c>
      <c r="S9496">
        <v>35</v>
      </c>
      <c r="T9496" s="1" t="s">
        <v>5416</v>
      </c>
      <c r="U9496" s="1" t="str">
        <f>HYPERLINK("http://ictvonline.org/taxonomy/p/taxonomy-history?taxnode_id=202105023","ICTVonline=202105023")</f>
        <v>ICTVonline=202105023</v>
      </c>
    </row>
    <row r="9497" spans="1:21" x14ac:dyDescent="0.2">
      <c r="A9497" s="3">
        <v>9496</v>
      </c>
      <c r="B9497" s="1" t="s">
        <v>4226</v>
      </c>
      <c r="D9497" s="1" t="s">
        <v>5779</v>
      </c>
      <c r="F9497" s="1" t="s">
        <v>5780</v>
      </c>
      <c r="H9497" s="1" t="s">
        <v>5781</v>
      </c>
      <c r="J9497" s="1" t="s">
        <v>3558</v>
      </c>
      <c r="L9497" s="1" t="s">
        <v>342</v>
      </c>
      <c r="M9497" s="1" t="s">
        <v>343</v>
      </c>
      <c r="N9497" s="1" t="s">
        <v>761</v>
      </c>
      <c r="P9497" s="1" t="s">
        <v>1324</v>
      </c>
      <c r="Q9497" s="30" t="s">
        <v>2570</v>
      </c>
      <c r="R9497" s="33" t="s">
        <v>3474</v>
      </c>
      <c r="S9497">
        <v>35</v>
      </c>
      <c r="T9497" s="1" t="s">
        <v>5416</v>
      </c>
      <c r="U9497" s="1" t="str">
        <f>HYPERLINK("http://ictvonline.org/taxonomy/p/taxonomy-history?taxnode_id=202105024","ICTVonline=202105024")</f>
        <v>ICTVonline=202105024</v>
      </c>
    </row>
    <row r="9498" spans="1:21" x14ac:dyDescent="0.2">
      <c r="A9498" s="3">
        <v>9497</v>
      </c>
      <c r="B9498" s="1" t="s">
        <v>4226</v>
      </c>
      <c r="D9498" s="1" t="s">
        <v>5779</v>
      </c>
      <c r="F9498" s="1" t="s">
        <v>5780</v>
      </c>
      <c r="H9498" s="1" t="s">
        <v>5781</v>
      </c>
      <c r="J9498" s="1" t="s">
        <v>3558</v>
      </c>
      <c r="L9498" s="1" t="s">
        <v>342</v>
      </c>
      <c r="M9498" s="1" t="s">
        <v>343</v>
      </c>
      <c r="N9498" s="1" t="s">
        <v>1325</v>
      </c>
      <c r="P9498" s="1" t="s">
        <v>1264</v>
      </c>
      <c r="Q9498" s="30" t="s">
        <v>2570</v>
      </c>
      <c r="R9498" s="33" t="s">
        <v>3474</v>
      </c>
      <c r="S9498">
        <v>35</v>
      </c>
      <c r="T9498" s="1" t="s">
        <v>5416</v>
      </c>
      <c r="U9498" s="1" t="str">
        <f>HYPERLINK("http://ictvonline.org/taxonomy/p/taxonomy-history?taxnode_id=202105026","ICTVonline=202105026")</f>
        <v>ICTVonline=202105026</v>
      </c>
    </row>
    <row r="9499" spans="1:21" x14ac:dyDescent="0.2">
      <c r="A9499" s="3">
        <v>9498</v>
      </c>
      <c r="B9499" s="1" t="s">
        <v>4226</v>
      </c>
      <c r="D9499" s="1" t="s">
        <v>5779</v>
      </c>
      <c r="F9499" s="1" t="s">
        <v>5780</v>
      </c>
      <c r="H9499" s="1" t="s">
        <v>5781</v>
      </c>
      <c r="J9499" s="1" t="s">
        <v>3558</v>
      </c>
      <c r="L9499" s="1" t="s">
        <v>342</v>
      </c>
      <c r="M9499" s="1" t="s">
        <v>343</v>
      </c>
      <c r="N9499" s="1" t="s">
        <v>1325</v>
      </c>
      <c r="P9499" s="1" t="s">
        <v>1109</v>
      </c>
      <c r="Q9499" s="30" t="s">
        <v>2570</v>
      </c>
      <c r="R9499" s="33" t="s">
        <v>3474</v>
      </c>
      <c r="S9499">
        <v>35</v>
      </c>
      <c r="T9499" s="1" t="s">
        <v>5416</v>
      </c>
      <c r="U9499" s="1" t="str">
        <f>HYPERLINK("http://ictvonline.org/taxonomy/p/taxonomy-history?taxnode_id=202105027","ICTVonline=202105027")</f>
        <v>ICTVonline=202105027</v>
      </c>
    </row>
    <row r="9500" spans="1:21" x14ac:dyDescent="0.2">
      <c r="A9500" s="3">
        <v>9499</v>
      </c>
      <c r="B9500" s="1" t="s">
        <v>4226</v>
      </c>
      <c r="D9500" s="1" t="s">
        <v>5779</v>
      </c>
      <c r="F9500" s="1" t="s">
        <v>5780</v>
      </c>
      <c r="H9500" s="1" t="s">
        <v>5781</v>
      </c>
      <c r="J9500" s="1" t="s">
        <v>3558</v>
      </c>
      <c r="L9500" s="1" t="s">
        <v>342</v>
      </c>
      <c r="M9500" s="1" t="s">
        <v>343</v>
      </c>
      <c r="N9500" s="1" t="s">
        <v>1325</v>
      </c>
      <c r="P9500" s="1" t="s">
        <v>1110</v>
      </c>
      <c r="Q9500" s="30" t="s">
        <v>2570</v>
      </c>
      <c r="R9500" s="33" t="s">
        <v>3474</v>
      </c>
      <c r="S9500">
        <v>35</v>
      </c>
      <c r="T9500" s="1" t="s">
        <v>5416</v>
      </c>
      <c r="U9500" s="1" t="str">
        <f>HYPERLINK("http://ictvonline.org/taxonomy/p/taxonomy-history?taxnode_id=202105028","ICTVonline=202105028")</f>
        <v>ICTVonline=202105028</v>
      </c>
    </row>
    <row r="9501" spans="1:21" x14ac:dyDescent="0.2">
      <c r="A9501" s="3">
        <v>9500</v>
      </c>
      <c r="B9501" s="1" t="s">
        <v>4226</v>
      </c>
      <c r="D9501" s="1" t="s">
        <v>5779</v>
      </c>
      <c r="F9501" s="1" t="s">
        <v>5780</v>
      </c>
      <c r="H9501" s="1" t="s">
        <v>5781</v>
      </c>
      <c r="J9501" s="1" t="s">
        <v>3558</v>
      </c>
      <c r="L9501" s="1" t="s">
        <v>342</v>
      </c>
      <c r="M9501" s="1" t="s">
        <v>343</v>
      </c>
      <c r="N9501" s="1" t="s">
        <v>1325</v>
      </c>
      <c r="P9501" s="1" t="s">
        <v>1111</v>
      </c>
      <c r="Q9501" s="30" t="s">
        <v>2570</v>
      </c>
      <c r="R9501" s="33" t="s">
        <v>3474</v>
      </c>
      <c r="S9501">
        <v>35</v>
      </c>
      <c r="T9501" s="1" t="s">
        <v>5416</v>
      </c>
      <c r="U9501" s="1" t="str">
        <f>HYPERLINK("http://ictvonline.org/taxonomy/p/taxonomy-history?taxnode_id=202105029","ICTVonline=202105029")</f>
        <v>ICTVonline=202105029</v>
      </c>
    </row>
    <row r="9502" spans="1:21" x14ac:dyDescent="0.2">
      <c r="A9502" s="3">
        <v>9501</v>
      </c>
      <c r="B9502" s="1" t="s">
        <v>4226</v>
      </c>
      <c r="D9502" s="1" t="s">
        <v>5779</v>
      </c>
      <c r="F9502" s="1" t="s">
        <v>5780</v>
      </c>
      <c r="H9502" s="1" t="s">
        <v>5781</v>
      </c>
      <c r="J9502" s="1" t="s">
        <v>3558</v>
      </c>
      <c r="L9502" s="1" t="s">
        <v>342</v>
      </c>
      <c r="M9502" s="1" t="s">
        <v>343</v>
      </c>
      <c r="N9502" s="1" t="s">
        <v>1325</v>
      </c>
      <c r="P9502" s="1" t="s">
        <v>1112</v>
      </c>
      <c r="Q9502" s="30" t="s">
        <v>2570</v>
      </c>
      <c r="R9502" s="33" t="s">
        <v>8665</v>
      </c>
      <c r="S9502">
        <v>36</v>
      </c>
      <c r="T9502" s="1" t="s">
        <v>8661</v>
      </c>
      <c r="U9502" s="1" t="str">
        <f>HYPERLINK("http://ictvonline.org/taxonomy/p/taxonomy-history?taxnode_id=202105030","ICTVonline=202105030")</f>
        <v>ICTVonline=202105030</v>
      </c>
    </row>
    <row r="9503" spans="1:21" x14ac:dyDescent="0.2">
      <c r="A9503" s="3">
        <v>9502</v>
      </c>
      <c r="B9503" s="1" t="s">
        <v>4226</v>
      </c>
      <c r="D9503" s="1" t="s">
        <v>5779</v>
      </c>
      <c r="F9503" s="1" t="s">
        <v>5780</v>
      </c>
      <c r="H9503" s="1" t="s">
        <v>5781</v>
      </c>
      <c r="J9503" s="1" t="s">
        <v>3558</v>
      </c>
      <c r="L9503" s="1" t="s">
        <v>342</v>
      </c>
      <c r="M9503" s="1" t="s">
        <v>343</v>
      </c>
      <c r="N9503" s="1" t="s">
        <v>1325</v>
      </c>
      <c r="P9503" s="1" t="s">
        <v>1113</v>
      </c>
      <c r="Q9503" s="30" t="s">
        <v>2570</v>
      </c>
      <c r="R9503" s="33" t="s">
        <v>3474</v>
      </c>
      <c r="S9503">
        <v>35</v>
      </c>
      <c r="T9503" s="1" t="s">
        <v>5416</v>
      </c>
      <c r="U9503" s="1" t="str">
        <f>HYPERLINK("http://ictvonline.org/taxonomy/p/taxonomy-history?taxnode_id=202105031","ICTVonline=202105031")</f>
        <v>ICTVonline=202105031</v>
      </c>
    </row>
    <row r="9504" spans="1:21" x14ac:dyDescent="0.2">
      <c r="A9504" s="3">
        <v>9503</v>
      </c>
      <c r="B9504" s="1" t="s">
        <v>4226</v>
      </c>
      <c r="D9504" s="1" t="s">
        <v>5779</v>
      </c>
      <c r="F9504" s="1" t="s">
        <v>5780</v>
      </c>
      <c r="H9504" s="1" t="s">
        <v>5781</v>
      </c>
      <c r="J9504" s="1" t="s">
        <v>3558</v>
      </c>
      <c r="L9504" s="1" t="s">
        <v>342</v>
      </c>
      <c r="M9504" s="1" t="s">
        <v>343</v>
      </c>
      <c r="N9504" s="1" t="s">
        <v>1325</v>
      </c>
      <c r="P9504" s="1" t="s">
        <v>3386</v>
      </c>
      <c r="Q9504" s="30" t="s">
        <v>2570</v>
      </c>
      <c r="R9504" s="33" t="s">
        <v>3474</v>
      </c>
      <c r="S9504">
        <v>35</v>
      </c>
      <c r="T9504" s="1" t="s">
        <v>5416</v>
      </c>
      <c r="U9504" s="1" t="str">
        <f>HYPERLINK("http://ictvonline.org/taxonomy/p/taxonomy-history?taxnode_id=202105032","ICTVonline=202105032")</f>
        <v>ICTVonline=202105032</v>
      </c>
    </row>
    <row r="9505" spans="1:21" x14ac:dyDescent="0.2">
      <c r="A9505" s="3">
        <v>9504</v>
      </c>
      <c r="B9505" s="1" t="s">
        <v>4226</v>
      </c>
      <c r="D9505" s="1" t="s">
        <v>5779</v>
      </c>
      <c r="F9505" s="1" t="s">
        <v>5780</v>
      </c>
      <c r="H9505" s="1" t="s">
        <v>5781</v>
      </c>
      <c r="J9505" s="1" t="s">
        <v>3558</v>
      </c>
      <c r="L9505" s="1" t="s">
        <v>342</v>
      </c>
      <c r="M9505" s="1" t="s">
        <v>343</v>
      </c>
      <c r="N9505" s="1" t="s">
        <v>1325</v>
      </c>
      <c r="P9505" s="1" t="s">
        <v>1114</v>
      </c>
      <c r="Q9505" s="30" t="s">
        <v>2570</v>
      </c>
      <c r="R9505" s="33" t="s">
        <v>3474</v>
      </c>
      <c r="S9505">
        <v>35</v>
      </c>
      <c r="T9505" s="1" t="s">
        <v>5416</v>
      </c>
      <c r="U9505" s="1" t="str">
        <f>HYPERLINK("http://ictvonline.org/taxonomy/p/taxonomy-history?taxnode_id=202105033","ICTVonline=202105033")</f>
        <v>ICTVonline=202105033</v>
      </c>
    </row>
    <row r="9506" spans="1:21" x14ac:dyDescent="0.2">
      <c r="A9506" s="3">
        <v>9505</v>
      </c>
      <c r="B9506" s="1" t="s">
        <v>4226</v>
      </c>
      <c r="D9506" s="1" t="s">
        <v>5779</v>
      </c>
      <c r="F9506" s="1" t="s">
        <v>5780</v>
      </c>
      <c r="H9506" s="1" t="s">
        <v>5781</v>
      </c>
      <c r="J9506" s="1" t="s">
        <v>3558</v>
      </c>
      <c r="L9506" s="1" t="s">
        <v>342</v>
      </c>
      <c r="M9506" s="1" t="s">
        <v>343</v>
      </c>
      <c r="N9506" s="1" t="s">
        <v>1325</v>
      </c>
      <c r="P9506" s="1" t="s">
        <v>1115</v>
      </c>
      <c r="Q9506" s="30" t="s">
        <v>2570</v>
      </c>
      <c r="R9506" s="33" t="s">
        <v>3474</v>
      </c>
      <c r="S9506">
        <v>35</v>
      </c>
      <c r="T9506" s="1" t="s">
        <v>5416</v>
      </c>
      <c r="U9506" s="1" t="str">
        <f>HYPERLINK("http://ictvonline.org/taxonomy/p/taxonomy-history?taxnode_id=202105034","ICTVonline=202105034")</f>
        <v>ICTVonline=202105034</v>
      </c>
    </row>
    <row r="9507" spans="1:21" x14ac:dyDescent="0.2">
      <c r="A9507" s="3">
        <v>9506</v>
      </c>
      <c r="B9507" s="1" t="s">
        <v>4226</v>
      </c>
      <c r="D9507" s="1" t="s">
        <v>5779</v>
      </c>
      <c r="F9507" s="1" t="s">
        <v>5780</v>
      </c>
      <c r="H9507" s="1" t="s">
        <v>5781</v>
      </c>
      <c r="J9507" s="1" t="s">
        <v>3558</v>
      </c>
      <c r="L9507" s="1" t="s">
        <v>342</v>
      </c>
      <c r="M9507" s="1" t="s">
        <v>343</v>
      </c>
      <c r="N9507" s="1" t="s">
        <v>1325</v>
      </c>
      <c r="P9507" s="1" t="s">
        <v>3577</v>
      </c>
      <c r="Q9507" s="30" t="s">
        <v>2570</v>
      </c>
      <c r="R9507" s="33" t="s">
        <v>3474</v>
      </c>
      <c r="S9507">
        <v>35</v>
      </c>
      <c r="T9507" s="1" t="s">
        <v>5416</v>
      </c>
      <c r="U9507" s="1" t="str">
        <f>HYPERLINK("http://ictvonline.org/taxonomy/p/taxonomy-history?taxnode_id=202105035","ICTVonline=202105035")</f>
        <v>ICTVonline=202105035</v>
      </c>
    </row>
    <row r="9508" spans="1:21" x14ac:dyDescent="0.2">
      <c r="A9508" s="3">
        <v>9507</v>
      </c>
      <c r="B9508" s="1" t="s">
        <v>4226</v>
      </c>
      <c r="D9508" s="1" t="s">
        <v>5779</v>
      </c>
      <c r="F9508" s="1" t="s">
        <v>5780</v>
      </c>
      <c r="H9508" s="1" t="s">
        <v>5781</v>
      </c>
      <c r="J9508" s="1" t="s">
        <v>3558</v>
      </c>
      <c r="L9508" s="1" t="s">
        <v>342</v>
      </c>
      <c r="M9508" s="1" t="s">
        <v>1116</v>
      </c>
      <c r="N9508" s="1" t="s">
        <v>3578</v>
      </c>
      <c r="P9508" s="1" t="s">
        <v>1265</v>
      </c>
      <c r="Q9508" s="30" t="s">
        <v>2570</v>
      </c>
      <c r="R9508" s="33" t="s">
        <v>8665</v>
      </c>
      <c r="S9508">
        <v>36</v>
      </c>
      <c r="T9508" s="1" t="s">
        <v>8661</v>
      </c>
      <c r="U9508" s="1" t="str">
        <f>HYPERLINK("http://ictvonline.org/taxonomy/p/taxonomy-history?taxnode_id=202105039","ICTVonline=202105039")</f>
        <v>ICTVonline=202105039</v>
      </c>
    </row>
    <row r="9509" spans="1:21" x14ac:dyDescent="0.2">
      <c r="A9509" s="3">
        <v>9508</v>
      </c>
      <c r="B9509" s="1" t="s">
        <v>4226</v>
      </c>
      <c r="D9509" s="1" t="s">
        <v>5779</v>
      </c>
      <c r="F9509" s="1" t="s">
        <v>5780</v>
      </c>
      <c r="H9509" s="1" t="s">
        <v>5781</v>
      </c>
      <c r="J9509" s="1" t="s">
        <v>3558</v>
      </c>
      <c r="L9509" s="1" t="s">
        <v>342</v>
      </c>
      <c r="M9509" s="1" t="s">
        <v>1116</v>
      </c>
      <c r="N9509" s="1" t="s">
        <v>3579</v>
      </c>
      <c r="P9509" s="1" t="s">
        <v>1266</v>
      </c>
      <c r="Q9509" s="30" t="s">
        <v>2570</v>
      </c>
      <c r="R9509" s="33" t="s">
        <v>8665</v>
      </c>
      <c r="S9509">
        <v>36</v>
      </c>
      <c r="T9509" s="1" t="s">
        <v>8661</v>
      </c>
      <c r="U9509" s="1" t="str">
        <f>HYPERLINK("http://ictvonline.org/taxonomy/p/taxonomy-history?taxnode_id=202105040","ICTVonline=202105040")</f>
        <v>ICTVonline=202105040</v>
      </c>
    </row>
    <row r="9510" spans="1:21" x14ac:dyDescent="0.2">
      <c r="A9510" s="3">
        <v>9509</v>
      </c>
      <c r="B9510" s="1" t="s">
        <v>4226</v>
      </c>
      <c r="D9510" s="1" t="s">
        <v>5779</v>
      </c>
      <c r="F9510" s="1" t="s">
        <v>5780</v>
      </c>
      <c r="H9510" s="1" t="s">
        <v>5781</v>
      </c>
      <c r="J9510" s="1" t="s">
        <v>3558</v>
      </c>
      <c r="L9510" s="1" t="s">
        <v>342</v>
      </c>
      <c r="M9510" s="1" t="s">
        <v>1116</v>
      </c>
      <c r="N9510" s="1" t="s">
        <v>3580</v>
      </c>
      <c r="P9510" s="1" t="s">
        <v>1267</v>
      </c>
      <c r="Q9510" s="30" t="s">
        <v>2570</v>
      </c>
      <c r="R9510" s="33" t="s">
        <v>8665</v>
      </c>
      <c r="S9510">
        <v>36</v>
      </c>
      <c r="T9510" s="1" t="s">
        <v>8661</v>
      </c>
      <c r="U9510" s="1" t="str">
        <f>HYPERLINK("http://ictvonline.org/taxonomy/p/taxonomy-history?taxnode_id=202105041","ICTVonline=202105041")</f>
        <v>ICTVonline=202105041</v>
      </c>
    </row>
    <row r="9511" spans="1:21" x14ac:dyDescent="0.2">
      <c r="A9511" s="3">
        <v>9510</v>
      </c>
      <c r="B9511" s="1" t="s">
        <v>4226</v>
      </c>
      <c r="D9511" s="1" t="s">
        <v>5779</v>
      </c>
      <c r="F9511" s="1" t="s">
        <v>5780</v>
      </c>
      <c r="H9511" s="1" t="s">
        <v>5781</v>
      </c>
      <c r="J9511" s="1" t="s">
        <v>3558</v>
      </c>
      <c r="L9511" s="1" t="s">
        <v>342</v>
      </c>
      <c r="M9511" s="1" t="s">
        <v>1116</v>
      </c>
      <c r="N9511" s="1" t="s">
        <v>3581</v>
      </c>
      <c r="P9511" s="1" t="s">
        <v>3582</v>
      </c>
      <c r="Q9511" s="30" t="s">
        <v>2570</v>
      </c>
      <c r="R9511" s="33" t="s">
        <v>8665</v>
      </c>
      <c r="S9511">
        <v>36</v>
      </c>
      <c r="T9511" s="1" t="s">
        <v>8661</v>
      </c>
      <c r="U9511" s="1" t="str">
        <f>HYPERLINK("http://ictvonline.org/taxonomy/p/taxonomy-history?taxnode_id=202105932","ICTVonline=202105932")</f>
        <v>ICTVonline=202105932</v>
      </c>
    </row>
    <row r="9512" spans="1:21" x14ac:dyDescent="0.2">
      <c r="A9512" s="3">
        <v>9511</v>
      </c>
      <c r="B9512" s="1" t="s">
        <v>4226</v>
      </c>
      <c r="D9512" s="1" t="s">
        <v>5779</v>
      </c>
      <c r="F9512" s="1" t="s">
        <v>5780</v>
      </c>
      <c r="H9512" s="1" t="s">
        <v>5781</v>
      </c>
      <c r="J9512" s="1" t="s">
        <v>3558</v>
      </c>
      <c r="L9512" s="1" t="s">
        <v>342</v>
      </c>
      <c r="M9512" s="1" t="s">
        <v>1116</v>
      </c>
      <c r="N9512" s="1" t="s">
        <v>3583</v>
      </c>
      <c r="P9512" s="1" t="s">
        <v>3584</v>
      </c>
      <c r="Q9512" s="30" t="s">
        <v>2570</v>
      </c>
      <c r="R9512" s="33" t="s">
        <v>3474</v>
      </c>
      <c r="S9512">
        <v>35</v>
      </c>
      <c r="T9512" s="1" t="s">
        <v>5416</v>
      </c>
      <c r="U9512" s="1" t="str">
        <f>HYPERLINK("http://ictvonline.org/taxonomy/p/taxonomy-history?taxnode_id=202105934","ICTVonline=202105934")</f>
        <v>ICTVonline=202105934</v>
      </c>
    </row>
    <row r="9513" spans="1:21" x14ac:dyDescent="0.2">
      <c r="A9513" s="3">
        <v>9512</v>
      </c>
      <c r="B9513" s="1" t="s">
        <v>4226</v>
      </c>
      <c r="D9513" s="1" t="s">
        <v>5779</v>
      </c>
      <c r="F9513" s="1" t="s">
        <v>5780</v>
      </c>
      <c r="H9513" s="1" t="s">
        <v>5781</v>
      </c>
      <c r="J9513" s="1" t="s">
        <v>3558</v>
      </c>
      <c r="L9513" s="1" t="s">
        <v>342</v>
      </c>
      <c r="M9513" s="1" t="s">
        <v>1116</v>
      </c>
      <c r="N9513" s="1" t="s">
        <v>3583</v>
      </c>
      <c r="P9513" s="1" t="s">
        <v>4795</v>
      </c>
      <c r="Q9513" s="30" t="s">
        <v>2570</v>
      </c>
      <c r="R9513" s="33" t="s">
        <v>3474</v>
      </c>
      <c r="S9513">
        <v>35</v>
      </c>
      <c r="T9513" s="1" t="s">
        <v>5416</v>
      </c>
      <c r="U9513" s="1" t="str">
        <f>HYPERLINK("http://ictvonline.org/taxonomy/p/taxonomy-history?taxnode_id=202105935","ICTVonline=202105935")</f>
        <v>ICTVonline=202105935</v>
      </c>
    </row>
    <row r="9514" spans="1:21" x14ac:dyDescent="0.2">
      <c r="A9514" s="3">
        <v>9513</v>
      </c>
      <c r="B9514" s="1" t="s">
        <v>4226</v>
      </c>
      <c r="D9514" s="1" t="s">
        <v>5779</v>
      </c>
      <c r="F9514" s="1" t="s">
        <v>5780</v>
      </c>
      <c r="H9514" s="1" t="s">
        <v>5781</v>
      </c>
      <c r="J9514" s="1" t="s">
        <v>3558</v>
      </c>
      <c r="L9514" s="1" t="s">
        <v>342</v>
      </c>
      <c r="M9514" s="1" t="s">
        <v>1116</v>
      </c>
      <c r="N9514" s="1" t="s">
        <v>3583</v>
      </c>
      <c r="P9514" s="1" t="s">
        <v>4796</v>
      </c>
      <c r="Q9514" s="30" t="s">
        <v>2570</v>
      </c>
      <c r="R9514" s="33" t="s">
        <v>3474</v>
      </c>
      <c r="S9514">
        <v>35</v>
      </c>
      <c r="T9514" s="1" t="s">
        <v>5416</v>
      </c>
      <c r="U9514" s="1" t="str">
        <f>HYPERLINK("http://ictvonline.org/taxonomy/p/taxonomy-history?taxnode_id=202106445","ICTVonline=202106445")</f>
        <v>ICTVonline=202106445</v>
      </c>
    </row>
    <row r="9515" spans="1:21" x14ac:dyDescent="0.2">
      <c r="A9515" s="3">
        <v>9514</v>
      </c>
      <c r="B9515" s="1" t="s">
        <v>4226</v>
      </c>
      <c r="D9515" s="1" t="s">
        <v>5779</v>
      </c>
      <c r="F9515" s="1" t="s">
        <v>5780</v>
      </c>
      <c r="H9515" s="1" t="s">
        <v>5781</v>
      </c>
      <c r="J9515" s="1" t="s">
        <v>3558</v>
      </c>
      <c r="L9515" s="1" t="s">
        <v>342</v>
      </c>
      <c r="M9515" s="1" t="s">
        <v>1116</v>
      </c>
      <c r="N9515" s="1" t="s">
        <v>3583</v>
      </c>
      <c r="P9515" s="1" t="s">
        <v>3585</v>
      </c>
      <c r="Q9515" s="30" t="s">
        <v>2570</v>
      </c>
      <c r="R9515" s="33" t="s">
        <v>8665</v>
      </c>
      <c r="S9515">
        <v>36</v>
      </c>
      <c r="T9515" s="1" t="s">
        <v>8661</v>
      </c>
      <c r="U9515" s="1" t="str">
        <f>HYPERLINK("http://ictvonline.org/taxonomy/p/taxonomy-history?taxnode_id=202105043","ICTVonline=202105043")</f>
        <v>ICTVonline=202105043</v>
      </c>
    </row>
    <row r="9516" spans="1:21" x14ac:dyDescent="0.2">
      <c r="A9516" s="3">
        <v>9515</v>
      </c>
      <c r="B9516" s="1" t="s">
        <v>4226</v>
      </c>
      <c r="D9516" s="1" t="s">
        <v>5779</v>
      </c>
      <c r="F9516" s="1" t="s">
        <v>5780</v>
      </c>
      <c r="H9516" s="1" t="s">
        <v>5781</v>
      </c>
      <c r="J9516" s="1" t="s">
        <v>3558</v>
      </c>
      <c r="L9516" s="1" t="s">
        <v>342</v>
      </c>
      <c r="M9516" s="1" t="s">
        <v>1116</v>
      </c>
      <c r="N9516" s="1" t="s">
        <v>3583</v>
      </c>
      <c r="P9516" s="1" t="s">
        <v>3586</v>
      </c>
      <c r="Q9516" s="30" t="s">
        <v>2570</v>
      </c>
      <c r="R9516" s="33" t="s">
        <v>3474</v>
      </c>
      <c r="S9516">
        <v>35</v>
      </c>
      <c r="T9516" s="1" t="s">
        <v>5416</v>
      </c>
      <c r="U9516" s="1" t="str">
        <f>HYPERLINK("http://ictvonline.org/taxonomy/p/taxonomy-history?taxnode_id=202105038","ICTVonline=202105038")</f>
        <v>ICTVonline=202105038</v>
      </c>
    </row>
    <row r="9517" spans="1:21" x14ac:dyDescent="0.2">
      <c r="A9517" s="3">
        <v>9516</v>
      </c>
      <c r="B9517" s="1" t="s">
        <v>4226</v>
      </c>
      <c r="D9517" s="1" t="s">
        <v>5779</v>
      </c>
      <c r="F9517" s="1" t="s">
        <v>5780</v>
      </c>
      <c r="H9517" s="1" t="s">
        <v>5781</v>
      </c>
      <c r="J9517" s="1" t="s">
        <v>3558</v>
      </c>
      <c r="L9517" s="1" t="s">
        <v>342</v>
      </c>
      <c r="M9517" s="1" t="s">
        <v>1116</v>
      </c>
      <c r="N9517" s="1" t="s">
        <v>3583</v>
      </c>
      <c r="P9517" s="1" t="s">
        <v>3587</v>
      </c>
      <c r="Q9517" s="30" t="s">
        <v>2570</v>
      </c>
      <c r="R9517" s="33" t="s">
        <v>3474</v>
      </c>
      <c r="S9517">
        <v>35</v>
      </c>
      <c r="T9517" s="1" t="s">
        <v>5416</v>
      </c>
      <c r="U9517" s="1" t="str">
        <f>HYPERLINK("http://ictvonline.org/taxonomy/p/taxonomy-history?taxnode_id=202105936","ICTVonline=202105936")</f>
        <v>ICTVonline=202105936</v>
      </c>
    </row>
    <row r="9518" spans="1:21" x14ac:dyDescent="0.2">
      <c r="A9518" s="3">
        <v>9517</v>
      </c>
      <c r="B9518" s="1" t="s">
        <v>4226</v>
      </c>
      <c r="D9518" s="1" t="s">
        <v>5779</v>
      </c>
      <c r="F9518" s="1" t="s">
        <v>5780</v>
      </c>
      <c r="H9518" s="1" t="s">
        <v>5781</v>
      </c>
      <c r="J9518" s="1" t="s">
        <v>3558</v>
      </c>
      <c r="L9518" s="1" t="s">
        <v>342</v>
      </c>
      <c r="M9518" s="1" t="s">
        <v>1116</v>
      </c>
      <c r="N9518" s="1" t="s">
        <v>3583</v>
      </c>
      <c r="P9518" s="1" t="s">
        <v>3588</v>
      </c>
      <c r="Q9518" s="30" t="s">
        <v>2570</v>
      </c>
      <c r="R9518" s="33" t="s">
        <v>3474</v>
      </c>
      <c r="S9518">
        <v>35</v>
      </c>
      <c r="T9518" s="1" t="s">
        <v>5416</v>
      </c>
      <c r="U9518" s="1" t="str">
        <f>HYPERLINK("http://ictvonline.org/taxonomy/p/taxonomy-history?taxnode_id=202105937","ICTVonline=202105937")</f>
        <v>ICTVonline=202105937</v>
      </c>
    </row>
    <row r="9519" spans="1:21" x14ac:dyDescent="0.2">
      <c r="A9519" s="3">
        <v>9518</v>
      </c>
      <c r="B9519" s="1" t="s">
        <v>4226</v>
      </c>
      <c r="D9519" s="1" t="s">
        <v>5779</v>
      </c>
      <c r="F9519" s="1" t="s">
        <v>5780</v>
      </c>
      <c r="H9519" s="1" t="s">
        <v>5781</v>
      </c>
      <c r="J9519" s="1" t="s">
        <v>3558</v>
      </c>
      <c r="L9519" s="1" t="s">
        <v>342</v>
      </c>
      <c r="M9519" s="1" t="s">
        <v>1116</v>
      </c>
      <c r="N9519" s="1" t="s">
        <v>3583</v>
      </c>
      <c r="P9519" s="1" t="s">
        <v>3589</v>
      </c>
      <c r="Q9519" s="30" t="s">
        <v>2570</v>
      </c>
      <c r="R9519" s="33" t="s">
        <v>3474</v>
      </c>
      <c r="S9519">
        <v>35</v>
      </c>
      <c r="T9519" s="1" t="s">
        <v>5416</v>
      </c>
      <c r="U9519" s="1" t="str">
        <f>HYPERLINK("http://ictvonline.org/taxonomy/p/taxonomy-history?taxnode_id=202105938","ICTVonline=202105938")</f>
        <v>ICTVonline=202105938</v>
      </c>
    </row>
    <row r="9520" spans="1:21" x14ac:dyDescent="0.2">
      <c r="A9520" s="3">
        <v>9519</v>
      </c>
      <c r="B9520" s="1" t="s">
        <v>4226</v>
      </c>
      <c r="D9520" s="1" t="s">
        <v>5779</v>
      </c>
      <c r="F9520" s="1" t="s">
        <v>5780</v>
      </c>
      <c r="H9520" s="1" t="s">
        <v>5781</v>
      </c>
      <c r="J9520" s="1" t="s">
        <v>3558</v>
      </c>
      <c r="L9520" s="1" t="s">
        <v>342</v>
      </c>
      <c r="M9520" s="1" t="s">
        <v>1116</v>
      </c>
      <c r="N9520" s="1" t="s">
        <v>3583</v>
      </c>
      <c r="P9520" s="1" t="s">
        <v>3590</v>
      </c>
      <c r="Q9520" s="30" t="s">
        <v>2570</v>
      </c>
      <c r="R9520" s="33" t="s">
        <v>3474</v>
      </c>
      <c r="S9520">
        <v>35</v>
      </c>
      <c r="T9520" s="1" t="s">
        <v>5416</v>
      </c>
      <c r="U9520" s="1" t="str">
        <f>HYPERLINK("http://ictvonline.org/taxonomy/p/taxonomy-history?taxnode_id=202105939","ICTVonline=202105939")</f>
        <v>ICTVonline=202105939</v>
      </c>
    </row>
    <row r="9521" spans="1:21" x14ac:dyDescent="0.2">
      <c r="A9521" s="3">
        <v>9520</v>
      </c>
      <c r="B9521" s="1" t="s">
        <v>4226</v>
      </c>
      <c r="D9521" s="1" t="s">
        <v>5779</v>
      </c>
      <c r="F9521" s="1" t="s">
        <v>5780</v>
      </c>
      <c r="H9521" s="1" t="s">
        <v>5781</v>
      </c>
      <c r="J9521" s="1" t="s">
        <v>3558</v>
      </c>
      <c r="L9521" s="1" t="s">
        <v>342</v>
      </c>
      <c r="M9521" s="1" t="s">
        <v>1116</v>
      </c>
      <c r="N9521" s="1" t="s">
        <v>3583</v>
      </c>
      <c r="P9521" s="1" t="s">
        <v>3591</v>
      </c>
      <c r="Q9521" s="30" t="s">
        <v>2570</v>
      </c>
      <c r="R9521" s="33" t="s">
        <v>3474</v>
      </c>
      <c r="S9521">
        <v>35</v>
      </c>
      <c r="T9521" s="1" t="s">
        <v>5416</v>
      </c>
      <c r="U9521" s="1" t="str">
        <f>HYPERLINK("http://ictvonline.org/taxonomy/p/taxonomy-history?taxnode_id=202105940","ICTVonline=202105940")</f>
        <v>ICTVonline=202105940</v>
      </c>
    </row>
    <row r="9522" spans="1:21" x14ac:dyDescent="0.2">
      <c r="A9522" s="3">
        <v>9521</v>
      </c>
      <c r="B9522" s="1" t="s">
        <v>4226</v>
      </c>
      <c r="D9522" s="1" t="s">
        <v>5779</v>
      </c>
      <c r="F9522" s="1" t="s">
        <v>5780</v>
      </c>
      <c r="H9522" s="1" t="s">
        <v>5781</v>
      </c>
      <c r="J9522" s="1" t="s">
        <v>3558</v>
      </c>
      <c r="L9522" s="1" t="s">
        <v>342</v>
      </c>
      <c r="M9522" s="1" t="s">
        <v>1116</v>
      </c>
      <c r="N9522" s="1" t="s">
        <v>3583</v>
      </c>
      <c r="P9522" s="1" t="s">
        <v>3592</v>
      </c>
      <c r="Q9522" s="30" t="s">
        <v>2570</v>
      </c>
      <c r="R9522" s="33" t="s">
        <v>3474</v>
      </c>
      <c r="S9522">
        <v>35</v>
      </c>
      <c r="T9522" s="1" t="s">
        <v>5416</v>
      </c>
      <c r="U9522" s="1" t="str">
        <f>HYPERLINK("http://ictvonline.org/taxonomy/p/taxonomy-history?taxnode_id=202105042","ICTVonline=202105042")</f>
        <v>ICTVonline=202105042</v>
      </c>
    </row>
    <row r="9523" spans="1:21" x14ac:dyDescent="0.2">
      <c r="A9523" s="3">
        <v>9522</v>
      </c>
      <c r="B9523" s="1" t="s">
        <v>4226</v>
      </c>
      <c r="D9523" s="1" t="s">
        <v>5779</v>
      </c>
      <c r="F9523" s="1" t="s">
        <v>5780</v>
      </c>
      <c r="H9523" s="1" t="s">
        <v>5781</v>
      </c>
      <c r="J9523" s="1" t="s">
        <v>3558</v>
      </c>
      <c r="L9523" s="1" t="s">
        <v>342</v>
      </c>
      <c r="M9523" s="1" t="s">
        <v>1116</v>
      </c>
      <c r="N9523" s="1" t="s">
        <v>3583</v>
      </c>
      <c r="P9523" s="1" t="s">
        <v>3593</v>
      </c>
      <c r="Q9523" s="30" t="s">
        <v>2570</v>
      </c>
      <c r="R9523" s="33" t="s">
        <v>3474</v>
      </c>
      <c r="S9523">
        <v>35</v>
      </c>
      <c r="T9523" s="1" t="s">
        <v>5416</v>
      </c>
      <c r="U9523" s="1" t="str">
        <f>HYPERLINK("http://ictvonline.org/taxonomy/p/taxonomy-history?taxnode_id=202105941","ICTVonline=202105941")</f>
        <v>ICTVonline=202105941</v>
      </c>
    </row>
    <row r="9524" spans="1:21" x14ac:dyDescent="0.2">
      <c r="A9524" s="3">
        <v>9523</v>
      </c>
      <c r="B9524" s="1" t="s">
        <v>4226</v>
      </c>
      <c r="D9524" s="1" t="s">
        <v>5779</v>
      </c>
      <c r="F9524" s="1" t="s">
        <v>5780</v>
      </c>
      <c r="H9524" s="1" t="s">
        <v>5781</v>
      </c>
      <c r="J9524" s="1" t="s">
        <v>3558</v>
      </c>
      <c r="L9524" s="1" t="s">
        <v>342</v>
      </c>
      <c r="M9524" s="1" t="s">
        <v>1116</v>
      </c>
      <c r="N9524" s="1" t="s">
        <v>3583</v>
      </c>
      <c r="P9524" s="1" t="s">
        <v>3594</v>
      </c>
      <c r="Q9524" s="30" t="s">
        <v>2570</v>
      </c>
      <c r="R9524" s="33" t="s">
        <v>3474</v>
      </c>
      <c r="S9524">
        <v>35</v>
      </c>
      <c r="T9524" s="1" t="s">
        <v>5416</v>
      </c>
      <c r="U9524" s="1" t="str">
        <f>HYPERLINK("http://ictvonline.org/taxonomy/p/taxonomy-history?taxnode_id=202105942","ICTVonline=202105942")</f>
        <v>ICTVonline=202105942</v>
      </c>
    </row>
    <row r="9525" spans="1:21" x14ac:dyDescent="0.2">
      <c r="A9525" s="3">
        <v>9524</v>
      </c>
      <c r="B9525" s="1" t="s">
        <v>4226</v>
      </c>
      <c r="D9525" s="1" t="s">
        <v>5779</v>
      </c>
      <c r="F9525" s="1" t="s">
        <v>5780</v>
      </c>
      <c r="H9525" s="1" t="s">
        <v>5781</v>
      </c>
      <c r="J9525" s="1" t="s">
        <v>3558</v>
      </c>
      <c r="L9525" s="1" t="s">
        <v>342</v>
      </c>
      <c r="M9525" s="1" t="s">
        <v>1116</v>
      </c>
      <c r="N9525" s="1" t="s">
        <v>3583</v>
      </c>
      <c r="P9525" s="1" t="s">
        <v>3595</v>
      </c>
      <c r="Q9525" s="30" t="s">
        <v>2570</v>
      </c>
      <c r="R9525" s="33" t="s">
        <v>3474</v>
      </c>
      <c r="S9525">
        <v>35</v>
      </c>
      <c r="T9525" s="1" t="s">
        <v>5416</v>
      </c>
      <c r="U9525" s="1" t="str">
        <f>HYPERLINK("http://ictvonline.org/taxonomy/p/taxonomy-history?taxnode_id=202105943","ICTVonline=202105943")</f>
        <v>ICTVonline=202105943</v>
      </c>
    </row>
    <row r="9526" spans="1:21" x14ac:dyDescent="0.2">
      <c r="A9526" s="3">
        <v>9525</v>
      </c>
      <c r="B9526" s="1" t="s">
        <v>4226</v>
      </c>
      <c r="D9526" s="1" t="s">
        <v>5779</v>
      </c>
      <c r="F9526" s="1" t="s">
        <v>5780</v>
      </c>
      <c r="H9526" s="1" t="s">
        <v>5781</v>
      </c>
      <c r="J9526" s="1" t="s">
        <v>3558</v>
      </c>
      <c r="L9526" s="1" t="s">
        <v>342</v>
      </c>
      <c r="M9526" s="1" t="s">
        <v>1116</v>
      </c>
      <c r="N9526" s="1" t="s">
        <v>3583</v>
      </c>
      <c r="P9526" s="1" t="s">
        <v>3596</v>
      </c>
      <c r="Q9526" s="30" t="s">
        <v>2570</v>
      </c>
      <c r="R9526" s="33" t="s">
        <v>3474</v>
      </c>
      <c r="S9526">
        <v>35</v>
      </c>
      <c r="T9526" s="1" t="s">
        <v>5416</v>
      </c>
      <c r="U9526" s="1" t="str">
        <f>HYPERLINK("http://ictvonline.org/taxonomy/p/taxonomy-history?taxnode_id=202105944","ICTVonline=202105944")</f>
        <v>ICTVonline=202105944</v>
      </c>
    </row>
    <row r="9527" spans="1:21" x14ac:dyDescent="0.2">
      <c r="A9527" s="3">
        <v>9526</v>
      </c>
      <c r="B9527" s="1" t="s">
        <v>4226</v>
      </c>
      <c r="L9527" s="1" t="s">
        <v>5797</v>
      </c>
      <c r="N9527" s="1" t="s">
        <v>5798</v>
      </c>
      <c r="P9527" s="1" t="s">
        <v>5799</v>
      </c>
      <c r="Q9527" s="30" t="s">
        <v>2569</v>
      </c>
      <c r="R9527" s="33" t="s">
        <v>8665</v>
      </c>
      <c r="S9527">
        <v>36</v>
      </c>
      <c r="T9527" s="1" t="s">
        <v>8661</v>
      </c>
      <c r="U9527" s="1" t="str">
        <f>HYPERLINK("http://ictvonline.org/taxonomy/p/taxonomy-history?taxnode_id=202108685","ICTVonline=202108685")</f>
        <v>ICTVonline=202108685</v>
      </c>
    </row>
    <row r="9528" spans="1:21" x14ac:dyDescent="0.2">
      <c r="A9528" s="3">
        <v>9527</v>
      </c>
      <c r="B9528" s="1" t="s">
        <v>4226</v>
      </c>
      <c r="L9528" s="1" t="s">
        <v>5797</v>
      </c>
      <c r="N9528" s="1" t="s">
        <v>5798</v>
      </c>
      <c r="P9528" s="1" t="s">
        <v>5801</v>
      </c>
      <c r="Q9528" s="30" t="s">
        <v>2569</v>
      </c>
      <c r="R9528" s="33" t="s">
        <v>3472</v>
      </c>
      <c r="S9528">
        <v>35</v>
      </c>
      <c r="T9528" s="1" t="s">
        <v>5800</v>
      </c>
      <c r="U9528" s="1" t="str">
        <f>HYPERLINK("http://ictvonline.org/taxonomy/p/taxonomy-history?taxnode_id=202108686","ICTVonline=202108686")</f>
        <v>ICTVonline=202108686</v>
      </c>
    </row>
    <row r="9529" spans="1:21" x14ac:dyDescent="0.2">
      <c r="A9529" s="3">
        <v>9528</v>
      </c>
      <c r="B9529" s="1" t="s">
        <v>4226</v>
      </c>
      <c r="L9529" s="1" t="s">
        <v>5797</v>
      </c>
      <c r="N9529" s="1" t="s">
        <v>5798</v>
      </c>
      <c r="P9529" s="1" t="s">
        <v>5802</v>
      </c>
      <c r="Q9529" s="30" t="s">
        <v>2569</v>
      </c>
      <c r="R9529" s="33" t="s">
        <v>3472</v>
      </c>
      <c r="S9529">
        <v>35</v>
      </c>
      <c r="T9529" s="1" t="s">
        <v>5800</v>
      </c>
      <c r="U9529" s="1" t="str">
        <f>HYPERLINK("http://ictvonline.org/taxonomy/p/taxonomy-history?taxnode_id=202108687","ICTVonline=202108687")</f>
        <v>ICTVonline=202108687</v>
      </c>
    </row>
    <row r="9530" spans="1:21" x14ac:dyDescent="0.2">
      <c r="A9530" s="3">
        <v>9529</v>
      </c>
      <c r="B9530" s="1" t="s">
        <v>4226</v>
      </c>
      <c r="L9530" s="1" t="s">
        <v>5797</v>
      </c>
      <c r="N9530" s="1" t="s">
        <v>5798</v>
      </c>
      <c r="P9530" s="1" t="s">
        <v>5803</v>
      </c>
      <c r="Q9530" s="30" t="s">
        <v>2569</v>
      </c>
      <c r="R9530" s="33" t="s">
        <v>3472</v>
      </c>
      <c r="S9530">
        <v>35</v>
      </c>
      <c r="T9530" s="1" t="s">
        <v>5800</v>
      </c>
      <c r="U9530" s="1" t="str">
        <f>HYPERLINK("http://ictvonline.org/taxonomy/p/taxonomy-history?taxnode_id=202108688","ICTVonline=202108688")</f>
        <v>ICTVonline=202108688</v>
      </c>
    </row>
    <row r="9531" spans="1:21" x14ac:dyDescent="0.2">
      <c r="A9531" s="3">
        <v>9530</v>
      </c>
      <c r="B9531" s="1" t="s">
        <v>4226</v>
      </c>
      <c r="L9531" s="1" t="s">
        <v>5797</v>
      </c>
      <c r="N9531" s="1" t="s">
        <v>5798</v>
      </c>
      <c r="P9531" s="1" t="s">
        <v>5804</v>
      </c>
      <c r="Q9531" s="30" t="s">
        <v>2569</v>
      </c>
      <c r="R9531" s="33" t="s">
        <v>3472</v>
      </c>
      <c r="S9531">
        <v>35</v>
      </c>
      <c r="T9531" s="1" t="s">
        <v>5800</v>
      </c>
      <c r="U9531" s="1" t="str">
        <f>HYPERLINK("http://ictvonline.org/taxonomy/p/taxonomy-history?taxnode_id=202108689","ICTVonline=202108689")</f>
        <v>ICTVonline=202108689</v>
      </c>
    </row>
    <row r="9532" spans="1:21" x14ac:dyDescent="0.2">
      <c r="A9532" s="3">
        <v>9531</v>
      </c>
      <c r="B9532" s="1" t="s">
        <v>4226</v>
      </c>
      <c r="L9532" s="1" t="s">
        <v>5797</v>
      </c>
      <c r="N9532" s="1" t="s">
        <v>5798</v>
      </c>
      <c r="P9532" s="1" t="s">
        <v>5805</v>
      </c>
      <c r="Q9532" s="30" t="s">
        <v>2569</v>
      </c>
      <c r="R9532" s="33" t="s">
        <v>3472</v>
      </c>
      <c r="S9532">
        <v>35</v>
      </c>
      <c r="T9532" s="1" t="s">
        <v>5800</v>
      </c>
      <c r="U9532" s="1" t="str">
        <f>HYPERLINK("http://ictvonline.org/taxonomy/p/taxonomy-history?taxnode_id=202108690","ICTVonline=202108690")</f>
        <v>ICTVonline=202108690</v>
      </c>
    </row>
    <row r="9533" spans="1:21" x14ac:dyDescent="0.2">
      <c r="A9533" s="3">
        <v>9532</v>
      </c>
      <c r="B9533" s="1" t="s">
        <v>4226</v>
      </c>
      <c r="L9533" s="1" t="s">
        <v>5797</v>
      </c>
      <c r="N9533" s="1" t="s">
        <v>5798</v>
      </c>
      <c r="P9533" s="1" t="s">
        <v>5806</v>
      </c>
      <c r="Q9533" s="30" t="s">
        <v>2569</v>
      </c>
      <c r="R9533" s="33" t="s">
        <v>3472</v>
      </c>
      <c r="S9533">
        <v>35</v>
      </c>
      <c r="T9533" s="1" t="s">
        <v>5800</v>
      </c>
      <c r="U9533" s="1" t="str">
        <f>HYPERLINK("http://ictvonline.org/taxonomy/p/taxonomy-history?taxnode_id=202108691","ICTVonline=202108691")</f>
        <v>ICTVonline=202108691</v>
      </c>
    </row>
    <row r="9534" spans="1:21" x14ac:dyDescent="0.2">
      <c r="A9534" s="3">
        <v>9533</v>
      </c>
      <c r="B9534" s="1" t="s">
        <v>4226</v>
      </c>
      <c r="L9534" s="1" t="s">
        <v>5797</v>
      </c>
      <c r="N9534" s="1" t="s">
        <v>5798</v>
      </c>
      <c r="P9534" s="1" t="s">
        <v>5807</v>
      </c>
      <c r="Q9534" s="30" t="s">
        <v>2569</v>
      </c>
      <c r="R9534" s="33" t="s">
        <v>3472</v>
      </c>
      <c r="S9534">
        <v>35</v>
      </c>
      <c r="T9534" s="1" t="s">
        <v>5800</v>
      </c>
      <c r="U9534" s="1" t="str">
        <f>HYPERLINK("http://ictvonline.org/taxonomy/p/taxonomy-history?taxnode_id=202108692","ICTVonline=202108692")</f>
        <v>ICTVonline=202108692</v>
      </c>
    </row>
    <row r="9535" spans="1:21" x14ac:dyDescent="0.2">
      <c r="A9535" s="3">
        <v>9534</v>
      </c>
      <c r="B9535" s="1" t="s">
        <v>4226</v>
      </c>
      <c r="L9535" s="1" t="s">
        <v>5797</v>
      </c>
      <c r="N9535" s="1" t="s">
        <v>5798</v>
      </c>
      <c r="P9535" s="1" t="s">
        <v>5808</v>
      </c>
      <c r="Q9535" s="30" t="s">
        <v>2569</v>
      </c>
      <c r="R9535" s="33" t="s">
        <v>3472</v>
      </c>
      <c r="S9535">
        <v>35</v>
      </c>
      <c r="T9535" s="1" t="s">
        <v>5800</v>
      </c>
      <c r="U9535" s="1" t="str">
        <f>HYPERLINK("http://ictvonline.org/taxonomy/p/taxonomy-history?taxnode_id=202108694","ICTVonline=202108694")</f>
        <v>ICTVonline=202108694</v>
      </c>
    </row>
    <row r="9536" spans="1:21" x14ac:dyDescent="0.2">
      <c r="A9536" s="3">
        <v>9535</v>
      </c>
      <c r="B9536" s="1" t="s">
        <v>4226</v>
      </c>
      <c r="L9536" s="1" t="s">
        <v>5797</v>
      </c>
      <c r="N9536" s="1" t="s">
        <v>5798</v>
      </c>
      <c r="P9536" s="1" t="s">
        <v>5809</v>
      </c>
      <c r="Q9536" s="30" t="s">
        <v>2569</v>
      </c>
      <c r="R9536" s="33" t="s">
        <v>3472</v>
      </c>
      <c r="S9536">
        <v>35</v>
      </c>
      <c r="T9536" s="1" t="s">
        <v>5800</v>
      </c>
      <c r="U9536" s="1" t="str">
        <f>HYPERLINK("http://ictvonline.org/taxonomy/p/taxonomy-history?taxnode_id=202108693","ICTVonline=202108693")</f>
        <v>ICTVonline=202108693</v>
      </c>
    </row>
    <row r="9537" spans="1:21" x14ac:dyDescent="0.2">
      <c r="A9537" s="3">
        <v>9536</v>
      </c>
      <c r="B9537" s="1" t="s">
        <v>4226</v>
      </c>
      <c r="L9537" s="1" t="s">
        <v>3030</v>
      </c>
      <c r="N9537" s="1" t="s">
        <v>3031</v>
      </c>
      <c r="P9537" s="1" t="s">
        <v>3032</v>
      </c>
      <c r="Q9537" s="30" t="s">
        <v>2567</v>
      </c>
      <c r="R9537" s="33" t="s">
        <v>8665</v>
      </c>
      <c r="S9537">
        <v>36</v>
      </c>
      <c r="T9537" s="1" t="s">
        <v>8661</v>
      </c>
      <c r="U9537" s="1" t="str">
        <f>HYPERLINK("http://ictvonline.org/taxonomy/p/taxonomy-history?taxnode_id=202105047","ICTVonline=202105047")</f>
        <v>ICTVonline=202105047</v>
      </c>
    </row>
    <row r="9538" spans="1:21" x14ac:dyDescent="0.2">
      <c r="A9538" s="3">
        <v>9537</v>
      </c>
      <c r="B9538" s="1" t="s">
        <v>4226</v>
      </c>
      <c r="N9538" s="1" t="s">
        <v>3038</v>
      </c>
      <c r="P9538" s="1" t="s">
        <v>3039</v>
      </c>
      <c r="Q9538" s="30" t="s">
        <v>2567</v>
      </c>
      <c r="R9538" s="33" t="s">
        <v>8665</v>
      </c>
      <c r="S9538">
        <v>36</v>
      </c>
      <c r="T9538" s="1" t="s">
        <v>8661</v>
      </c>
      <c r="U9538" s="1" t="str">
        <f>HYPERLINK("http://ictvonline.org/taxonomy/p/taxonomy-history?taxnode_id=202105333","ICTVonline=202105333")</f>
        <v>ICTVonline=202105333</v>
      </c>
    </row>
    <row r="9539" spans="1:21" x14ac:dyDescent="0.2">
      <c r="A9539" s="3">
        <v>9538</v>
      </c>
      <c r="B9539" s="1" t="s">
        <v>4226</v>
      </c>
      <c r="N9539" s="1" t="s">
        <v>3038</v>
      </c>
      <c r="P9539" s="1" t="s">
        <v>3040</v>
      </c>
      <c r="Q9539" s="30" t="s">
        <v>2567</v>
      </c>
      <c r="R9539" s="33" t="s">
        <v>3474</v>
      </c>
      <c r="S9539">
        <v>34</v>
      </c>
      <c r="T9539" s="1" t="s">
        <v>4227</v>
      </c>
      <c r="U9539" s="1" t="str">
        <f>HYPERLINK("http://ictvonline.org/taxonomy/p/taxonomy-history?taxnode_id=202105334","ICTVonline=202105334")</f>
        <v>ICTVonline=202105334</v>
      </c>
    </row>
    <row r="9540" spans="1:21" x14ac:dyDescent="0.2">
      <c r="A9540" s="3">
        <v>9539</v>
      </c>
      <c r="B9540" s="1" t="s">
        <v>4226</v>
      </c>
      <c r="N9540" s="1" t="s">
        <v>3038</v>
      </c>
      <c r="P9540" s="1" t="s">
        <v>3041</v>
      </c>
      <c r="Q9540" s="30" t="s">
        <v>2567</v>
      </c>
      <c r="R9540" s="33" t="s">
        <v>3474</v>
      </c>
      <c r="S9540">
        <v>34</v>
      </c>
      <c r="T9540" s="1" t="s">
        <v>4227</v>
      </c>
      <c r="U9540" s="1" t="str">
        <f>HYPERLINK("http://ictvonline.org/taxonomy/p/taxonomy-history?taxnode_id=202105335","ICTVonline=202105335")</f>
        <v>ICTVonline=202105335</v>
      </c>
    </row>
    <row r="9541" spans="1:21" x14ac:dyDescent="0.2">
      <c r="A9541" s="3">
        <v>9540</v>
      </c>
      <c r="B9541" s="1" t="s">
        <v>4226</v>
      </c>
      <c r="N9541" s="1" t="s">
        <v>3042</v>
      </c>
      <c r="P9541" s="1" t="s">
        <v>3043</v>
      </c>
      <c r="Q9541" s="30" t="s">
        <v>2567</v>
      </c>
      <c r="R9541" s="33" t="s">
        <v>8665</v>
      </c>
      <c r="S9541">
        <v>36</v>
      </c>
      <c r="T9541" s="1" t="s">
        <v>8661</v>
      </c>
      <c r="U9541" s="1" t="str">
        <f>HYPERLINK("http://ictvonline.org/taxonomy/p/taxonomy-history?taxnode_id=202105337","ICTVonline=202105337")</f>
        <v>ICTVonline=202105337</v>
      </c>
    </row>
    <row r="9542" spans="1:21" x14ac:dyDescent="0.2">
      <c r="A9542" s="3">
        <v>9541</v>
      </c>
      <c r="B9542" s="1" t="s">
        <v>4226</v>
      </c>
      <c r="N9542" s="1" t="s">
        <v>3046</v>
      </c>
      <c r="P9542" s="1" t="s">
        <v>3047</v>
      </c>
      <c r="Q9542" s="30" t="s">
        <v>2567</v>
      </c>
      <c r="R9542" s="33" t="s">
        <v>8665</v>
      </c>
      <c r="S9542">
        <v>36</v>
      </c>
      <c r="T9542" s="1" t="s">
        <v>8661</v>
      </c>
      <c r="U9542" s="1" t="str">
        <f>HYPERLINK("http://ictvonline.org/taxonomy/p/taxonomy-history?taxnode_id=202105360","ICTVonline=202105360")</f>
        <v>ICTVonline=202105360</v>
      </c>
    </row>
    <row r="9543" spans="1:21" x14ac:dyDescent="0.2">
      <c r="A9543" s="3">
        <v>9542</v>
      </c>
      <c r="B9543" s="1" t="s">
        <v>4226</v>
      </c>
      <c r="N9543" s="1" t="s">
        <v>3056</v>
      </c>
      <c r="P9543" s="1" t="s">
        <v>3057</v>
      </c>
      <c r="Q9543" s="30" t="s">
        <v>2567</v>
      </c>
      <c r="R9543" s="33" t="s">
        <v>8665</v>
      </c>
      <c r="S9543">
        <v>36</v>
      </c>
      <c r="T9543" s="1" t="s">
        <v>8661</v>
      </c>
      <c r="U9543" s="1" t="str">
        <f>HYPERLINK("http://ictvonline.org/taxonomy/p/taxonomy-history?taxnode_id=202105393","ICTVonline=202105393")</f>
        <v>ICTVonline=202105393</v>
      </c>
    </row>
    <row r="9544" spans="1:21" x14ac:dyDescent="0.2">
      <c r="A9544" s="3">
        <v>9543</v>
      </c>
      <c r="B9544" s="1" t="s">
        <v>8356</v>
      </c>
      <c r="L9544" s="1" t="s">
        <v>8357</v>
      </c>
      <c r="N9544" s="1" t="s">
        <v>8358</v>
      </c>
      <c r="P9544" s="1" t="s">
        <v>8359</v>
      </c>
      <c r="Q9544" s="30" t="s">
        <v>2566</v>
      </c>
      <c r="R9544" s="33" t="s">
        <v>3472</v>
      </c>
      <c r="S9544">
        <v>36</v>
      </c>
      <c r="T9544" s="1" t="s">
        <v>8360</v>
      </c>
      <c r="U9544" s="1" t="str">
        <f>HYPERLINK("http://ictvonline.org/taxonomy/p/taxonomy-history?taxnode_id=202109310","ICTVonline=202109310")</f>
        <v>ICTVonline=202109310</v>
      </c>
    </row>
    <row r="9545" spans="1:21" x14ac:dyDescent="0.2">
      <c r="A9545" s="3">
        <v>9544</v>
      </c>
      <c r="B9545" s="1" t="s">
        <v>8356</v>
      </c>
      <c r="L9545" s="1" t="s">
        <v>8357</v>
      </c>
      <c r="N9545" s="1" t="s">
        <v>8361</v>
      </c>
      <c r="P9545" s="1" t="s">
        <v>8362</v>
      </c>
      <c r="Q9545" s="30" t="s">
        <v>2566</v>
      </c>
      <c r="R9545" s="33" t="s">
        <v>3472</v>
      </c>
      <c r="S9545">
        <v>36</v>
      </c>
      <c r="T9545" s="1" t="s">
        <v>8360</v>
      </c>
      <c r="U9545" s="1" t="str">
        <f>HYPERLINK("http://ictvonline.org/taxonomy/p/taxonomy-history?taxnode_id=202109312","ICTVonline=202109312")</f>
        <v>ICTVonline=202109312</v>
      </c>
    </row>
    <row r="9546" spans="1:21" x14ac:dyDescent="0.2">
      <c r="A9546" s="3">
        <v>9545</v>
      </c>
      <c r="B9546" s="1" t="s">
        <v>8356</v>
      </c>
      <c r="L9546" s="1" t="s">
        <v>8357</v>
      </c>
      <c r="N9546" s="1" t="s">
        <v>8363</v>
      </c>
      <c r="P9546" s="1" t="s">
        <v>8364</v>
      </c>
      <c r="Q9546" s="30" t="s">
        <v>2566</v>
      </c>
      <c r="R9546" s="33" t="s">
        <v>3472</v>
      </c>
      <c r="S9546">
        <v>36</v>
      </c>
      <c r="T9546" s="1" t="s">
        <v>8360</v>
      </c>
      <c r="U9546" s="1" t="str">
        <f>HYPERLINK("http://ictvonline.org/taxonomy/p/taxonomy-history?taxnode_id=202109304","ICTVonline=202109304")</f>
        <v>ICTVonline=202109304</v>
      </c>
    </row>
    <row r="9547" spans="1:21" x14ac:dyDescent="0.2">
      <c r="A9547" s="3">
        <v>9546</v>
      </c>
      <c r="B9547" s="1" t="s">
        <v>8356</v>
      </c>
      <c r="L9547" s="1" t="s">
        <v>8357</v>
      </c>
      <c r="N9547" s="1" t="s">
        <v>8365</v>
      </c>
      <c r="P9547" s="1" t="s">
        <v>8366</v>
      </c>
      <c r="Q9547" s="30" t="s">
        <v>2566</v>
      </c>
      <c r="R9547" s="33" t="s">
        <v>3472</v>
      </c>
      <c r="S9547">
        <v>36</v>
      </c>
      <c r="T9547" s="1" t="s">
        <v>8360</v>
      </c>
      <c r="U9547" s="1" t="str">
        <f>HYPERLINK("http://ictvonline.org/taxonomy/p/taxonomy-history?taxnode_id=202109302","ICTVonline=202109302")</f>
        <v>ICTVonline=202109302</v>
      </c>
    </row>
    <row r="9548" spans="1:21" x14ac:dyDescent="0.2">
      <c r="A9548" s="3">
        <v>9547</v>
      </c>
      <c r="B9548" s="1" t="s">
        <v>8356</v>
      </c>
      <c r="L9548" s="1" t="s">
        <v>8357</v>
      </c>
      <c r="N9548" s="1" t="s">
        <v>8367</v>
      </c>
      <c r="P9548" s="1" t="s">
        <v>8368</v>
      </c>
      <c r="Q9548" s="30" t="s">
        <v>2566</v>
      </c>
      <c r="R9548" s="33" t="s">
        <v>3472</v>
      </c>
      <c r="S9548">
        <v>36</v>
      </c>
      <c r="T9548" s="1" t="s">
        <v>8360</v>
      </c>
      <c r="U9548" s="1" t="str">
        <f>HYPERLINK("http://ictvonline.org/taxonomy/p/taxonomy-history?taxnode_id=202109306","ICTVonline=202109306")</f>
        <v>ICTVonline=202109306</v>
      </c>
    </row>
    <row r="9549" spans="1:21" x14ac:dyDescent="0.2">
      <c r="A9549" s="3">
        <v>9548</v>
      </c>
      <c r="B9549" s="1" t="s">
        <v>8356</v>
      </c>
      <c r="L9549" s="1" t="s">
        <v>8357</v>
      </c>
      <c r="N9549" s="1" t="s">
        <v>1160</v>
      </c>
      <c r="P9549" s="1" t="s">
        <v>8369</v>
      </c>
      <c r="Q9549" s="30" t="s">
        <v>2566</v>
      </c>
      <c r="R9549" s="33" t="s">
        <v>3472</v>
      </c>
      <c r="S9549">
        <v>36</v>
      </c>
      <c r="T9549" s="1" t="s">
        <v>8360</v>
      </c>
      <c r="U9549" s="1" t="str">
        <f>HYPERLINK("http://ictvonline.org/taxonomy/p/taxonomy-history?taxnode_id=202109299","ICTVonline=202109299")</f>
        <v>ICTVonline=202109299</v>
      </c>
    </row>
    <row r="9550" spans="1:21" x14ac:dyDescent="0.2">
      <c r="A9550" s="3">
        <v>9549</v>
      </c>
      <c r="B9550" s="1" t="s">
        <v>8356</v>
      </c>
      <c r="L9550" s="1" t="s">
        <v>8357</v>
      </c>
      <c r="N9550" s="1" t="s">
        <v>1160</v>
      </c>
      <c r="P9550" s="1" t="s">
        <v>8370</v>
      </c>
      <c r="Q9550" s="30" t="s">
        <v>2566</v>
      </c>
      <c r="R9550" s="33" t="s">
        <v>3472</v>
      </c>
      <c r="S9550">
        <v>36</v>
      </c>
      <c r="T9550" s="1" t="s">
        <v>8360</v>
      </c>
      <c r="U9550" s="1" t="str">
        <f>HYPERLINK("http://ictvonline.org/taxonomy/p/taxonomy-history?taxnode_id=202109298","ICTVonline=202109298")</f>
        <v>ICTVonline=202109298</v>
      </c>
    </row>
    <row r="9551" spans="1:21" x14ac:dyDescent="0.2">
      <c r="A9551" s="3">
        <v>9550</v>
      </c>
      <c r="B9551" s="1" t="s">
        <v>8356</v>
      </c>
      <c r="L9551" s="1" t="s">
        <v>8357</v>
      </c>
      <c r="N9551" s="1" t="s">
        <v>1160</v>
      </c>
      <c r="P9551" s="1" t="s">
        <v>8371</v>
      </c>
      <c r="Q9551" s="30" t="s">
        <v>2566</v>
      </c>
      <c r="R9551" s="33" t="s">
        <v>8662</v>
      </c>
      <c r="S9551">
        <v>36</v>
      </c>
      <c r="T9551" s="1" t="s">
        <v>8676</v>
      </c>
      <c r="U9551" s="1" t="str">
        <f>HYPERLINK("http://ictvonline.org/taxonomy/p/taxonomy-history?taxnode_id=202105348","ICTVonline=202105348")</f>
        <v>ICTVonline=202105348</v>
      </c>
    </row>
    <row r="9552" spans="1:21" x14ac:dyDescent="0.2">
      <c r="A9552" s="3">
        <v>9551</v>
      </c>
      <c r="B9552" s="1" t="s">
        <v>8356</v>
      </c>
      <c r="L9552" s="1" t="s">
        <v>8357</v>
      </c>
      <c r="N9552" s="1" t="s">
        <v>1160</v>
      </c>
      <c r="P9552" s="1" t="s">
        <v>8372</v>
      </c>
      <c r="Q9552" s="30" t="s">
        <v>2566</v>
      </c>
      <c r="R9552" s="33" t="s">
        <v>3472</v>
      </c>
      <c r="S9552">
        <v>36</v>
      </c>
      <c r="T9552" s="1" t="s">
        <v>8360</v>
      </c>
      <c r="U9552" s="1" t="str">
        <f>HYPERLINK("http://ictvonline.org/taxonomy/p/taxonomy-history?taxnode_id=202109294","ICTVonline=202109294")</f>
        <v>ICTVonline=202109294</v>
      </c>
    </row>
    <row r="9553" spans="1:21" x14ac:dyDescent="0.2">
      <c r="A9553" s="3">
        <v>9552</v>
      </c>
      <c r="B9553" s="1" t="s">
        <v>8356</v>
      </c>
      <c r="L9553" s="1" t="s">
        <v>8357</v>
      </c>
      <c r="N9553" s="1" t="s">
        <v>1160</v>
      </c>
      <c r="P9553" s="1" t="s">
        <v>8373</v>
      </c>
      <c r="Q9553" s="30" t="s">
        <v>2566</v>
      </c>
      <c r="R9553" s="33" t="s">
        <v>3472</v>
      </c>
      <c r="S9553">
        <v>36</v>
      </c>
      <c r="T9553" s="1" t="s">
        <v>8360</v>
      </c>
      <c r="U9553" s="1" t="str">
        <f>HYPERLINK("http://ictvonline.org/taxonomy/p/taxonomy-history?taxnode_id=202109295","ICTVonline=202109295")</f>
        <v>ICTVonline=202109295</v>
      </c>
    </row>
    <row r="9554" spans="1:21" x14ac:dyDescent="0.2">
      <c r="A9554" s="3">
        <v>9553</v>
      </c>
      <c r="B9554" s="1" t="s">
        <v>8356</v>
      </c>
      <c r="L9554" s="1" t="s">
        <v>8357</v>
      </c>
      <c r="N9554" s="1" t="s">
        <v>1160</v>
      </c>
      <c r="P9554" s="1" t="s">
        <v>8374</v>
      </c>
      <c r="Q9554" s="30" t="s">
        <v>2566</v>
      </c>
      <c r="R9554" s="33" t="s">
        <v>3472</v>
      </c>
      <c r="S9554">
        <v>36</v>
      </c>
      <c r="T9554" s="1" t="s">
        <v>8360</v>
      </c>
      <c r="U9554" s="1" t="str">
        <f>HYPERLINK("http://ictvonline.org/taxonomy/p/taxonomy-history?taxnode_id=202109300","ICTVonline=202109300")</f>
        <v>ICTVonline=202109300</v>
      </c>
    </row>
    <row r="9555" spans="1:21" x14ac:dyDescent="0.2">
      <c r="A9555" s="3">
        <v>9554</v>
      </c>
      <c r="B9555" s="1" t="s">
        <v>8356</v>
      </c>
      <c r="L9555" s="1" t="s">
        <v>8357</v>
      </c>
      <c r="N9555" s="1" t="s">
        <v>1160</v>
      </c>
      <c r="P9555" s="1" t="s">
        <v>8375</v>
      </c>
      <c r="Q9555" s="30" t="s">
        <v>2566</v>
      </c>
      <c r="R9555" s="33" t="s">
        <v>3472</v>
      </c>
      <c r="S9555">
        <v>36</v>
      </c>
      <c r="T9555" s="1" t="s">
        <v>8360</v>
      </c>
      <c r="U9555" s="1" t="str">
        <f>HYPERLINK("http://ictvonline.org/taxonomy/p/taxonomy-history?taxnode_id=202109296","ICTVonline=202109296")</f>
        <v>ICTVonline=202109296</v>
      </c>
    </row>
    <row r="9556" spans="1:21" x14ac:dyDescent="0.2">
      <c r="A9556" s="3">
        <v>9555</v>
      </c>
      <c r="B9556" s="1" t="s">
        <v>8356</v>
      </c>
      <c r="L9556" s="1" t="s">
        <v>8357</v>
      </c>
      <c r="N9556" s="1" t="s">
        <v>1160</v>
      </c>
      <c r="P9556" s="1" t="s">
        <v>8376</v>
      </c>
      <c r="Q9556" s="30" t="s">
        <v>2566</v>
      </c>
      <c r="R9556" s="33" t="s">
        <v>3472</v>
      </c>
      <c r="S9556">
        <v>36</v>
      </c>
      <c r="T9556" s="1" t="s">
        <v>8360</v>
      </c>
      <c r="U9556" s="1" t="str">
        <f>HYPERLINK("http://ictvonline.org/taxonomy/p/taxonomy-history?taxnode_id=202109297","ICTVonline=202109297")</f>
        <v>ICTVonline=202109297</v>
      </c>
    </row>
    <row r="9557" spans="1:21" x14ac:dyDescent="0.2">
      <c r="A9557" s="3">
        <v>9556</v>
      </c>
      <c r="B9557" s="1" t="s">
        <v>8356</v>
      </c>
      <c r="L9557" s="1" t="s">
        <v>8357</v>
      </c>
      <c r="N9557" s="1" t="s">
        <v>8377</v>
      </c>
      <c r="P9557" s="1" t="s">
        <v>8378</v>
      </c>
      <c r="Q9557" s="30" t="s">
        <v>2566</v>
      </c>
      <c r="R9557" s="33" t="s">
        <v>3472</v>
      </c>
      <c r="S9557">
        <v>36</v>
      </c>
      <c r="T9557" s="1" t="s">
        <v>8360</v>
      </c>
      <c r="U9557" s="1" t="str">
        <f>HYPERLINK("http://ictvonline.org/taxonomy/p/taxonomy-history?taxnode_id=202109308","ICTVonline=202109308")</f>
        <v>ICTVonline=202109308</v>
      </c>
    </row>
    <row r="9558" spans="1:21" x14ac:dyDescent="0.2">
      <c r="A9558" s="3">
        <v>9557</v>
      </c>
      <c r="B9558" s="1" t="s">
        <v>8356</v>
      </c>
      <c r="L9558" s="1" t="s">
        <v>8357</v>
      </c>
      <c r="N9558" s="1" t="s">
        <v>8379</v>
      </c>
      <c r="P9558" s="1" t="s">
        <v>8380</v>
      </c>
      <c r="Q9558" s="30" t="s">
        <v>2566</v>
      </c>
      <c r="R9558" s="33" t="s">
        <v>3472</v>
      </c>
      <c r="S9558">
        <v>36</v>
      </c>
      <c r="T9558" s="1" t="s">
        <v>8360</v>
      </c>
      <c r="U9558" s="1" t="str">
        <f>HYPERLINK("http://ictvonline.org/taxonomy/p/taxonomy-history?taxnode_id=202109314","ICTVonline=202109314")</f>
        <v>ICTVonline=202109314</v>
      </c>
    </row>
    <row r="9559" spans="1:21" x14ac:dyDescent="0.2">
      <c r="A9559" s="3">
        <v>9558</v>
      </c>
      <c r="B9559" s="1" t="s">
        <v>5810</v>
      </c>
      <c r="D9559" s="1" t="s">
        <v>5811</v>
      </c>
      <c r="F9559" s="1" t="s">
        <v>5812</v>
      </c>
      <c r="H9559" s="1" t="s">
        <v>5813</v>
      </c>
      <c r="J9559" s="1" t="s">
        <v>5814</v>
      </c>
      <c r="L9559" s="1" t="s">
        <v>1247</v>
      </c>
      <c r="N9559" s="1" t="s">
        <v>1248</v>
      </c>
      <c r="P9559" s="1" t="s">
        <v>186</v>
      </c>
      <c r="Q9559" s="30" t="s">
        <v>2565</v>
      </c>
      <c r="R9559" s="33" t="s">
        <v>3474</v>
      </c>
      <c r="S9559">
        <v>35</v>
      </c>
      <c r="T9559" s="1" t="s">
        <v>5815</v>
      </c>
      <c r="U9559" s="1" t="str">
        <f>HYPERLINK("http://ictvonline.org/taxonomy/p/taxonomy-history?taxnode_id=202104293","ICTVonline=202104293")</f>
        <v>ICTVonline=202104293</v>
      </c>
    </row>
    <row r="9560" spans="1:21" x14ac:dyDescent="0.2">
      <c r="A9560" s="3">
        <v>9559</v>
      </c>
      <c r="B9560" s="1" t="s">
        <v>5810</v>
      </c>
      <c r="D9560" s="1" t="s">
        <v>5811</v>
      </c>
      <c r="F9560" s="1" t="s">
        <v>5812</v>
      </c>
      <c r="H9560" s="1" t="s">
        <v>5813</v>
      </c>
      <c r="J9560" s="1" t="s">
        <v>5814</v>
      </c>
      <c r="L9560" s="1" t="s">
        <v>1247</v>
      </c>
      <c r="N9560" s="1" t="s">
        <v>1248</v>
      </c>
      <c r="P9560" s="1" t="s">
        <v>1249</v>
      </c>
      <c r="Q9560" s="30" t="s">
        <v>2565</v>
      </c>
      <c r="R9560" s="33" t="s">
        <v>3474</v>
      </c>
      <c r="S9560">
        <v>35</v>
      </c>
      <c r="T9560" s="1" t="s">
        <v>5815</v>
      </c>
      <c r="U9560" s="1" t="str">
        <f>HYPERLINK("http://ictvonline.org/taxonomy/p/taxonomy-history?taxnode_id=202104294","ICTVonline=202104294")</f>
        <v>ICTVonline=202104294</v>
      </c>
    </row>
    <row r="9561" spans="1:21" x14ac:dyDescent="0.2">
      <c r="A9561" s="3">
        <v>9560</v>
      </c>
      <c r="B9561" s="1" t="s">
        <v>5810</v>
      </c>
      <c r="D9561" s="1" t="s">
        <v>5811</v>
      </c>
      <c r="F9561" s="1" t="s">
        <v>5812</v>
      </c>
      <c r="H9561" s="1" t="s">
        <v>5813</v>
      </c>
      <c r="J9561" s="1" t="s">
        <v>5814</v>
      </c>
      <c r="L9561" s="1" t="s">
        <v>1247</v>
      </c>
      <c r="N9561" s="1" t="s">
        <v>1248</v>
      </c>
      <c r="P9561" s="1" t="s">
        <v>1250</v>
      </c>
      <c r="Q9561" s="30" t="s">
        <v>2565</v>
      </c>
      <c r="R9561" s="33" t="s">
        <v>8665</v>
      </c>
      <c r="S9561">
        <v>36</v>
      </c>
      <c r="T9561" s="1" t="s">
        <v>8661</v>
      </c>
      <c r="U9561" s="1" t="str">
        <f>HYPERLINK("http://ictvonline.org/taxonomy/p/taxonomy-history?taxnode_id=202104295","ICTVonline=202104295")</f>
        <v>ICTVonline=202104295</v>
      </c>
    </row>
    <row r="9562" spans="1:21" x14ac:dyDescent="0.2">
      <c r="A9562" s="3">
        <v>9561</v>
      </c>
      <c r="B9562" s="1" t="s">
        <v>5810</v>
      </c>
      <c r="D9562" s="1" t="s">
        <v>5811</v>
      </c>
      <c r="F9562" s="1" t="s">
        <v>5812</v>
      </c>
      <c r="H9562" s="1" t="s">
        <v>5813</v>
      </c>
      <c r="J9562" s="1" t="s">
        <v>5814</v>
      </c>
      <c r="L9562" s="1" t="s">
        <v>1247</v>
      </c>
      <c r="N9562" s="1" t="s">
        <v>1248</v>
      </c>
      <c r="P9562" s="1" t="s">
        <v>1251</v>
      </c>
      <c r="Q9562" s="30" t="s">
        <v>2565</v>
      </c>
      <c r="R9562" s="33" t="s">
        <v>3474</v>
      </c>
      <c r="S9562">
        <v>35</v>
      </c>
      <c r="T9562" s="1" t="s">
        <v>5815</v>
      </c>
      <c r="U9562" s="1" t="str">
        <f>HYPERLINK("http://ictvonline.org/taxonomy/p/taxonomy-history?taxnode_id=202104296","ICTVonline=202104296")</f>
        <v>ICTVonline=202104296</v>
      </c>
    </row>
    <row r="9563" spans="1:21" x14ac:dyDescent="0.2">
      <c r="A9563" s="3">
        <v>9562</v>
      </c>
      <c r="B9563" s="1" t="s">
        <v>5810</v>
      </c>
      <c r="D9563" s="1" t="s">
        <v>5811</v>
      </c>
      <c r="F9563" s="1" t="s">
        <v>5812</v>
      </c>
      <c r="H9563" s="1" t="s">
        <v>5813</v>
      </c>
      <c r="J9563" s="1" t="s">
        <v>5814</v>
      </c>
      <c r="L9563" s="1" t="s">
        <v>1247</v>
      </c>
      <c r="N9563" s="1" t="s">
        <v>1248</v>
      </c>
      <c r="P9563" s="1" t="s">
        <v>1252</v>
      </c>
      <c r="Q9563" s="30" t="s">
        <v>2565</v>
      </c>
      <c r="R9563" s="33" t="s">
        <v>3474</v>
      </c>
      <c r="S9563">
        <v>35</v>
      </c>
      <c r="T9563" s="1" t="s">
        <v>5815</v>
      </c>
      <c r="U9563" s="1" t="str">
        <f>HYPERLINK("http://ictvonline.org/taxonomy/p/taxonomy-history?taxnode_id=202104297","ICTVonline=202104297")</f>
        <v>ICTVonline=202104297</v>
      </c>
    </row>
    <row r="9564" spans="1:21" x14ac:dyDescent="0.2">
      <c r="A9564" s="3">
        <v>9563</v>
      </c>
      <c r="B9564" s="1" t="s">
        <v>5810</v>
      </c>
      <c r="D9564" s="1" t="s">
        <v>5811</v>
      </c>
      <c r="F9564" s="1" t="s">
        <v>5812</v>
      </c>
      <c r="H9564" s="1" t="s">
        <v>5813</v>
      </c>
      <c r="J9564" s="1" t="s">
        <v>5814</v>
      </c>
      <c r="L9564" s="1" t="s">
        <v>1247</v>
      </c>
      <c r="N9564" s="1" t="s">
        <v>1248</v>
      </c>
      <c r="P9564" s="1" t="s">
        <v>914</v>
      </c>
      <c r="Q9564" s="30" t="s">
        <v>2565</v>
      </c>
      <c r="R9564" s="33" t="s">
        <v>3474</v>
      </c>
      <c r="S9564">
        <v>35</v>
      </c>
      <c r="T9564" s="1" t="s">
        <v>5815</v>
      </c>
      <c r="U9564" s="1" t="str">
        <f>HYPERLINK("http://ictvonline.org/taxonomy/p/taxonomy-history?taxnode_id=202104298","ICTVonline=202104298")</f>
        <v>ICTVonline=202104298</v>
      </c>
    </row>
    <row r="9565" spans="1:21" x14ac:dyDescent="0.2">
      <c r="A9565" s="3">
        <v>9564</v>
      </c>
      <c r="B9565" s="1" t="s">
        <v>5810</v>
      </c>
      <c r="D9565" s="1" t="s">
        <v>5811</v>
      </c>
      <c r="F9565" s="1" t="s">
        <v>5812</v>
      </c>
      <c r="H9565" s="1" t="s">
        <v>5813</v>
      </c>
      <c r="J9565" s="1" t="s">
        <v>5814</v>
      </c>
      <c r="L9565" s="1" t="s">
        <v>1247</v>
      </c>
      <c r="N9565" s="1" t="s">
        <v>1248</v>
      </c>
      <c r="P9565" s="1" t="s">
        <v>915</v>
      </c>
      <c r="Q9565" s="30" t="s">
        <v>2565</v>
      </c>
      <c r="R9565" s="33" t="s">
        <v>3474</v>
      </c>
      <c r="S9565">
        <v>35</v>
      </c>
      <c r="T9565" s="1" t="s">
        <v>5815</v>
      </c>
      <c r="U9565" s="1" t="str">
        <f>HYPERLINK("http://ictvonline.org/taxonomy/p/taxonomy-history?taxnode_id=202104299","ICTVonline=202104299")</f>
        <v>ICTVonline=202104299</v>
      </c>
    </row>
    <row r="9566" spans="1:21" x14ac:dyDescent="0.2">
      <c r="A9566" s="3">
        <v>9565</v>
      </c>
      <c r="B9566" s="1" t="s">
        <v>5810</v>
      </c>
      <c r="D9566" s="1" t="s">
        <v>5811</v>
      </c>
      <c r="F9566" s="1" t="s">
        <v>5812</v>
      </c>
      <c r="H9566" s="1" t="s">
        <v>5813</v>
      </c>
      <c r="J9566" s="1" t="s">
        <v>5814</v>
      </c>
      <c r="L9566" s="1" t="s">
        <v>1247</v>
      </c>
      <c r="N9566" s="1" t="s">
        <v>1248</v>
      </c>
      <c r="P9566" s="1" t="s">
        <v>619</v>
      </c>
      <c r="Q9566" s="30" t="s">
        <v>2565</v>
      </c>
      <c r="R9566" s="33" t="s">
        <v>3474</v>
      </c>
      <c r="S9566">
        <v>35</v>
      </c>
      <c r="T9566" s="1" t="s">
        <v>5815</v>
      </c>
      <c r="U9566" s="1" t="str">
        <f>HYPERLINK("http://ictvonline.org/taxonomy/p/taxonomy-history?taxnode_id=202104300","ICTVonline=202104300")</f>
        <v>ICTVonline=202104300</v>
      </c>
    </row>
    <row r="9567" spans="1:21" x14ac:dyDescent="0.2">
      <c r="A9567" s="3">
        <v>9566</v>
      </c>
      <c r="B9567" s="1" t="s">
        <v>5810</v>
      </c>
      <c r="D9567" s="1" t="s">
        <v>5811</v>
      </c>
      <c r="F9567" s="1" t="s">
        <v>5812</v>
      </c>
      <c r="H9567" s="1" t="s">
        <v>5813</v>
      </c>
      <c r="J9567" s="1" t="s">
        <v>5814</v>
      </c>
      <c r="L9567" s="1" t="s">
        <v>1247</v>
      </c>
      <c r="N9567" s="1" t="s">
        <v>1248</v>
      </c>
      <c r="P9567" s="1" t="s">
        <v>620</v>
      </c>
      <c r="Q9567" s="30" t="s">
        <v>2565</v>
      </c>
      <c r="R9567" s="33" t="s">
        <v>3474</v>
      </c>
      <c r="S9567">
        <v>35</v>
      </c>
      <c r="T9567" s="1" t="s">
        <v>5815</v>
      </c>
      <c r="U9567" s="1" t="str">
        <f>HYPERLINK("http://ictvonline.org/taxonomy/p/taxonomy-history?taxnode_id=202104301","ICTVonline=202104301")</f>
        <v>ICTVonline=202104301</v>
      </c>
    </row>
    <row r="9568" spans="1:21" x14ac:dyDescent="0.2">
      <c r="A9568" s="3">
        <v>9567</v>
      </c>
      <c r="B9568" s="1" t="s">
        <v>5810</v>
      </c>
      <c r="D9568" s="1" t="s">
        <v>5811</v>
      </c>
      <c r="F9568" s="1" t="s">
        <v>5812</v>
      </c>
      <c r="H9568" s="1" t="s">
        <v>5813</v>
      </c>
      <c r="J9568" s="1" t="s">
        <v>5814</v>
      </c>
      <c r="L9568" s="1" t="s">
        <v>1247</v>
      </c>
      <c r="N9568" s="1" t="s">
        <v>1248</v>
      </c>
      <c r="P9568" s="1" t="s">
        <v>621</v>
      </c>
      <c r="Q9568" s="30" t="s">
        <v>2565</v>
      </c>
      <c r="R9568" s="33" t="s">
        <v>3474</v>
      </c>
      <c r="S9568">
        <v>35</v>
      </c>
      <c r="T9568" s="1" t="s">
        <v>5815</v>
      </c>
      <c r="U9568" s="1" t="str">
        <f>HYPERLINK("http://ictvonline.org/taxonomy/p/taxonomy-history?taxnode_id=202104302","ICTVonline=202104302")</f>
        <v>ICTVonline=202104302</v>
      </c>
    </row>
    <row r="9569" spans="1:21" x14ac:dyDescent="0.2">
      <c r="A9569" s="3">
        <v>9568</v>
      </c>
      <c r="B9569" s="1" t="s">
        <v>5810</v>
      </c>
      <c r="D9569" s="1" t="s">
        <v>5811</v>
      </c>
      <c r="F9569" s="1" t="s">
        <v>5812</v>
      </c>
      <c r="H9569" s="1" t="s">
        <v>5813</v>
      </c>
      <c r="J9569" s="1" t="s">
        <v>5814</v>
      </c>
      <c r="L9569" s="1" t="s">
        <v>1247</v>
      </c>
      <c r="N9569" s="1" t="s">
        <v>1248</v>
      </c>
      <c r="P9569" s="1" t="s">
        <v>787</v>
      </c>
      <c r="Q9569" s="30" t="s">
        <v>2565</v>
      </c>
      <c r="R9569" s="33" t="s">
        <v>3474</v>
      </c>
      <c r="S9569">
        <v>35</v>
      </c>
      <c r="T9569" s="1" t="s">
        <v>5815</v>
      </c>
      <c r="U9569" s="1" t="str">
        <f>HYPERLINK("http://ictvonline.org/taxonomy/p/taxonomy-history?taxnode_id=202104303","ICTVonline=202104303")</f>
        <v>ICTVonline=202104303</v>
      </c>
    </row>
    <row r="9570" spans="1:21" x14ac:dyDescent="0.2">
      <c r="A9570" s="3">
        <v>9569</v>
      </c>
      <c r="B9570" s="1" t="s">
        <v>5810</v>
      </c>
      <c r="D9570" s="1" t="s">
        <v>5811</v>
      </c>
      <c r="F9570" s="1" t="s">
        <v>5812</v>
      </c>
      <c r="H9570" s="1" t="s">
        <v>5813</v>
      </c>
      <c r="J9570" s="1" t="s">
        <v>5814</v>
      </c>
      <c r="L9570" s="1" t="s">
        <v>1247</v>
      </c>
      <c r="N9570" s="1" t="s">
        <v>1248</v>
      </c>
      <c r="P9570" s="1" t="s">
        <v>1728</v>
      </c>
      <c r="Q9570" s="30" t="s">
        <v>2565</v>
      </c>
      <c r="R9570" s="33" t="s">
        <v>3474</v>
      </c>
      <c r="S9570">
        <v>35</v>
      </c>
      <c r="T9570" s="1" t="s">
        <v>5815</v>
      </c>
      <c r="U9570" s="1" t="str">
        <f>HYPERLINK("http://ictvonline.org/taxonomy/p/taxonomy-history?taxnode_id=202104304","ICTVonline=202104304")</f>
        <v>ICTVonline=202104304</v>
      </c>
    </row>
    <row r="9571" spans="1:21" x14ac:dyDescent="0.2">
      <c r="A9571" s="3">
        <v>9570</v>
      </c>
      <c r="B9571" s="1" t="s">
        <v>5810</v>
      </c>
      <c r="D9571" s="1" t="s">
        <v>5811</v>
      </c>
      <c r="F9571" s="1" t="s">
        <v>5812</v>
      </c>
      <c r="H9571" s="1" t="s">
        <v>5813</v>
      </c>
      <c r="J9571" s="1" t="s">
        <v>5814</v>
      </c>
      <c r="L9571" s="1" t="s">
        <v>1247</v>
      </c>
      <c r="N9571" s="1" t="s">
        <v>1248</v>
      </c>
      <c r="P9571" s="1" t="s">
        <v>1729</v>
      </c>
      <c r="Q9571" s="30" t="s">
        <v>2565</v>
      </c>
      <c r="R9571" s="33" t="s">
        <v>3474</v>
      </c>
      <c r="S9571">
        <v>35</v>
      </c>
      <c r="T9571" s="1" t="s">
        <v>5815</v>
      </c>
      <c r="U9571" s="1" t="str">
        <f>HYPERLINK("http://ictvonline.org/taxonomy/p/taxonomy-history?taxnode_id=202104305","ICTVonline=202104305")</f>
        <v>ICTVonline=202104305</v>
      </c>
    </row>
    <row r="9572" spans="1:21" x14ac:dyDescent="0.2">
      <c r="A9572" s="3">
        <v>9571</v>
      </c>
      <c r="B9572" s="1" t="s">
        <v>5810</v>
      </c>
      <c r="D9572" s="1" t="s">
        <v>5811</v>
      </c>
      <c r="F9572" s="1" t="s">
        <v>5812</v>
      </c>
      <c r="H9572" s="1" t="s">
        <v>5813</v>
      </c>
      <c r="J9572" s="1" t="s">
        <v>5814</v>
      </c>
      <c r="L9572" s="1" t="s">
        <v>1247</v>
      </c>
      <c r="N9572" s="1" t="s">
        <v>1248</v>
      </c>
      <c r="P9572" s="1" t="s">
        <v>1730</v>
      </c>
      <c r="Q9572" s="30" t="s">
        <v>2565</v>
      </c>
      <c r="R9572" s="33" t="s">
        <v>3474</v>
      </c>
      <c r="S9572">
        <v>35</v>
      </c>
      <c r="T9572" s="1" t="s">
        <v>5815</v>
      </c>
      <c r="U9572" s="1" t="str">
        <f>HYPERLINK("http://ictvonline.org/taxonomy/p/taxonomy-history?taxnode_id=202104306","ICTVonline=202104306")</f>
        <v>ICTVonline=202104306</v>
      </c>
    </row>
    <row r="9573" spans="1:21" x14ac:dyDescent="0.2">
      <c r="A9573" s="3">
        <v>9572</v>
      </c>
      <c r="B9573" s="1" t="s">
        <v>5810</v>
      </c>
      <c r="D9573" s="1" t="s">
        <v>5811</v>
      </c>
      <c r="F9573" s="1" t="s">
        <v>5812</v>
      </c>
      <c r="H9573" s="1" t="s">
        <v>5813</v>
      </c>
      <c r="J9573" s="1" t="s">
        <v>5814</v>
      </c>
      <c r="L9573" s="1" t="s">
        <v>1247</v>
      </c>
      <c r="N9573" s="1" t="s">
        <v>1248</v>
      </c>
      <c r="P9573" s="1" t="s">
        <v>791</v>
      </c>
      <c r="Q9573" s="30" t="s">
        <v>2565</v>
      </c>
      <c r="R9573" s="33" t="s">
        <v>3474</v>
      </c>
      <c r="S9573">
        <v>35</v>
      </c>
      <c r="T9573" s="1" t="s">
        <v>5815</v>
      </c>
      <c r="U9573" s="1" t="str">
        <f>HYPERLINK("http://ictvonline.org/taxonomy/p/taxonomy-history?taxnode_id=202104307","ICTVonline=202104307")</f>
        <v>ICTVonline=202104307</v>
      </c>
    </row>
    <row r="9574" spans="1:21" x14ac:dyDescent="0.2">
      <c r="A9574" s="3">
        <v>9573</v>
      </c>
      <c r="B9574" s="1" t="s">
        <v>5810</v>
      </c>
      <c r="D9574" s="1" t="s">
        <v>5811</v>
      </c>
      <c r="F9574" s="1" t="s">
        <v>5812</v>
      </c>
      <c r="H9574" s="1" t="s">
        <v>5813</v>
      </c>
      <c r="J9574" s="1" t="s">
        <v>5814</v>
      </c>
      <c r="L9574" s="1" t="s">
        <v>1247</v>
      </c>
      <c r="N9574" s="1" t="s">
        <v>1248</v>
      </c>
      <c r="P9574" s="1" t="s">
        <v>792</v>
      </c>
      <c r="Q9574" s="30" t="s">
        <v>2565</v>
      </c>
      <c r="R9574" s="33" t="s">
        <v>3474</v>
      </c>
      <c r="S9574">
        <v>35</v>
      </c>
      <c r="T9574" s="1" t="s">
        <v>5815</v>
      </c>
      <c r="U9574" s="1" t="str">
        <f>HYPERLINK("http://ictvonline.org/taxonomy/p/taxonomy-history?taxnode_id=202104308","ICTVonline=202104308")</f>
        <v>ICTVonline=202104308</v>
      </c>
    </row>
    <row r="9575" spans="1:21" x14ac:dyDescent="0.2">
      <c r="A9575" s="3">
        <v>9574</v>
      </c>
      <c r="B9575" s="1" t="s">
        <v>5810</v>
      </c>
      <c r="D9575" s="1" t="s">
        <v>5811</v>
      </c>
      <c r="F9575" s="1" t="s">
        <v>5812</v>
      </c>
      <c r="H9575" s="1" t="s">
        <v>5813</v>
      </c>
      <c r="J9575" s="1" t="s">
        <v>5814</v>
      </c>
      <c r="L9575" s="1" t="s">
        <v>1247</v>
      </c>
      <c r="N9575" s="1" t="s">
        <v>1248</v>
      </c>
      <c r="P9575" s="1" t="s">
        <v>1734</v>
      </c>
      <c r="Q9575" s="30" t="s">
        <v>2565</v>
      </c>
      <c r="R9575" s="33" t="s">
        <v>3474</v>
      </c>
      <c r="S9575">
        <v>35</v>
      </c>
      <c r="T9575" s="1" t="s">
        <v>5815</v>
      </c>
      <c r="U9575" s="1" t="str">
        <f>HYPERLINK("http://ictvonline.org/taxonomy/p/taxonomy-history?taxnode_id=202104309","ICTVonline=202104309")</f>
        <v>ICTVonline=202104309</v>
      </c>
    </row>
    <row r="9576" spans="1:21" x14ac:dyDescent="0.2">
      <c r="A9576" s="3">
        <v>9575</v>
      </c>
      <c r="B9576" s="1" t="s">
        <v>5810</v>
      </c>
      <c r="D9576" s="1" t="s">
        <v>5811</v>
      </c>
      <c r="F9576" s="1" t="s">
        <v>5812</v>
      </c>
      <c r="H9576" s="1" t="s">
        <v>5813</v>
      </c>
      <c r="J9576" s="1" t="s">
        <v>5814</v>
      </c>
      <c r="L9576" s="1" t="s">
        <v>1247</v>
      </c>
      <c r="N9576" s="1" t="s">
        <v>1248</v>
      </c>
      <c r="P9576" s="1" t="s">
        <v>788</v>
      </c>
      <c r="Q9576" s="30" t="s">
        <v>2565</v>
      </c>
      <c r="R9576" s="33" t="s">
        <v>3474</v>
      </c>
      <c r="S9576">
        <v>35</v>
      </c>
      <c r="T9576" s="1" t="s">
        <v>5815</v>
      </c>
      <c r="U9576" s="1" t="str">
        <f>HYPERLINK("http://ictvonline.org/taxonomy/p/taxonomy-history?taxnode_id=202104310","ICTVonline=202104310")</f>
        <v>ICTVonline=202104310</v>
      </c>
    </row>
    <row r="9577" spans="1:21" x14ac:dyDescent="0.2">
      <c r="A9577" s="3">
        <v>9576</v>
      </c>
      <c r="B9577" s="1" t="s">
        <v>5810</v>
      </c>
      <c r="D9577" s="1" t="s">
        <v>5811</v>
      </c>
      <c r="F9577" s="1" t="s">
        <v>5812</v>
      </c>
      <c r="H9577" s="1" t="s">
        <v>5813</v>
      </c>
      <c r="J9577" s="1" t="s">
        <v>5814</v>
      </c>
      <c r="L9577" s="1" t="s">
        <v>1247</v>
      </c>
      <c r="N9577" s="1" t="s">
        <v>1248</v>
      </c>
      <c r="P9577" s="1" t="s">
        <v>789</v>
      </c>
      <c r="Q9577" s="30" t="s">
        <v>2565</v>
      </c>
      <c r="R9577" s="33" t="s">
        <v>3474</v>
      </c>
      <c r="S9577">
        <v>35</v>
      </c>
      <c r="T9577" s="1" t="s">
        <v>5815</v>
      </c>
      <c r="U9577" s="1" t="str">
        <f>HYPERLINK("http://ictvonline.org/taxonomy/p/taxonomy-history?taxnode_id=202104311","ICTVonline=202104311")</f>
        <v>ICTVonline=202104311</v>
      </c>
    </row>
    <row r="9578" spans="1:21" x14ac:dyDescent="0.2">
      <c r="A9578" s="3">
        <v>9577</v>
      </c>
      <c r="B9578" s="1" t="s">
        <v>5810</v>
      </c>
      <c r="D9578" s="1" t="s">
        <v>5811</v>
      </c>
      <c r="F9578" s="1" t="s">
        <v>5812</v>
      </c>
      <c r="H9578" s="1" t="s">
        <v>5813</v>
      </c>
      <c r="J9578" s="1" t="s">
        <v>5814</v>
      </c>
      <c r="L9578" s="1" t="s">
        <v>1247</v>
      </c>
      <c r="N9578" s="1" t="s">
        <v>790</v>
      </c>
      <c r="P9578" s="1" t="s">
        <v>856</v>
      </c>
      <c r="Q9578" s="30" t="s">
        <v>2565</v>
      </c>
      <c r="R9578" s="33" t="s">
        <v>8665</v>
      </c>
      <c r="S9578">
        <v>36</v>
      </c>
      <c r="T9578" s="1" t="s">
        <v>8661</v>
      </c>
      <c r="U9578" s="1" t="str">
        <f>HYPERLINK("http://ictvonline.org/taxonomy/p/taxonomy-history?taxnode_id=202104313","ICTVonline=202104313")</f>
        <v>ICTVonline=202104313</v>
      </c>
    </row>
    <row r="9579" spans="1:21" x14ac:dyDescent="0.2">
      <c r="A9579" s="3">
        <v>9578</v>
      </c>
      <c r="B9579" s="1" t="s">
        <v>5810</v>
      </c>
      <c r="D9579" s="1" t="s">
        <v>5811</v>
      </c>
      <c r="F9579" s="1" t="s">
        <v>5812</v>
      </c>
      <c r="H9579" s="1" t="s">
        <v>5813</v>
      </c>
      <c r="J9579" s="1" t="s">
        <v>5814</v>
      </c>
      <c r="L9579" s="1" t="s">
        <v>1247</v>
      </c>
      <c r="N9579" s="1" t="s">
        <v>857</v>
      </c>
      <c r="P9579" s="1" t="s">
        <v>858</v>
      </c>
      <c r="Q9579" s="30" t="s">
        <v>2565</v>
      </c>
      <c r="R9579" s="33" t="s">
        <v>3474</v>
      </c>
      <c r="S9579">
        <v>35</v>
      </c>
      <c r="T9579" s="1" t="s">
        <v>5815</v>
      </c>
      <c r="U9579" s="1" t="str">
        <f>HYPERLINK("http://ictvonline.org/taxonomy/p/taxonomy-history?taxnode_id=202104315","ICTVonline=202104315")</f>
        <v>ICTVonline=202104315</v>
      </c>
    </row>
    <row r="9580" spans="1:21" x14ac:dyDescent="0.2">
      <c r="A9580" s="3">
        <v>9579</v>
      </c>
      <c r="B9580" s="1" t="s">
        <v>5810</v>
      </c>
      <c r="D9580" s="1" t="s">
        <v>5811</v>
      </c>
      <c r="F9580" s="1" t="s">
        <v>5812</v>
      </c>
      <c r="H9580" s="1" t="s">
        <v>5813</v>
      </c>
      <c r="J9580" s="1" t="s">
        <v>5814</v>
      </c>
      <c r="L9580" s="1" t="s">
        <v>1247</v>
      </c>
      <c r="N9580" s="1" t="s">
        <v>857</v>
      </c>
      <c r="P9580" s="1" t="s">
        <v>874</v>
      </c>
      <c r="Q9580" s="30" t="s">
        <v>2565</v>
      </c>
      <c r="R9580" s="33" t="s">
        <v>8665</v>
      </c>
      <c r="S9580">
        <v>36</v>
      </c>
      <c r="T9580" s="1" t="s">
        <v>8661</v>
      </c>
      <c r="U9580" s="1" t="str">
        <f>HYPERLINK("http://ictvonline.org/taxonomy/p/taxonomy-history?taxnode_id=202104316","ICTVonline=202104316")</f>
        <v>ICTVonline=202104316</v>
      </c>
    </row>
    <row r="9581" spans="1:21" x14ac:dyDescent="0.2">
      <c r="A9581" s="3">
        <v>9580</v>
      </c>
      <c r="B9581" s="1" t="s">
        <v>5810</v>
      </c>
      <c r="D9581" s="1" t="s">
        <v>5811</v>
      </c>
      <c r="F9581" s="1" t="s">
        <v>5812</v>
      </c>
      <c r="H9581" s="1" t="s">
        <v>5813</v>
      </c>
      <c r="J9581" s="1" t="s">
        <v>5814</v>
      </c>
      <c r="L9581" s="1" t="s">
        <v>1247</v>
      </c>
      <c r="N9581" s="1" t="s">
        <v>857</v>
      </c>
      <c r="P9581" s="1" t="s">
        <v>875</v>
      </c>
      <c r="Q9581" s="30" t="s">
        <v>2565</v>
      </c>
      <c r="R9581" s="33" t="s">
        <v>3474</v>
      </c>
      <c r="S9581">
        <v>35</v>
      </c>
      <c r="T9581" s="1" t="s">
        <v>5815</v>
      </c>
      <c r="U9581" s="1" t="str">
        <f>HYPERLINK("http://ictvonline.org/taxonomy/p/taxonomy-history?taxnode_id=202104317","ICTVonline=202104317")</f>
        <v>ICTVonline=202104317</v>
      </c>
    </row>
    <row r="9582" spans="1:21" x14ac:dyDescent="0.2">
      <c r="A9582" s="3">
        <v>9581</v>
      </c>
      <c r="B9582" s="1" t="s">
        <v>5810</v>
      </c>
      <c r="D9582" s="1" t="s">
        <v>5811</v>
      </c>
      <c r="F9582" s="1" t="s">
        <v>5812</v>
      </c>
      <c r="H9582" s="1" t="s">
        <v>5813</v>
      </c>
      <c r="J9582" s="1" t="s">
        <v>5814</v>
      </c>
      <c r="L9582" s="1" t="s">
        <v>1247</v>
      </c>
      <c r="N9582" s="1" t="s">
        <v>857</v>
      </c>
      <c r="P9582" s="1" t="s">
        <v>876</v>
      </c>
      <c r="Q9582" s="30" t="s">
        <v>2565</v>
      </c>
      <c r="R9582" s="33" t="s">
        <v>3474</v>
      </c>
      <c r="S9582">
        <v>35</v>
      </c>
      <c r="T9582" s="1" t="s">
        <v>5815</v>
      </c>
      <c r="U9582" s="1" t="str">
        <f>HYPERLINK("http://ictvonline.org/taxonomy/p/taxonomy-history?taxnode_id=202104318","ICTVonline=202104318")</f>
        <v>ICTVonline=202104318</v>
      </c>
    </row>
    <row r="9583" spans="1:21" x14ac:dyDescent="0.2">
      <c r="A9583" s="3">
        <v>9582</v>
      </c>
      <c r="B9583" s="1" t="s">
        <v>5810</v>
      </c>
      <c r="D9583" s="1" t="s">
        <v>5811</v>
      </c>
      <c r="F9583" s="1" t="s">
        <v>5812</v>
      </c>
      <c r="H9583" s="1" t="s">
        <v>5813</v>
      </c>
      <c r="J9583" s="1" t="s">
        <v>5814</v>
      </c>
      <c r="L9583" s="1" t="s">
        <v>1247</v>
      </c>
      <c r="N9583" s="1" t="s">
        <v>857</v>
      </c>
      <c r="P9583" s="1" t="s">
        <v>877</v>
      </c>
      <c r="Q9583" s="30" t="s">
        <v>2565</v>
      </c>
      <c r="R9583" s="33" t="s">
        <v>3474</v>
      </c>
      <c r="S9583">
        <v>35</v>
      </c>
      <c r="T9583" s="1" t="s">
        <v>5815</v>
      </c>
      <c r="U9583" s="1" t="str">
        <f>HYPERLINK("http://ictvonline.org/taxonomy/p/taxonomy-history?taxnode_id=202104319","ICTVonline=202104319")</f>
        <v>ICTVonline=202104319</v>
      </c>
    </row>
    <row r="9584" spans="1:21" x14ac:dyDescent="0.2">
      <c r="A9584" s="3">
        <v>9583</v>
      </c>
      <c r="B9584" s="1" t="s">
        <v>5810</v>
      </c>
      <c r="D9584" s="1" t="s">
        <v>5811</v>
      </c>
      <c r="F9584" s="1" t="s">
        <v>5812</v>
      </c>
      <c r="H9584" s="1" t="s">
        <v>5813</v>
      </c>
      <c r="J9584" s="1" t="s">
        <v>5814</v>
      </c>
      <c r="L9584" s="1" t="s">
        <v>1247</v>
      </c>
      <c r="N9584" s="1" t="s">
        <v>857</v>
      </c>
      <c r="P9584" s="1" t="s">
        <v>878</v>
      </c>
      <c r="Q9584" s="30" t="s">
        <v>2565</v>
      </c>
      <c r="R9584" s="33" t="s">
        <v>3474</v>
      </c>
      <c r="S9584">
        <v>35</v>
      </c>
      <c r="T9584" s="1" t="s">
        <v>5815</v>
      </c>
      <c r="U9584" s="1" t="str">
        <f>HYPERLINK("http://ictvonline.org/taxonomy/p/taxonomy-history?taxnode_id=202104320","ICTVonline=202104320")</f>
        <v>ICTVonline=202104320</v>
      </c>
    </row>
    <row r="9585" spans="1:21" x14ac:dyDescent="0.2">
      <c r="A9585" s="3">
        <v>9584</v>
      </c>
      <c r="B9585" s="1" t="s">
        <v>5810</v>
      </c>
      <c r="D9585" s="1" t="s">
        <v>5811</v>
      </c>
      <c r="F9585" s="1" t="s">
        <v>5812</v>
      </c>
      <c r="H9585" s="1" t="s">
        <v>5813</v>
      </c>
      <c r="J9585" s="1" t="s">
        <v>5814</v>
      </c>
      <c r="L9585" s="1" t="s">
        <v>1247</v>
      </c>
      <c r="N9585" s="1" t="s">
        <v>857</v>
      </c>
      <c r="P9585" s="1" t="s">
        <v>879</v>
      </c>
      <c r="Q9585" s="30" t="s">
        <v>2565</v>
      </c>
      <c r="R9585" s="33" t="s">
        <v>3474</v>
      </c>
      <c r="S9585">
        <v>35</v>
      </c>
      <c r="T9585" s="1" t="s">
        <v>5815</v>
      </c>
      <c r="U9585" s="1" t="str">
        <f>HYPERLINK("http://ictvonline.org/taxonomy/p/taxonomy-history?taxnode_id=202104321","ICTVonline=202104321")</f>
        <v>ICTVonline=202104321</v>
      </c>
    </row>
    <row r="9586" spans="1:21" x14ac:dyDescent="0.2">
      <c r="A9586" s="3">
        <v>9585</v>
      </c>
      <c r="B9586" s="1" t="s">
        <v>5810</v>
      </c>
      <c r="D9586" s="1" t="s">
        <v>5811</v>
      </c>
      <c r="F9586" s="1" t="s">
        <v>5812</v>
      </c>
      <c r="H9586" s="1" t="s">
        <v>5813</v>
      </c>
      <c r="J9586" s="1" t="s">
        <v>5814</v>
      </c>
      <c r="L9586" s="1" t="s">
        <v>1247</v>
      </c>
      <c r="N9586" s="1" t="s">
        <v>857</v>
      </c>
      <c r="P9586" s="1" t="s">
        <v>880</v>
      </c>
      <c r="Q9586" s="30" t="s">
        <v>2565</v>
      </c>
      <c r="R9586" s="33" t="s">
        <v>3474</v>
      </c>
      <c r="S9586">
        <v>35</v>
      </c>
      <c r="T9586" s="1" t="s">
        <v>5815</v>
      </c>
      <c r="U9586" s="1" t="str">
        <f>HYPERLINK("http://ictvonline.org/taxonomy/p/taxonomy-history?taxnode_id=202104322","ICTVonline=202104322")</f>
        <v>ICTVonline=202104322</v>
      </c>
    </row>
    <row r="9587" spans="1:21" x14ac:dyDescent="0.2">
      <c r="A9587" s="3">
        <v>9586</v>
      </c>
      <c r="B9587" s="1" t="s">
        <v>5810</v>
      </c>
      <c r="D9587" s="1" t="s">
        <v>5811</v>
      </c>
      <c r="F9587" s="1" t="s">
        <v>5812</v>
      </c>
      <c r="H9587" s="1" t="s">
        <v>5813</v>
      </c>
      <c r="J9587" s="1" t="s">
        <v>5814</v>
      </c>
      <c r="L9587" s="1" t="s">
        <v>1247</v>
      </c>
      <c r="N9587" s="1" t="s">
        <v>857</v>
      </c>
      <c r="P9587" s="1" t="s">
        <v>881</v>
      </c>
      <c r="Q9587" s="30" t="s">
        <v>2565</v>
      </c>
      <c r="R9587" s="33" t="s">
        <v>3474</v>
      </c>
      <c r="S9587">
        <v>35</v>
      </c>
      <c r="T9587" s="1" t="s">
        <v>5815</v>
      </c>
      <c r="U9587" s="1" t="str">
        <f>HYPERLINK("http://ictvonline.org/taxonomy/p/taxonomy-history?taxnode_id=202104323","ICTVonline=202104323")</f>
        <v>ICTVonline=202104323</v>
      </c>
    </row>
    <row r="9588" spans="1:21" x14ac:dyDescent="0.2">
      <c r="A9588" s="3">
        <v>9587</v>
      </c>
      <c r="B9588" s="1" t="s">
        <v>5810</v>
      </c>
      <c r="D9588" s="1" t="s">
        <v>5811</v>
      </c>
      <c r="F9588" s="1" t="s">
        <v>5812</v>
      </c>
      <c r="H9588" s="1" t="s">
        <v>5813</v>
      </c>
      <c r="J9588" s="1" t="s">
        <v>5814</v>
      </c>
      <c r="L9588" s="1" t="s">
        <v>1247</v>
      </c>
      <c r="N9588" s="1" t="s">
        <v>882</v>
      </c>
      <c r="P9588" s="1" t="s">
        <v>883</v>
      </c>
      <c r="Q9588" s="30" t="s">
        <v>2565</v>
      </c>
      <c r="R9588" s="33" t="s">
        <v>8665</v>
      </c>
      <c r="S9588">
        <v>36</v>
      </c>
      <c r="T9588" s="1" t="s">
        <v>8661</v>
      </c>
      <c r="U9588" s="1" t="str">
        <f>HYPERLINK("http://ictvonline.org/taxonomy/p/taxonomy-history?taxnode_id=202104325","ICTVonline=202104325")</f>
        <v>ICTVonline=202104325</v>
      </c>
    </row>
    <row r="9589" spans="1:21" x14ac:dyDescent="0.2">
      <c r="A9589" s="3">
        <v>9588</v>
      </c>
      <c r="B9589" s="1" t="s">
        <v>5810</v>
      </c>
      <c r="D9589" s="1" t="s">
        <v>5811</v>
      </c>
      <c r="F9589" s="1" t="s">
        <v>5812</v>
      </c>
      <c r="H9589" s="1" t="s">
        <v>5813</v>
      </c>
      <c r="J9589" s="1" t="s">
        <v>5814</v>
      </c>
      <c r="L9589" s="1" t="s">
        <v>1247</v>
      </c>
      <c r="N9589" s="1" t="s">
        <v>882</v>
      </c>
      <c r="P9589" s="1" t="s">
        <v>187</v>
      </c>
      <c r="Q9589" s="30" t="s">
        <v>2565</v>
      </c>
      <c r="R9589" s="33" t="s">
        <v>3474</v>
      </c>
      <c r="S9589">
        <v>35</v>
      </c>
      <c r="T9589" s="1" t="s">
        <v>5815</v>
      </c>
      <c r="U9589" s="1" t="str">
        <f>HYPERLINK("http://ictvonline.org/taxonomy/p/taxonomy-history?taxnode_id=202104326","ICTVonline=202104326")</f>
        <v>ICTVonline=202104326</v>
      </c>
    </row>
    <row r="9590" spans="1:21" x14ac:dyDescent="0.2">
      <c r="A9590" s="3">
        <v>9589</v>
      </c>
      <c r="B9590" s="1" t="s">
        <v>5810</v>
      </c>
      <c r="D9590" s="1" t="s">
        <v>5811</v>
      </c>
      <c r="F9590" s="1" t="s">
        <v>5812</v>
      </c>
      <c r="H9590" s="1" t="s">
        <v>5813</v>
      </c>
      <c r="J9590" s="1" t="s">
        <v>5814</v>
      </c>
      <c r="L9590" s="1" t="s">
        <v>1247</v>
      </c>
      <c r="N9590" s="1" t="s">
        <v>884</v>
      </c>
      <c r="P9590" s="1" t="s">
        <v>885</v>
      </c>
      <c r="Q9590" s="30" t="s">
        <v>2565</v>
      </c>
      <c r="R9590" s="33" t="s">
        <v>8665</v>
      </c>
      <c r="S9590">
        <v>36</v>
      </c>
      <c r="T9590" s="1" t="s">
        <v>8661</v>
      </c>
      <c r="U9590" s="1" t="str">
        <f>HYPERLINK("http://ictvonline.org/taxonomy/p/taxonomy-history?taxnode_id=202104328","ICTVonline=202104328")</f>
        <v>ICTVonline=202104328</v>
      </c>
    </row>
    <row r="9591" spans="1:21" x14ac:dyDescent="0.2">
      <c r="A9591" s="3">
        <v>9590</v>
      </c>
      <c r="B9591" s="1" t="s">
        <v>5810</v>
      </c>
      <c r="D9591" s="1" t="s">
        <v>5811</v>
      </c>
      <c r="F9591" s="1" t="s">
        <v>5812</v>
      </c>
      <c r="H9591" s="1" t="s">
        <v>5813</v>
      </c>
      <c r="J9591" s="1" t="s">
        <v>5814</v>
      </c>
      <c r="L9591" s="1" t="s">
        <v>1247</v>
      </c>
      <c r="N9591" s="1" t="s">
        <v>886</v>
      </c>
      <c r="P9591" s="1" t="s">
        <v>887</v>
      </c>
      <c r="Q9591" s="30" t="s">
        <v>2565</v>
      </c>
      <c r="R9591" s="33" t="s">
        <v>8665</v>
      </c>
      <c r="S9591">
        <v>36</v>
      </c>
      <c r="T9591" s="1" t="s">
        <v>8661</v>
      </c>
      <c r="U9591" s="1" t="str">
        <f>HYPERLINK("http://ictvonline.org/taxonomy/p/taxonomy-history?taxnode_id=202104330","ICTVonline=202104330")</f>
        <v>ICTVonline=202104330</v>
      </c>
    </row>
    <row r="9592" spans="1:21" x14ac:dyDescent="0.2">
      <c r="A9592" s="3">
        <v>9591</v>
      </c>
      <c r="B9592" s="1" t="s">
        <v>5810</v>
      </c>
      <c r="D9592" s="1" t="s">
        <v>5811</v>
      </c>
      <c r="F9592" s="1" t="s">
        <v>5812</v>
      </c>
      <c r="H9592" s="1" t="s">
        <v>5813</v>
      </c>
      <c r="J9592" s="1" t="s">
        <v>5816</v>
      </c>
      <c r="L9592" s="1" t="s">
        <v>1894</v>
      </c>
      <c r="N9592" s="1" t="s">
        <v>2116</v>
      </c>
      <c r="P9592" s="1" t="s">
        <v>2117</v>
      </c>
      <c r="Q9592" s="30" t="s">
        <v>2565</v>
      </c>
      <c r="R9592" s="33" t="s">
        <v>8665</v>
      </c>
      <c r="S9592">
        <v>36</v>
      </c>
      <c r="T9592" s="1" t="s">
        <v>8661</v>
      </c>
      <c r="U9592" s="1" t="str">
        <f>HYPERLINK("http://ictvonline.org/taxonomy/p/taxonomy-history?taxnode_id=202103888","ICTVonline=202103888")</f>
        <v>ICTVonline=202103888</v>
      </c>
    </row>
    <row r="9593" spans="1:21" x14ac:dyDescent="0.2">
      <c r="A9593" s="3">
        <v>9592</v>
      </c>
      <c r="B9593" s="1" t="s">
        <v>5810</v>
      </c>
      <c r="D9593" s="1" t="s">
        <v>5811</v>
      </c>
      <c r="F9593" s="1" t="s">
        <v>5812</v>
      </c>
      <c r="H9593" s="1" t="s">
        <v>5813</v>
      </c>
      <c r="J9593" s="1" t="s">
        <v>5816</v>
      </c>
      <c r="L9593" s="1" t="s">
        <v>1894</v>
      </c>
      <c r="N9593" s="1" t="s">
        <v>1895</v>
      </c>
      <c r="P9593" s="1" t="s">
        <v>1896</v>
      </c>
      <c r="Q9593" s="30" t="s">
        <v>2565</v>
      </c>
      <c r="R9593" s="33" t="s">
        <v>8665</v>
      </c>
      <c r="S9593">
        <v>36</v>
      </c>
      <c r="T9593" s="1" t="s">
        <v>8661</v>
      </c>
      <c r="U9593" s="1" t="str">
        <f>HYPERLINK("http://ictvonline.org/taxonomy/p/taxonomy-history?taxnode_id=202103890","ICTVonline=202103890")</f>
        <v>ICTVonline=202103890</v>
      </c>
    </row>
    <row r="9594" spans="1:21" x14ac:dyDescent="0.2">
      <c r="A9594" s="3">
        <v>9593</v>
      </c>
      <c r="B9594" s="1" t="s">
        <v>5810</v>
      </c>
      <c r="D9594" s="1" t="s">
        <v>5811</v>
      </c>
      <c r="F9594" s="1" t="s">
        <v>5812</v>
      </c>
      <c r="H9594" s="1" t="s">
        <v>5813</v>
      </c>
      <c r="J9594" s="1" t="s">
        <v>5817</v>
      </c>
      <c r="L9594" s="1" t="s">
        <v>1680</v>
      </c>
      <c r="N9594" s="1" t="s">
        <v>1681</v>
      </c>
      <c r="P9594" s="1" t="s">
        <v>626</v>
      </c>
      <c r="Q9594" s="30" t="s">
        <v>2565</v>
      </c>
      <c r="R9594" s="33" t="s">
        <v>3474</v>
      </c>
      <c r="S9594">
        <v>35</v>
      </c>
      <c r="T9594" s="1" t="s">
        <v>5815</v>
      </c>
      <c r="U9594" s="1" t="str">
        <f>HYPERLINK("http://ictvonline.org/taxonomy/p/taxonomy-history?taxnode_id=202102610","ICTVonline=202102610")</f>
        <v>ICTVonline=202102610</v>
      </c>
    </row>
    <row r="9595" spans="1:21" x14ac:dyDescent="0.2">
      <c r="A9595" s="3">
        <v>9594</v>
      </c>
      <c r="B9595" s="1" t="s">
        <v>5810</v>
      </c>
      <c r="D9595" s="1" t="s">
        <v>5811</v>
      </c>
      <c r="F9595" s="1" t="s">
        <v>5812</v>
      </c>
      <c r="H9595" s="1" t="s">
        <v>5813</v>
      </c>
      <c r="J9595" s="1" t="s">
        <v>5817</v>
      </c>
      <c r="L9595" s="1" t="s">
        <v>1680</v>
      </c>
      <c r="N9595" s="1" t="s">
        <v>1681</v>
      </c>
      <c r="P9595" s="1" t="s">
        <v>627</v>
      </c>
      <c r="Q9595" s="30" t="s">
        <v>2565</v>
      </c>
      <c r="R9595" s="33" t="s">
        <v>8665</v>
      </c>
      <c r="S9595">
        <v>36</v>
      </c>
      <c r="T9595" s="1" t="s">
        <v>8661</v>
      </c>
      <c r="U9595" s="1" t="str">
        <f>HYPERLINK("http://ictvonline.org/taxonomy/p/taxonomy-history?taxnode_id=202102611","ICTVonline=202102611")</f>
        <v>ICTVonline=202102611</v>
      </c>
    </row>
    <row r="9596" spans="1:21" x14ac:dyDescent="0.2">
      <c r="A9596" s="3">
        <v>9595</v>
      </c>
      <c r="B9596" s="1" t="s">
        <v>5810</v>
      </c>
      <c r="D9596" s="1" t="s">
        <v>5811</v>
      </c>
      <c r="F9596" s="1" t="s">
        <v>5812</v>
      </c>
      <c r="H9596" s="1" t="s">
        <v>5813</v>
      </c>
      <c r="J9596" s="1" t="s">
        <v>5817</v>
      </c>
      <c r="L9596" s="1" t="s">
        <v>1680</v>
      </c>
      <c r="N9596" s="1" t="s">
        <v>1681</v>
      </c>
      <c r="P9596" s="1" t="s">
        <v>1254</v>
      </c>
      <c r="Q9596" s="30" t="s">
        <v>2565</v>
      </c>
      <c r="R9596" s="33" t="s">
        <v>3474</v>
      </c>
      <c r="S9596">
        <v>35</v>
      </c>
      <c r="T9596" s="1" t="s">
        <v>5815</v>
      </c>
      <c r="U9596" s="1" t="str">
        <f>HYPERLINK("http://ictvonline.org/taxonomy/p/taxonomy-history?taxnode_id=202102612","ICTVonline=202102612")</f>
        <v>ICTVonline=202102612</v>
      </c>
    </row>
    <row r="9597" spans="1:21" x14ac:dyDescent="0.2">
      <c r="A9597" s="3">
        <v>9596</v>
      </c>
      <c r="B9597" s="1" t="s">
        <v>5810</v>
      </c>
      <c r="D9597" s="1" t="s">
        <v>5811</v>
      </c>
      <c r="F9597" s="1" t="s">
        <v>5812</v>
      </c>
      <c r="H9597" s="1" t="s">
        <v>5813</v>
      </c>
      <c r="J9597" s="1" t="s">
        <v>5817</v>
      </c>
      <c r="L9597" s="1" t="s">
        <v>1680</v>
      </c>
      <c r="N9597" s="1" t="s">
        <v>2826</v>
      </c>
      <c r="P9597" s="1" t="s">
        <v>3492</v>
      </c>
      <c r="Q9597" s="30" t="s">
        <v>2565</v>
      </c>
      <c r="R9597" s="33" t="s">
        <v>8665</v>
      </c>
      <c r="S9597">
        <v>36</v>
      </c>
      <c r="T9597" s="1" t="s">
        <v>8661</v>
      </c>
      <c r="U9597" s="1" t="str">
        <f>HYPERLINK("http://ictvonline.org/taxonomy/p/taxonomy-history?taxnode_id=202102614","ICTVonline=202102614")</f>
        <v>ICTVonline=202102614</v>
      </c>
    </row>
    <row r="9598" spans="1:21" x14ac:dyDescent="0.2">
      <c r="A9598" s="3">
        <v>9597</v>
      </c>
      <c r="B9598" s="1" t="s">
        <v>5810</v>
      </c>
      <c r="D9598" s="1" t="s">
        <v>5811</v>
      </c>
      <c r="F9598" s="1" t="s">
        <v>5812</v>
      </c>
      <c r="H9598" s="1" t="s">
        <v>5813</v>
      </c>
      <c r="J9598" s="1" t="s">
        <v>5817</v>
      </c>
      <c r="L9598" s="1" t="s">
        <v>1315</v>
      </c>
      <c r="M9598" s="1" t="s">
        <v>3136</v>
      </c>
      <c r="N9598" s="1" t="s">
        <v>934</v>
      </c>
      <c r="P9598" s="1" t="s">
        <v>935</v>
      </c>
      <c r="Q9598" s="30" t="s">
        <v>2565</v>
      </c>
      <c r="R9598" s="33" t="s">
        <v>8665</v>
      </c>
      <c r="S9598">
        <v>36</v>
      </c>
      <c r="T9598" s="1" t="s">
        <v>8661</v>
      </c>
      <c r="U9598" s="1" t="str">
        <f>HYPERLINK("http://ictvonline.org/taxonomy/p/taxonomy-history?taxnode_id=202103728","ICTVonline=202103728")</f>
        <v>ICTVonline=202103728</v>
      </c>
    </row>
    <row r="9599" spans="1:21" x14ac:dyDescent="0.2">
      <c r="A9599" s="3">
        <v>9598</v>
      </c>
      <c r="B9599" s="1" t="s">
        <v>5810</v>
      </c>
      <c r="D9599" s="1" t="s">
        <v>5811</v>
      </c>
      <c r="F9599" s="1" t="s">
        <v>5812</v>
      </c>
      <c r="H9599" s="1" t="s">
        <v>5813</v>
      </c>
      <c r="J9599" s="1" t="s">
        <v>5817</v>
      </c>
      <c r="L9599" s="1" t="s">
        <v>1315</v>
      </c>
      <c r="M9599" s="1" t="s">
        <v>3136</v>
      </c>
      <c r="N9599" s="1" t="s">
        <v>934</v>
      </c>
      <c r="P9599" s="1" t="s">
        <v>4856</v>
      </c>
      <c r="Q9599" s="30" t="s">
        <v>2565</v>
      </c>
      <c r="R9599" s="33" t="s">
        <v>3474</v>
      </c>
      <c r="S9599">
        <v>35</v>
      </c>
      <c r="T9599" s="1" t="s">
        <v>5815</v>
      </c>
      <c r="U9599" s="1" t="str">
        <f>HYPERLINK("http://ictvonline.org/taxonomy/p/taxonomy-history?taxnode_id=202106332","ICTVonline=202106332")</f>
        <v>ICTVonline=202106332</v>
      </c>
    </row>
    <row r="9600" spans="1:21" x14ac:dyDescent="0.2">
      <c r="A9600" s="3">
        <v>9599</v>
      </c>
      <c r="B9600" s="1" t="s">
        <v>5810</v>
      </c>
      <c r="D9600" s="1" t="s">
        <v>5811</v>
      </c>
      <c r="F9600" s="1" t="s">
        <v>5812</v>
      </c>
      <c r="H9600" s="1" t="s">
        <v>5813</v>
      </c>
      <c r="J9600" s="1" t="s">
        <v>5817</v>
      </c>
      <c r="L9600" s="1" t="s">
        <v>1315</v>
      </c>
      <c r="M9600" s="1" t="s">
        <v>3136</v>
      </c>
      <c r="N9600" s="1" t="s">
        <v>934</v>
      </c>
      <c r="P9600" s="1" t="s">
        <v>4857</v>
      </c>
      <c r="Q9600" s="30" t="s">
        <v>2565</v>
      </c>
      <c r="R9600" s="33" t="s">
        <v>3474</v>
      </c>
      <c r="S9600">
        <v>35</v>
      </c>
      <c r="T9600" s="1" t="s">
        <v>5815</v>
      </c>
      <c r="U9600" s="1" t="str">
        <f>HYPERLINK("http://ictvonline.org/taxonomy/p/taxonomy-history?taxnode_id=202106333","ICTVonline=202106333")</f>
        <v>ICTVonline=202106333</v>
      </c>
    </row>
    <row r="9601" spans="1:21" x14ac:dyDescent="0.2">
      <c r="A9601" s="3">
        <v>9600</v>
      </c>
      <c r="B9601" s="1" t="s">
        <v>5810</v>
      </c>
      <c r="D9601" s="1" t="s">
        <v>5811</v>
      </c>
      <c r="F9601" s="1" t="s">
        <v>5812</v>
      </c>
      <c r="H9601" s="1" t="s">
        <v>5813</v>
      </c>
      <c r="J9601" s="1" t="s">
        <v>5817</v>
      </c>
      <c r="L9601" s="1" t="s">
        <v>1315</v>
      </c>
      <c r="M9601" s="1" t="s">
        <v>3136</v>
      </c>
      <c r="N9601" s="1" t="s">
        <v>934</v>
      </c>
      <c r="P9601" s="1" t="s">
        <v>8381</v>
      </c>
      <c r="Q9601" s="30" t="s">
        <v>2565</v>
      </c>
      <c r="R9601" s="33" t="s">
        <v>3472</v>
      </c>
      <c r="S9601">
        <v>36</v>
      </c>
      <c r="T9601" s="1" t="s">
        <v>8382</v>
      </c>
      <c r="U9601" s="1" t="str">
        <f>HYPERLINK("http://ictvonline.org/taxonomy/p/taxonomy-history?taxnode_id=202108875","ICTVonline=202108875")</f>
        <v>ICTVonline=202108875</v>
      </c>
    </row>
    <row r="9602" spans="1:21" x14ac:dyDescent="0.2">
      <c r="A9602" s="3">
        <v>9601</v>
      </c>
      <c r="B9602" s="1" t="s">
        <v>5810</v>
      </c>
      <c r="D9602" s="1" t="s">
        <v>5811</v>
      </c>
      <c r="F9602" s="1" t="s">
        <v>5812</v>
      </c>
      <c r="H9602" s="1" t="s">
        <v>5813</v>
      </c>
      <c r="J9602" s="1" t="s">
        <v>5817</v>
      </c>
      <c r="L9602" s="1" t="s">
        <v>1315</v>
      </c>
      <c r="M9602" s="1" t="s">
        <v>3136</v>
      </c>
      <c r="N9602" s="1" t="s">
        <v>936</v>
      </c>
      <c r="P9602" s="1" t="s">
        <v>937</v>
      </c>
      <c r="Q9602" s="30" t="s">
        <v>2565</v>
      </c>
      <c r="R9602" s="33" t="s">
        <v>8665</v>
      </c>
      <c r="S9602">
        <v>36</v>
      </c>
      <c r="T9602" s="1" t="s">
        <v>8661</v>
      </c>
      <c r="U9602" s="1" t="str">
        <f>HYPERLINK("http://ictvonline.org/taxonomy/p/taxonomy-history?taxnode_id=202103730","ICTVonline=202103730")</f>
        <v>ICTVonline=202103730</v>
      </c>
    </row>
    <row r="9603" spans="1:21" x14ac:dyDescent="0.2">
      <c r="A9603" s="3">
        <v>9602</v>
      </c>
      <c r="B9603" s="1" t="s">
        <v>5810</v>
      </c>
      <c r="D9603" s="1" t="s">
        <v>5811</v>
      </c>
      <c r="F9603" s="1" t="s">
        <v>5812</v>
      </c>
      <c r="H9603" s="1" t="s">
        <v>5813</v>
      </c>
      <c r="J9603" s="1" t="s">
        <v>5817</v>
      </c>
      <c r="L9603" s="1" t="s">
        <v>1315</v>
      </c>
      <c r="M9603" s="1" t="s">
        <v>3136</v>
      </c>
      <c r="N9603" s="1" t="s">
        <v>936</v>
      </c>
      <c r="P9603" s="1" t="s">
        <v>4858</v>
      </c>
      <c r="Q9603" s="30" t="s">
        <v>2565</v>
      </c>
      <c r="R9603" s="33" t="s">
        <v>3474</v>
      </c>
      <c r="S9603">
        <v>35</v>
      </c>
      <c r="T9603" s="1" t="s">
        <v>5815</v>
      </c>
      <c r="U9603" s="1" t="str">
        <f>HYPERLINK("http://ictvonline.org/taxonomy/p/taxonomy-history?taxnode_id=202106331","ICTVonline=202106331")</f>
        <v>ICTVonline=202106331</v>
      </c>
    </row>
    <row r="9604" spans="1:21" x14ac:dyDescent="0.2">
      <c r="A9604" s="3">
        <v>9603</v>
      </c>
      <c r="B9604" s="1" t="s">
        <v>5810</v>
      </c>
      <c r="D9604" s="1" t="s">
        <v>5811</v>
      </c>
      <c r="F9604" s="1" t="s">
        <v>5812</v>
      </c>
      <c r="H9604" s="1" t="s">
        <v>5813</v>
      </c>
      <c r="J9604" s="1" t="s">
        <v>5817</v>
      </c>
      <c r="L9604" s="1" t="s">
        <v>1315</v>
      </c>
      <c r="M9604" s="1" t="s">
        <v>3136</v>
      </c>
      <c r="N9604" s="1" t="s">
        <v>938</v>
      </c>
      <c r="P9604" s="1" t="s">
        <v>939</v>
      </c>
      <c r="Q9604" s="30" t="s">
        <v>2565</v>
      </c>
      <c r="R9604" s="33" t="s">
        <v>3474</v>
      </c>
      <c r="S9604">
        <v>35</v>
      </c>
      <c r="T9604" s="1" t="s">
        <v>5815</v>
      </c>
      <c r="U9604" s="1" t="str">
        <f>HYPERLINK("http://ictvonline.org/taxonomy/p/taxonomy-history?taxnode_id=202103732","ICTVonline=202103732")</f>
        <v>ICTVonline=202103732</v>
      </c>
    </row>
    <row r="9605" spans="1:21" x14ac:dyDescent="0.2">
      <c r="A9605" s="3">
        <v>9604</v>
      </c>
      <c r="B9605" s="1" t="s">
        <v>5810</v>
      </c>
      <c r="D9605" s="1" t="s">
        <v>5811</v>
      </c>
      <c r="F9605" s="1" t="s">
        <v>5812</v>
      </c>
      <c r="H9605" s="1" t="s">
        <v>5813</v>
      </c>
      <c r="J9605" s="1" t="s">
        <v>5817</v>
      </c>
      <c r="L9605" s="1" t="s">
        <v>1315</v>
      </c>
      <c r="M9605" s="1" t="s">
        <v>3136</v>
      </c>
      <c r="N9605" s="1" t="s">
        <v>938</v>
      </c>
      <c r="P9605" s="1" t="s">
        <v>3878</v>
      </c>
      <c r="Q9605" s="30" t="s">
        <v>2565</v>
      </c>
      <c r="R9605" s="33" t="s">
        <v>3474</v>
      </c>
      <c r="S9605">
        <v>35</v>
      </c>
      <c r="T9605" s="1" t="s">
        <v>5815</v>
      </c>
      <c r="U9605" s="1" t="str">
        <f>HYPERLINK("http://ictvonline.org/taxonomy/p/taxonomy-history?taxnode_id=202105861","ICTVonline=202105861")</f>
        <v>ICTVonline=202105861</v>
      </c>
    </row>
    <row r="9606" spans="1:21" x14ac:dyDescent="0.2">
      <c r="A9606" s="3">
        <v>9605</v>
      </c>
      <c r="B9606" s="1" t="s">
        <v>5810</v>
      </c>
      <c r="D9606" s="1" t="s">
        <v>5811</v>
      </c>
      <c r="F9606" s="1" t="s">
        <v>5812</v>
      </c>
      <c r="H9606" s="1" t="s">
        <v>5813</v>
      </c>
      <c r="J9606" s="1" t="s">
        <v>5817</v>
      </c>
      <c r="L9606" s="1" t="s">
        <v>1315</v>
      </c>
      <c r="M9606" s="1" t="s">
        <v>3136</v>
      </c>
      <c r="N9606" s="1" t="s">
        <v>938</v>
      </c>
      <c r="P9606" s="1" t="s">
        <v>1011</v>
      </c>
      <c r="Q9606" s="30" t="s">
        <v>2565</v>
      </c>
      <c r="R9606" s="33" t="s">
        <v>3474</v>
      </c>
      <c r="S9606">
        <v>35</v>
      </c>
      <c r="T9606" s="1" t="s">
        <v>5815</v>
      </c>
      <c r="U9606" s="1" t="str">
        <f>HYPERLINK("http://ictvonline.org/taxonomy/p/taxonomy-history?taxnode_id=202103734","ICTVonline=202103734")</f>
        <v>ICTVonline=202103734</v>
      </c>
    </row>
    <row r="9607" spans="1:21" x14ac:dyDescent="0.2">
      <c r="A9607" s="3">
        <v>9606</v>
      </c>
      <c r="B9607" s="1" t="s">
        <v>5810</v>
      </c>
      <c r="D9607" s="1" t="s">
        <v>5811</v>
      </c>
      <c r="F9607" s="1" t="s">
        <v>5812</v>
      </c>
      <c r="H9607" s="1" t="s">
        <v>5813</v>
      </c>
      <c r="J9607" s="1" t="s">
        <v>5817</v>
      </c>
      <c r="L9607" s="1" t="s">
        <v>1315</v>
      </c>
      <c r="M9607" s="1" t="s">
        <v>3136</v>
      </c>
      <c r="N9607" s="1" t="s">
        <v>938</v>
      </c>
      <c r="P9607" s="1" t="s">
        <v>8383</v>
      </c>
      <c r="Q9607" s="30" t="s">
        <v>2565</v>
      </c>
      <c r="R9607" s="33" t="s">
        <v>3472</v>
      </c>
      <c r="S9607">
        <v>36</v>
      </c>
      <c r="T9607" s="1" t="s">
        <v>8384</v>
      </c>
      <c r="U9607" s="1" t="str">
        <f>HYPERLINK("http://ictvonline.org/taxonomy/p/taxonomy-history?taxnode_id=202109549","ICTVonline=202109549")</f>
        <v>ICTVonline=202109549</v>
      </c>
    </row>
    <row r="9608" spans="1:21" x14ac:dyDescent="0.2">
      <c r="A9608" s="3">
        <v>9607</v>
      </c>
      <c r="B9608" s="1" t="s">
        <v>5810</v>
      </c>
      <c r="D9608" s="1" t="s">
        <v>5811</v>
      </c>
      <c r="F9608" s="1" t="s">
        <v>5812</v>
      </c>
      <c r="H9608" s="1" t="s">
        <v>5813</v>
      </c>
      <c r="J9608" s="1" t="s">
        <v>5817</v>
      </c>
      <c r="L9608" s="1" t="s">
        <v>1315</v>
      </c>
      <c r="M9608" s="1" t="s">
        <v>3136</v>
      </c>
      <c r="N9608" s="1" t="s">
        <v>938</v>
      </c>
      <c r="P9608" s="1" t="s">
        <v>1012</v>
      </c>
      <c r="Q9608" s="30" t="s">
        <v>2565</v>
      </c>
      <c r="R9608" s="33" t="s">
        <v>8665</v>
      </c>
      <c r="S9608">
        <v>36</v>
      </c>
      <c r="T9608" s="1" t="s">
        <v>8661</v>
      </c>
      <c r="U9608" s="1" t="str">
        <f>HYPERLINK("http://ictvonline.org/taxonomy/p/taxonomy-history?taxnode_id=202103736","ICTVonline=202103736")</f>
        <v>ICTVonline=202103736</v>
      </c>
    </row>
    <row r="9609" spans="1:21" x14ac:dyDescent="0.2">
      <c r="A9609" s="3">
        <v>9608</v>
      </c>
      <c r="B9609" s="1" t="s">
        <v>5810</v>
      </c>
      <c r="D9609" s="1" t="s">
        <v>5811</v>
      </c>
      <c r="F9609" s="1" t="s">
        <v>5812</v>
      </c>
      <c r="H9609" s="1" t="s">
        <v>5813</v>
      </c>
      <c r="J9609" s="1" t="s">
        <v>5817</v>
      </c>
      <c r="L9609" s="1" t="s">
        <v>1315</v>
      </c>
      <c r="M9609" s="1" t="s">
        <v>3136</v>
      </c>
      <c r="N9609" s="1" t="s">
        <v>938</v>
      </c>
      <c r="P9609" s="1" t="s">
        <v>1013</v>
      </c>
      <c r="Q9609" s="30" t="s">
        <v>2565</v>
      </c>
      <c r="R9609" s="33" t="s">
        <v>3474</v>
      </c>
      <c r="S9609">
        <v>35</v>
      </c>
      <c r="T9609" s="1" t="s">
        <v>5815</v>
      </c>
      <c r="U9609" s="1" t="str">
        <f>HYPERLINK("http://ictvonline.org/taxonomy/p/taxonomy-history?taxnode_id=202103737","ICTVonline=202103737")</f>
        <v>ICTVonline=202103737</v>
      </c>
    </row>
    <row r="9610" spans="1:21" x14ac:dyDescent="0.2">
      <c r="A9610" s="3">
        <v>9609</v>
      </c>
      <c r="B9610" s="1" t="s">
        <v>5810</v>
      </c>
      <c r="D9610" s="1" t="s">
        <v>5811</v>
      </c>
      <c r="F9610" s="1" t="s">
        <v>5812</v>
      </c>
      <c r="H9610" s="1" t="s">
        <v>5813</v>
      </c>
      <c r="J9610" s="1" t="s">
        <v>5817</v>
      </c>
      <c r="L9610" s="1" t="s">
        <v>1315</v>
      </c>
      <c r="M9610" s="1" t="s">
        <v>3136</v>
      </c>
      <c r="N9610" s="1" t="s">
        <v>938</v>
      </c>
      <c r="P9610" s="1" t="s">
        <v>3374</v>
      </c>
      <c r="Q9610" s="30" t="s">
        <v>2565</v>
      </c>
      <c r="R9610" s="33" t="s">
        <v>3474</v>
      </c>
      <c r="S9610">
        <v>35</v>
      </c>
      <c r="T9610" s="1" t="s">
        <v>5815</v>
      </c>
      <c r="U9610" s="1" t="str">
        <f>HYPERLINK("http://ictvonline.org/taxonomy/p/taxonomy-history?taxnode_id=202103738","ICTVonline=202103738")</f>
        <v>ICTVonline=202103738</v>
      </c>
    </row>
    <row r="9611" spans="1:21" x14ac:dyDescent="0.2">
      <c r="A9611" s="3">
        <v>9610</v>
      </c>
      <c r="B9611" s="1" t="s">
        <v>5810</v>
      </c>
      <c r="D9611" s="1" t="s">
        <v>5811</v>
      </c>
      <c r="F9611" s="1" t="s">
        <v>5812</v>
      </c>
      <c r="H9611" s="1" t="s">
        <v>5813</v>
      </c>
      <c r="J9611" s="1" t="s">
        <v>5817</v>
      </c>
      <c r="L9611" s="1" t="s">
        <v>1315</v>
      </c>
      <c r="M9611" s="1" t="s">
        <v>3137</v>
      </c>
      <c r="N9611" s="1" t="s">
        <v>1316</v>
      </c>
      <c r="P9611" s="1" t="s">
        <v>4859</v>
      </c>
      <c r="Q9611" s="30" t="s">
        <v>2565</v>
      </c>
      <c r="R9611" s="33" t="s">
        <v>3474</v>
      </c>
      <c r="S9611">
        <v>35</v>
      </c>
      <c r="T9611" s="1" t="s">
        <v>5815</v>
      </c>
      <c r="U9611" s="1" t="str">
        <f>HYPERLINK("http://ictvonline.org/taxonomy/p/taxonomy-history?taxnode_id=202106338","ICTVonline=202106338")</f>
        <v>ICTVonline=202106338</v>
      </c>
    </row>
    <row r="9612" spans="1:21" x14ac:dyDescent="0.2">
      <c r="A9612" s="3">
        <v>9611</v>
      </c>
      <c r="B9612" s="1" t="s">
        <v>5810</v>
      </c>
      <c r="D9612" s="1" t="s">
        <v>5811</v>
      </c>
      <c r="F9612" s="1" t="s">
        <v>5812</v>
      </c>
      <c r="H9612" s="1" t="s">
        <v>5813</v>
      </c>
      <c r="J9612" s="1" t="s">
        <v>5817</v>
      </c>
      <c r="L9612" s="1" t="s">
        <v>1315</v>
      </c>
      <c r="M9612" s="1" t="s">
        <v>3137</v>
      </c>
      <c r="N9612" s="1" t="s">
        <v>1316</v>
      </c>
      <c r="P9612" s="1" t="s">
        <v>1317</v>
      </c>
      <c r="Q9612" s="30" t="s">
        <v>2565</v>
      </c>
      <c r="R9612" s="33" t="s">
        <v>8665</v>
      </c>
      <c r="S9612">
        <v>36</v>
      </c>
      <c r="T9612" s="1" t="s">
        <v>8661</v>
      </c>
      <c r="U9612" s="1" t="str">
        <f>HYPERLINK("http://ictvonline.org/taxonomy/p/taxonomy-history?taxnode_id=202103741","ICTVonline=202103741")</f>
        <v>ICTVonline=202103741</v>
      </c>
    </row>
    <row r="9613" spans="1:21" x14ac:dyDescent="0.2">
      <c r="A9613" s="3">
        <v>9612</v>
      </c>
      <c r="B9613" s="1" t="s">
        <v>5810</v>
      </c>
      <c r="D9613" s="1" t="s">
        <v>5811</v>
      </c>
      <c r="F9613" s="1" t="s">
        <v>5812</v>
      </c>
      <c r="H9613" s="1" t="s">
        <v>5813</v>
      </c>
      <c r="J9613" s="1" t="s">
        <v>5817</v>
      </c>
      <c r="L9613" s="1" t="s">
        <v>1315</v>
      </c>
      <c r="M9613" s="1" t="s">
        <v>3137</v>
      </c>
      <c r="N9613" s="1" t="s">
        <v>1316</v>
      </c>
      <c r="P9613" s="1" t="s">
        <v>4860</v>
      </c>
      <c r="Q9613" s="30" t="s">
        <v>2565</v>
      </c>
      <c r="R9613" s="33" t="s">
        <v>3474</v>
      </c>
      <c r="S9613">
        <v>35</v>
      </c>
      <c r="T9613" s="1" t="s">
        <v>5815</v>
      </c>
      <c r="U9613" s="1" t="str">
        <f>HYPERLINK("http://ictvonline.org/taxonomy/p/taxonomy-history?taxnode_id=202106336","ICTVonline=202106336")</f>
        <v>ICTVonline=202106336</v>
      </c>
    </row>
    <row r="9614" spans="1:21" x14ac:dyDescent="0.2">
      <c r="A9614" s="3">
        <v>9613</v>
      </c>
      <c r="B9614" s="1" t="s">
        <v>5810</v>
      </c>
      <c r="D9614" s="1" t="s">
        <v>5811</v>
      </c>
      <c r="F9614" s="1" t="s">
        <v>5812</v>
      </c>
      <c r="H9614" s="1" t="s">
        <v>5813</v>
      </c>
      <c r="J9614" s="1" t="s">
        <v>5817</v>
      </c>
      <c r="L9614" s="1" t="s">
        <v>1315</v>
      </c>
      <c r="M9614" s="1" t="s">
        <v>3137</v>
      </c>
      <c r="N9614" s="1" t="s">
        <v>1316</v>
      </c>
      <c r="P9614" s="1" t="s">
        <v>4861</v>
      </c>
      <c r="Q9614" s="30" t="s">
        <v>2565</v>
      </c>
      <c r="R9614" s="33" t="s">
        <v>3474</v>
      </c>
      <c r="S9614">
        <v>35</v>
      </c>
      <c r="T9614" s="1" t="s">
        <v>5815</v>
      </c>
      <c r="U9614" s="1" t="str">
        <f>HYPERLINK("http://ictvonline.org/taxonomy/p/taxonomy-history?taxnode_id=202106335","ICTVonline=202106335")</f>
        <v>ICTVonline=202106335</v>
      </c>
    </row>
    <row r="9615" spans="1:21" x14ac:dyDescent="0.2">
      <c r="A9615" s="3">
        <v>9614</v>
      </c>
      <c r="B9615" s="1" t="s">
        <v>5810</v>
      </c>
      <c r="D9615" s="1" t="s">
        <v>5811</v>
      </c>
      <c r="F9615" s="1" t="s">
        <v>5812</v>
      </c>
      <c r="H9615" s="1" t="s">
        <v>5813</v>
      </c>
      <c r="J9615" s="1" t="s">
        <v>5817</v>
      </c>
      <c r="L9615" s="1" t="s">
        <v>1315</v>
      </c>
      <c r="M9615" s="1" t="s">
        <v>3137</v>
      </c>
      <c r="N9615" s="1" t="s">
        <v>1316</v>
      </c>
      <c r="P9615" s="1" t="s">
        <v>4862</v>
      </c>
      <c r="Q9615" s="30" t="s">
        <v>2565</v>
      </c>
      <c r="R9615" s="33" t="s">
        <v>3474</v>
      </c>
      <c r="S9615">
        <v>35</v>
      </c>
      <c r="T9615" s="1" t="s">
        <v>5815</v>
      </c>
      <c r="U9615" s="1" t="str">
        <f>HYPERLINK("http://ictvonline.org/taxonomy/p/taxonomy-history?taxnode_id=202106337","ICTVonline=202106337")</f>
        <v>ICTVonline=202106337</v>
      </c>
    </row>
    <row r="9616" spans="1:21" x14ac:dyDescent="0.2">
      <c r="A9616" s="3">
        <v>9615</v>
      </c>
      <c r="B9616" s="1" t="s">
        <v>5810</v>
      </c>
      <c r="D9616" s="1" t="s">
        <v>5811</v>
      </c>
      <c r="F9616" s="1" t="s">
        <v>5812</v>
      </c>
      <c r="H9616" s="1" t="s">
        <v>5813</v>
      </c>
      <c r="J9616" s="1" t="s">
        <v>5817</v>
      </c>
      <c r="L9616" s="1" t="s">
        <v>1315</v>
      </c>
      <c r="M9616" s="1" t="s">
        <v>3137</v>
      </c>
      <c r="N9616" s="1" t="s">
        <v>8385</v>
      </c>
      <c r="P9616" s="1" t="s">
        <v>8386</v>
      </c>
      <c r="Q9616" s="30" t="s">
        <v>2565</v>
      </c>
      <c r="R9616" s="33" t="s">
        <v>3472</v>
      </c>
      <c r="S9616">
        <v>36</v>
      </c>
      <c r="T9616" s="1" t="s">
        <v>8387</v>
      </c>
      <c r="U9616" s="1" t="str">
        <f>HYPERLINK("http://ictvonline.org/taxonomy/p/taxonomy-history?taxnode_id=202109576","ICTVonline=202109576")</f>
        <v>ICTVonline=202109576</v>
      </c>
    </row>
    <row r="9617" spans="1:21" x14ac:dyDescent="0.2">
      <c r="A9617" s="3">
        <v>9616</v>
      </c>
      <c r="B9617" s="1" t="s">
        <v>5810</v>
      </c>
      <c r="D9617" s="1" t="s">
        <v>5811</v>
      </c>
      <c r="F9617" s="1" t="s">
        <v>5812</v>
      </c>
      <c r="H9617" s="1" t="s">
        <v>5813</v>
      </c>
      <c r="J9617" s="1" t="s">
        <v>5817</v>
      </c>
      <c r="L9617" s="1" t="s">
        <v>1315</v>
      </c>
      <c r="M9617" s="1" t="s">
        <v>3137</v>
      </c>
      <c r="N9617" s="1" t="s">
        <v>4863</v>
      </c>
      <c r="P9617" s="1" t="s">
        <v>4864</v>
      </c>
      <c r="Q9617" s="30" t="s">
        <v>2565</v>
      </c>
      <c r="R9617" s="33" t="s">
        <v>8665</v>
      </c>
      <c r="S9617">
        <v>36</v>
      </c>
      <c r="T9617" s="1" t="s">
        <v>8661</v>
      </c>
      <c r="U9617" s="1" t="str">
        <f>HYPERLINK("http://ictvonline.org/taxonomy/p/taxonomy-history?taxnode_id=202106295","ICTVonline=202106295")</f>
        <v>ICTVonline=202106295</v>
      </c>
    </row>
    <row r="9618" spans="1:21" x14ac:dyDescent="0.2">
      <c r="A9618" s="3">
        <v>9617</v>
      </c>
      <c r="B9618" s="1" t="s">
        <v>5810</v>
      </c>
      <c r="D9618" s="1" t="s">
        <v>5811</v>
      </c>
      <c r="F9618" s="1" t="s">
        <v>5812</v>
      </c>
      <c r="H9618" s="1" t="s">
        <v>5813</v>
      </c>
      <c r="J9618" s="1" t="s">
        <v>5817</v>
      </c>
      <c r="L9618" s="1" t="s">
        <v>1315</v>
      </c>
      <c r="M9618" s="1" t="s">
        <v>3137</v>
      </c>
      <c r="N9618" s="1" t="s">
        <v>940</v>
      </c>
      <c r="P9618" s="1" t="s">
        <v>933</v>
      </c>
      <c r="Q9618" s="30" t="s">
        <v>2565</v>
      </c>
      <c r="R9618" s="33" t="s">
        <v>8665</v>
      </c>
      <c r="S9618">
        <v>36</v>
      </c>
      <c r="T9618" s="1" t="s">
        <v>8661</v>
      </c>
      <c r="U9618" s="1" t="str">
        <f>HYPERLINK("http://ictvonline.org/taxonomy/p/taxonomy-history?taxnode_id=202103744","ICTVonline=202103744")</f>
        <v>ICTVonline=202103744</v>
      </c>
    </row>
    <row r="9619" spans="1:21" x14ac:dyDescent="0.2">
      <c r="A9619" s="3">
        <v>9618</v>
      </c>
      <c r="B9619" s="1" t="s">
        <v>5810</v>
      </c>
      <c r="D9619" s="1" t="s">
        <v>5811</v>
      </c>
      <c r="F9619" s="1" t="s">
        <v>5812</v>
      </c>
      <c r="H9619" s="1" t="s">
        <v>5813</v>
      </c>
      <c r="J9619" s="1" t="s">
        <v>5817</v>
      </c>
      <c r="L9619" s="1" t="s">
        <v>1315</v>
      </c>
      <c r="M9619" s="1" t="s">
        <v>3137</v>
      </c>
      <c r="N9619" s="1" t="s">
        <v>940</v>
      </c>
      <c r="P9619" s="1" t="s">
        <v>4865</v>
      </c>
      <c r="Q9619" s="30" t="s">
        <v>2565</v>
      </c>
      <c r="R9619" s="33" t="s">
        <v>3474</v>
      </c>
      <c r="S9619">
        <v>35</v>
      </c>
      <c r="T9619" s="1" t="s">
        <v>5815</v>
      </c>
      <c r="U9619" s="1" t="str">
        <f>HYPERLINK("http://ictvonline.org/taxonomy/p/taxonomy-history?taxnode_id=202106334","ICTVonline=202106334")</f>
        <v>ICTVonline=202106334</v>
      </c>
    </row>
    <row r="9620" spans="1:21" x14ac:dyDescent="0.2">
      <c r="A9620" s="3">
        <v>9619</v>
      </c>
      <c r="B9620" s="1" t="s">
        <v>5810</v>
      </c>
      <c r="D9620" s="1" t="s">
        <v>5811</v>
      </c>
      <c r="F9620" s="1" t="s">
        <v>5812</v>
      </c>
      <c r="H9620" s="1" t="s">
        <v>5813</v>
      </c>
      <c r="J9620" s="1" t="s">
        <v>5817</v>
      </c>
      <c r="L9620" s="1" t="s">
        <v>2316</v>
      </c>
      <c r="N9620" s="1" t="s">
        <v>2317</v>
      </c>
      <c r="P9620" s="1" t="s">
        <v>2318</v>
      </c>
      <c r="Q9620" s="30" t="s">
        <v>2565</v>
      </c>
      <c r="R9620" s="33" t="s">
        <v>8665</v>
      </c>
      <c r="S9620">
        <v>36</v>
      </c>
      <c r="T9620" s="1" t="s">
        <v>8661</v>
      </c>
      <c r="U9620" s="1" t="str">
        <f>HYPERLINK("http://ictvonline.org/taxonomy/p/taxonomy-history?taxnode_id=202103802","ICTVonline=202103802")</f>
        <v>ICTVonline=202103802</v>
      </c>
    </row>
    <row r="9621" spans="1:21" x14ac:dyDescent="0.2">
      <c r="A9621" s="3">
        <v>9620</v>
      </c>
      <c r="B9621" s="1" t="s">
        <v>5810</v>
      </c>
      <c r="D9621" s="1" t="s">
        <v>5811</v>
      </c>
      <c r="F9621" s="1" t="s">
        <v>5812</v>
      </c>
      <c r="H9621" s="1" t="s">
        <v>5813</v>
      </c>
      <c r="J9621" s="1" t="s">
        <v>5817</v>
      </c>
      <c r="L9621" s="1" t="s">
        <v>2316</v>
      </c>
      <c r="N9621" s="1" t="s">
        <v>2317</v>
      </c>
      <c r="P9621" s="1" t="s">
        <v>2319</v>
      </c>
      <c r="Q9621" s="30" t="s">
        <v>2565</v>
      </c>
      <c r="R9621" s="33" t="s">
        <v>3474</v>
      </c>
      <c r="S9621">
        <v>35</v>
      </c>
      <c r="T9621" s="1" t="s">
        <v>5815</v>
      </c>
      <c r="U9621" s="1" t="str">
        <f>HYPERLINK("http://ictvonline.org/taxonomy/p/taxonomy-history?taxnode_id=202103803","ICTVonline=202103803")</f>
        <v>ICTVonline=202103803</v>
      </c>
    </row>
    <row r="9622" spans="1:21" x14ac:dyDescent="0.2">
      <c r="A9622" s="3">
        <v>9621</v>
      </c>
      <c r="B9622" s="1" t="s">
        <v>5810</v>
      </c>
      <c r="D9622" s="1" t="s">
        <v>5811</v>
      </c>
      <c r="F9622" s="1" t="s">
        <v>5812</v>
      </c>
      <c r="H9622" s="1" t="s">
        <v>5813</v>
      </c>
      <c r="J9622" s="1" t="s">
        <v>5817</v>
      </c>
      <c r="L9622" s="1" t="s">
        <v>2316</v>
      </c>
      <c r="P9622" s="1" t="s">
        <v>2320</v>
      </c>
      <c r="Q9622" s="30" t="s">
        <v>2565</v>
      </c>
      <c r="R9622" s="33" t="s">
        <v>3474</v>
      </c>
      <c r="S9622">
        <v>35</v>
      </c>
      <c r="T9622" s="1" t="s">
        <v>5815</v>
      </c>
      <c r="U9622" s="1" t="str">
        <f>HYPERLINK("http://ictvonline.org/taxonomy/p/taxonomy-history?taxnode_id=202103805","ICTVonline=202103805")</f>
        <v>ICTVonline=202103805</v>
      </c>
    </row>
    <row r="9623" spans="1:21" x14ac:dyDescent="0.2">
      <c r="A9623" s="3">
        <v>9622</v>
      </c>
      <c r="B9623" s="1" t="s">
        <v>5810</v>
      </c>
      <c r="D9623" s="1" t="s">
        <v>5811</v>
      </c>
      <c r="F9623" s="1" t="s">
        <v>5812</v>
      </c>
      <c r="H9623" s="1" t="s">
        <v>5813</v>
      </c>
      <c r="J9623" s="1" t="s">
        <v>5817</v>
      </c>
      <c r="L9623" s="1" t="s">
        <v>2316</v>
      </c>
      <c r="P9623" s="1" t="s">
        <v>2321</v>
      </c>
      <c r="Q9623" s="30" t="s">
        <v>2565</v>
      </c>
      <c r="R9623" s="33" t="s">
        <v>3474</v>
      </c>
      <c r="S9623">
        <v>35</v>
      </c>
      <c r="T9623" s="1" t="s">
        <v>5815</v>
      </c>
      <c r="U9623" s="1" t="str">
        <f>HYPERLINK("http://ictvonline.org/taxonomy/p/taxonomy-history?taxnode_id=202103806","ICTVonline=202103806")</f>
        <v>ICTVonline=202103806</v>
      </c>
    </row>
    <row r="9624" spans="1:21" x14ac:dyDescent="0.2">
      <c r="A9624" s="3">
        <v>9623</v>
      </c>
      <c r="B9624" s="1" t="s">
        <v>5810</v>
      </c>
      <c r="D9624" s="1" t="s">
        <v>5811</v>
      </c>
      <c r="F9624" s="1" t="s">
        <v>5812</v>
      </c>
      <c r="H9624" s="1" t="s">
        <v>5818</v>
      </c>
      <c r="J9624" s="1" t="s">
        <v>5819</v>
      </c>
      <c r="L9624" s="1" t="s">
        <v>630</v>
      </c>
      <c r="N9624" s="1" t="s">
        <v>631</v>
      </c>
      <c r="P9624" s="1" t="s">
        <v>632</v>
      </c>
      <c r="Q9624" s="30" t="s">
        <v>2565</v>
      </c>
      <c r="R9624" s="33" t="s">
        <v>8665</v>
      </c>
      <c r="S9624">
        <v>36</v>
      </c>
      <c r="T9624" s="1" t="s">
        <v>8661</v>
      </c>
      <c r="U9624" s="1" t="str">
        <f>HYPERLINK("http://ictvonline.org/taxonomy/p/taxonomy-history?taxnode_id=202102618","ICTVonline=202102618")</f>
        <v>ICTVonline=202102618</v>
      </c>
    </row>
    <row r="9625" spans="1:21" x14ac:dyDescent="0.2">
      <c r="A9625" s="3">
        <v>9624</v>
      </c>
      <c r="B9625" s="1" t="s">
        <v>5810</v>
      </c>
      <c r="D9625" s="1" t="s">
        <v>5811</v>
      </c>
      <c r="F9625" s="1" t="s">
        <v>5812</v>
      </c>
      <c r="H9625" s="1" t="s">
        <v>5818</v>
      </c>
      <c r="J9625" s="1" t="s">
        <v>5820</v>
      </c>
      <c r="L9625" s="1" t="s">
        <v>1944</v>
      </c>
      <c r="M9625" s="1" t="s">
        <v>1945</v>
      </c>
      <c r="N9625" s="1" t="s">
        <v>1946</v>
      </c>
      <c r="P9625" s="1" t="s">
        <v>477</v>
      </c>
      <c r="Q9625" s="30" t="s">
        <v>2565</v>
      </c>
      <c r="R9625" s="33" t="s">
        <v>3474</v>
      </c>
      <c r="S9625">
        <v>35</v>
      </c>
      <c r="T9625" s="1" t="s">
        <v>5815</v>
      </c>
      <c r="U9625" s="1" t="str">
        <f>HYPERLINK("http://ictvonline.org/taxonomy/p/taxonomy-history?taxnode_id=202104740","ICTVonline=202104740")</f>
        <v>ICTVonline=202104740</v>
      </c>
    </row>
    <row r="9626" spans="1:21" x14ac:dyDescent="0.2">
      <c r="A9626" s="3">
        <v>9625</v>
      </c>
      <c r="B9626" s="1" t="s">
        <v>5810</v>
      </c>
      <c r="D9626" s="1" t="s">
        <v>5811</v>
      </c>
      <c r="F9626" s="1" t="s">
        <v>5812</v>
      </c>
      <c r="H9626" s="1" t="s">
        <v>5818</v>
      </c>
      <c r="J9626" s="1" t="s">
        <v>5820</v>
      </c>
      <c r="L9626" s="1" t="s">
        <v>1944</v>
      </c>
      <c r="M9626" s="1" t="s">
        <v>1945</v>
      </c>
      <c r="N9626" s="1" t="s">
        <v>1946</v>
      </c>
      <c r="P9626" s="1" t="s">
        <v>5821</v>
      </c>
      <c r="Q9626" s="30" t="s">
        <v>2565</v>
      </c>
      <c r="R9626" s="33" t="s">
        <v>3472</v>
      </c>
      <c r="S9626">
        <v>35</v>
      </c>
      <c r="T9626" s="1" t="s">
        <v>5822</v>
      </c>
      <c r="U9626" s="1" t="str">
        <f>HYPERLINK("http://ictvonline.org/taxonomy/p/taxonomy-history?taxnode_id=202107141","ICTVonline=202107141")</f>
        <v>ICTVonline=202107141</v>
      </c>
    </row>
    <row r="9627" spans="1:21" x14ac:dyDescent="0.2">
      <c r="A9627" s="3">
        <v>9626</v>
      </c>
      <c r="B9627" s="1" t="s">
        <v>5810</v>
      </c>
      <c r="D9627" s="1" t="s">
        <v>5811</v>
      </c>
      <c r="F9627" s="1" t="s">
        <v>5812</v>
      </c>
      <c r="H9627" s="1" t="s">
        <v>5818</v>
      </c>
      <c r="J9627" s="1" t="s">
        <v>5820</v>
      </c>
      <c r="L9627" s="1" t="s">
        <v>1944</v>
      </c>
      <c r="M9627" s="1" t="s">
        <v>1945</v>
      </c>
      <c r="N9627" s="1" t="s">
        <v>1946</v>
      </c>
      <c r="P9627" s="1" t="s">
        <v>478</v>
      </c>
      <c r="Q9627" s="30" t="s">
        <v>2565</v>
      </c>
      <c r="R9627" s="33" t="s">
        <v>8665</v>
      </c>
      <c r="S9627">
        <v>36</v>
      </c>
      <c r="T9627" s="1" t="s">
        <v>8661</v>
      </c>
      <c r="U9627" s="1" t="str">
        <f>HYPERLINK("http://ictvonline.org/taxonomy/p/taxonomy-history?taxnode_id=202104741","ICTVonline=202104741")</f>
        <v>ICTVonline=202104741</v>
      </c>
    </row>
    <row r="9628" spans="1:21" x14ac:dyDescent="0.2">
      <c r="A9628" s="3">
        <v>9627</v>
      </c>
      <c r="B9628" s="1" t="s">
        <v>5810</v>
      </c>
      <c r="D9628" s="1" t="s">
        <v>5811</v>
      </c>
      <c r="F9628" s="1" t="s">
        <v>5812</v>
      </c>
      <c r="H9628" s="1" t="s">
        <v>5818</v>
      </c>
      <c r="J9628" s="1" t="s">
        <v>5820</v>
      </c>
      <c r="L9628" s="1" t="s">
        <v>1944</v>
      </c>
      <c r="M9628" s="1" t="s">
        <v>1945</v>
      </c>
      <c r="N9628" s="1" t="s">
        <v>1946</v>
      </c>
      <c r="P9628" s="1" t="s">
        <v>479</v>
      </c>
      <c r="Q9628" s="30" t="s">
        <v>2565</v>
      </c>
      <c r="R9628" s="33" t="s">
        <v>3474</v>
      </c>
      <c r="S9628">
        <v>35</v>
      </c>
      <c r="T9628" s="1" t="s">
        <v>5815</v>
      </c>
      <c r="U9628" s="1" t="str">
        <f>HYPERLINK("http://ictvonline.org/taxonomy/p/taxonomy-history?taxnode_id=202104742","ICTVonline=202104742")</f>
        <v>ICTVonline=202104742</v>
      </c>
    </row>
    <row r="9629" spans="1:21" x14ac:dyDescent="0.2">
      <c r="A9629" s="3">
        <v>9628</v>
      </c>
      <c r="B9629" s="1" t="s">
        <v>5810</v>
      </c>
      <c r="D9629" s="1" t="s">
        <v>5811</v>
      </c>
      <c r="F9629" s="1" t="s">
        <v>5812</v>
      </c>
      <c r="H9629" s="1" t="s">
        <v>5818</v>
      </c>
      <c r="J9629" s="1" t="s">
        <v>5820</v>
      </c>
      <c r="L9629" s="1" t="s">
        <v>1944</v>
      </c>
      <c r="M9629" s="1" t="s">
        <v>1945</v>
      </c>
      <c r="N9629" s="1" t="s">
        <v>1946</v>
      </c>
      <c r="P9629" s="1" t="s">
        <v>480</v>
      </c>
      <c r="Q9629" s="30" t="s">
        <v>2565</v>
      </c>
      <c r="R9629" s="33" t="s">
        <v>3474</v>
      </c>
      <c r="S9629">
        <v>35</v>
      </c>
      <c r="T9629" s="1" t="s">
        <v>5815</v>
      </c>
      <c r="U9629" s="1" t="str">
        <f>HYPERLINK("http://ictvonline.org/taxonomy/p/taxonomy-history?taxnode_id=202104743","ICTVonline=202104743")</f>
        <v>ICTVonline=202104743</v>
      </c>
    </row>
    <row r="9630" spans="1:21" x14ac:dyDescent="0.2">
      <c r="A9630" s="3">
        <v>9629</v>
      </c>
      <c r="B9630" s="1" t="s">
        <v>5810</v>
      </c>
      <c r="D9630" s="1" t="s">
        <v>5811</v>
      </c>
      <c r="F9630" s="1" t="s">
        <v>5812</v>
      </c>
      <c r="H9630" s="1" t="s">
        <v>5818</v>
      </c>
      <c r="J9630" s="1" t="s">
        <v>5820</v>
      </c>
      <c r="L9630" s="1" t="s">
        <v>1944</v>
      </c>
      <c r="M9630" s="1" t="s">
        <v>1945</v>
      </c>
      <c r="N9630" s="1" t="s">
        <v>1946</v>
      </c>
      <c r="P9630" s="1" t="s">
        <v>5823</v>
      </c>
      <c r="Q9630" s="30" t="s">
        <v>2565</v>
      </c>
      <c r="R9630" s="33" t="s">
        <v>3472</v>
      </c>
      <c r="S9630">
        <v>35</v>
      </c>
      <c r="T9630" s="1" t="s">
        <v>5822</v>
      </c>
      <c r="U9630" s="1" t="str">
        <f>HYPERLINK("http://ictvonline.org/taxonomy/p/taxonomy-history?taxnode_id=202107142","ICTVonline=202107142")</f>
        <v>ICTVonline=202107142</v>
      </c>
    </row>
    <row r="9631" spans="1:21" x14ac:dyDescent="0.2">
      <c r="A9631" s="3">
        <v>9630</v>
      </c>
      <c r="B9631" s="1" t="s">
        <v>5810</v>
      </c>
      <c r="D9631" s="1" t="s">
        <v>5811</v>
      </c>
      <c r="F9631" s="1" t="s">
        <v>5812</v>
      </c>
      <c r="H9631" s="1" t="s">
        <v>5818</v>
      </c>
      <c r="J9631" s="1" t="s">
        <v>5820</v>
      </c>
      <c r="L9631" s="1" t="s">
        <v>1944</v>
      </c>
      <c r="M9631" s="1" t="s">
        <v>1945</v>
      </c>
      <c r="N9631" s="1" t="s">
        <v>1946</v>
      </c>
      <c r="P9631" s="1" t="s">
        <v>481</v>
      </c>
      <c r="Q9631" s="30" t="s">
        <v>2565</v>
      </c>
      <c r="R9631" s="33" t="s">
        <v>3474</v>
      </c>
      <c r="S9631">
        <v>35</v>
      </c>
      <c r="T9631" s="1" t="s">
        <v>5815</v>
      </c>
      <c r="U9631" s="1" t="str">
        <f>HYPERLINK("http://ictvonline.org/taxonomy/p/taxonomy-history?taxnode_id=202104744","ICTVonline=202104744")</f>
        <v>ICTVonline=202104744</v>
      </c>
    </row>
    <row r="9632" spans="1:21" x14ac:dyDescent="0.2">
      <c r="A9632" s="3">
        <v>9631</v>
      </c>
      <c r="B9632" s="1" t="s">
        <v>5810</v>
      </c>
      <c r="D9632" s="1" t="s">
        <v>5811</v>
      </c>
      <c r="F9632" s="1" t="s">
        <v>5812</v>
      </c>
      <c r="H9632" s="1" t="s">
        <v>5818</v>
      </c>
      <c r="J9632" s="1" t="s">
        <v>5820</v>
      </c>
      <c r="L9632" s="1" t="s">
        <v>1944</v>
      </c>
      <c r="M9632" s="1" t="s">
        <v>1945</v>
      </c>
      <c r="N9632" s="1" t="s">
        <v>1946</v>
      </c>
      <c r="P9632" s="1" t="s">
        <v>482</v>
      </c>
      <c r="Q9632" s="30" t="s">
        <v>2565</v>
      </c>
      <c r="R9632" s="33" t="s">
        <v>3474</v>
      </c>
      <c r="S9632">
        <v>35</v>
      </c>
      <c r="T9632" s="1" t="s">
        <v>5815</v>
      </c>
      <c r="U9632" s="1" t="str">
        <f>HYPERLINK("http://ictvonline.org/taxonomy/p/taxonomy-history?taxnode_id=202104745","ICTVonline=202104745")</f>
        <v>ICTVonline=202104745</v>
      </c>
    </row>
    <row r="9633" spans="1:21" x14ac:dyDescent="0.2">
      <c r="A9633" s="3">
        <v>9632</v>
      </c>
      <c r="B9633" s="1" t="s">
        <v>5810</v>
      </c>
      <c r="D9633" s="1" t="s">
        <v>5811</v>
      </c>
      <c r="F9633" s="1" t="s">
        <v>5812</v>
      </c>
      <c r="H9633" s="1" t="s">
        <v>5818</v>
      </c>
      <c r="J9633" s="1" t="s">
        <v>5820</v>
      </c>
      <c r="L9633" s="1" t="s">
        <v>1944</v>
      </c>
      <c r="M9633" s="1" t="s">
        <v>1945</v>
      </c>
      <c r="N9633" s="1" t="s">
        <v>1946</v>
      </c>
      <c r="P9633" s="1" t="s">
        <v>483</v>
      </c>
      <c r="Q9633" s="30" t="s">
        <v>2565</v>
      </c>
      <c r="R9633" s="33" t="s">
        <v>3474</v>
      </c>
      <c r="S9633">
        <v>35</v>
      </c>
      <c r="T9633" s="1" t="s">
        <v>5815</v>
      </c>
      <c r="U9633" s="1" t="str">
        <f>HYPERLINK("http://ictvonline.org/taxonomy/p/taxonomy-history?taxnode_id=202104746","ICTVonline=202104746")</f>
        <v>ICTVonline=202104746</v>
      </c>
    </row>
    <row r="9634" spans="1:21" x14ac:dyDescent="0.2">
      <c r="A9634" s="3">
        <v>9633</v>
      </c>
      <c r="B9634" s="1" t="s">
        <v>5810</v>
      </c>
      <c r="D9634" s="1" t="s">
        <v>5811</v>
      </c>
      <c r="F9634" s="1" t="s">
        <v>5812</v>
      </c>
      <c r="H9634" s="1" t="s">
        <v>5818</v>
      </c>
      <c r="J9634" s="1" t="s">
        <v>5820</v>
      </c>
      <c r="L9634" s="1" t="s">
        <v>1944</v>
      </c>
      <c r="M9634" s="1" t="s">
        <v>1945</v>
      </c>
      <c r="N9634" s="1" t="s">
        <v>1946</v>
      </c>
      <c r="P9634" s="1" t="s">
        <v>484</v>
      </c>
      <c r="Q9634" s="30" t="s">
        <v>2565</v>
      </c>
      <c r="R9634" s="33" t="s">
        <v>3474</v>
      </c>
      <c r="S9634">
        <v>35</v>
      </c>
      <c r="T9634" s="1" t="s">
        <v>5815</v>
      </c>
      <c r="U9634" s="1" t="str">
        <f>HYPERLINK("http://ictvonline.org/taxonomy/p/taxonomy-history?taxnode_id=202104747","ICTVonline=202104747")</f>
        <v>ICTVonline=202104747</v>
      </c>
    </row>
    <row r="9635" spans="1:21" x14ac:dyDescent="0.2">
      <c r="A9635" s="3">
        <v>9634</v>
      </c>
      <c r="B9635" s="1" t="s">
        <v>5810</v>
      </c>
      <c r="D9635" s="1" t="s">
        <v>5811</v>
      </c>
      <c r="F9635" s="1" t="s">
        <v>5812</v>
      </c>
      <c r="H9635" s="1" t="s">
        <v>5818</v>
      </c>
      <c r="J9635" s="1" t="s">
        <v>5820</v>
      </c>
      <c r="L9635" s="1" t="s">
        <v>1944</v>
      </c>
      <c r="M9635" s="1" t="s">
        <v>1945</v>
      </c>
      <c r="N9635" s="1" t="s">
        <v>1946</v>
      </c>
      <c r="P9635" s="1" t="s">
        <v>485</v>
      </c>
      <c r="Q9635" s="30" t="s">
        <v>2565</v>
      </c>
      <c r="R9635" s="33" t="s">
        <v>3474</v>
      </c>
      <c r="S9635">
        <v>35</v>
      </c>
      <c r="T9635" s="1" t="s">
        <v>5815</v>
      </c>
      <c r="U9635" s="1" t="str">
        <f>HYPERLINK("http://ictvonline.org/taxonomy/p/taxonomy-history?taxnode_id=202104748","ICTVonline=202104748")</f>
        <v>ICTVonline=202104748</v>
      </c>
    </row>
    <row r="9636" spans="1:21" x14ac:dyDescent="0.2">
      <c r="A9636" s="3">
        <v>9635</v>
      </c>
      <c r="B9636" s="1" t="s">
        <v>5810</v>
      </c>
      <c r="D9636" s="1" t="s">
        <v>5811</v>
      </c>
      <c r="F9636" s="1" t="s">
        <v>5812</v>
      </c>
      <c r="H9636" s="1" t="s">
        <v>5818</v>
      </c>
      <c r="J9636" s="1" t="s">
        <v>5820</v>
      </c>
      <c r="L9636" s="1" t="s">
        <v>1944</v>
      </c>
      <c r="M9636" s="1" t="s">
        <v>1945</v>
      </c>
      <c r="N9636" s="1" t="s">
        <v>1946</v>
      </c>
      <c r="P9636" s="1" t="s">
        <v>486</v>
      </c>
      <c r="Q9636" s="30" t="s">
        <v>2565</v>
      </c>
      <c r="R9636" s="33" t="s">
        <v>3474</v>
      </c>
      <c r="S9636">
        <v>35</v>
      </c>
      <c r="T9636" s="1" t="s">
        <v>5815</v>
      </c>
      <c r="U9636" s="1" t="str">
        <f>HYPERLINK("http://ictvonline.org/taxonomy/p/taxonomy-history?taxnode_id=202104749","ICTVonline=202104749")</f>
        <v>ICTVonline=202104749</v>
      </c>
    </row>
    <row r="9637" spans="1:21" x14ac:dyDescent="0.2">
      <c r="A9637" s="3">
        <v>9636</v>
      </c>
      <c r="B9637" s="1" t="s">
        <v>5810</v>
      </c>
      <c r="D9637" s="1" t="s">
        <v>5811</v>
      </c>
      <c r="F9637" s="1" t="s">
        <v>5812</v>
      </c>
      <c r="H9637" s="1" t="s">
        <v>5818</v>
      </c>
      <c r="J9637" s="1" t="s">
        <v>5820</v>
      </c>
      <c r="L9637" s="1" t="s">
        <v>1944</v>
      </c>
      <c r="M9637" s="1" t="s">
        <v>1945</v>
      </c>
      <c r="N9637" s="1" t="s">
        <v>487</v>
      </c>
      <c r="P9637" s="1" t="s">
        <v>1456</v>
      </c>
      <c r="Q9637" s="30" t="s">
        <v>2565</v>
      </c>
      <c r="R9637" s="33" t="s">
        <v>3474</v>
      </c>
      <c r="S9637">
        <v>35</v>
      </c>
      <c r="T9637" s="1" t="s">
        <v>5815</v>
      </c>
      <c r="U9637" s="1" t="str">
        <f>HYPERLINK("http://ictvonline.org/taxonomy/p/taxonomy-history?taxnode_id=202104751","ICTVonline=202104751")</f>
        <v>ICTVonline=202104751</v>
      </c>
    </row>
    <row r="9638" spans="1:21" x14ac:dyDescent="0.2">
      <c r="A9638" s="3">
        <v>9637</v>
      </c>
      <c r="B9638" s="1" t="s">
        <v>5810</v>
      </c>
      <c r="D9638" s="1" t="s">
        <v>5811</v>
      </c>
      <c r="F9638" s="1" t="s">
        <v>5812</v>
      </c>
      <c r="H9638" s="1" t="s">
        <v>5818</v>
      </c>
      <c r="J9638" s="1" t="s">
        <v>5820</v>
      </c>
      <c r="L9638" s="1" t="s">
        <v>1944</v>
      </c>
      <c r="M9638" s="1" t="s">
        <v>1945</v>
      </c>
      <c r="N9638" s="1" t="s">
        <v>487</v>
      </c>
      <c r="P9638" s="1" t="s">
        <v>1457</v>
      </c>
      <c r="Q9638" s="30" t="s">
        <v>2565</v>
      </c>
      <c r="R9638" s="33" t="s">
        <v>3474</v>
      </c>
      <c r="S9638">
        <v>35</v>
      </c>
      <c r="T9638" s="1" t="s">
        <v>5815</v>
      </c>
      <c r="U9638" s="1" t="str">
        <f>HYPERLINK("http://ictvonline.org/taxonomy/p/taxonomy-history?taxnode_id=202104752","ICTVonline=202104752")</f>
        <v>ICTVonline=202104752</v>
      </c>
    </row>
    <row r="9639" spans="1:21" x14ac:dyDescent="0.2">
      <c r="A9639" s="3">
        <v>9638</v>
      </c>
      <c r="B9639" s="1" t="s">
        <v>5810</v>
      </c>
      <c r="D9639" s="1" t="s">
        <v>5811</v>
      </c>
      <c r="F9639" s="1" t="s">
        <v>5812</v>
      </c>
      <c r="H9639" s="1" t="s">
        <v>5818</v>
      </c>
      <c r="J9639" s="1" t="s">
        <v>5820</v>
      </c>
      <c r="L9639" s="1" t="s">
        <v>1944</v>
      </c>
      <c r="M9639" s="1" t="s">
        <v>1945</v>
      </c>
      <c r="N9639" s="1" t="s">
        <v>487</v>
      </c>
      <c r="P9639" s="1" t="s">
        <v>1458</v>
      </c>
      <c r="Q9639" s="30" t="s">
        <v>2565</v>
      </c>
      <c r="R9639" s="33" t="s">
        <v>8665</v>
      </c>
      <c r="S9639">
        <v>36</v>
      </c>
      <c r="T9639" s="1" t="s">
        <v>8661</v>
      </c>
      <c r="U9639" s="1" t="str">
        <f>HYPERLINK("http://ictvonline.org/taxonomy/p/taxonomy-history?taxnode_id=202104753","ICTVonline=202104753")</f>
        <v>ICTVonline=202104753</v>
      </c>
    </row>
    <row r="9640" spans="1:21" x14ac:dyDescent="0.2">
      <c r="A9640" s="3">
        <v>9639</v>
      </c>
      <c r="B9640" s="1" t="s">
        <v>5810</v>
      </c>
      <c r="D9640" s="1" t="s">
        <v>5811</v>
      </c>
      <c r="F9640" s="1" t="s">
        <v>5812</v>
      </c>
      <c r="H9640" s="1" t="s">
        <v>5818</v>
      </c>
      <c r="J9640" s="1" t="s">
        <v>5820</v>
      </c>
      <c r="L9640" s="1" t="s">
        <v>1944</v>
      </c>
      <c r="M9640" s="1" t="s">
        <v>1945</v>
      </c>
      <c r="N9640" s="1" t="s">
        <v>3381</v>
      </c>
      <c r="P9640" s="1" t="s">
        <v>5824</v>
      </c>
      <c r="Q9640" s="30" t="s">
        <v>2565</v>
      </c>
      <c r="R9640" s="33" t="s">
        <v>3472</v>
      </c>
      <c r="S9640">
        <v>35</v>
      </c>
      <c r="T9640" s="1" t="s">
        <v>5822</v>
      </c>
      <c r="U9640" s="1" t="str">
        <f>HYPERLINK("http://ictvonline.org/taxonomy/p/taxonomy-history?taxnode_id=202107143","ICTVonline=202107143")</f>
        <v>ICTVonline=202107143</v>
      </c>
    </row>
    <row r="9641" spans="1:21" x14ac:dyDescent="0.2">
      <c r="A9641" s="3">
        <v>9640</v>
      </c>
      <c r="B9641" s="1" t="s">
        <v>5810</v>
      </c>
      <c r="D9641" s="1" t="s">
        <v>5811</v>
      </c>
      <c r="F9641" s="1" t="s">
        <v>5812</v>
      </c>
      <c r="H9641" s="1" t="s">
        <v>5818</v>
      </c>
      <c r="J9641" s="1" t="s">
        <v>5820</v>
      </c>
      <c r="L9641" s="1" t="s">
        <v>1944</v>
      </c>
      <c r="M9641" s="1" t="s">
        <v>1945</v>
      </c>
      <c r="N9641" s="1" t="s">
        <v>3381</v>
      </c>
      <c r="P9641" s="1" t="s">
        <v>3382</v>
      </c>
      <c r="Q9641" s="30" t="s">
        <v>2565</v>
      </c>
      <c r="R9641" s="33" t="s">
        <v>8665</v>
      </c>
      <c r="S9641">
        <v>36</v>
      </c>
      <c r="T9641" s="1" t="s">
        <v>8661</v>
      </c>
      <c r="U9641" s="1" t="str">
        <f>HYPERLINK("http://ictvonline.org/taxonomy/p/taxonomy-history?taxnode_id=202104755","ICTVonline=202104755")</f>
        <v>ICTVonline=202104755</v>
      </c>
    </row>
    <row r="9642" spans="1:21" x14ac:dyDescent="0.2">
      <c r="A9642" s="3">
        <v>9641</v>
      </c>
      <c r="B9642" s="1" t="s">
        <v>5810</v>
      </c>
      <c r="D9642" s="1" t="s">
        <v>5811</v>
      </c>
      <c r="F9642" s="1" t="s">
        <v>5812</v>
      </c>
      <c r="H9642" s="1" t="s">
        <v>5818</v>
      </c>
      <c r="J9642" s="1" t="s">
        <v>5820</v>
      </c>
      <c r="L9642" s="1" t="s">
        <v>1944</v>
      </c>
      <c r="M9642" s="1" t="s">
        <v>1945</v>
      </c>
      <c r="N9642" s="1" t="s">
        <v>1459</v>
      </c>
      <c r="P9642" s="1" t="s">
        <v>195</v>
      </c>
      <c r="Q9642" s="30" t="s">
        <v>2565</v>
      </c>
      <c r="R9642" s="33" t="s">
        <v>8665</v>
      </c>
      <c r="S9642">
        <v>36</v>
      </c>
      <c r="T9642" s="1" t="s">
        <v>8661</v>
      </c>
      <c r="U9642" s="1" t="str">
        <f>HYPERLINK("http://ictvonline.org/taxonomy/p/taxonomy-history?taxnode_id=202104757","ICTVonline=202104757")</f>
        <v>ICTVonline=202104757</v>
      </c>
    </row>
    <row r="9643" spans="1:21" x14ac:dyDescent="0.2">
      <c r="A9643" s="3">
        <v>9642</v>
      </c>
      <c r="B9643" s="1" t="s">
        <v>5810</v>
      </c>
      <c r="D9643" s="1" t="s">
        <v>5811</v>
      </c>
      <c r="F9643" s="1" t="s">
        <v>5812</v>
      </c>
      <c r="H9643" s="1" t="s">
        <v>5818</v>
      </c>
      <c r="J9643" s="1" t="s">
        <v>5820</v>
      </c>
      <c r="L9643" s="1" t="s">
        <v>1944</v>
      </c>
      <c r="M9643" s="1" t="s">
        <v>1945</v>
      </c>
      <c r="N9643" s="1" t="s">
        <v>196</v>
      </c>
      <c r="P9643" s="1" t="s">
        <v>197</v>
      </c>
      <c r="Q9643" s="30" t="s">
        <v>2565</v>
      </c>
      <c r="R9643" s="33" t="s">
        <v>8665</v>
      </c>
      <c r="S9643">
        <v>36</v>
      </c>
      <c r="T9643" s="1" t="s">
        <v>8661</v>
      </c>
      <c r="U9643" s="1" t="str">
        <f>HYPERLINK("http://ictvonline.org/taxonomy/p/taxonomy-history?taxnode_id=202104759","ICTVonline=202104759")</f>
        <v>ICTVonline=202104759</v>
      </c>
    </row>
    <row r="9644" spans="1:21" x14ac:dyDescent="0.2">
      <c r="A9644" s="3">
        <v>9643</v>
      </c>
      <c r="B9644" s="1" t="s">
        <v>5810</v>
      </c>
      <c r="D9644" s="1" t="s">
        <v>5811</v>
      </c>
      <c r="F9644" s="1" t="s">
        <v>5812</v>
      </c>
      <c r="H9644" s="1" t="s">
        <v>5818</v>
      </c>
      <c r="J9644" s="1" t="s">
        <v>5820</v>
      </c>
      <c r="L9644" s="1" t="s">
        <v>1944</v>
      </c>
      <c r="M9644" s="1" t="s">
        <v>1945</v>
      </c>
      <c r="N9644" s="1" t="s">
        <v>474</v>
      </c>
      <c r="P9644" s="1" t="s">
        <v>475</v>
      </c>
      <c r="Q9644" s="30" t="s">
        <v>2565</v>
      </c>
      <c r="R9644" s="33" t="s">
        <v>3474</v>
      </c>
      <c r="S9644">
        <v>35</v>
      </c>
      <c r="T9644" s="1" t="s">
        <v>5815</v>
      </c>
      <c r="U9644" s="1" t="str">
        <f>HYPERLINK("http://ictvonline.org/taxonomy/p/taxonomy-history?taxnode_id=202104761","ICTVonline=202104761")</f>
        <v>ICTVonline=202104761</v>
      </c>
    </row>
    <row r="9645" spans="1:21" x14ac:dyDescent="0.2">
      <c r="A9645" s="3">
        <v>9644</v>
      </c>
      <c r="B9645" s="1" t="s">
        <v>5810</v>
      </c>
      <c r="D9645" s="1" t="s">
        <v>5811</v>
      </c>
      <c r="F9645" s="1" t="s">
        <v>5812</v>
      </c>
      <c r="H9645" s="1" t="s">
        <v>5818</v>
      </c>
      <c r="J9645" s="1" t="s">
        <v>5820</v>
      </c>
      <c r="L9645" s="1" t="s">
        <v>1944</v>
      </c>
      <c r="M9645" s="1" t="s">
        <v>1945</v>
      </c>
      <c r="N9645" s="1" t="s">
        <v>474</v>
      </c>
      <c r="P9645" s="1" t="s">
        <v>476</v>
      </c>
      <c r="Q9645" s="30" t="s">
        <v>2565</v>
      </c>
      <c r="R9645" s="33" t="s">
        <v>8665</v>
      </c>
      <c r="S9645">
        <v>36</v>
      </c>
      <c r="T9645" s="1" t="s">
        <v>8661</v>
      </c>
      <c r="U9645" s="1" t="str">
        <f>HYPERLINK("http://ictvonline.org/taxonomy/p/taxonomy-history?taxnode_id=202104762","ICTVonline=202104762")</f>
        <v>ICTVonline=202104762</v>
      </c>
    </row>
    <row r="9646" spans="1:21" x14ac:dyDescent="0.2">
      <c r="A9646" s="3">
        <v>9645</v>
      </c>
      <c r="B9646" s="1" t="s">
        <v>5810</v>
      </c>
      <c r="D9646" s="1" t="s">
        <v>5811</v>
      </c>
      <c r="F9646" s="1" t="s">
        <v>5812</v>
      </c>
      <c r="H9646" s="1" t="s">
        <v>5818</v>
      </c>
      <c r="J9646" s="1" t="s">
        <v>5820</v>
      </c>
      <c r="L9646" s="1" t="s">
        <v>1944</v>
      </c>
      <c r="M9646" s="1" t="s">
        <v>1945</v>
      </c>
      <c r="N9646" s="1" t="s">
        <v>474</v>
      </c>
      <c r="P9646" s="1" t="s">
        <v>470</v>
      </c>
      <c r="Q9646" s="30" t="s">
        <v>2565</v>
      </c>
      <c r="R9646" s="33" t="s">
        <v>3474</v>
      </c>
      <c r="S9646">
        <v>35</v>
      </c>
      <c r="T9646" s="1" t="s">
        <v>5815</v>
      </c>
      <c r="U9646" s="1" t="str">
        <f>HYPERLINK("http://ictvonline.org/taxonomy/p/taxonomy-history?taxnode_id=202104763","ICTVonline=202104763")</f>
        <v>ICTVonline=202104763</v>
      </c>
    </row>
    <row r="9647" spans="1:21" x14ac:dyDescent="0.2">
      <c r="A9647" s="3">
        <v>9646</v>
      </c>
      <c r="B9647" s="1" t="s">
        <v>5810</v>
      </c>
      <c r="D9647" s="1" t="s">
        <v>5811</v>
      </c>
      <c r="F9647" s="1" t="s">
        <v>5812</v>
      </c>
      <c r="H9647" s="1" t="s">
        <v>5818</v>
      </c>
      <c r="J9647" s="1" t="s">
        <v>5820</v>
      </c>
      <c r="L9647" s="1" t="s">
        <v>1944</v>
      </c>
      <c r="M9647" s="1" t="s">
        <v>1945</v>
      </c>
      <c r="N9647" s="1" t="s">
        <v>474</v>
      </c>
      <c r="P9647" s="1" t="s">
        <v>471</v>
      </c>
      <c r="Q9647" s="30" t="s">
        <v>2565</v>
      </c>
      <c r="R9647" s="33" t="s">
        <v>3474</v>
      </c>
      <c r="S9647">
        <v>35</v>
      </c>
      <c r="T9647" s="1" t="s">
        <v>5815</v>
      </c>
      <c r="U9647" s="1" t="str">
        <f>HYPERLINK("http://ictvonline.org/taxonomy/p/taxonomy-history?taxnode_id=202104764","ICTVonline=202104764")</f>
        <v>ICTVonline=202104764</v>
      </c>
    </row>
    <row r="9648" spans="1:21" x14ac:dyDescent="0.2">
      <c r="A9648" s="3">
        <v>9647</v>
      </c>
      <c r="B9648" s="1" t="s">
        <v>5810</v>
      </c>
      <c r="D9648" s="1" t="s">
        <v>5811</v>
      </c>
      <c r="F9648" s="1" t="s">
        <v>5812</v>
      </c>
      <c r="H9648" s="1" t="s">
        <v>5818</v>
      </c>
      <c r="J9648" s="1" t="s">
        <v>5820</v>
      </c>
      <c r="L9648" s="1" t="s">
        <v>1944</v>
      </c>
      <c r="M9648" s="1" t="s">
        <v>1945</v>
      </c>
      <c r="N9648" s="1" t="s">
        <v>5825</v>
      </c>
      <c r="P9648" s="1" t="s">
        <v>5826</v>
      </c>
      <c r="Q9648" s="30" t="s">
        <v>2565</v>
      </c>
      <c r="R9648" s="33" t="s">
        <v>8665</v>
      </c>
      <c r="S9648">
        <v>36</v>
      </c>
      <c r="T9648" s="1" t="s">
        <v>8661</v>
      </c>
      <c r="U9648" s="1" t="str">
        <f>HYPERLINK("http://ictvonline.org/taxonomy/p/taxonomy-history?taxnode_id=202107145","ICTVonline=202107145")</f>
        <v>ICTVonline=202107145</v>
      </c>
    </row>
    <row r="9649" spans="1:21" x14ac:dyDescent="0.2">
      <c r="A9649" s="3">
        <v>9648</v>
      </c>
      <c r="B9649" s="1" t="s">
        <v>5810</v>
      </c>
      <c r="D9649" s="1" t="s">
        <v>5811</v>
      </c>
      <c r="F9649" s="1" t="s">
        <v>5812</v>
      </c>
      <c r="H9649" s="1" t="s">
        <v>5818</v>
      </c>
      <c r="J9649" s="1" t="s">
        <v>5820</v>
      </c>
      <c r="L9649" s="1" t="s">
        <v>1944</v>
      </c>
      <c r="M9649" s="1" t="s">
        <v>1945</v>
      </c>
      <c r="N9649" s="1" t="s">
        <v>5825</v>
      </c>
      <c r="P9649" s="1" t="s">
        <v>5827</v>
      </c>
      <c r="Q9649" s="30" t="s">
        <v>2565</v>
      </c>
      <c r="R9649" s="33" t="s">
        <v>3472</v>
      </c>
      <c r="S9649">
        <v>35</v>
      </c>
      <c r="T9649" s="1" t="s">
        <v>5822</v>
      </c>
      <c r="U9649" s="1" t="str">
        <f>HYPERLINK("http://ictvonline.org/taxonomy/p/taxonomy-history?taxnode_id=202107146","ICTVonline=202107146")</f>
        <v>ICTVonline=202107146</v>
      </c>
    </row>
    <row r="9650" spans="1:21" x14ac:dyDescent="0.2">
      <c r="A9650" s="3">
        <v>9649</v>
      </c>
      <c r="B9650" s="1" t="s">
        <v>5810</v>
      </c>
      <c r="D9650" s="1" t="s">
        <v>5811</v>
      </c>
      <c r="F9650" s="1" t="s">
        <v>5812</v>
      </c>
      <c r="H9650" s="1" t="s">
        <v>5818</v>
      </c>
      <c r="J9650" s="1" t="s">
        <v>5820</v>
      </c>
      <c r="L9650" s="1" t="s">
        <v>1944</v>
      </c>
      <c r="M9650" s="1" t="s">
        <v>1945</v>
      </c>
      <c r="N9650" s="1" t="s">
        <v>472</v>
      </c>
      <c r="P9650" s="1" t="s">
        <v>1797</v>
      </c>
      <c r="Q9650" s="30" t="s">
        <v>2565</v>
      </c>
      <c r="R9650" s="33" t="s">
        <v>8665</v>
      </c>
      <c r="S9650">
        <v>36</v>
      </c>
      <c r="T9650" s="1" t="s">
        <v>8661</v>
      </c>
      <c r="U9650" s="1" t="str">
        <f>HYPERLINK("http://ictvonline.org/taxonomy/p/taxonomy-history?taxnode_id=202104766","ICTVonline=202104766")</f>
        <v>ICTVonline=202104766</v>
      </c>
    </row>
    <row r="9651" spans="1:21" x14ac:dyDescent="0.2">
      <c r="A9651" s="3">
        <v>9650</v>
      </c>
      <c r="B9651" s="1" t="s">
        <v>5810</v>
      </c>
      <c r="D9651" s="1" t="s">
        <v>5811</v>
      </c>
      <c r="F9651" s="1" t="s">
        <v>5812</v>
      </c>
      <c r="H9651" s="1" t="s">
        <v>5818</v>
      </c>
      <c r="J9651" s="1" t="s">
        <v>5820</v>
      </c>
      <c r="L9651" s="1" t="s">
        <v>1944</v>
      </c>
      <c r="M9651" s="1" t="s">
        <v>1945</v>
      </c>
      <c r="N9651" s="1" t="s">
        <v>5828</v>
      </c>
      <c r="P9651" s="1" t="s">
        <v>5829</v>
      </c>
      <c r="Q9651" s="30" t="s">
        <v>2565</v>
      </c>
      <c r="R9651" s="33" t="s">
        <v>8665</v>
      </c>
      <c r="S9651">
        <v>36</v>
      </c>
      <c r="T9651" s="1" t="s">
        <v>8661</v>
      </c>
      <c r="U9651" s="1" t="str">
        <f>HYPERLINK("http://ictvonline.org/taxonomy/p/taxonomy-history?taxnode_id=202107148","ICTVonline=202107148")</f>
        <v>ICTVonline=202107148</v>
      </c>
    </row>
    <row r="9652" spans="1:21" x14ac:dyDescent="0.2">
      <c r="A9652" s="3">
        <v>9651</v>
      </c>
      <c r="B9652" s="1" t="s">
        <v>5810</v>
      </c>
      <c r="D9652" s="1" t="s">
        <v>5811</v>
      </c>
      <c r="F9652" s="1" t="s">
        <v>5812</v>
      </c>
      <c r="H9652" s="1" t="s">
        <v>5818</v>
      </c>
      <c r="J9652" s="1" t="s">
        <v>5820</v>
      </c>
      <c r="L9652" s="1" t="s">
        <v>1944</v>
      </c>
      <c r="M9652" s="1" t="s">
        <v>1945</v>
      </c>
      <c r="N9652" s="1" t="s">
        <v>1123</v>
      </c>
      <c r="P9652" s="1" t="s">
        <v>5830</v>
      </c>
      <c r="Q9652" s="30" t="s">
        <v>2565</v>
      </c>
      <c r="R9652" s="33" t="s">
        <v>3472</v>
      </c>
      <c r="S9652">
        <v>35</v>
      </c>
      <c r="T9652" s="1" t="s">
        <v>5822</v>
      </c>
      <c r="U9652" s="1" t="str">
        <f>HYPERLINK("http://ictvonline.org/taxonomy/p/taxonomy-history?taxnode_id=202107149","ICTVonline=202107149")</f>
        <v>ICTVonline=202107149</v>
      </c>
    </row>
    <row r="9653" spans="1:21" x14ac:dyDescent="0.2">
      <c r="A9653" s="3">
        <v>9652</v>
      </c>
      <c r="B9653" s="1" t="s">
        <v>5810</v>
      </c>
      <c r="D9653" s="1" t="s">
        <v>5811</v>
      </c>
      <c r="F9653" s="1" t="s">
        <v>5812</v>
      </c>
      <c r="H9653" s="1" t="s">
        <v>5818</v>
      </c>
      <c r="J9653" s="1" t="s">
        <v>5820</v>
      </c>
      <c r="L9653" s="1" t="s">
        <v>1944</v>
      </c>
      <c r="M9653" s="1" t="s">
        <v>1945</v>
      </c>
      <c r="N9653" s="1" t="s">
        <v>1123</v>
      </c>
      <c r="P9653" s="1" t="s">
        <v>5831</v>
      </c>
      <c r="Q9653" s="30" t="s">
        <v>2565</v>
      </c>
      <c r="R9653" s="33" t="s">
        <v>3472</v>
      </c>
      <c r="S9653">
        <v>35</v>
      </c>
      <c r="T9653" s="1" t="s">
        <v>5822</v>
      </c>
      <c r="U9653" s="1" t="str">
        <f>HYPERLINK("http://ictvonline.org/taxonomy/p/taxonomy-history?taxnode_id=202107150","ICTVonline=202107150")</f>
        <v>ICTVonline=202107150</v>
      </c>
    </row>
    <row r="9654" spans="1:21" x14ac:dyDescent="0.2">
      <c r="A9654" s="3">
        <v>9653</v>
      </c>
      <c r="B9654" s="1" t="s">
        <v>5810</v>
      </c>
      <c r="D9654" s="1" t="s">
        <v>5811</v>
      </c>
      <c r="F9654" s="1" t="s">
        <v>5812</v>
      </c>
      <c r="H9654" s="1" t="s">
        <v>5818</v>
      </c>
      <c r="J9654" s="1" t="s">
        <v>5820</v>
      </c>
      <c r="L9654" s="1" t="s">
        <v>1944</v>
      </c>
      <c r="M9654" s="1" t="s">
        <v>1945</v>
      </c>
      <c r="N9654" s="1" t="s">
        <v>1123</v>
      </c>
      <c r="P9654" s="1" t="s">
        <v>1124</v>
      </c>
      <c r="Q9654" s="30" t="s">
        <v>2565</v>
      </c>
      <c r="R9654" s="33" t="s">
        <v>3474</v>
      </c>
      <c r="S9654">
        <v>35</v>
      </c>
      <c r="T9654" s="1" t="s">
        <v>5815</v>
      </c>
      <c r="U9654" s="1" t="str">
        <f>HYPERLINK("http://ictvonline.org/taxonomy/p/taxonomy-history?taxnode_id=202104768","ICTVonline=202104768")</f>
        <v>ICTVonline=202104768</v>
      </c>
    </row>
    <row r="9655" spans="1:21" x14ac:dyDescent="0.2">
      <c r="A9655" s="3">
        <v>9654</v>
      </c>
      <c r="B9655" s="1" t="s">
        <v>5810</v>
      </c>
      <c r="D9655" s="1" t="s">
        <v>5811</v>
      </c>
      <c r="F9655" s="1" t="s">
        <v>5812</v>
      </c>
      <c r="H9655" s="1" t="s">
        <v>5818</v>
      </c>
      <c r="J9655" s="1" t="s">
        <v>5820</v>
      </c>
      <c r="L9655" s="1" t="s">
        <v>1944</v>
      </c>
      <c r="M9655" s="1" t="s">
        <v>1945</v>
      </c>
      <c r="N9655" s="1" t="s">
        <v>1123</v>
      </c>
      <c r="P9655" s="1" t="s">
        <v>1125</v>
      </c>
      <c r="Q9655" s="30" t="s">
        <v>2565</v>
      </c>
      <c r="R9655" s="33" t="s">
        <v>3474</v>
      </c>
      <c r="S9655">
        <v>35</v>
      </c>
      <c r="T9655" s="1" t="s">
        <v>5815</v>
      </c>
      <c r="U9655" s="1" t="str">
        <f>HYPERLINK("http://ictvonline.org/taxonomy/p/taxonomy-history?taxnode_id=202104769","ICTVonline=202104769")</f>
        <v>ICTVonline=202104769</v>
      </c>
    </row>
    <row r="9656" spans="1:21" x14ac:dyDescent="0.2">
      <c r="A9656" s="3">
        <v>9655</v>
      </c>
      <c r="B9656" s="1" t="s">
        <v>5810</v>
      </c>
      <c r="D9656" s="1" t="s">
        <v>5811</v>
      </c>
      <c r="F9656" s="1" t="s">
        <v>5812</v>
      </c>
      <c r="H9656" s="1" t="s">
        <v>5818</v>
      </c>
      <c r="J9656" s="1" t="s">
        <v>5820</v>
      </c>
      <c r="L9656" s="1" t="s">
        <v>1944</v>
      </c>
      <c r="M9656" s="1" t="s">
        <v>1945</v>
      </c>
      <c r="N9656" s="1" t="s">
        <v>1123</v>
      </c>
      <c r="P9656" s="1" t="s">
        <v>1126</v>
      </c>
      <c r="Q9656" s="30" t="s">
        <v>2565</v>
      </c>
      <c r="R9656" s="33" t="s">
        <v>3474</v>
      </c>
      <c r="S9656">
        <v>35</v>
      </c>
      <c r="T9656" s="1" t="s">
        <v>5815</v>
      </c>
      <c r="U9656" s="1" t="str">
        <f>HYPERLINK("http://ictvonline.org/taxonomy/p/taxonomy-history?taxnode_id=202104770","ICTVonline=202104770")</f>
        <v>ICTVonline=202104770</v>
      </c>
    </row>
    <row r="9657" spans="1:21" x14ac:dyDescent="0.2">
      <c r="A9657" s="3">
        <v>9656</v>
      </c>
      <c r="B9657" s="1" t="s">
        <v>5810</v>
      </c>
      <c r="D9657" s="1" t="s">
        <v>5811</v>
      </c>
      <c r="F9657" s="1" t="s">
        <v>5812</v>
      </c>
      <c r="H9657" s="1" t="s">
        <v>5818</v>
      </c>
      <c r="J9657" s="1" t="s">
        <v>5820</v>
      </c>
      <c r="L9657" s="1" t="s">
        <v>1944</v>
      </c>
      <c r="M9657" s="1" t="s">
        <v>1945</v>
      </c>
      <c r="N9657" s="1" t="s">
        <v>1123</v>
      </c>
      <c r="P9657" s="1" t="s">
        <v>1127</v>
      </c>
      <c r="Q9657" s="30" t="s">
        <v>2565</v>
      </c>
      <c r="R9657" s="33" t="s">
        <v>3474</v>
      </c>
      <c r="S9657">
        <v>35</v>
      </c>
      <c r="T9657" s="1" t="s">
        <v>5815</v>
      </c>
      <c r="U9657" s="1" t="str">
        <f>HYPERLINK("http://ictvonline.org/taxonomy/p/taxonomy-history?taxnode_id=202104771","ICTVonline=202104771")</f>
        <v>ICTVonline=202104771</v>
      </c>
    </row>
    <row r="9658" spans="1:21" x14ac:dyDescent="0.2">
      <c r="A9658" s="3">
        <v>9657</v>
      </c>
      <c r="B9658" s="1" t="s">
        <v>5810</v>
      </c>
      <c r="D9658" s="1" t="s">
        <v>5811</v>
      </c>
      <c r="F9658" s="1" t="s">
        <v>5812</v>
      </c>
      <c r="H9658" s="1" t="s">
        <v>5818</v>
      </c>
      <c r="J9658" s="1" t="s">
        <v>5820</v>
      </c>
      <c r="L9658" s="1" t="s">
        <v>1944</v>
      </c>
      <c r="M9658" s="1" t="s">
        <v>1945</v>
      </c>
      <c r="N9658" s="1" t="s">
        <v>1123</v>
      </c>
      <c r="P9658" s="1" t="s">
        <v>1128</v>
      </c>
      <c r="Q9658" s="30" t="s">
        <v>2565</v>
      </c>
      <c r="R9658" s="33" t="s">
        <v>3474</v>
      </c>
      <c r="S9658">
        <v>35</v>
      </c>
      <c r="T9658" s="1" t="s">
        <v>5815</v>
      </c>
      <c r="U9658" s="1" t="str">
        <f>HYPERLINK("http://ictvonline.org/taxonomy/p/taxonomy-history?taxnode_id=202104772","ICTVonline=202104772")</f>
        <v>ICTVonline=202104772</v>
      </c>
    </row>
    <row r="9659" spans="1:21" x14ac:dyDescent="0.2">
      <c r="A9659" s="3">
        <v>9658</v>
      </c>
      <c r="B9659" s="1" t="s">
        <v>5810</v>
      </c>
      <c r="D9659" s="1" t="s">
        <v>5811</v>
      </c>
      <c r="F9659" s="1" t="s">
        <v>5812</v>
      </c>
      <c r="H9659" s="1" t="s">
        <v>5818</v>
      </c>
      <c r="J9659" s="1" t="s">
        <v>5820</v>
      </c>
      <c r="L9659" s="1" t="s">
        <v>1944</v>
      </c>
      <c r="M9659" s="1" t="s">
        <v>1945</v>
      </c>
      <c r="N9659" s="1" t="s">
        <v>1123</v>
      </c>
      <c r="P9659" s="1" t="s">
        <v>198</v>
      </c>
      <c r="Q9659" s="30" t="s">
        <v>2565</v>
      </c>
      <c r="R9659" s="33" t="s">
        <v>3474</v>
      </c>
      <c r="S9659">
        <v>35</v>
      </c>
      <c r="T9659" s="1" t="s">
        <v>5815</v>
      </c>
      <c r="U9659" s="1" t="str">
        <f>HYPERLINK("http://ictvonline.org/taxonomy/p/taxonomy-history?taxnode_id=202104773","ICTVonline=202104773")</f>
        <v>ICTVonline=202104773</v>
      </c>
    </row>
    <row r="9660" spans="1:21" x14ac:dyDescent="0.2">
      <c r="A9660" s="3">
        <v>9659</v>
      </c>
      <c r="B9660" s="1" t="s">
        <v>5810</v>
      </c>
      <c r="D9660" s="1" t="s">
        <v>5811</v>
      </c>
      <c r="F9660" s="1" t="s">
        <v>5812</v>
      </c>
      <c r="H9660" s="1" t="s">
        <v>5818</v>
      </c>
      <c r="J9660" s="1" t="s">
        <v>5820</v>
      </c>
      <c r="L9660" s="1" t="s">
        <v>1944</v>
      </c>
      <c r="M9660" s="1" t="s">
        <v>1945</v>
      </c>
      <c r="N9660" s="1" t="s">
        <v>1123</v>
      </c>
      <c r="P9660" s="1" t="s">
        <v>1129</v>
      </c>
      <c r="Q9660" s="30" t="s">
        <v>2565</v>
      </c>
      <c r="R9660" s="33" t="s">
        <v>3474</v>
      </c>
      <c r="S9660">
        <v>35</v>
      </c>
      <c r="T9660" s="1" t="s">
        <v>5815</v>
      </c>
      <c r="U9660" s="1" t="str">
        <f>HYPERLINK("http://ictvonline.org/taxonomy/p/taxonomy-history?taxnode_id=202104774","ICTVonline=202104774")</f>
        <v>ICTVonline=202104774</v>
      </c>
    </row>
    <row r="9661" spans="1:21" x14ac:dyDescent="0.2">
      <c r="A9661" s="3">
        <v>9660</v>
      </c>
      <c r="B9661" s="1" t="s">
        <v>5810</v>
      </c>
      <c r="D9661" s="1" t="s">
        <v>5811</v>
      </c>
      <c r="F9661" s="1" t="s">
        <v>5812</v>
      </c>
      <c r="H9661" s="1" t="s">
        <v>5818</v>
      </c>
      <c r="J9661" s="1" t="s">
        <v>5820</v>
      </c>
      <c r="L9661" s="1" t="s">
        <v>1944</v>
      </c>
      <c r="M9661" s="1" t="s">
        <v>1945</v>
      </c>
      <c r="N9661" s="1" t="s">
        <v>1123</v>
      </c>
      <c r="P9661" s="1" t="s">
        <v>1130</v>
      </c>
      <c r="Q9661" s="30" t="s">
        <v>2565</v>
      </c>
      <c r="R9661" s="33" t="s">
        <v>8665</v>
      </c>
      <c r="S9661">
        <v>36</v>
      </c>
      <c r="T9661" s="1" t="s">
        <v>8661</v>
      </c>
      <c r="U9661" s="1" t="str">
        <f>HYPERLINK("http://ictvonline.org/taxonomy/p/taxonomy-history?taxnode_id=202104775","ICTVonline=202104775")</f>
        <v>ICTVonline=202104775</v>
      </c>
    </row>
    <row r="9662" spans="1:21" x14ac:dyDescent="0.2">
      <c r="A9662" s="3">
        <v>9661</v>
      </c>
      <c r="B9662" s="1" t="s">
        <v>5810</v>
      </c>
      <c r="D9662" s="1" t="s">
        <v>5811</v>
      </c>
      <c r="F9662" s="1" t="s">
        <v>5812</v>
      </c>
      <c r="H9662" s="1" t="s">
        <v>5818</v>
      </c>
      <c r="J9662" s="1" t="s">
        <v>5820</v>
      </c>
      <c r="L9662" s="1" t="s">
        <v>1944</v>
      </c>
      <c r="M9662" s="1" t="s">
        <v>1945</v>
      </c>
      <c r="N9662" s="1" t="s">
        <v>1123</v>
      </c>
      <c r="P9662" s="1" t="s">
        <v>1131</v>
      </c>
      <c r="Q9662" s="30" t="s">
        <v>2565</v>
      </c>
      <c r="R9662" s="33" t="s">
        <v>3474</v>
      </c>
      <c r="S9662">
        <v>35</v>
      </c>
      <c r="T9662" s="1" t="s">
        <v>5815</v>
      </c>
      <c r="U9662" s="1" t="str">
        <f>HYPERLINK("http://ictvonline.org/taxonomy/p/taxonomy-history?taxnode_id=202104776","ICTVonline=202104776")</f>
        <v>ICTVonline=202104776</v>
      </c>
    </row>
    <row r="9663" spans="1:21" x14ac:dyDescent="0.2">
      <c r="A9663" s="3">
        <v>9662</v>
      </c>
      <c r="B9663" s="1" t="s">
        <v>5810</v>
      </c>
      <c r="D9663" s="1" t="s">
        <v>5811</v>
      </c>
      <c r="F9663" s="1" t="s">
        <v>5812</v>
      </c>
      <c r="H9663" s="1" t="s">
        <v>5818</v>
      </c>
      <c r="J9663" s="1" t="s">
        <v>5820</v>
      </c>
      <c r="L9663" s="1" t="s">
        <v>1944</v>
      </c>
      <c r="M9663" s="1" t="s">
        <v>1945</v>
      </c>
      <c r="N9663" s="1" t="s">
        <v>1123</v>
      </c>
      <c r="P9663" s="1" t="s">
        <v>1132</v>
      </c>
      <c r="Q9663" s="30" t="s">
        <v>2565</v>
      </c>
      <c r="R9663" s="33" t="s">
        <v>3474</v>
      </c>
      <c r="S9663">
        <v>35</v>
      </c>
      <c r="T9663" s="1" t="s">
        <v>5815</v>
      </c>
      <c r="U9663" s="1" t="str">
        <f>HYPERLINK("http://ictvonline.org/taxonomy/p/taxonomy-history?taxnode_id=202104777","ICTVonline=202104777")</f>
        <v>ICTVonline=202104777</v>
      </c>
    </row>
    <row r="9664" spans="1:21" x14ac:dyDescent="0.2">
      <c r="A9664" s="3">
        <v>9663</v>
      </c>
      <c r="B9664" s="1" t="s">
        <v>5810</v>
      </c>
      <c r="D9664" s="1" t="s">
        <v>5811</v>
      </c>
      <c r="F9664" s="1" t="s">
        <v>5812</v>
      </c>
      <c r="H9664" s="1" t="s">
        <v>5818</v>
      </c>
      <c r="J9664" s="1" t="s">
        <v>5820</v>
      </c>
      <c r="L9664" s="1" t="s">
        <v>1944</v>
      </c>
      <c r="M9664" s="1" t="s">
        <v>1945</v>
      </c>
      <c r="N9664" s="1" t="s">
        <v>5832</v>
      </c>
      <c r="P9664" s="1" t="s">
        <v>5833</v>
      </c>
      <c r="Q9664" s="30" t="s">
        <v>2565</v>
      </c>
      <c r="R9664" s="33" t="s">
        <v>8665</v>
      </c>
      <c r="S9664">
        <v>36</v>
      </c>
      <c r="T9664" s="1" t="s">
        <v>8661</v>
      </c>
      <c r="U9664" s="1" t="str">
        <f>HYPERLINK("http://ictvonline.org/taxonomy/p/taxonomy-history?taxnode_id=202107152","ICTVonline=202107152")</f>
        <v>ICTVonline=202107152</v>
      </c>
    </row>
    <row r="9665" spans="1:21" x14ac:dyDescent="0.2">
      <c r="A9665" s="3">
        <v>9664</v>
      </c>
      <c r="B9665" s="1" t="s">
        <v>5810</v>
      </c>
      <c r="D9665" s="1" t="s">
        <v>5811</v>
      </c>
      <c r="F9665" s="1" t="s">
        <v>5812</v>
      </c>
      <c r="H9665" s="1" t="s">
        <v>5818</v>
      </c>
      <c r="J9665" s="1" t="s">
        <v>5820</v>
      </c>
      <c r="L9665" s="1" t="s">
        <v>1944</v>
      </c>
      <c r="M9665" s="1" t="s">
        <v>1945</v>
      </c>
      <c r="N9665" s="1" t="s">
        <v>1133</v>
      </c>
      <c r="P9665" s="1" t="s">
        <v>1134</v>
      </c>
      <c r="Q9665" s="30" t="s">
        <v>2565</v>
      </c>
      <c r="R9665" s="33" t="s">
        <v>3474</v>
      </c>
      <c r="S9665">
        <v>35</v>
      </c>
      <c r="T9665" s="1" t="s">
        <v>5815</v>
      </c>
      <c r="U9665" s="1" t="str">
        <f>HYPERLINK("http://ictvonline.org/taxonomy/p/taxonomy-history?taxnode_id=202104779","ICTVonline=202104779")</f>
        <v>ICTVonline=202104779</v>
      </c>
    </row>
    <row r="9666" spans="1:21" x14ac:dyDescent="0.2">
      <c r="A9666" s="3">
        <v>9665</v>
      </c>
      <c r="B9666" s="1" t="s">
        <v>5810</v>
      </c>
      <c r="D9666" s="1" t="s">
        <v>5811</v>
      </c>
      <c r="F9666" s="1" t="s">
        <v>5812</v>
      </c>
      <c r="H9666" s="1" t="s">
        <v>5818</v>
      </c>
      <c r="J9666" s="1" t="s">
        <v>5820</v>
      </c>
      <c r="L9666" s="1" t="s">
        <v>1944</v>
      </c>
      <c r="M9666" s="1" t="s">
        <v>1945</v>
      </c>
      <c r="N9666" s="1" t="s">
        <v>1133</v>
      </c>
      <c r="P9666" s="1" t="s">
        <v>5834</v>
      </c>
      <c r="Q9666" s="30" t="s">
        <v>2565</v>
      </c>
      <c r="R9666" s="33" t="s">
        <v>3472</v>
      </c>
      <c r="S9666">
        <v>35</v>
      </c>
      <c r="T9666" s="1" t="s">
        <v>5822</v>
      </c>
      <c r="U9666" s="1" t="str">
        <f>HYPERLINK("http://ictvonline.org/taxonomy/p/taxonomy-history?taxnode_id=202107153","ICTVonline=202107153")</f>
        <v>ICTVonline=202107153</v>
      </c>
    </row>
    <row r="9667" spans="1:21" x14ac:dyDescent="0.2">
      <c r="A9667" s="3">
        <v>9666</v>
      </c>
      <c r="B9667" s="1" t="s">
        <v>5810</v>
      </c>
      <c r="D9667" s="1" t="s">
        <v>5811</v>
      </c>
      <c r="F9667" s="1" t="s">
        <v>5812</v>
      </c>
      <c r="H9667" s="1" t="s">
        <v>5818</v>
      </c>
      <c r="J9667" s="1" t="s">
        <v>5820</v>
      </c>
      <c r="L9667" s="1" t="s">
        <v>1944</v>
      </c>
      <c r="M9667" s="1" t="s">
        <v>1945</v>
      </c>
      <c r="N9667" s="1" t="s">
        <v>1133</v>
      </c>
      <c r="P9667" s="1" t="s">
        <v>1135</v>
      </c>
      <c r="Q9667" s="30" t="s">
        <v>2565</v>
      </c>
      <c r="R9667" s="33" t="s">
        <v>8665</v>
      </c>
      <c r="S9667">
        <v>36</v>
      </c>
      <c r="T9667" s="1" t="s">
        <v>8661</v>
      </c>
      <c r="U9667" s="1" t="str">
        <f>HYPERLINK("http://ictvonline.org/taxonomy/p/taxonomy-history?taxnode_id=202104780","ICTVonline=202104780")</f>
        <v>ICTVonline=202104780</v>
      </c>
    </row>
    <row r="9668" spans="1:21" x14ac:dyDescent="0.2">
      <c r="A9668" s="3">
        <v>9667</v>
      </c>
      <c r="B9668" s="1" t="s">
        <v>5810</v>
      </c>
      <c r="D9668" s="1" t="s">
        <v>5811</v>
      </c>
      <c r="F9668" s="1" t="s">
        <v>5812</v>
      </c>
      <c r="H9668" s="1" t="s">
        <v>5818</v>
      </c>
      <c r="J9668" s="1" t="s">
        <v>5820</v>
      </c>
      <c r="L9668" s="1" t="s">
        <v>1944</v>
      </c>
      <c r="M9668" s="1" t="s">
        <v>1945</v>
      </c>
      <c r="N9668" s="1" t="s">
        <v>1133</v>
      </c>
      <c r="P9668" s="1" t="s">
        <v>1136</v>
      </c>
      <c r="Q9668" s="30" t="s">
        <v>2565</v>
      </c>
      <c r="R9668" s="33" t="s">
        <v>3474</v>
      </c>
      <c r="S9668">
        <v>35</v>
      </c>
      <c r="T9668" s="1" t="s">
        <v>5815</v>
      </c>
      <c r="U9668" s="1" t="str">
        <f>HYPERLINK("http://ictvonline.org/taxonomy/p/taxonomy-history?taxnode_id=202104782","ICTVonline=202104782")</f>
        <v>ICTVonline=202104782</v>
      </c>
    </row>
    <row r="9669" spans="1:21" x14ac:dyDescent="0.2">
      <c r="A9669" s="3">
        <v>9668</v>
      </c>
      <c r="B9669" s="1" t="s">
        <v>5810</v>
      </c>
      <c r="D9669" s="1" t="s">
        <v>5811</v>
      </c>
      <c r="F9669" s="1" t="s">
        <v>5812</v>
      </c>
      <c r="H9669" s="1" t="s">
        <v>5818</v>
      </c>
      <c r="J9669" s="1" t="s">
        <v>5820</v>
      </c>
      <c r="L9669" s="1" t="s">
        <v>1944</v>
      </c>
      <c r="M9669" s="1" t="s">
        <v>1945</v>
      </c>
      <c r="N9669" s="1" t="s">
        <v>1133</v>
      </c>
      <c r="P9669" s="1" t="s">
        <v>5835</v>
      </c>
      <c r="Q9669" s="30" t="s">
        <v>2565</v>
      </c>
      <c r="R9669" s="33" t="s">
        <v>3473</v>
      </c>
      <c r="S9669">
        <v>35</v>
      </c>
      <c r="T9669" s="1" t="s">
        <v>5822</v>
      </c>
      <c r="U9669" s="1" t="str">
        <f>HYPERLINK("http://ictvonline.org/taxonomy/p/taxonomy-history?taxnode_id=202104781","ICTVonline=202104781")</f>
        <v>ICTVonline=202104781</v>
      </c>
    </row>
    <row r="9670" spans="1:21" x14ac:dyDescent="0.2">
      <c r="A9670" s="3">
        <v>9669</v>
      </c>
      <c r="B9670" s="1" t="s">
        <v>5810</v>
      </c>
      <c r="D9670" s="1" t="s">
        <v>5811</v>
      </c>
      <c r="F9670" s="1" t="s">
        <v>5812</v>
      </c>
      <c r="H9670" s="1" t="s">
        <v>5818</v>
      </c>
      <c r="J9670" s="1" t="s">
        <v>5820</v>
      </c>
      <c r="L9670" s="1" t="s">
        <v>1944</v>
      </c>
      <c r="M9670" s="1" t="s">
        <v>1945</v>
      </c>
      <c r="N9670" s="1" t="s">
        <v>5836</v>
      </c>
      <c r="P9670" s="1" t="s">
        <v>3383</v>
      </c>
      <c r="Q9670" s="30" t="s">
        <v>2565</v>
      </c>
      <c r="R9670" s="33" t="s">
        <v>8665</v>
      </c>
      <c r="S9670">
        <v>36</v>
      </c>
      <c r="T9670" s="1" t="s">
        <v>8661</v>
      </c>
      <c r="U9670" s="1" t="str">
        <f>HYPERLINK("http://ictvonline.org/taxonomy/p/taxonomy-history?taxnode_id=202104786","ICTVonline=202104786")</f>
        <v>ICTVonline=202104786</v>
      </c>
    </row>
    <row r="9671" spans="1:21" x14ac:dyDescent="0.2">
      <c r="A9671" s="3">
        <v>9670</v>
      </c>
      <c r="B9671" s="1" t="s">
        <v>5810</v>
      </c>
      <c r="D9671" s="1" t="s">
        <v>5811</v>
      </c>
      <c r="F9671" s="1" t="s">
        <v>5812</v>
      </c>
      <c r="H9671" s="1" t="s">
        <v>5818</v>
      </c>
      <c r="J9671" s="1" t="s">
        <v>5820</v>
      </c>
      <c r="L9671" s="1" t="s">
        <v>1944</v>
      </c>
      <c r="M9671" s="1" t="s">
        <v>1945</v>
      </c>
      <c r="N9671" s="1" t="s">
        <v>5837</v>
      </c>
      <c r="P9671" s="1" t="s">
        <v>5838</v>
      </c>
      <c r="Q9671" s="30" t="s">
        <v>2565</v>
      </c>
      <c r="R9671" s="33" t="s">
        <v>8665</v>
      </c>
      <c r="S9671">
        <v>36</v>
      </c>
      <c r="T9671" s="1" t="s">
        <v>8661</v>
      </c>
      <c r="U9671" s="1" t="str">
        <f>HYPERLINK("http://ictvonline.org/taxonomy/p/taxonomy-history?taxnode_id=202107156","ICTVonline=202107156")</f>
        <v>ICTVonline=202107156</v>
      </c>
    </row>
    <row r="9672" spans="1:21" x14ac:dyDescent="0.2">
      <c r="A9672" s="3">
        <v>9671</v>
      </c>
      <c r="B9672" s="1" t="s">
        <v>5810</v>
      </c>
      <c r="D9672" s="1" t="s">
        <v>5811</v>
      </c>
      <c r="F9672" s="1" t="s">
        <v>5812</v>
      </c>
      <c r="H9672" s="1" t="s">
        <v>5818</v>
      </c>
      <c r="J9672" s="1" t="s">
        <v>5820</v>
      </c>
      <c r="L9672" s="1" t="s">
        <v>1944</v>
      </c>
      <c r="M9672" s="1" t="s">
        <v>1945</v>
      </c>
      <c r="N9672" s="1" t="s">
        <v>5839</v>
      </c>
      <c r="P9672" s="1" t="s">
        <v>199</v>
      </c>
      <c r="Q9672" s="30" t="s">
        <v>2565</v>
      </c>
      <c r="R9672" s="33" t="s">
        <v>8665</v>
      </c>
      <c r="S9672">
        <v>36</v>
      </c>
      <c r="T9672" s="1" t="s">
        <v>8661</v>
      </c>
      <c r="U9672" s="1" t="str">
        <f>HYPERLINK("http://ictvonline.org/taxonomy/p/taxonomy-history?taxnode_id=202104787","ICTVonline=202104787")</f>
        <v>ICTVonline=202104787</v>
      </c>
    </row>
    <row r="9673" spans="1:21" x14ac:dyDescent="0.2">
      <c r="A9673" s="3">
        <v>9672</v>
      </c>
      <c r="B9673" s="1" t="s">
        <v>5810</v>
      </c>
      <c r="D9673" s="1" t="s">
        <v>5811</v>
      </c>
      <c r="F9673" s="1" t="s">
        <v>5812</v>
      </c>
      <c r="H9673" s="1" t="s">
        <v>5818</v>
      </c>
      <c r="J9673" s="1" t="s">
        <v>5820</v>
      </c>
      <c r="L9673" s="1" t="s">
        <v>1944</v>
      </c>
      <c r="M9673" s="1" t="s">
        <v>1945</v>
      </c>
      <c r="N9673" s="1" t="s">
        <v>1137</v>
      </c>
      <c r="P9673" s="1" t="s">
        <v>1138</v>
      </c>
      <c r="Q9673" s="30" t="s">
        <v>2565</v>
      </c>
      <c r="R9673" s="33" t="s">
        <v>8665</v>
      </c>
      <c r="S9673">
        <v>36</v>
      </c>
      <c r="T9673" s="1" t="s">
        <v>8661</v>
      </c>
      <c r="U9673" s="1" t="str">
        <f>HYPERLINK("http://ictvonline.org/taxonomy/p/taxonomy-history?taxnode_id=202104784","ICTVonline=202104784")</f>
        <v>ICTVonline=202104784</v>
      </c>
    </row>
    <row r="9674" spans="1:21" x14ac:dyDescent="0.2">
      <c r="A9674" s="3">
        <v>9673</v>
      </c>
      <c r="B9674" s="1" t="s">
        <v>5810</v>
      </c>
      <c r="D9674" s="1" t="s">
        <v>5811</v>
      </c>
      <c r="F9674" s="1" t="s">
        <v>5812</v>
      </c>
      <c r="H9674" s="1" t="s">
        <v>5818</v>
      </c>
      <c r="J9674" s="1" t="s">
        <v>5820</v>
      </c>
      <c r="L9674" s="1" t="s">
        <v>1944</v>
      </c>
      <c r="M9674" s="1" t="s">
        <v>1945</v>
      </c>
      <c r="N9674" s="1" t="s">
        <v>5840</v>
      </c>
      <c r="P9674" s="1" t="s">
        <v>5841</v>
      </c>
      <c r="Q9674" s="30" t="s">
        <v>2565</v>
      </c>
      <c r="R9674" s="33" t="s">
        <v>8665</v>
      </c>
      <c r="S9674">
        <v>36</v>
      </c>
      <c r="T9674" s="1" t="s">
        <v>8661</v>
      </c>
      <c r="U9674" s="1" t="str">
        <f>HYPERLINK("http://ictvonline.org/taxonomy/p/taxonomy-history?taxnode_id=202107159","ICTVonline=202107159")</f>
        <v>ICTVonline=202107159</v>
      </c>
    </row>
    <row r="9675" spans="1:21" x14ac:dyDescent="0.2">
      <c r="A9675" s="3">
        <v>9674</v>
      </c>
      <c r="B9675" s="1" t="s">
        <v>5810</v>
      </c>
      <c r="D9675" s="1" t="s">
        <v>5811</v>
      </c>
      <c r="F9675" s="1" t="s">
        <v>5812</v>
      </c>
      <c r="H9675" s="1" t="s">
        <v>5818</v>
      </c>
      <c r="J9675" s="1" t="s">
        <v>5820</v>
      </c>
      <c r="L9675" s="1" t="s">
        <v>1944</v>
      </c>
      <c r="M9675" s="1" t="s">
        <v>1945</v>
      </c>
      <c r="N9675" s="1" t="s">
        <v>727</v>
      </c>
      <c r="P9675" s="1" t="s">
        <v>728</v>
      </c>
      <c r="Q9675" s="30" t="s">
        <v>2565</v>
      </c>
      <c r="R9675" s="33" t="s">
        <v>3474</v>
      </c>
      <c r="S9675">
        <v>35</v>
      </c>
      <c r="T9675" s="1" t="s">
        <v>5815</v>
      </c>
      <c r="U9675" s="1" t="str">
        <f>HYPERLINK("http://ictvonline.org/taxonomy/p/taxonomy-history?taxnode_id=202104789","ICTVonline=202104789")</f>
        <v>ICTVonline=202104789</v>
      </c>
    </row>
    <row r="9676" spans="1:21" x14ac:dyDescent="0.2">
      <c r="A9676" s="3">
        <v>9675</v>
      </c>
      <c r="B9676" s="1" t="s">
        <v>5810</v>
      </c>
      <c r="D9676" s="1" t="s">
        <v>5811</v>
      </c>
      <c r="F9676" s="1" t="s">
        <v>5812</v>
      </c>
      <c r="H9676" s="1" t="s">
        <v>5818</v>
      </c>
      <c r="J9676" s="1" t="s">
        <v>5820</v>
      </c>
      <c r="L9676" s="1" t="s">
        <v>1944</v>
      </c>
      <c r="M9676" s="1" t="s">
        <v>1945</v>
      </c>
      <c r="N9676" s="1" t="s">
        <v>727</v>
      </c>
      <c r="P9676" s="1" t="s">
        <v>726</v>
      </c>
      <c r="Q9676" s="30" t="s">
        <v>2565</v>
      </c>
      <c r="R9676" s="33" t="s">
        <v>8665</v>
      </c>
      <c r="S9676">
        <v>36</v>
      </c>
      <c r="T9676" s="1" t="s">
        <v>8661</v>
      </c>
      <c r="U9676" s="1" t="str">
        <f>HYPERLINK("http://ictvonline.org/taxonomy/p/taxonomy-history?taxnode_id=202104790","ICTVonline=202104790")</f>
        <v>ICTVonline=202104790</v>
      </c>
    </row>
    <row r="9677" spans="1:21" x14ac:dyDescent="0.2">
      <c r="A9677" s="3">
        <v>9676</v>
      </c>
      <c r="B9677" s="1" t="s">
        <v>5810</v>
      </c>
      <c r="D9677" s="1" t="s">
        <v>5811</v>
      </c>
      <c r="F9677" s="1" t="s">
        <v>5812</v>
      </c>
      <c r="H9677" s="1" t="s">
        <v>5818</v>
      </c>
      <c r="J9677" s="1" t="s">
        <v>5820</v>
      </c>
      <c r="L9677" s="1" t="s">
        <v>1944</v>
      </c>
      <c r="M9677" s="1" t="s">
        <v>729</v>
      </c>
      <c r="N9677" s="1" t="s">
        <v>1682</v>
      </c>
      <c r="P9677" s="1" t="s">
        <v>628</v>
      </c>
      <c r="Q9677" s="30" t="s">
        <v>2565</v>
      </c>
      <c r="R9677" s="33" t="s">
        <v>3474</v>
      </c>
      <c r="S9677">
        <v>35</v>
      </c>
      <c r="T9677" s="1" t="s">
        <v>5815</v>
      </c>
      <c r="U9677" s="1" t="str">
        <f>HYPERLINK("http://ictvonline.org/taxonomy/p/taxonomy-history?taxnode_id=202104793","ICTVonline=202104793")</f>
        <v>ICTVonline=202104793</v>
      </c>
    </row>
    <row r="9678" spans="1:21" x14ac:dyDescent="0.2">
      <c r="A9678" s="3">
        <v>9677</v>
      </c>
      <c r="B9678" s="1" t="s">
        <v>5810</v>
      </c>
      <c r="D9678" s="1" t="s">
        <v>5811</v>
      </c>
      <c r="F9678" s="1" t="s">
        <v>5812</v>
      </c>
      <c r="H9678" s="1" t="s">
        <v>5818</v>
      </c>
      <c r="J9678" s="1" t="s">
        <v>5820</v>
      </c>
      <c r="L9678" s="1" t="s">
        <v>1944</v>
      </c>
      <c r="M9678" s="1" t="s">
        <v>729</v>
      </c>
      <c r="N9678" s="1" t="s">
        <v>1682</v>
      </c>
      <c r="P9678" s="1" t="s">
        <v>629</v>
      </c>
      <c r="Q9678" s="30" t="s">
        <v>2565</v>
      </c>
      <c r="R9678" s="33" t="s">
        <v>3474</v>
      </c>
      <c r="S9678">
        <v>35</v>
      </c>
      <c r="T9678" s="1" t="s">
        <v>5815</v>
      </c>
      <c r="U9678" s="1" t="str">
        <f>HYPERLINK("http://ictvonline.org/taxonomy/p/taxonomy-history?taxnode_id=202104794","ICTVonline=202104794")</f>
        <v>ICTVonline=202104794</v>
      </c>
    </row>
    <row r="9679" spans="1:21" x14ac:dyDescent="0.2">
      <c r="A9679" s="3">
        <v>9678</v>
      </c>
      <c r="B9679" s="1" t="s">
        <v>5810</v>
      </c>
      <c r="D9679" s="1" t="s">
        <v>5811</v>
      </c>
      <c r="F9679" s="1" t="s">
        <v>5812</v>
      </c>
      <c r="H9679" s="1" t="s">
        <v>5818</v>
      </c>
      <c r="J9679" s="1" t="s">
        <v>5820</v>
      </c>
      <c r="L9679" s="1" t="s">
        <v>1944</v>
      </c>
      <c r="M9679" s="1" t="s">
        <v>729</v>
      </c>
      <c r="N9679" s="1" t="s">
        <v>1682</v>
      </c>
      <c r="P9679" s="1" t="s">
        <v>2534</v>
      </c>
      <c r="Q9679" s="30" t="s">
        <v>2565</v>
      </c>
      <c r="R9679" s="33" t="s">
        <v>3474</v>
      </c>
      <c r="S9679">
        <v>35</v>
      </c>
      <c r="T9679" s="1" t="s">
        <v>5815</v>
      </c>
      <c r="U9679" s="1" t="str">
        <f>HYPERLINK("http://ictvonline.org/taxonomy/p/taxonomy-history?taxnode_id=202104795","ICTVonline=202104795")</f>
        <v>ICTVonline=202104795</v>
      </c>
    </row>
    <row r="9680" spans="1:21" x14ac:dyDescent="0.2">
      <c r="A9680" s="3">
        <v>9679</v>
      </c>
      <c r="B9680" s="1" t="s">
        <v>5810</v>
      </c>
      <c r="D9680" s="1" t="s">
        <v>5811</v>
      </c>
      <c r="F9680" s="1" t="s">
        <v>5812</v>
      </c>
      <c r="H9680" s="1" t="s">
        <v>5818</v>
      </c>
      <c r="J9680" s="1" t="s">
        <v>5820</v>
      </c>
      <c r="L9680" s="1" t="s">
        <v>1944</v>
      </c>
      <c r="M9680" s="1" t="s">
        <v>729</v>
      </c>
      <c r="N9680" s="1" t="s">
        <v>1682</v>
      </c>
      <c r="P9680" s="1" t="s">
        <v>1683</v>
      </c>
      <c r="Q9680" s="30" t="s">
        <v>2565</v>
      </c>
      <c r="R9680" s="33" t="s">
        <v>3474</v>
      </c>
      <c r="S9680">
        <v>35</v>
      </c>
      <c r="T9680" s="1" t="s">
        <v>5815</v>
      </c>
      <c r="U9680" s="1" t="str">
        <f>HYPERLINK("http://ictvonline.org/taxonomy/p/taxonomy-history?taxnode_id=202104796","ICTVonline=202104796")</f>
        <v>ICTVonline=202104796</v>
      </c>
    </row>
    <row r="9681" spans="1:21" x14ac:dyDescent="0.2">
      <c r="A9681" s="3">
        <v>9680</v>
      </c>
      <c r="B9681" s="1" t="s">
        <v>5810</v>
      </c>
      <c r="D9681" s="1" t="s">
        <v>5811</v>
      </c>
      <c r="F9681" s="1" t="s">
        <v>5812</v>
      </c>
      <c r="H9681" s="1" t="s">
        <v>5818</v>
      </c>
      <c r="J9681" s="1" t="s">
        <v>5820</v>
      </c>
      <c r="L9681" s="1" t="s">
        <v>1944</v>
      </c>
      <c r="M9681" s="1" t="s">
        <v>729</v>
      </c>
      <c r="N9681" s="1" t="s">
        <v>1682</v>
      </c>
      <c r="P9681" s="1" t="s">
        <v>2535</v>
      </c>
      <c r="Q9681" s="30" t="s">
        <v>2565</v>
      </c>
      <c r="R9681" s="33" t="s">
        <v>3474</v>
      </c>
      <c r="S9681">
        <v>35</v>
      </c>
      <c r="T9681" s="1" t="s">
        <v>5815</v>
      </c>
      <c r="U9681" s="1" t="str">
        <f>HYPERLINK("http://ictvonline.org/taxonomy/p/taxonomy-history?taxnode_id=202104797","ICTVonline=202104797")</f>
        <v>ICTVonline=202104797</v>
      </c>
    </row>
    <row r="9682" spans="1:21" x14ac:dyDescent="0.2">
      <c r="A9682" s="3">
        <v>9681</v>
      </c>
      <c r="B9682" s="1" t="s">
        <v>5810</v>
      </c>
      <c r="D9682" s="1" t="s">
        <v>5811</v>
      </c>
      <c r="F9682" s="1" t="s">
        <v>5812</v>
      </c>
      <c r="H9682" s="1" t="s">
        <v>5818</v>
      </c>
      <c r="J9682" s="1" t="s">
        <v>5820</v>
      </c>
      <c r="L9682" s="1" t="s">
        <v>1944</v>
      </c>
      <c r="M9682" s="1" t="s">
        <v>729</v>
      </c>
      <c r="N9682" s="1" t="s">
        <v>1682</v>
      </c>
      <c r="P9682" s="1" t="s">
        <v>1684</v>
      </c>
      <c r="Q9682" s="30" t="s">
        <v>2565</v>
      </c>
      <c r="R9682" s="33" t="s">
        <v>3474</v>
      </c>
      <c r="S9682">
        <v>35</v>
      </c>
      <c r="T9682" s="1" t="s">
        <v>5815</v>
      </c>
      <c r="U9682" s="1" t="str">
        <f>HYPERLINK("http://ictvonline.org/taxonomy/p/taxonomy-history?taxnode_id=202104798","ICTVonline=202104798")</f>
        <v>ICTVonline=202104798</v>
      </c>
    </row>
    <row r="9683" spans="1:21" x14ac:dyDescent="0.2">
      <c r="A9683" s="3">
        <v>9682</v>
      </c>
      <c r="B9683" s="1" t="s">
        <v>5810</v>
      </c>
      <c r="D9683" s="1" t="s">
        <v>5811</v>
      </c>
      <c r="F9683" s="1" t="s">
        <v>5812</v>
      </c>
      <c r="H9683" s="1" t="s">
        <v>5818</v>
      </c>
      <c r="J9683" s="1" t="s">
        <v>5820</v>
      </c>
      <c r="L9683" s="1" t="s">
        <v>1944</v>
      </c>
      <c r="M9683" s="1" t="s">
        <v>729</v>
      </c>
      <c r="N9683" s="1" t="s">
        <v>1682</v>
      </c>
      <c r="P9683" s="1" t="s">
        <v>635</v>
      </c>
      <c r="Q9683" s="30" t="s">
        <v>2565</v>
      </c>
      <c r="R9683" s="33" t="s">
        <v>8665</v>
      </c>
      <c r="S9683">
        <v>36</v>
      </c>
      <c r="T9683" s="1" t="s">
        <v>8661</v>
      </c>
      <c r="U9683" s="1" t="str">
        <f>HYPERLINK("http://ictvonline.org/taxonomy/p/taxonomy-history?taxnode_id=202104799","ICTVonline=202104799")</f>
        <v>ICTVonline=202104799</v>
      </c>
    </row>
    <row r="9684" spans="1:21" x14ac:dyDescent="0.2">
      <c r="A9684" s="3">
        <v>9683</v>
      </c>
      <c r="B9684" s="1" t="s">
        <v>5810</v>
      </c>
      <c r="D9684" s="1" t="s">
        <v>5811</v>
      </c>
      <c r="F9684" s="1" t="s">
        <v>5812</v>
      </c>
      <c r="H9684" s="1" t="s">
        <v>5818</v>
      </c>
      <c r="J9684" s="1" t="s">
        <v>5820</v>
      </c>
      <c r="L9684" s="1" t="s">
        <v>1944</v>
      </c>
      <c r="M9684" s="1" t="s">
        <v>729</v>
      </c>
      <c r="N9684" s="1" t="s">
        <v>636</v>
      </c>
      <c r="P9684" s="1" t="s">
        <v>2536</v>
      </c>
      <c r="Q9684" s="30" t="s">
        <v>2565</v>
      </c>
      <c r="R9684" s="33" t="s">
        <v>3474</v>
      </c>
      <c r="S9684">
        <v>35</v>
      </c>
      <c r="T9684" s="1" t="s">
        <v>5815</v>
      </c>
      <c r="U9684" s="1" t="str">
        <f>HYPERLINK("http://ictvonline.org/taxonomy/p/taxonomy-history?taxnode_id=202104801","ICTVonline=202104801")</f>
        <v>ICTVonline=202104801</v>
      </c>
    </row>
    <row r="9685" spans="1:21" x14ac:dyDescent="0.2">
      <c r="A9685" s="3">
        <v>9684</v>
      </c>
      <c r="B9685" s="1" t="s">
        <v>5810</v>
      </c>
      <c r="D9685" s="1" t="s">
        <v>5811</v>
      </c>
      <c r="F9685" s="1" t="s">
        <v>5812</v>
      </c>
      <c r="H9685" s="1" t="s">
        <v>5818</v>
      </c>
      <c r="J9685" s="1" t="s">
        <v>5820</v>
      </c>
      <c r="L9685" s="1" t="s">
        <v>1944</v>
      </c>
      <c r="M9685" s="1" t="s">
        <v>729</v>
      </c>
      <c r="N9685" s="1" t="s">
        <v>636</v>
      </c>
      <c r="P9685" s="1" t="s">
        <v>2537</v>
      </c>
      <c r="Q9685" s="30" t="s">
        <v>2565</v>
      </c>
      <c r="R9685" s="33" t="s">
        <v>3474</v>
      </c>
      <c r="S9685">
        <v>35</v>
      </c>
      <c r="T9685" s="1" t="s">
        <v>5815</v>
      </c>
      <c r="U9685" s="1" t="str">
        <f>HYPERLINK("http://ictvonline.org/taxonomy/p/taxonomy-history?taxnode_id=202104802","ICTVonline=202104802")</f>
        <v>ICTVonline=202104802</v>
      </c>
    </row>
    <row r="9686" spans="1:21" x14ac:dyDescent="0.2">
      <c r="A9686" s="3">
        <v>9685</v>
      </c>
      <c r="B9686" s="1" t="s">
        <v>5810</v>
      </c>
      <c r="D9686" s="1" t="s">
        <v>5811</v>
      </c>
      <c r="F9686" s="1" t="s">
        <v>5812</v>
      </c>
      <c r="H9686" s="1" t="s">
        <v>5818</v>
      </c>
      <c r="J9686" s="1" t="s">
        <v>5820</v>
      </c>
      <c r="L9686" s="1" t="s">
        <v>1944</v>
      </c>
      <c r="M9686" s="1" t="s">
        <v>729</v>
      </c>
      <c r="N9686" s="1" t="s">
        <v>636</v>
      </c>
      <c r="P9686" s="1" t="s">
        <v>2538</v>
      </c>
      <c r="Q9686" s="30" t="s">
        <v>2565</v>
      </c>
      <c r="R9686" s="33" t="s">
        <v>8665</v>
      </c>
      <c r="S9686">
        <v>36</v>
      </c>
      <c r="T9686" s="1" t="s">
        <v>8661</v>
      </c>
      <c r="U9686" s="1" t="str">
        <f>HYPERLINK("http://ictvonline.org/taxonomy/p/taxonomy-history?taxnode_id=202104803","ICTVonline=202104803")</f>
        <v>ICTVonline=202104803</v>
      </c>
    </row>
    <row r="9687" spans="1:21" x14ac:dyDescent="0.2">
      <c r="A9687" s="3">
        <v>9686</v>
      </c>
      <c r="B9687" s="1" t="s">
        <v>5810</v>
      </c>
      <c r="D9687" s="1" t="s">
        <v>5811</v>
      </c>
      <c r="F9687" s="1" t="s">
        <v>5812</v>
      </c>
      <c r="H9687" s="1" t="s">
        <v>5818</v>
      </c>
      <c r="J9687" s="1" t="s">
        <v>5820</v>
      </c>
      <c r="L9687" s="1" t="s">
        <v>1944</v>
      </c>
      <c r="M9687" s="1" t="s">
        <v>729</v>
      </c>
      <c r="N9687" s="1" t="s">
        <v>636</v>
      </c>
      <c r="P9687" s="1" t="s">
        <v>2539</v>
      </c>
      <c r="Q9687" s="30" t="s">
        <v>2565</v>
      </c>
      <c r="R9687" s="33" t="s">
        <v>3474</v>
      </c>
      <c r="S9687">
        <v>35</v>
      </c>
      <c r="T9687" s="1" t="s">
        <v>5815</v>
      </c>
      <c r="U9687" s="1" t="str">
        <f>HYPERLINK("http://ictvonline.org/taxonomy/p/taxonomy-history?taxnode_id=202104804","ICTVonline=202104804")</f>
        <v>ICTVonline=202104804</v>
      </c>
    </row>
    <row r="9688" spans="1:21" x14ac:dyDescent="0.2">
      <c r="A9688" s="3">
        <v>9687</v>
      </c>
      <c r="B9688" s="1" t="s">
        <v>5810</v>
      </c>
      <c r="D9688" s="1" t="s">
        <v>5811</v>
      </c>
      <c r="F9688" s="1" t="s">
        <v>5812</v>
      </c>
      <c r="H9688" s="1" t="s">
        <v>5818</v>
      </c>
      <c r="J9688" s="1" t="s">
        <v>5820</v>
      </c>
      <c r="L9688" s="1" t="s">
        <v>1944</v>
      </c>
      <c r="M9688" s="1" t="s">
        <v>729</v>
      </c>
      <c r="N9688" s="1" t="s">
        <v>636</v>
      </c>
      <c r="P9688" s="1" t="s">
        <v>2540</v>
      </c>
      <c r="Q9688" s="30" t="s">
        <v>2565</v>
      </c>
      <c r="R9688" s="33" t="s">
        <v>3474</v>
      </c>
      <c r="S9688">
        <v>35</v>
      </c>
      <c r="T9688" s="1" t="s">
        <v>5815</v>
      </c>
      <c r="U9688" s="1" t="str">
        <f>HYPERLINK("http://ictvonline.org/taxonomy/p/taxonomy-history?taxnode_id=202104805","ICTVonline=202104805")</f>
        <v>ICTVonline=202104805</v>
      </c>
    </row>
    <row r="9689" spans="1:21" x14ac:dyDescent="0.2">
      <c r="A9689" s="3">
        <v>9688</v>
      </c>
      <c r="B9689" s="1" t="s">
        <v>5810</v>
      </c>
      <c r="D9689" s="1" t="s">
        <v>5811</v>
      </c>
      <c r="F9689" s="1" t="s">
        <v>5812</v>
      </c>
      <c r="H9689" s="1" t="s">
        <v>5818</v>
      </c>
      <c r="J9689" s="1" t="s">
        <v>5820</v>
      </c>
      <c r="L9689" s="1" t="s">
        <v>1944</v>
      </c>
      <c r="M9689" s="1" t="s">
        <v>729</v>
      </c>
      <c r="N9689" s="1" t="s">
        <v>636</v>
      </c>
      <c r="P9689" s="1" t="s">
        <v>2541</v>
      </c>
      <c r="Q9689" s="30" t="s">
        <v>2565</v>
      </c>
      <c r="R9689" s="33" t="s">
        <v>3474</v>
      </c>
      <c r="S9689">
        <v>35</v>
      </c>
      <c r="T9689" s="1" t="s">
        <v>5815</v>
      </c>
      <c r="U9689" s="1" t="str">
        <f>HYPERLINK("http://ictvonline.org/taxonomy/p/taxonomy-history?taxnode_id=202104806","ICTVonline=202104806")</f>
        <v>ICTVonline=202104806</v>
      </c>
    </row>
    <row r="9690" spans="1:21" x14ac:dyDescent="0.2">
      <c r="A9690" s="3">
        <v>9689</v>
      </c>
      <c r="B9690" s="1" t="s">
        <v>5810</v>
      </c>
      <c r="D9690" s="1" t="s">
        <v>5811</v>
      </c>
      <c r="F9690" s="1" t="s">
        <v>5812</v>
      </c>
      <c r="H9690" s="1" t="s">
        <v>5818</v>
      </c>
      <c r="J9690" s="1" t="s">
        <v>5820</v>
      </c>
      <c r="L9690" s="1" t="s">
        <v>1944</v>
      </c>
      <c r="M9690" s="1" t="s">
        <v>729</v>
      </c>
      <c r="N9690" s="1" t="s">
        <v>636</v>
      </c>
      <c r="P9690" s="1" t="s">
        <v>2542</v>
      </c>
      <c r="Q9690" s="30" t="s">
        <v>2565</v>
      </c>
      <c r="R9690" s="33" t="s">
        <v>3474</v>
      </c>
      <c r="S9690">
        <v>35</v>
      </c>
      <c r="T9690" s="1" t="s">
        <v>5815</v>
      </c>
      <c r="U9690" s="1" t="str">
        <f>HYPERLINK("http://ictvonline.org/taxonomy/p/taxonomy-history?taxnode_id=202104807","ICTVonline=202104807")</f>
        <v>ICTVonline=202104807</v>
      </c>
    </row>
    <row r="9691" spans="1:21" x14ac:dyDescent="0.2">
      <c r="A9691" s="3">
        <v>9690</v>
      </c>
      <c r="B9691" s="1" t="s">
        <v>5810</v>
      </c>
      <c r="D9691" s="1" t="s">
        <v>5811</v>
      </c>
      <c r="F9691" s="1" t="s">
        <v>5812</v>
      </c>
      <c r="H9691" s="1" t="s">
        <v>5818</v>
      </c>
      <c r="J9691" s="1" t="s">
        <v>5820</v>
      </c>
      <c r="L9691" s="1" t="s">
        <v>1944</v>
      </c>
      <c r="M9691" s="1" t="s">
        <v>729</v>
      </c>
      <c r="N9691" s="1" t="s">
        <v>636</v>
      </c>
      <c r="P9691" s="1" t="s">
        <v>2543</v>
      </c>
      <c r="Q9691" s="30" t="s">
        <v>2565</v>
      </c>
      <c r="R9691" s="33" t="s">
        <v>3474</v>
      </c>
      <c r="S9691">
        <v>35</v>
      </c>
      <c r="T9691" s="1" t="s">
        <v>5815</v>
      </c>
      <c r="U9691" s="1" t="str">
        <f>HYPERLINK("http://ictvonline.org/taxonomy/p/taxonomy-history?taxnode_id=202104808","ICTVonline=202104808")</f>
        <v>ICTVonline=202104808</v>
      </c>
    </row>
    <row r="9692" spans="1:21" x14ac:dyDescent="0.2">
      <c r="A9692" s="3">
        <v>9691</v>
      </c>
      <c r="B9692" s="1" t="s">
        <v>5810</v>
      </c>
      <c r="D9692" s="1" t="s">
        <v>5811</v>
      </c>
      <c r="F9692" s="1" t="s">
        <v>5812</v>
      </c>
      <c r="H9692" s="1" t="s">
        <v>5818</v>
      </c>
      <c r="J9692" s="1" t="s">
        <v>5820</v>
      </c>
      <c r="L9692" s="1" t="s">
        <v>1944</v>
      </c>
      <c r="M9692" s="1" t="s">
        <v>729</v>
      </c>
      <c r="N9692" s="1" t="s">
        <v>636</v>
      </c>
      <c r="P9692" s="1" t="s">
        <v>2544</v>
      </c>
      <c r="Q9692" s="30" t="s">
        <v>2565</v>
      </c>
      <c r="R9692" s="33" t="s">
        <v>3474</v>
      </c>
      <c r="S9692">
        <v>35</v>
      </c>
      <c r="T9692" s="1" t="s">
        <v>5815</v>
      </c>
      <c r="U9692" s="1" t="str">
        <f>HYPERLINK("http://ictvonline.org/taxonomy/p/taxonomy-history?taxnode_id=202104809","ICTVonline=202104809")</f>
        <v>ICTVonline=202104809</v>
      </c>
    </row>
    <row r="9693" spans="1:21" x14ac:dyDescent="0.2">
      <c r="A9693" s="3">
        <v>9692</v>
      </c>
      <c r="B9693" s="1" t="s">
        <v>5810</v>
      </c>
      <c r="D9693" s="1" t="s">
        <v>5811</v>
      </c>
      <c r="F9693" s="1" t="s">
        <v>5812</v>
      </c>
      <c r="H9693" s="1" t="s">
        <v>5818</v>
      </c>
      <c r="J9693" s="1" t="s">
        <v>5820</v>
      </c>
      <c r="L9693" s="1" t="s">
        <v>1944</v>
      </c>
      <c r="M9693" s="1" t="s">
        <v>729</v>
      </c>
      <c r="N9693" s="1" t="s">
        <v>636</v>
      </c>
      <c r="P9693" s="1" t="s">
        <v>2545</v>
      </c>
      <c r="Q9693" s="30" t="s">
        <v>2565</v>
      </c>
      <c r="R9693" s="33" t="s">
        <v>3474</v>
      </c>
      <c r="S9693">
        <v>35</v>
      </c>
      <c r="T9693" s="1" t="s">
        <v>5815</v>
      </c>
      <c r="U9693" s="1" t="str">
        <f>HYPERLINK("http://ictvonline.org/taxonomy/p/taxonomy-history?taxnode_id=202104810","ICTVonline=202104810")</f>
        <v>ICTVonline=202104810</v>
      </c>
    </row>
    <row r="9694" spans="1:21" x14ac:dyDescent="0.2">
      <c r="A9694" s="3">
        <v>9693</v>
      </c>
      <c r="B9694" s="1" t="s">
        <v>5810</v>
      </c>
      <c r="D9694" s="1" t="s">
        <v>5811</v>
      </c>
      <c r="F9694" s="1" t="s">
        <v>5812</v>
      </c>
      <c r="H9694" s="1" t="s">
        <v>5818</v>
      </c>
      <c r="J9694" s="1" t="s">
        <v>5820</v>
      </c>
      <c r="L9694" s="1" t="s">
        <v>1944</v>
      </c>
      <c r="M9694" s="1" t="s">
        <v>729</v>
      </c>
      <c r="N9694" s="1" t="s">
        <v>636</v>
      </c>
      <c r="P9694" s="1" t="s">
        <v>2546</v>
      </c>
      <c r="Q9694" s="30" t="s">
        <v>2565</v>
      </c>
      <c r="R9694" s="33" t="s">
        <v>3474</v>
      </c>
      <c r="S9694">
        <v>35</v>
      </c>
      <c r="T9694" s="1" t="s">
        <v>5815</v>
      </c>
      <c r="U9694" s="1" t="str">
        <f>HYPERLINK("http://ictvonline.org/taxonomy/p/taxonomy-history?taxnode_id=202104811","ICTVonline=202104811")</f>
        <v>ICTVonline=202104811</v>
      </c>
    </row>
    <row r="9695" spans="1:21" x14ac:dyDescent="0.2">
      <c r="A9695" s="3">
        <v>9694</v>
      </c>
      <c r="B9695" s="1" t="s">
        <v>5810</v>
      </c>
      <c r="D9695" s="1" t="s">
        <v>5811</v>
      </c>
      <c r="F9695" s="1" t="s">
        <v>5812</v>
      </c>
      <c r="H9695" s="1" t="s">
        <v>5818</v>
      </c>
      <c r="J9695" s="1" t="s">
        <v>5820</v>
      </c>
      <c r="L9695" s="1" t="s">
        <v>1944</v>
      </c>
      <c r="M9695" s="1" t="s">
        <v>729</v>
      </c>
      <c r="N9695" s="1" t="s">
        <v>636</v>
      </c>
      <c r="P9695" s="1" t="s">
        <v>2547</v>
      </c>
      <c r="Q9695" s="30" t="s">
        <v>2565</v>
      </c>
      <c r="R9695" s="33" t="s">
        <v>3474</v>
      </c>
      <c r="S9695">
        <v>35</v>
      </c>
      <c r="T9695" s="1" t="s">
        <v>5815</v>
      </c>
      <c r="U9695" s="1" t="str">
        <f>HYPERLINK("http://ictvonline.org/taxonomy/p/taxonomy-history?taxnode_id=202104812","ICTVonline=202104812")</f>
        <v>ICTVonline=202104812</v>
      </c>
    </row>
    <row r="9696" spans="1:21" x14ac:dyDescent="0.2">
      <c r="A9696" s="3">
        <v>9695</v>
      </c>
      <c r="B9696" s="1" t="s">
        <v>5810</v>
      </c>
      <c r="D9696" s="1" t="s">
        <v>5811</v>
      </c>
      <c r="F9696" s="1" t="s">
        <v>5812</v>
      </c>
      <c r="H9696" s="1" t="s">
        <v>5818</v>
      </c>
      <c r="J9696" s="1" t="s">
        <v>5820</v>
      </c>
      <c r="L9696" s="1" t="s">
        <v>1944</v>
      </c>
      <c r="M9696" s="1" t="s">
        <v>729</v>
      </c>
      <c r="N9696" s="1" t="s">
        <v>636</v>
      </c>
      <c r="P9696" s="1" t="s">
        <v>2548</v>
      </c>
      <c r="Q9696" s="30" t="s">
        <v>2565</v>
      </c>
      <c r="R9696" s="33" t="s">
        <v>3474</v>
      </c>
      <c r="S9696">
        <v>35</v>
      </c>
      <c r="T9696" s="1" t="s">
        <v>5815</v>
      </c>
      <c r="U9696" s="1" t="str">
        <f>HYPERLINK("http://ictvonline.org/taxonomy/p/taxonomy-history?taxnode_id=202104813","ICTVonline=202104813")</f>
        <v>ICTVonline=202104813</v>
      </c>
    </row>
    <row r="9697" spans="1:21" x14ac:dyDescent="0.2">
      <c r="A9697" s="3">
        <v>9696</v>
      </c>
      <c r="B9697" s="1" t="s">
        <v>5810</v>
      </c>
      <c r="D9697" s="1" t="s">
        <v>5811</v>
      </c>
      <c r="F9697" s="1" t="s">
        <v>5812</v>
      </c>
      <c r="H9697" s="1" t="s">
        <v>5818</v>
      </c>
      <c r="J9697" s="1" t="s">
        <v>5820</v>
      </c>
      <c r="L9697" s="1" t="s">
        <v>1944</v>
      </c>
      <c r="M9697" s="1" t="s">
        <v>729</v>
      </c>
      <c r="N9697" s="1" t="s">
        <v>636</v>
      </c>
      <c r="P9697" s="1" t="s">
        <v>2549</v>
      </c>
      <c r="Q9697" s="30" t="s">
        <v>2565</v>
      </c>
      <c r="R9697" s="33" t="s">
        <v>3474</v>
      </c>
      <c r="S9697">
        <v>35</v>
      </c>
      <c r="T9697" s="1" t="s">
        <v>5815</v>
      </c>
      <c r="U9697" s="1" t="str">
        <f>HYPERLINK("http://ictvonline.org/taxonomy/p/taxonomy-history?taxnode_id=202104814","ICTVonline=202104814")</f>
        <v>ICTVonline=202104814</v>
      </c>
    </row>
    <row r="9698" spans="1:21" x14ac:dyDescent="0.2">
      <c r="A9698" s="3">
        <v>9697</v>
      </c>
      <c r="B9698" s="1" t="s">
        <v>5810</v>
      </c>
      <c r="D9698" s="1" t="s">
        <v>5811</v>
      </c>
      <c r="F9698" s="1" t="s">
        <v>5812</v>
      </c>
      <c r="H9698" s="1" t="s">
        <v>5818</v>
      </c>
      <c r="J9698" s="1" t="s">
        <v>5820</v>
      </c>
      <c r="L9698" s="1" t="s">
        <v>1944</v>
      </c>
      <c r="M9698" s="1" t="s">
        <v>729</v>
      </c>
      <c r="N9698" s="1" t="s">
        <v>636</v>
      </c>
      <c r="P9698" s="1" t="s">
        <v>2550</v>
      </c>
      <c r="Q9698" s="30" t="s">
        <v>2565</v>
      </c>
      <c r="R9698" s="33" t="s">
        <v>3474</v>
      </c>
      <c r="S9698">
        <v>35</v>
      </c>
      <c r="T9698" s="1" t="s">
        <v>5815</v>
      </c>
      <c r="U9698" s="1" t="str">
        <f>HYPERLINK("http://ictvonline.org/taxonomy/p/taxonomy-history?taxnode_id=202104815","ICTVonline=202104815")</f>
        <v>ICTVonline=202104815</v>
      </c>
    </row>
    <row r="9699" spans="1:21" x14ac:dyDescent="0.2">
      <c r="A9699" s="3">
        <v>9698</v>
      </c>
      <c r="B9699" s="1" t="s">
        <v>5810</v>
      </c>
      <c r="D9699" s="1" t="s">
        <v>5811</v>
      </c>
      <c r="F9699" s="1" t="s">
        <v>5812</v>
      </c>
      <c r="H9699" s="1" t="s">
        <v>5818</v>
      </c>
      <c r="J9699" s="1" t="s">
        <v>5820</v>
      </c>
      <c r="L9699" s="1" t="s">
        <v>1944</v>
      </c>
      <c r="M9699" s="1" t="s">
        <v>729</v>
      </c>
      <c r="N9699" s="1" t="s">
        <v>636</v>
      </c>
      <c r="P9699" s="1" t="s">
        <v>2551</v>
      </c>
      <c r="Q9699" s="30" t="s">
        <v>2565</v>
      </c>
      <c r="R9699" s="33" t="s">
        <v>3474</v>
      </c>
      <c r="S9699">
        <v>35</v>
      </c>
      <c r="T9699" s="1" t="s">
        <v>5815</v>
      </c>
      <c r="U9699" s="1" t="str">
        <f>HYPERLINK("http://ictvonline.org/taxonomy/p/taxonomy-history?taxnode_id=202104816","ICTVonline=202104816")</f>
        <v>ICTVonline=202104816</v>
      </c>
    </row>
    <row r="9700" spans="1:21" x14ac:dyDescent="0.2">
      <c r="A9700" s="3">
        <v>9699</v>
      </c>
      <c r="B9700" s="1" t="s">
        <v>5810</v>
      </c>
      <c r="D9700" s="1" t="s">
        <v>5811</v>
      </c>
      <c r="F9700" s="1" t="s">
        <v>5812</v>
      </c>
      <c r="H9700" s="1" t="s">
        <v>5818</v>
      </c>
      <c r="J9700" s="1" t="s">
        <v>5820</v>
      </c>
      <c r="L9700" s="1" t="s">
        <v>1944</v>
      </c>
      <c r="M9700" s="1" t="s">
        <v>729</v>
      </c>
      <c r="N9700" s="1" t="s">
        <v>5842</v>
      </c>
      <c r="P9700" s="1" t="s">
        <v>3954</v>
      </c>
      <c r="Q9700" s="30" t="s">
        <v>2565</v>
      </c>
      <c r="R9700" s="33" t="s">
        <v>8665</v>
      </c>
      <c r="S9700">
        <v>36</v>
      </c>
      <c r="T9700" s="1" t="s">
        <v>8661</v>
      </c>
      <c r="U9700" s="1" t="str">
        <f>HYPERLINK("http://ictvonline.org/taxonomy/p/taxonomy-history?taxnode_id=202104826","ICTVonline=202104826")</f>
        <v>ICTVonline=202104826</v>
      </c>
    </row>
    <row r="9701" spans="1:21" x14ac:dyDescent="0.2">
      <c r="A9701" s="3">
        <v>9700</v>
      </c>
      <c r="B9701" s="1" t="s">
        <v>5810</v>
      </c>
      <c r="D9701" s="1" t="s">
        <v>5811</v>
      </c>
      <c r="F9701" s="1" t="s">
        <v>5812</v>
      </c>
      <c r="H9701" s="1" t="s">
        <v>5818</v>
      </c>
      <c r="J9701" s="1" t="s">
        <v>5820</v>
      </c>
      <c r="L9701" s="1" t="s">
        <v>1944</v>
      </c>
      <c r="M9701" s="1" t="s">
        <v>729</v>
      </c>
      <c r="N9701" s="1" t="s">
        <v>1438</v>
      </c>
      <c r="P9701" s="1" t="s">
        <v>1439</v>
      </c>
      <c r="Q9701" s="30" t="s">
        <v>2565</v>
      </c>
      <c r="R9701" s="33" t="s">
        <v>3474</v>
      </c>
      <c r="S9701">
        <v>35</v>
      </c>
      <c r="T9701" s="1" t="s">
        <v>5815</v>
      </c>
      <c r="U9701" s="1" t="str">
        <f>HYPERLINK("http://ictvonline.org/taxonomy/p/taxonomy-history?taxnode_id=202104818","ICTVonline=202104818")</f>
        <v>ICTVonline=202104818</v>
      </c>
    </row>
    <row r="9702" spans="1:21" x14ac:dyDescent="0.2">
      <c r="A9702" s="3">
        <v>9701</v>
      </c>
      <c r="B9702" s="1" t="s">
        <v>5810</v>
      </c>
      <c r="D9702" s="1" t="s">
        <v>5811</v>
      </c>
      <c r="F9702" s="1" t="s">
        <v>5812</v>
      </c>
      <c r="H9702" s="1" t="s">
        <v>5818</v>
      </c>
      <c r="J9702" s="1" t="s">
        <v>5820</v>
      </c>
      <c r="L9702" s="1" t="s">
        <v>1944</v>
      </c>
      <c r="M9702" s="1" t="s">
        <v>729</v>
      </c>
      <c r="N9702" s="1" t="s">
        <v>1438</v>
      </c>
      <c r="P9702" s="1" t="s">
        <v>1698</v>
      </c>
      <c r="Q9702" s="30" t="s">
        <v>2565</v>
      </c>
      <c r="R9702" s="33" t="s">
        <v>3474</v>
      </c>
      <c r="S9702">
        <v>35</v>
      </c>
      <c r="T9702" s="1" t="s">
        <v>5815</v>
      </c>
      <c r="U9702" s="1" t="str">
        <f>HYPERLINK("http://ictvonline.org/taxonomy/p/taxonomy-history?taxnode_id=202104819","ICTVonline=202104819")</f>
        <v>ICTVonline=202104819</v>
      </c>
    </row>
    <row r="9703" spans="1:21" x14ac:dyDescent="0.2">
      <c r="A9703" s="3">
        <v>9702</v>
      </c>
      <c r="B9703" s="1" t="s">
        <v>5810</v>
      </c>
      <c r="D9703" s="1" t="s">
        <v>5811</v>
      </c>
      <c r="F9703" s="1" t="s">
        <v>5812</v>
      </c>
      <c r="H9703" s="1" t="s">
        <v>5818</v>
      </c>
      <c r="J9703" s="1" t="s">
        <v>5820</v>
      </c>
      <c r="L9703" s="1" t="s">
        <v>1944</v>
      </c>
      <c r="M9703" s="1" t="s">
        <v>729</v>
      </c>
      <c r="N9703" s="1" t="s">
        <v>1438</v>
      </c>
      <c r="P9703" s="1" t="s">
        <v>1887</v>
      </c>
      <c r="Q9703" s="30" t="s">
        <v>2565</v>
      </c>
      <c r="R9703" s="33" t="s">
        <v>3474</v>
      </c>
      <c r="S9703">
        <v>35</v>
      </c>
      <c r="T9703" s="1" t="s">
        <v>5815</v>
      </c>
      <c r="U9703" s="1" t="str">
        <f>HYPERLINK("http://ictvonline.org/taxonomy/p/taxonomy-history?taxnode_id=202104820","ICTVonline=202104820")</f>
        <v>ICTVonline=202104820</v>
      </c>
    </row>
    <row r="9704" spans="1:21" x14ac:dyDescent="0.2">
      <c r="A9704" s="3">
        <v>9703</v>
      </c>
      <c r="B9704" s="1" t="s">
        <v>5810</v>
      </c>
      <c r="D9704" s="1" t="s">
        <v>5811</v>
      </c>
      <c r="F9704" s="1" t="s">
        <v>5812</v>
      </c>
      <c r="H9704" s="1" t="s">
        <v>5818</v>
      </c>
      <c r="J9704" s="1" t="s">
        <v>5820</v>
      </c>
      <c r="L9704" s="1" t="s">
        <v>1944</v>
      </c>
      <c r="M9704" s="1" t="s">
        <v>729</v>
      </c>
      <c r="N9704" s="1" t="s">
        <v>1438</v>
      </c>
      <c r="P9704" s="1" t="s">
        <v>1994</v>
      </c>
      <c r="Q9704" s="30" t="s">
        <v>2565</v>
      </c>
      <c r="R9704" s="33" t="s">
        <v>8665</v>
      </c>
      <c r="S9704">
        <v>36</v>
      </c>
      <c r="T9704" s="1" t="s">
        <v>8661</v>
      </c>
      <c r="U9704" s="1" t="str">
        <f>HYPERLINK("http://ictvonline.org/taxonomy/p/taxonomy-history?taxnode_id=202104821","ICTVonline=202104821")</f>
        <v>ICTVonline=202104821</v>
      </c>
    </row>
    <row r="9705" spans="1:21" x14ac:dyDescent="0.2">
      <c r="A9705" s="3">
        <v>9704</v>
      </c>
      <c r="B9705" s="1" t="s">
        <v>5810</v>
      </c>
      <c r="D9705" s="1" t="s">
        <v>5811</v>
      </c>
      <c r="F9705" s="1" t="s">
        <v>5812</v>
      </c>
      <c r="H9705" s="1" t="s">
        <v>5818</v>
      </c>
      <c r="J9705" s="1" t="s">
        <v>5820</v>
      </c>
      <c r="L9705" s="1" t="s">
        <v>1944</v>
      </c>
      <c r="M9705" s="1" t="s">
        <v>729</v>
      </c>
      <c r="N9705" s="1" t="s">
        <v>1438</v>
      </c>
      <c r="P9705" s="1" t="s">
        <v>1412</v>
      </c>
      <c r="Q9705" s="30" t="s">
        <v>2565</v>
      </c>
      <c r="R9705" s="33" t="s">
        <v>3474</v>
      </c>
      <c r="S9705">
        <v>35</v>
      </c>
      <c r="T9705" s="1" t="s">
        <v>5815</v>
      </c>
      <c r="U9705" s="1" t="str">
        <f>HYPERLINK("http://ictvonline.org/taxonomy/p/taxonomy-history?taxnode_id=202104822","ICTVonline=202104822")</f>
        <v>ICTVonline=202104822</v>
      </c>
    </row>
    <row r="9706" spans="1:21" x14ac:dyDescent="0.2">
      <c r="A9706" s="3">
        <v>9705</v>
      </c>
      <c r="B9706" s="1" t="s">
        <v>5810</v>
      </c>
      <c r="D9706" s="1" t="s">
        <v>5811</v>
      </c>
      <c r="F9706" s="1" t="s">
        <v>5812</v>
      </c>
      <c r="H9706" s="1" t="s">
        <v>5818</v>
      </c>
      <c r="J9706" s="1" t="s">
        <v>5820</v>
      </c>
      <c r="L9706" s="1" t="s">
        <v>1944</v>
      </c>
      <c r="M9706" s="1" t="s">
        <v>729</v>
      </c>
      <c r="N9706" s="1" t="s">
        <v>1438</v>
      </c>
      <c r="P9706" s="1" t="s">
        <v>2552</v>
      </c>
      <c r="Q9706" s="30" t="s">
        <v>2565</v>
      </c>
      <c r="R9706" s="33" t="s">
        <v>3474</v>
      </c>
      <c r="S9706">
        <v>35</v>
      </c>
      <c r="T9706" s="1" t="s">
        <v>5815</v>
      </c>
      <c r="U9706" s="1" t="str">
        <f>HYPERLINK("http://ictvonline.org/taxonomy/p/taxonomy-history?taxnode_id=202104823","ICTVonline=202104823")</f>
        <v>ICTVonline=202104823</v>
      </c>
    </row>
    <row r="9707" spans="1:21" x14ac:dyDescent="0.2">
      <c r="A9707" s="3">
        <v>9706</v>
      </c>
      <c r="B9707" s="1" t="s">
        <v>5810</v>
      </c>
      <c r="D9707" s="1" t="s">
        <v>5811</v>
      </c>
      <c r="F9707" s="1" t="s">
        <v>5812</v>
      </c>
      <c r="H9707" s="1" t="s">
        <v>5818</v>
      </c>
      <c r="J9707" s="1" t="s">
        <v>5820</v>
      </c>
      <c r="L9707" s="1" t="s">
        <v>1944</v>
      </c>
      <c r="M9707" s="1" t="s">
        <v>729</v>
      </c>
      <c r="P9707" s="1" t="s">
        <v>1996</v>
      </c>
      <c r="Q9707" s="30" t="s">
        <v>2565</v>
      </c>
      <c r="R9707" s="33" t="s">
        <v>3474</v>
      </c>
      <c r="S9707">
        <v>35</v>
      </c>
      <c r="T9707" s="1" t="s">
        <v>5815</v>
      </c>
      <c r="U9707" s="1" t="str">
        <f>HYPERLINK("http://ictvonline.org/taxonomy/p/taxonomy-history?taxnode_id=202104825","ICTVonline=202104825")</f>
        <v>ICTVonline=202104825</v>
      </c>
    </row>
    <row r="9708" spans="1:21" x14ac:dyDescent="0.2">
      <c r="A9708" s="3">
        <v>9707</v>
      </c>
      <c r="B9708" s="1" t="s">
        <v>5810</v>
      </c>
      <c r="D9708" s="1" t="s">
        <v>5811</v>
      </c>
      <c r="F9708" s="1" t="s">
        <v>5843</v>
      </c>
      <c r="H9708" s="1" t="s">
        <v>5844</v>
      </c>
      <c r="J9708" s="1" t="s">
        <v>5845</v>
      </c>
      <c r="L9708" s="1" t="s">
        <v>2970</v>
      </c>
      <c r="N9708" s="1" t="s">
        <v>2971</v>
      </c>
      <c r="P9708" s="1" t="s">
        <v>2972</v>
      </c>
      <c r="Q9708" s="30" t="s">
        <v>2565</v>
      </c>
      <c r="R9708" s="33" t="s">
        <v>8665</v>
      </c>
      <c r="S9708">
        <v>36</v>
      </c>
      <c r="T9708" s="1" t="s">
        <v>8661</v>
      </c>
      <c r="U9708" s="1" t="str">
        <f>HYPERLINK("http://ictvonline.org/taxonomy/p/taxonomy-history?taxnode_id=202103747","ICTVonline=202103747")</f>
        <v>ICTVonline=202103747</v>
      </c>
    </row>
    <row r="9709" spans="1:21" x14ac:dyDescent="0.2">
      <c r="A9709" s="3">
        <v>9708</v>
      </c>
      <c r="B9709" s="1" t="s">
        <v>5810</v>
      </c>
      <c r="D9709" s="1" t="s">
        <v>5811</v>
      </c>
      <c r="F9709" s="1" t="s">
        <v>5843</v>
      </c>
      <c r="H9709" s="1" t="s">
        <v>5844</v>
      </c>
      <c r="J9709" s="1" t="s">
        <v>5845</v>
      </c>
      <c r="L9709" s="1" t="s">
        <v>2970</v>
      </c>
      <c r="N9709" s="1" t="s">
        <v>2973</v>
      </c>
      <c r="P9709" s="1" t="s">
        <v>2974</v>
      </c>
      <c r="Q9709" s="30" t="s">
        <v>2565</v>
      </c>
      <c r="R9709" s="33" t="s">
        <v>8665</v>
      </c>
      <c r="S9709">
        <v>36</v>
      </c>
      <c r="T9709" s="1" t="s">
        <v>8661</v>
      </c>
      <c r="U9709" s="1" t="str">
        <f>HYPERLINK("http://ictvonline.org/taxonomy/p/taxonomy-history?taxnode_id=202103749","ICTVonline=202103749")</f>
        <v>ICTVonline=202103749</v>
      </c>
    </row>
    <row r="9710" spans="1:21" x14ac:dyDescent="0.2">
      <c r="A9710" s="3">
        <v>9709</v>
      </c>
      <c r="B9710" s="1" t="s">
        <v>5810</v>
      </c>
      <c r="D9710" s="1" t="s">
        <v>5811</v>
      </c>
      <c r="F9710" s="1" t="s">
        <v>5843</v>
      </c>
      <c r="H9710" s="1" t="s">
        <v>5844</v>
      </c>
      <c r="J9710" s="1" t="s">
        <v>5845</v>
      </c>
      <c r="L9710" s="1" t="s">
        <v>2970</v>
      </c>
      <c r="N9710" s="1" t="s">
        <v>2973</v>
      </c>
      <c r="P9710" s="1" t="s">
        <v>2975</v>
      </c>
      <c r="Q9710" s="30" t="s">
        <v>2565</v>
      </c>
      <c r="R9710" s="33" t="s">
        <v>3474</v>
      </c>
      <c r="S9710">
        <v>35</v>
      </c>
      <c r="T9710" s="1" t="s">
        <v>5815</v>
      </c>
      <c r="U9710" s="1" t="str">
        <f>HYPERLINK("http://ictvonline.org/taxonomy/p/taxonomy-history?taxnode_id=202103750","ICTVonline=202103750")</f>
        <v>ICTVonline=202103750</v>
      </c>
    </row>
    <row r="9711" spans="1:21" x14ac:dyDescent="0.2">
      <c r="A9711" s="3">
        <v>9710</v>
      </c>
      <c r="B9711" s="1" t="s">
        <v>5810</v>
      </c>
      <c r="D9711" s="1" t="s">
        <v>5811</v>
      </c>
      <c r="F9711" s="1" t="s">
        <v>5843</v>
      </c>
      <c r="H9711" s="1" t="s">
        <v>8388</v>
      </c>
      <c r="J9711" s="1" t="s">
        <v>8389</v>
      </c>
      <c r="L9711" s="1" t="s">
        <v>8390</v>
      </c>
      <c r="N9711" s="1" t="s">
        <v>8391</v>
      </c>
      <c r="P9711" s="1" t="s">
        <v>8392</v>
      </c>
      <c r="Q9711" s="30" t="s">
        <v>2565</v>
      </c>
      <c r="R9711" s="33" t="s">
        <v>3472</v>
      </c>
      <c r="S9711">
        <v>36</v>
      </c>
      <c r="T9711" s="1" t="s">
        <v>8393</v>
      </c>
      <c r="U9711" s="1" t="str">
        <f>HYPERLINK("http://ictvonline.org/taxonomy/p/taxonomy-history?taxnode_id=202108815","ICTVonline=202108815")</f>
        <v>ICTVonline=202108815</v>
      </c>
    </row>
    <row r="9712" spans="1:21" x14ac:dyDescent="0.2">
      <c r="A9712" s="3">
        <v>9711</v>
      </c>
      <c r="B9712" s="1" t="s">
        <v>5810</v>
      </c>
      <c r="D9712" s="1" t="s">
        <v>5811</v>
      </c>
      <c r="F9712" s="1" t="s">
        <v>5843</v>
      </c>
      <c r="H9712" s="1" t="s">
        <v>8388</v>
      </c>
      <c r="J9712" s="1" t="s">
        <v>8389</v>
      </c>
      <c r="L9712" s="1" t="s">
        <v>8390</v>
      </c>
      <c r="N9712" s="1" t="s">
        <v>8394</v>
      </c>
      <c r="P9712" s="1" t="s">
        <v>8395</v>
      </c>
      <c r="Q9712" s="30" t="s">
        <v>2565</v>
      </c>
      <c r="R9712" s="33" t="s">
        <v>3472</v>
      </c>
      <c r="S9712">
        <v>36</v>
      </c>
      <c r="T9712" s="1" t="s">
        <v>8393</v>
      </c>
      <c r="U9712" s="1" t="str">
        <f>HYPERLINK("http://ictvonline.org/taxonomy/p/taxonomy-history?taxnode_id=202108817","ICTVonline=202108817")</f>
        <v>ICTVonline=202108817</v>
      </c>
    </row>
    <row r="9713" spans="1:21" x14ac:dyDescent="0.2">
      <c r="A9713" s="3">
        <v>9712</v>
      </c>
      <c r="B9713" s="1" t="s">
        <v>5810</v>
      </c>
      <c r="D9713" s="1" t="s">
        <v>5811</v>
      </c>
      <c r="F9713" s="1" t="s">
        <v>5843</v>
      </c>
      <c r="H9713" s="1" t="s">
        <v>5846</v>
      </c>
      <c r="J9713" s="1" t="s">
        <v>5847</v>
      </c>
      <c r="L9713" s="1" t="s">
        <v>2451</v>
      </c>
      <c r="N9713" s="1" t="s">
        <v>2452</v>
      </c>
      <c r="P9713" s="1" t="s">
        <v>2453</v>
      </c>
      <c r="Q9713" s="30" t="s">
        <v>2565</v>
      </c>
      <c r="R9713" s="33" t="s">
        <v>8665</v>
      </c>
      <c r="S9713">
        <v>36</v>
      </c>
      <c r="T9713" s="1" t="s">
        <v>8661</v>
      </c>
      <c r="U9713" s="1" t="str">
        <f>HYPERLINK("http://ictvonline.org/taxonomy/p/taxonomy-history?taxnode_id=202105328","ICTVonline=202105328")</f>
        <v>ICTVonline=202105328</v>
      </c>
    </row>
    <row r="9714" spans="1:21" x14ac:dyDescent="0.2">
      <c r="A9714" s="3">
        <v>9713</v>
      </c>
      <c r="B9714" s="1" t="s">
        <v>5810</v>
      </c>
      <c r="D9714" s="1" t="s">
        <v>5811</v>
      </c>
      <c r="F9714" s="1" t="s">
        <v>5843</v>
      </c>
      <c r="H9714" s="1" t="s">
        <v>5846</v>
      </c>
      <c r="J9714" s="1" t="s">
        <v>5847</v>
      </c>
      <c r="L9714" s="1" t="s">
        <v>2451</v>
      </c>
      <c r="N9714" s="1" t="s">
        <v>2452</v>
      </c>
      <c r="P9714" s="1" t="s">
        <v>2454</v>
      </c>
      <c r="Q9714" s="30" t="s">
        <v>2565</v>
      </c>
      <c r="R9714" s="33" t="s">
        <v>3474</v>
      </c>
      <c r="S9714">
        <v>35</v>
      </c>
      <c r="T9714" s="1" t="s">
        <v>5815</v>
      </c>
      <c r="U9714" s="1" t="str">
        <f>HYPERLINK("http://ictvonline.org/taxonomy/p/taxonomy-history?taxnode_id=202105329","ICTVonline=202105329")</f>
        <v>ICTVonline=202105329</v>
      </c>
    </row>
    <row r="9715" spans="1:21" x14ac:dyDescent="0.2">
      <c r="A9715" s="3">
        <v>9714</v>
      </c>
      <c r="B9715" s="1" t="s">
        <v>5810</v>
      </c>
      <c r="D9715" s="1" t="s">
        <v>5811</v>
      </c>
      <c r="F9715" s="1" t="s">
        <v>5843</v>
      </c>
      <c r="H9715" s="1" t="s">
        <v>5846</v>
      </c>
      <c r="J9715" s="1" t="s">
        <v>5848</v>
      </c>
      <c r="L9715" s="1" t="s">
        <v>1475</v>
      </c>
      <c r="N9715" s="1" t="s">
        <v>3964</v>
      </c>
      <c r="P9715" s="1" t="s">
        <v>13772</v>
      </c>
      <c r="Q9715" s="30" t="s">
        <v>2565</v>
      </c>
      <c r="R9715" s="33" t="s">
        <v>3475</v>
      </c>
      <c r="S9715">
        <v>37</v>
      </c>
      <c r="T9715" s="1" t="s">
        <v>13878</v>
      </c>
      <c r="U9715" s="1" t="str">
        <f>HYPERLINK("http://ictvonline.org/taxonomy/p/taxonomy-history?taxnode_id=202105994","ICTVonline=202105994")</f>
        <v>ICTVonline=202105994</v>
      </c>
    </row>
    <row r="9716" spans="1:21" x14ac:dyDescent="0.2">
      <c r="A9716" s="3">
        <v>9715</v>
      </c>
      <c r="B9716" s="1" t="s">
        <v>5810</v>
      </c>
      <c r="D9716" s="1" t="s">
        <v>5811</v>
      </c>
      <c r="F9716" s="1" t="s">
        <v>5843</v>
      </c>
      <c r="H9716" s="1" t="s">
        <v>5846</v>
      </c>
      <c r="J9716" s="1" t="s">
        <v>5848</v>
      </c>
      <c r="L9716" s="1" t="s">
        <v>1475</v>
      </c>
      <c r="N9716" s="1" t="s">
        <v>3964</v>
      </c>
      <c r="P9716" s="1" t="s">
        <v>13773</v>
      </c>
      <c r="Q9716" s="30" t="s">
        <v>2565</v>
      </c>
      <c r="R9716" s="33" t="s">
        <v>3475</v>
      </c>
      <c r="S9716">
        <v>37</v>
      </c>
      <c r="T9716" s="1" t="s">
        <v>13878</v>
      </c>
      <c r="U9716" s="1" t="str">
        <f>HYPERLINK("http://ictvonline.org/taxonomy/p/taxonomy-history?taxnode_id=202105076","ICTVonline=202105076")</f>
        <v>ICTVonline=202105076</v>
      </c>
    </row>
    <row r="9717" spans="1:21" x14ac:dyDescent="0.2">
      <c r="A9717" s="3">
        <v>9716</v>
      </c>
      <c r="B9717" s="1" t="s">
        <v>5810</v>
      </c>
      <c r="D9717" s="1" t="s">
        <v>5811</v>
      </c>
      <c r="F9717" s="1" t="s">
        <v>5843</v>
      </c>
      <c r="H9717" s="1" t="s">
        <v>5846</v>
      </c>
      <c r="J9717" s="1" t="s">
        <v>5848</v>
      </c>
      <c r="L9717" s="1" t="s">
        <v>1475</v>
      </c>
      <c r="N9717" s="1" t="s">
        <v>3965</v>
      </c>
      <c r="P9717" s="1" t="s">
        <v>13774</v>
      </c>
      <c r="Q9717" s="30" t="s">
        <v>2565</v>
      </c>
      <c r="R9717" s="33" t="s">
        <v>3475</v>
      </c>
      <c r="S9717">
        <v>37</v>
      </c>
      <c r="T9717" s="1" t="s">
        <v>13878</v>
      </c>
      <c r="U9717" s="1" t="str">
        <f>HYPERLINK("http://ictvonline.org/taxonomy/p/taxonomy-history?taxnode_id=202105074","ICTVonline=202105074")</f>
        <v>ICTVonline=202105074</v>
      </c>
    </row>
    <row r="9718" spans="1:21" x14ac:dyDescent="0.2">
      <c r="A9718" s="3">
        <v>9717</v>
      </c>
      <c r="B9718" s="1" t="s">
        <v>5810</v>
      </c>
      <c r="D9718" s="1" t="s">
        <v>5811</v>
      </c>
      <c r="F9718" s="1" t="s">
        <v>5843</v>
      </c>
      <c r="H9718" s="1" t="s">
        <v>5846</v>
      </c>
      <c r="J9718" s="1" t="s">
        <v>5848</v>
      </c>
      <c r="L9718" s="1" t="s">
        <v>1475</v>
      </c>
      <c r="N9718" s="1" t="s">
        <v>3965</v>
      </c>
      <c r="P9718" s="1" t="s">
        <v>13775</v>
      </c>
      <c r="Q9718" s="30" t="s">
        <v>2565</v>
      </c>
      <c r="R9718" s="33" t="s">
        <v>3475</v>
      </c>
      <c r="S9718">
        <v>37</v>
      </c>
      <c r="T9718" s="1" t="s">
        <v>13878</v>
      </c>
      <c r="U9718" s="1" t="str">
        <f>HYPERLINK("http://ictvonline.org/taxonomy/p/taxonomy-history?taxnode_id=202105075","ICTVonline=202105075")</f>
        <v>ICTVonline=202105075</v>
      </c>
    </row>
    <row r="9719" spans="1:21" x14ac:dyDescent="0.2">
      <c r="A9719" s="3">
        <v>9718</v>
      </c>
      <c r="B9719" s="1" t="s">
        <v>5810</v>
      </c>
      <c r="D9719" s="1" t="s">
        <v>5811</v>
      </c>
      <c r="F9719" s="1" t="s">
        <v>5843</v>
      </c>
      <c r="H9719" s="1" t="s">
        <v>5846</v>
      </c>
      <c r="J9719" s="1" t="s">
        <v>5848</v>
      </c>
      <c r="L9719" s="1" t="s">
        <v>1475</v>
      </c>
      <c r="N9719" s="1" t="s">
        <v>3965</v>
      </c>
      <c r="P9719" s="1" t="s">
        <v>13776</v>
      </c>
      <c r="Q9719" s="30" t="s">
        <v>2565</v>
      </c>
      <c r="R9719" s="33" t="s">
        <v>3475</v>
      </c>
      <c r="S9719">
        <v>37</v>
      </c>
      <c r="T9719" s="1" t="s">
        <v>13878</v>
      </c>
      <c r="U9719" s="1" t="str">
        <f>HYPERLINK("http://ictvonline.org/taxonomy/p/taxonomy-history?taxnode_id=202105995","ICTVonline=202105995")</f>
        <v>ICTVonline=202105995</v>
      </c>
    </row>
    <row r="9720" spans="1:21" x14ac:dyDescent="0.2">
      <c r="A9720" s="3">
        <v>9719</v>
      </c>
      <c r="B9720" s="1" t="s">
        <v>5810</v>
      </c>
      <c r="D9720" s="1" t="s">
        <v>5811</v>
      </c>
      <c r="F9720" s="1" t="s">
        <v>5843</v>
      </c>
      <c r="H9720" s="1" t="s">
        <v>5846</v>
      </c>
      <c r="J9720" s="1" t="s">
        <v>5848</v>
      </c>
      <c r="L9720" s="1" t="s">
        <v>1475</v>
      </c>
      <c r="N9720" s="1" t="s">
        <v>3965</v>
      </c>
      <c r="P9720" s="1" t="s">
        <v>13777</v>
      </c>
      <c r="Q9720" s="30" t="s">
        <v>2565</v>
      </c>
      <c r="R9720" s="33" t="s">
        <v>3472</v>
      </c>
      <c r="S9720">
        <v>37</v>
      </c>
      <c r="T9720" s="1" t="s">
        <v>14068</v>
      </c>
      <c r="U9720" s="1" t="str">
        <f>HYPERLINK("http://ictvonline.org/taxonomy/p/taxonomy-history?taxnode_id=202113210","ICTVonline=202113210")</f>
        <v>ICTVonline=202113210</v>
      </c>
    </row>
    <row r="9721" spans="1:21" x14ac:dyDescent="0.2">
      <c r="A9721" s="3">
        <v>9720</v>
      </c>
      <c r="B9721" s="1" t="s">
        <v>5810</v>
      </c>
      <c r="D9721" s="1" t="s">
        <v>5811</v>
      </c>
      <c r="F9721" s="1" t="s">
        <v>5843</v>
      </c>
      <c r="H9721" s="1" t="s">
        <v>5846</v>
      </c>
      <c r="J9721" s="1" t="s">
        <v>5848</v>
      </c>
      <c r="L9721" s="1" t="s">
        <v>1475</v>
      </c>
      <c r="N9721" s="1" t="s">
        <v>3965</v>
      </c>
      <c r="P9721" s="1" t="s">
        <v>13778</v>
      </c>
      <c r="Q9721" s="30" t="s">
        <v>2565</v>
      </c>
      <c r="R9721" s="33" t="s">
        <v>3472</v>
      </c>
      <c r="S9721">
        <v>37</v>
      </c>
      <c r="T9721" s="1" t="s">
        <v>14068</v>
      </c>
      <c r="U9721" s="1" t="str">
        <f>HYPERLINK("http://ictvonline.org/taxonomy/p/taxonomy-history?taxnode_id=202113211","ICTVonline=202113211")</f>
        <v>ICTVonline=202113211</v>
      </c>
    </row>
    <row r="9722" spans="1:21" x14ac:dyDescent="0.2">
      <c r="A9722" s="3">
        <v>9721</v>
      </c>
      <c r="B9722" s="1" t="s">
        <v>5810</v>
      </c>
      <c r="D9722" s="1" t="s">
        <v>5811</v>
      </c>
      <c r="F9722" s="1" t="s">
        <v>5843</v>
      </c>
      <c r="H9722" s="1" t="s">
        <v>5846</v>
      </c>
      <c r="J9722" s="1" t="s">
        <v>5848</v>
      </c>
      <c r="L9722" s="1" t="s">
        <v>1475</v>
      </c>
      <c r="N9722" s="1" t="s">
        <v>3965</v>
      </c>
      <c r="P9722" s="1" t="s">
        <v>13779</v>
      </c>
      <c r="Q9722" s="30" t="s">
        <v>2565</v>
      </c>
      <c r="R9722" s="33" t="s">
        <v>3475</v>
      </c>
      <c r="S9722">
        <v>37</v>
      </c>
      <c r="T9722" s="1" t="s">
        <v>13878</v>
      </c>
      <c r="U9722" s="1" t="str">
        <f>HYPERLINK("http://ictvonline.org/taxonomy/p/taxonomy-history?taxnode_id=202105996","ICTVonline=202105996")</f>
        <v>ICTVonline=202105996</v>
      </c>
    </row>
    <row r="9723" spans="1:21" x14ac:dyDescent="0.2">
      <c r="A9723" s="3">
        <v>9722</v>
      </c>
      <c r="B9723" s="1" t="s">
        <v>5810</v>
      </c>
      <c r="D9723" s="1" t="s">
        <v>5811</v>
      </c>
      <c r="F9723" s="1" t="s">
        <v>5843</v>
      </c>
      <c r="H9723" s="1" t="s">
        <v>5846</v>
      </c>
      <c r="J9723" s="1" t="s">
        <v>5848</v>
      </c>
      <c r="L9723" s="1" t="s">
        <v>1475</v>
      </c>
      <c r="N9723" s="1" t="s">
        <v>8396</v>
      </c>
      <c r="P9723" s="1" t="s">
        <v>13780</v>
      </c>
      <c r="Q9723" s="30" t="s">
        <v>2565</v>
      </c>
      <c r="R9723" s="33" t="s">
        <v>3475</v>
      </c>
      <c r="S9723">
        <v>37</v>
      </c>
      <c r="T9723" s="1" t="s">
        <v>13878</v>
      </c>
      <c r="U9723" s="1" t="str">
        <f>HYPERLINK("http://ictvonline.org/taxonomy/p/taxonomy-history?taxnode_id=202109932","ICTVonline=202109932")</f>
        <v>ICTVonline=202109932</v>
      </c>
    </row>
    <row r="9724" spans="1:21" x14ac:dyDescent="0.2">
      <c r="A9724" s="3">
        <v>9723</v>
      </c>
      <c r="B9724" s="1" t="s">
        <v>5810</v>
      </c>
      <c r="D9724" s="1" t="s">
        <v>5811</v>
      </c>
      <c r="F9724" s="1" t="s">
        <v>5843</v>
      </c>
      <c r="H9724" s="1" t="s">
        <v>5846</v>
      </c>
      <c r="J9724" s="1" t="s">
        <v>5848</v>
      </c>
      <c r="L9724" s="1" t="s">
        <v>1475</v>
      </c>
      <c r="N9724" s="1" t="s">
        <v>8396</v>
      </c>
      <c r="P9724" s="1" t="s">
        <v>13781</v>
      </c>
      <c r="Q9724" s="30" t="s">
        <v>2565</v>
      </c>
      <c r="R9724" s="33" t="s">
        <v>3475</v>
      </c>
      <c r="S9724">
        <v>37</v>
      </c>
      <c r="T9724" s="1" t="s">
        <v>13878</v>
      </c>
      <c r="U9724" s="1" t="str">
        <f>HYPERLINK("http://ictvonline.org/taxonomy/p/taxonomy-history?taxnode_id=202109931","ICTVonline=202109931")</f>
        <v>ICTVonline=202109931</v>
      </c>
    </row>
    <row r="9725" spans="1:21" x14ac:dyDescent="0.2">
      <c r="A9725" s="3">
        <v>9724</v>
      </c>
      <c r="B9725" s="1" t="s">
        <v>5810</v>
      </c>
      <c r="D9725" s="1" t="s">
        <v>5811</v>
      </c>
      <c r="F9725" s="1" t="s">
        <v>5843</v>
      </c>
      <c r="H9725" s="1" t="s">
        <v>5846</v>
      </c>
      <c r="J9725" s="1" t="s">
        <v>5848</v>
      </c>
      <c r="L9725" s="1" t="s">
        <v>1475</v>
      </c>
      <c r="N9725" s="1" t="s">
        <v>8397</v>
      </c>
      <c r="P9725" s="1" t="s">
        <v>13782</v>
      </c>
      <c r="Q9725" s="30" t="s">
        <v>2565</v>
      </c>
      <c r="R9725" s="33" t="s">
        <v>3475</v>
      </c>
      <c r="S9725">
        <v>37</v>
      </c>
      <c r="T9725" s="1" t="s">
        <v>13878</v>
      </c>
      <c r="U9725" s="1" t="str">
        <f>HYPERLINK("http://ictvonline.org/taxonomy/p/taxonomy-history?taxnode_id=202109934","ICTVonline=202109934")</f>
        <v>ICTVonline=202109934</v>
      </c>
    </row>
    <row r="9726" spans="1:21" x14ac:dyDescent="0.2">
      <c r="A9726" s="3">
        <v>9725</v>
      </c>
      <c r="B9726" s="1" t="s">
        <v>5810</v>
      </c>
      <c r="D9726" s="1" t="s">
        <v>5811</v>
      </c>
      <c r="F9726" s="1" t="s">
        <v>5843</v>
      </c>
      <c r="H9726" s="1" t="s">
        <v>5846</v>
      </c>
      <c r="J9726" s="1" t="s">
        <v>5848</v>
      </c>
      <c r="L9726" s="1" t="s">
        <v>1475</v>
      </c>
      <c r="N9726" s="1" t="s">
        <v>4873</v>
      </c>
      <c r="P9726" s="1" t="s">
        <v>13783</v>
      </c>
      <c r="Q9726" s="30" t="s">
        <v>2565</v>
      </c>
      <c r="R9726" s="33" t="s">
        <v>3475</v>
      </c>
      <c r="S9726">
        <v>37</v>
      </c>
      <c r="T9726" s="1" t="s">
        <v>13878</v>
      </c>
      <c r="U9726" s="1" t="str">
        <f>HYPERLINK("http://ictvonline.org/taxonomy/p/taxonomy-history?taxnode_id=202106875","ICTVonline=202106875")</f>
        <v>ICTVonline=202106875</v>
      </c>
    </row>
    <row r="9727" spans="1:21" x14ac:dyDescent="0.2">
      <c r="A9727" s="3">
        <v>9726</v>
      </c>
      <c r="B9727" s="1" t="s">
        <v>5810</v>
      </c>
      <c r="D9727" s="1" t="s">
        <v>5811</v>
      </c>
      <c r="F9727" s="1" t="s">
        <v>5843</v>
      </c>
      <c r="H9727" s="1" t="s">
        <v>5846</v>
      </c>
      <c r="J9727" s="1" t="s">
        <v>5849</v>
      </c>
      <c r="L9727" s="1" t="s">
        <v>1658</v>
      </c>
      <c r="N9727" s="1" t="s">
        <v>1659</v>
      </c>
      <c r="P9727" s="1" t="s">
        <v>2173</v>
      </c>
      <c r="Q9727" s="30" t="s">
        <v>2565</v>
      </c>
      <c r="R9727" s="33" t="s">
        <v>3474</v>
      </c>
      <c r="S9727">
        <v>35</v>
      </c>
      <c r="T9727" s="1" t="s">
        <v>5815</v>
      </c>
      <c r="U9727" s="1" t="str">
        <f>HYPERLINK("http://ictvonline.org/taxonomy/p/taxonomy-history?taxnode_id=202102390","ICTVonline=202102390")</f>
        <v>ICTVonline=202102390</v>
      </c>
    </row>
    <row r="9728" spans="1:21" x14ac:dyDescent="0.2">
      <c r="A9728" s="3">
        <v>9727</v>
      </c>
      <c r="B9728" s="1" t="s">
        <v>5810</v>
      </c>
      <c r="D9728" s="1" t="s">
        <v>5811</v>
      </c>
      <c r="F9728" s="1" t="s">
        <v>5843</v>
      </c>
      <c r="H9728" s="1" t="s">
        <v>5846</v>
      </c>
      <c r="J9728" s="1" t="s">
        <v>5849</v>
      </c>
      <c r="L9728" s="1" t="s">
        <v>1658</v>
      </c>
      <c r="N9728" s="1" t="s">
        <v>1659</v>
      </c>
      <c r="P9728" s="1" t="s">
        <v>8398</v>
      </c>
      <c r="Q9728" s="30" t="s">
        <v>2565</v>
      </c>
      <c r="R9728" s="33" t="s">
        <v>3472</v>
      </c>
      <c r="S9728">
        <v>36</v>
      </c>
      <c r="T9728" s="1" t="s">
        <v>8399</v>
      </c>
      <c r="U9728" s="1" t="str">
        <f>HYPERLINK("http://ictvonline.org/taxonomy/p/taxonomy-history?taxnode_id=202109160","ICTVonline=202109160")</f>
        <v>ICTVonline=202109160</v>
      </c>
    </row>
    <row r="9729" spans="1:21" x14ac:dyDescent="0.2">
      <c r="A9729" s="3">
        <v>9728</v>
      </c>
      <c r="B9729" s="1" t="s">
        <v>5810</v>
      </c>
      <c r="D9729" s="1" t="s">
        <v>5811</v>
      </c>
      <c r="F9729" s="1" t="s">
        <v>5843</v>
      </c>
      <c r="H9729" s="1" t="s">
        <v>5846</v>
      </c>
      <c r="J9729" s="1" t="s">
        <v>5849</v>
      </c>
      <c r="L9729" s="1" t="s">
        <v>1658</v>
      </c>
      <c r="N9729" s="1" t="s">
        <v>1659</v>
      </c>
      <c r="P9729" s="1" t="s">
        <v>3665</v>
      </c>
      <c r="Q9729" s="30" t="s">
        <v>2565</v>
      </c>
      <c r="R9729" s="33" t="s">
        <v>3474</v>
      </c>
      <c r="S9729">
        <v>35</v>
      </c>
      <c r="T9729" s="1" t="s">
        <v>5815</v>
      </c>
      <c r="U9729" s="1" t="str">
        <f>HYPERLINK("http://ictvonline.org/taxonomy/p/taxonomy-history?taxnode_id=202105652","ICTVonline=202105652")</f>
        <v>ICTVonline=202105652</v>
      </c>
    </row>
    <row r="9730" spans="1:21" x14ac:dyDescent="0.2">
      <c r="A9730" s="3">
        <v>9729</v>
      </c>
      <c r="B9730" s="1" t="s">
        <v>5810</v>
      </c>
      <c r="D9730" s="1" t="s">
        <v>5811</v>
      </c>
      <c r="F9730" s="1" t="s">
        <v>5843</v>
      </c>
      <c r="H9730" s="1" t="s">
        <v>5846</v>
      </c>
      <c r="J9730" s="1" t="s">
        <v>5849</v>
      </c>
      <c r="L9730" s="1" t="s">
        <v>1658</v>
      </c>
      <c r="N9730" s="1" t="s">
        <v>1659</v>
      </c>
      <c r="P9730" s="1" t="s">
        <v>2174</v>
      </c>
      <c r="Q9730" s="30" t="s">
        <v>2565</v>
      </c>
      <c r="R9730" s="33" t="s">
        <v>3474</v>
      </c>
      <c r="S9730">
        <v>35</v>
      </c>
      <c r="T9730" s="1" t="s">
        <v>5815</v>
      </c>
      <c r="U9730" s="1" t="str">
        <f>HYPERLINK("http://ictvonline.org/taxonomy/p/taxonomy-history?taxnode_id=202102391","ICTVonline=202102391")</f>
        <v>ICTVonline=202102391</v>
      </c>
    </row>
    <row r="9731" spans="1:21" x14ac:dyDescent="0.2">
      <c r="A9731" s="3">
        <v>9730</v>
      </c>
      <c r="B9731" s="1" t="s">
        <v>5810</v>
      </c>
      <c r="D9731" s="1" t="s">
        <v>5811</v>
      </c>
      <c r="F9731" s="1" t="s">
        <v>5843</v>
      </c>
      <c r="H9731" s="1" t="s">
        <v>5846</v>
      </c>
      <c r="J9731" s="1" t="s">
        <v>5849</v>
      </c>
      <c r="L9731" s="1" t="s">
        <v>1658</v>
      </c>
      <c r="N9731" s="1" t="s">
        <v>1659</v>
      </c>
      <c r="P9731" s="1" t="s">
        <v>3268</v>
      </c>
      <c r="Q9731" s="30" t="s">
        <v>2565</v>
      </c>
      <c r="R9731" s="33" t="s">
        <v>3474</v>
      </c>
      <c r="S9731">
        <v>35</v>
      </c>
      <c r="T9731" s="1" t="s">
        <v>5815</v>
      </c>
      <c r="U9731" s="1" t="str">
        <f>HYPERLINK("http://ictvonline.org/taxonomy/p/taxonomy-history?taxnode_id=202102392","ICTVonline=202102392")</f>
        <v>ICTVonline=202102392</v>
      </c>
    </row>
    <row r="9732" spans="1:21" x14ac:dyDescent="0.2">
      <c r="A9732" s="3">
        <v>9731</v>
      </c>
      <c r="B9732" s="1" t="s">
        <v>5810</v>
      </c>
      <c r="D9732" s="1" t="s">
        <v>5811</v>
      </c>
      <c r="F9732" s="1" t="s">
        <v>5843</v>
      </c>
      <c r="H9732" s="1" t="s">
        <v>5846</v>
      </c>
      <c r="J9732" s="1" t="s">
        <v>5849</v>
      </c>
      <c r="L9732" s="1" t="s">
        <v>1658</v>
      </c>
      <c r="N9732" s="1" t="s">
        <v>1659</v>
      </c>
      <c r="P9732" s="1" t="s">
        <v>8400</v>
      </c>
      <c r="Q9732" s="30" t="s">
        <v>2565</v>
      </c>
      <c r="R9732" s="33" t="s">
        <v>3472</v>
      </c>
      <c r="S9732">
        <v>36</v>
      </c>
      <c r="T9732" s="1" t="s">
        <v>8399</v>
      </c>
      <c r="U9732" s="1" t="str">
        <f>HYPERLINK("http://ictvonline.org/taxonomy/p/taxonomy-history?taxnode_id=202109161","ICTVonline=202109161")</f>
        <v>ICTVonline=202109161</v>
      </c>
    </row>
    <row r="9733" spans="1:21" x14ac:dyDescent="0.2">
      <c r="A9733" s="3">
        <v>9732</v>
      </c>
      <c r="B9733" s="1" t="s">
        <v>5810</v>
      </c>
      <c r="D9733" s="1" t="s">
        <v>5811</v>
      </c>
      <c r="F9733" s="1" t="s">
        <v>5843</v>
      </c>
      <c r="H9733" s="1" t="s">
        <v>5846</v>
      </c>
      <c r="J9733" s="1" t="s">
        <v>5849</v>
      </c>
      <c r="L9733" s="1" t="s">
        <v>1658</v>
      </c>
      <c r="N9733" s="1" t="s">
        <v>1659</v>
      </c>
      <c r="P9733" s="1" t="s">
        <v>2175</v>
      </c>
      <c r="Q9733" s="30" t="s">
        <v>2565</v>
      </c>
      <c r="R9733" s="33" t="s">
        <v>8665</v>
      </c>
      <c r="S9733">
        <v>36</v>
      </c>
      <c r="T9733" s="1" t="s">
        <v>8661</v>
      </c>
      <c r="U9733" s="1" t="str">
        <f>HYPERLINK("http://ictvonline.org/taxonomy/p/taxonomy-history?taxnode_id=202102393","ICTVonline=202102393")</f>
        <v>ICTVonline=202102393</v>
      </c>
    </row>
    <row r="9734" spans="1:21" x14ac:dyDescent="0.2">
      <c r="A9734" s="3">
        <v>9733</v>
      </c>
      <c r="B9734" s="1" t="s">
        <v>5810</v>
      </c>
      <c r="D9734" s="1" t="s">
        <v>5811</v>
      </c>
      <c r="F9734" s="1" t="s">
        <v>5843</v>
      </c>
      <c r="H9734" s="1" t="s">
        <v>5846</v>
      </c>
      <c r="J9734" s="1" t="s">
        <v>5849</v>
      </c>
      <c r="L9734" s="1" t="s">
        <v>1658</v>
      </c>
      <c r="N9734" s="1" t="s">
        <v>1659</v>
      </c>
      <c r="P9734" s="1" t="s">
        <v>2176</v>
      </c>
      <c r="Q9734" s="30" t="s">
        <v>2565</v>
      </c>
      <c r="R9734" s="33" t="s">
        <v>3474</v>
      </c>
      <c r="S9734">
        <v>35</v>
      </c>
      <c r="T9734" s="1" t="s">
        <v>5815</v>
      </c>
      <c r="U9734" s="1" t="str">
        <f>HYPERLINK("http://ictvonline.org/taxonomy/p/taxonomy-history?taxnode_id=202102394","ICTVonline=202102394")</f>
        <v>ICTVonline=202102394</v>
      </c>
    </row>
    <row r="9735" spans="1:21" x14ac:dyDescent="0.2">
      <c r="A9735" s="3">
        <v>9734</v>
      </c>
      <c r="B9735" s="1" t="s">
        <v>5810</v>
      </c>
      <c r="D9735" s="1" t="s">
        <v>5811</v>
      </c>
      <c r="F9735" s="1" t="s">
        <v>5843</v>
      </c>
      <c r="H9735" s="1" t="s">
        <v>5846</v>
      </c>
      <c r="J9735" s="1" t="s">
        <v>5849</v>
      </c>
      <c r="L9735" s="1" t="s">
        <v>1658</v>
      </c>
      <c r="N9735" s="1" t="s">
        <v>1659</v>
      </c>
      <c r="P9735" s="1" t="s">
        <v>3269</v>
      </c>
      <c r="Q9735" s="30" t="s">
        <v>2565</v>
      </c>
      <c r="R9735" s="33" t="s">
        <v>3474</v>
      </c>
      <c r="S9735">
        <v>35</v>
      </c>
      <c r="T9735" s="1" t="s">
        <v>5815</v>
      </c>
      <c r="U9735" s="1" t="str">
        <f>HYPERLINK("http://ictvonline.org/taxonomy/p/taxonomy-history?taxnode_id=202102395","ICTVonline=202102395")</f>
        <v>ICTVonline=202102395</v>
      </c>
    </row>
    <row r="9736" spans="1:21" x14ac:dyDescent="0.2">
      <c r="A9736" s="3">
        <v>9735</v>
      </c>
      <c r="B9736" s="1" t="s">
        <v>5810</v>
      </c>
      <c r="D9736" s="1" t="s">
        <v>5811</v>
      </c>
      <c r="F9736" s="1" t="s">
        <v>5843</v>
      </c>
      <c r="H9736" s="1" t="s">
        <v>5846</v>
      </c>
      <c r="J9736" s="1" t="s">
        <v>5849</v>
      </c>
      <c r="L9736" s="1" t="s">
        <v>1658</v>
      </c>
      <c r="N9736" s="1" t="s">
        <v>1659</v>
      </c>
      <c r="P9736" s="1" t="s">
        <v>2177</v>
      </c>
      <c r="Q9736" s="30" t="s">
        <v>2565</v>
      </c>
      <c r="R9736" s="33" t="s">
        <v>3474</v>
      </c>
      <c r="S9736">
        <v>35</v>
      </c>
      <c r="T9736" s="1" t="s">
        <v>5815</v>
      </c>
      <c r="U9736" s="1" t="str">
        <f>HYPERLINK("http://ictvonline.org/taxonomy/p/taxonomy-history?taxnode_id=202102396","ICTVonline=202102396")</f>
        <v>ICTVonline=202102396</v>
      </c>
    </row>
    <row r="9737" spans="1:21" x14ac:dyDescent="0.2">
      <c r="A9737" s="3">
        <v>9736</v>
      </c>
      <c r="B9737" s="1" t="s">
        <v>5810</v>
      </c>
      <c r="D9737" s="1" t="s">
        <v>5811</v>
      </c>
      <c r="F9737" s="1" t="s">
        <v>5843</v>
      </c>
      <c r="H9737" s="1" t="s">
        <v>5846</v>
      </c>
      <c r="J9737" s="1" t="s">
        <v>5849</v>
      </c>
      <c r="L9737" s="1" t="s">
        <v>1658</v>
      </c>
      <c r="N9737" s="1" t="s">
        <v>1279</v>
      </c>
      <c r="P9737" s="1" t="s">
        <v>13784</v>
      </c>
      <c r="Q9737" s="30" t="s">
        <v>2565</v>
      </c>
      <c r="R9737" s="33" t="s">
        <v>3472</v>
      </c>
      <c r="S9737">
        <v>37</v>
      </c>
      <c r="T9737" s="1" t="s">
        <v>14069</v>
      </c>
      <c r="U9737" s="1" t="str">
        <f>HYPERLINK("http://ictvonline.org/taxonomy/p/taxonomy-history?taxnode_id=202113423","ICTVonline=202113423")</f>
        <v>ICTVonline=202113423</v>
      </c>
    </row>
    <row r="9738" spans="1:21" x14ac:dyDescent="0.2">
      <c r="A9738" s="3">
        <v>9737</v>
      </c>
      <c r="B9738" s="1" t="s">
        <v>5810</v>
      </c>
      <c r="D9738" s="1" t="s">
        <v>5811</v>
      </c>
      <c r="F9738" s="1" t="s">
        <v>5843</v>
      </c>
      <c r="H9738" s="1" t="s">
        <v>5846</v>
      </c>
      <c r="J9738" s="1" t="s">
        <v>5849</v>
      </c>
      <c r="L9738" s="1" t="s">
        <v>1658</v>
      </c>
      <c r="N9738" s="1" t="s">
        <v>1279</v>
      </c>
      <c r="P9738" s="1" t="s">
        <v>2812</v>
      </c>
      <c r="Q9738" s="30" t="s">
        <v>2565</v>
      </c>
      <c r="R9738" s="33" t="s">
        <v>3474</v>
      </c>
      <c r="S9738">
        <v>35</v>
      </c>
      <c r="T9738" s="1" t="s">
        <v>5815</v>
      </c>
      <c r="U9738" s="1" t="str">
        <f>HYPERLINK("http://ictvonline.org/taxonomy/p/taxonomy-history?taxnode_id=202102398","ICTVonline=202102398")</f>
        <v>ICTVonline=202102398</v>
      </c>
    </row>
    <row r="9739" spans="1:21" x14ac:dyDescent="0.2">
      <c r="A9739" s="3">
        <v>9738</v>
      </c>
      <c r="B9739" s="1" t="s">
        <v>5810</v>
      </c>
      <c r="D9739" s="1" t="s">
        <v>5811</v>
      </c>
      <c r="F9739" s="1" t="s">
        <v>5843</v>
      </c>
      <c r="H9739" s="1" t="s">
        <v>5846</v>
      </c>
      <c r="J9739" s="1" t="s">
        <v>5849</v>
      </c>
      <c r="L9739" s="1" t="s">
        <v>1658</v>
      </c>
      <c r="N9739" s="1" t="s">
        <v>1279</v>
      </c>
      <c r="P9739" s="1" t="s">
        <v>2178</v>
      </c>
      <c r="Q9739" s="30" t="s">
        <v>2565</v>
      </c>
      <c r="R9739" s="33" t="s">
        <v>3474</v>
      </c>
      <c r="S9739">
        <v>35</v>
      </c>
      <c r="T9739" s="1" t="s">
        <v>5815</v>
      </c>
      <c r="U9739" s="1" t="str">
        <f>HYPERLINK("http://ictvonline.org/taxonomy/p/taxonomy-history?taxnode_id=202102399","ICTVonline=202102399")</f>
        <v>ICTVonline=202102399</v>
      </c>
    </row>
    <row r="9740" spans="1:21" x14ac:dyDescent="0.2">
      <c r="A9740" s="3">
        <v>9739</v>
      </c>
      <c r="B9740" s="1" t="s">
        <v>5810</v>
      </c>
      <c r="D9740" s="1" t="s">
        <v>5811</v>
      </c>
      <c r="F9740" s="1" t="s">
        <v>5843</v>
      </c>
      <c r="H9740" s="1" t="s">
        <v>5846</v>
      </c>
      <c r="J9740" s="1" t="s">
        <v>5849</v>
      </c>
      <c r="L9740" s="1" t="s">
        <v>1658</v>
      </c>
      <c r="N9740" s="1" t="s">
        <v>1279</v>
      </c>
      <c r="P9740" s="1" t="s">
        <v>2179</v>
      </c>
      <c r="Q9740" s="30" t="s">
        <v>2565</v>
      </c>
      <c r="R9740" s="33" t="s">
        <v>8665</v>
      </c>
      <c r="S9740">
        <v>36</v>
      </c>
      <c r="T9740" s="1" t="s">
        <v>8661</v>
      </c>
      <c r="U9740" s="1" t="str">
        <f>HYPERLINK("http://ictvonline.org/taxonomy/p/taxonomy-history?taxnode_id=202102400","ICTVonline=202102400")</f>
        <v>ICTVonline=202102400</v>
      </c>
    </row>
    <row r="9741" spans="1:21" x14ac:dyDescent="0.2">
      <c r="A9741" s="3">
        <v>9740</v>
      </c>
      <c r="B9741" s="1" t="s">
        <v>5810</v>
      </c>
      <c r="D9741" s="1" t="s">
        <v>5811</v>
      </c>
      <c r="F9741" s="1" t="s">
        <v>5843</v>
      </c>
      <c r="H9741" s="1" t="s">
        <v>5846</v>
      </c>
      <c r="J9741" s="1" t="s">
        <v>5849</v>
      </c>
      <c r="L9741" s="1" t="s">
        <v>1658</v>
      </c>
      <c r="N9741" s="1" t="s">
        <v>1279</v>
      </c>
      <c r="P9741" s="1" t="s">
        <v>2180</v>
      </c>
      <c r="Q9741" s="30" t="s">
        <v>2565</v>
      </c>
      <c r="R9741" s="33" t="s">
        <v>3474</v>
      </c>
      <c r="S9741">
        <v>35</v>
      </c>
      <c r="T9741" s="1" t="s">
        <v>5815</v>
      </c>
      <c r="U9741" s="1" t="str">
        <f>HYPERLINK("http://ictvonline.org/taxonomy/p/taxonomy-history?taxnode_id=202102401","ICTVonline=202102401")</f>
        <v>ICTVonline=202102401</v>
      </c>
    </row>
    <row r="9742" spans="1:21" x14ac:dyDescent="0.2">
      <c r="A9742" s="3">
        <v>9741</v>
      </c>
      <c r="B9742" s="1" t="s">
        <v>5810</v>
      </c>
      <c r="D9742" s="1" t="s">
        <v>5811</v>
      </c>
      <c r="F9742" s="1" t="s">
        <v>5843</v>
      </c>
      <c r="H9742" s="1" t="s">
        <v>5846</v>
      </c>
      <c r="J9742" s="1" t="s">
        <v>5849</v>
      </c>
      <c r="L9742" s="1" t="s">
        <v>1658</v>
      </c>
      <c r="N9742" s="1" t="s">
        <v>1279</v>
      </c>
      <c r="P9742" s="1" t="s">
        <v>2181</v>
      </c>
      <c r="Q9742" s="30" t="s">
        <v>2565</v>
      </c>
      <c r="R9742" s="33" t="s">
        <v>3474</v>
      </c>
      <c r="S9742">
        <v>35</v>
      </c>
      <c r="T9742" s="1" t="s">
        <v>5815</v>
      </c>
      <c r="U9742" s="1" t="str">
        <f>HYPERLINK("http://ictvonline.org/taxonomy/p/taxonomy-history?taxnode_id=202102402","ICTVonline=202102402")</f>
        <v>ICTVonline=202102402</v>
      </c>
    </row>
    <row r="9743" spans="1:21" x14ac:dyDescent="0.2">
      <c r="A9743" s="3">
        <v>9742</v>
      </c>
      <c r="B9743" s="1" t="s">
        <v>5810</v>
      </c>
      <c r="D9743" s="1" t="s">
        <v>5811</v>
      </c>
      <c r="F9743" s="1" t="s">
        <v>5843</v>
      </c>
      <c r="H9743" s="1" t="s">
        <v>5846</v>
      </c>
      <c r="J9743" s="1" t="s">
        <v>5849</v>
      </c>
      <c r="L9743" s="1" t="s">
        <v>1658</v>
      </c>
      <c r="N9743" s="1" t="s">
        <v>1279</v>
      </c>
      <c r="P9743" s="1" t="s">
        <v>2182</v>
      </c>
      <c r="Q9743" s="30" t="s">
        <v>2565</v>
      </c>
      <c r="R9743" s="33" t="s">
        <v>3474</v>
      </c>
      <c r="S9743">
        <v>35</v>
      </c>
      <c r="T9743" s="1" t="s">
        <v>5815</v>
      </c>
      <c r="U9743" s="1" t="str">
        <f>HYPERLINK("http://ictvonline.org/taxonomy/p/taxonomy-history?taxnode_id=202102403","ICTVonline=202102403")</f>
        <v>ICTVonline=202102403</v>
      </c>
    </row>
    <row r="9744" spans="1:21" x14ac:dyDescent="0.2">
      <c r="A9744" s="3">
        <v>9743</v>
      </c>
      <c r="B9744" s="1" t="s">
        <v>5810</v>
      </c>
      <c r="D9744" s="1" t="s">
        <v>5811</v>
      </c>
      <c r="F9744" s="1" t="s">
        <v>5843</v>
      </c>
      <c r="H9744" s="1" t="s">
        <v>5846</v>
      </c>
      <c r="J9744" s="1" t="s">
        <v>5849</v>
      </c>
      <c r="L9744" s="1" t="s">
        <v>1658</v>
      </c>
      <c r="N9744" s="1" t="s">
        <v>1279</v>
      </c>
      <c r="P9744" s="1" t="s">
        <v>2183</v>
      </c>
      <c r="Q9744" s="30" t="s">
        <v>2565</v>
      </c>
      <c r="R9744" s="33" t="s">
        <v>3474</v>
      </c>
      <c r="S9744">
        <v>35</v>
      </c>
      <c r="T9744" s="1" t="s">
        <v>5815</v>
      </c>
      <c r="U9744" s="1" t="str">
        <f>HYPERLINK("http://ictvonline.org/taxonomy/p/taxonomy-history?taxnode_id=202102404","ICTVonline=202102404")</f>
        <v>ICTVonline=202102404</v>
      </c>
    </row>
    <row r="9745" spans="1:21" x14ac:dyDescent="0.2">
      <c r="A9745" s="3">
        <v>9744</v>
      </c>
      <c r="B9745" s="1" t="s">
        <v>5810</v>
      </c>
      <c r="D9745" s="1" t="s">
        <v>5811</v>
      </c>
      <c r="F9745" s="1" t="s">
        <v>5843</v>
      </c>
      <c r="H9745" s="1" t="s">
        <v>5846</v>
      </c>
      <c r="J9745" s="1" t="s">
        <v>5849</v>
      </c>
      <c r="L9745" s="1" t="s">
        <v>1658</v>
      </c>
      <c r="N9745" s="1" t="s">
        <v>1279</v>
      </c>
      <c r="P9745" s="1" t="s">
        <v>2184</v>
      </c>
      <c r="Q9745" s="30" t="s">
        <v>2565</v>
      </c>
      <c r="R9745" s="33" t="s">
        <v>3474</v>
      </c>
      <c r="S9745">
        <v>35</v>
      </c>
      <c r="T9745" s="1" t="s">
        <v>5815</v>
      </c>
      <c r="U9745" s="1" t="str">
        <f>HYPERLINK("http://ictvonline.org/taxonomy/p/taxonomy-history?taxnode_id=202102405","ICTVonline=202102405")</f>
        <v>ICTVonline=202102405</v>
      </c>
    </row>
    <row r="9746" spans="1:21" x14ac:dyDescent="0.2">
      <c r="A9746" s="3">
        <v>9745</v>
      </c>
      <c r="B9746" s="1" t="s">
        <v>5810</v>
      </c>
      <c r="D9746" s="1" t="s">
        <v>5811</v>
      </c>
      <c r="F9746" s="1" t="s">
        <v>5843</v>
      </c>
      <c r="H9746" s="1" t="s">
        <v>5846</v>
      </c>
      <c r="J9746" s="1" t="s">
        <v>5849</v>
      </c>
      <c r="L9746" s="1" t="s">
        <v>1658</v>
      </c>
      <c r="N9746" s="1" t="s">
        <v>1279</v>
      </c>
      <c r="P9746" s="1" t="s">
        <v>2813</v>
      </c>
      <c r="Q9746" s="30" t="s">
        <v>2565</v>
      </c>
      <c r="R9746" s="33" t="s">
        <v>3474</v>
      </c>
      <c r="S9746">
        <v>35</v>
      </c>
      <c r="T9746" s="1" t="s">
        <v>5815</v>
      </c>
      <c r="U9746" s="1" t="str">
        <f>HYPERLINK("http://ictvonline.org/taxonomy/p/taxonomy-history?taxnode_id=202102406","ICTVonline=202102406")</f>
        <v>ICTVonline=202102406</v>
      </c>
    </row>
    <row r="9747" spans="1:21" x14ac:dyDescent="0.2">
      <c r="A9747" s="3">
        <v>9746</v>
      </c>
      <c r="B9747" s="1" t="s">
        <v>5810</v>
      </c>
      <c r="D9747" s="1" t="s">
        <v>5811</v>
      </c>
      <c r="F9747" s="1" t="s">
        <v>5843</v>
      </c>
      <c r="H9747" s="1" t="s">
        <v>5846</v>
      </c>
      <c r="J9747" s="1" t="s">
        <v>5849</v>
      </c>
      <c r="L9747" s="1" t="s">
        <v>1658</v>
      </c>
      <c r="N9747" s="1" t="s">
        <v>1279</v>
      </c>
      <c r="P9747" s="1" t="s">
        <v>3666</v>
      </c>
      <c r="Q9747" s="30" t="s">
        <v>2565</v>
      </c>
      <c r="R9747" s="33" t="s">
        <v>3474</v>
      </c>
      <c r="S9747">
        <v>35</v>
      </c>
      <c r="T9747" s="1" t="s">
        <v>5815</v>
      </c>
      <c r="U9747" s="1" t="str">
        <f>HYPERLINK("http://ictvonline.org/taxonomy/p/taxonomy-history?taxnode_id=202105653","ICTVonline=202105653")</f>
        <v>ICTVonline=202105653</v>
      </c>
    </row>
    <row r="9748" spans="1:21" x14ac:dyDescent="0.2">
      <c r="A9748" s="3">
        <v>9747</v>
      </c>
      <c r="B9748" s="1" t="s">
        <v>5810</v>
      </c>
      <c r="D9748" s="1" t="s">
        <v>5811</v>
      </c>
      <c r="F9748" s="1" t="s">
        <v>5843</v>
      </c>
      <c r="H9748" s="1" t="s">
        <v>5846</v>
      </c>
      <c r="J9748" s="1" t="s">
        <v>5849</v>
      </c>
      <c r="L9748" s="1" t="s">
        <v>1658</v>
      </c>
      <c r="N9748" s="1" t="s">
        <v>1279</v>
      </c>
      <c r="P9748" s="1" t="s">
        <v>3667</v>
      </c>
      <c r="Q9748" s="30" t="s">
        <v>2565</v>
      </c>
      <c r="R9748" s="33" t="s">
        <v>3474</v>
      </c>
      <c r="S9748">
        <v>35</v>
      </c>
      <c r="T9748" s="1" t="s">
        <v>5815</v>
      </c>
      <c r="U9748" s="1" t="str">
        <f>HYPERLINK("http://ictvonline.org/taxonomy/p/taxonomy-history?taxnode_id=202105654","ICTVonline=202105654")</f>
        <v>ICTVonline=202105654</v>
      </c>
    </row>
    <row r="9749" spans="1:21" x14ac:dyDescent="0.2">
      <c r="A9749" s="3">
        <v>9748</v>
      </c>
      <c r="B9749" s="1" t="s">
        <v>5810</v>
      </c>
      <c r="D9749" s="1" t="s">
        <v>5811</v>
      </c>
      <c r="F9749" s="1" t="s">
        <v>5843</v>
      </c>
      <c r="H9749" s="1" t="s">
        <v>5846</v>
      </c>
      <c r="J9749" s="1" t="s">
        <v>5849</v>
      </c>
      <c r="L9749" s="1" t="s">
        <v>1658</v>
      </c>
      <c r="N9749" s="1" t="s">
        <v>1279</v>
      </c>
      <c r="P9749" s="1" t="s">
        <v>5850</v>
      </c>
      <c r="Q9749" s="30" t="s">
        <v>2565</v>
      </c>
      <c r="R9749" s="33" t="s">
        <v>3472</v>
      </c>
      <c r="S9749">
        <v>35</v>
      </c>
      <c r="T9749" s="1" t="s">
        <v>5851</v>
      </c>
      <c r="U9749" s="1" t="str">
        <f>HYPERLINK("http://ictvonline.org/taxonomy/p/taxonomy-history?taxnode_id=202107192","ICTVonline=202107192")</f>
        <v>ICTVonline=202107192</v>
      </c>
    </row>
    <row r="9750" spans="1:21" x14ac:dyDescent="0.2">
      <c r="A9750" s="3">
        <v>9749</v>
      </c>
      <c r="B9750" s="1" t="s">
        <v>5810</v>
      </c>
      <c r="D9750" s="1" t="s">
        <v>5811</v>
      </c>
      <c r="F9750" s="1" t="s">
        <v>5843</v>
      </c>
      <c r="H9750" s="1" t="s">
        <v>5846</v>
      </c>
      <c r="J9750" s="1" t="s">
        <v>5849</v>
      </c>
      <c r="L9750" s="1" t="s">
        <v>1658</v>
      </c>
      <c r="N9750" s="1" t="s">
        <v>1279</v>
      </c>
      <c r="P9750" s="1" t="s">
        <v>2185</v>
      </c>
      <c r="Q9750" s="30" t="s">
        <v>2565</v>
      </c>
      <c r="R9750" s="33" t="s">
        <v>3474</v>
      </c>
      <c r="S9750">
        <v>35</v>
      </c>
      <c r="T9750" s="1" t="s">
        <v>5815</v>
      </c>
      <c r="U9750" s="1" t="str">
        <f>HYPERLINK("http://ictvonline.org/taxonomy/p/taxonomy-history?taxnode_id=202102407","ICTVonline=202102407")</f>
        <v>ICTVonline=202102407</v>
      </c>
    </row>
    <row r="9751" spans="1:21" x14ac:dyDescent="0.2">
      <c r="A9751" s="3">
        <v>9750</v>
      </c>
      <c r="B9751" s="1" t="s">
        <v>5810</v>
      </c>
      <c r="D9751" s="1" t="s">
        <v>5811</v>
      </c>
      <c r="F9751" s="1" t="s">
        <v>5843</v>
      </c>
      <c r="H9751" s="1" t="s">
        <v>5846</v>
      </c>
      <c r="J9751" s="1" t="s">
        <v>5849</v>
      </c>
      <c r="L9751" s="1" t="s">
        <v>1658</v>
      </c>
      <c r="N9751" s="1" t="s">
        <v>1279</v>
      </c>
      <c r="P9751" s="1" t="s">
        <v>2814</v>
      </c>
      <c r="Q9751" s="30" t="s">
        <v>2565</v>
      </c>
      <c r="R9751" s="33" t="s">
        <v>3474</v>
      </c>
      <c r="S9751">
        <v>35</v>
      </c>
      <c r="T9751" s="1" t="s">
        <v>5815</v>
      </c>
      <c r="U9751" s="1" t="str">
        <f>HYPERLINK("http://ictvonline.org/taxonomy/p/taxonomy-history?taxnode_id=202102408","ICTVonline=202102408")</f>
        <v>ICTVonline=202102408</v>
      </c>
    </row>
    <row r="9752" spans="1:21" x14ac:dyDescent="0.2">
      <c r="A9752" s="3">
        <v>9751</v>
      </c>
      <c r="B9752" s="1" t="s">
        <v>5810</v>
      </c>
      <c r="D9752" s="1" t="s">
        <v>5811</v>
      </c>
      <c r="F9752" s="1" t="s">
        <v>5843</v>
      </c>
      <c r="H9752" s="1" t="s">
        <v>5846</v>
      </c>
      <c r="J9752" s="1" t="s">
        <v>5849</v>
      </c>
      <c r="L9752" s="1" t="s">
        <v>1658</v>
      </c>
      <c r="N9752" s="1" t="s">
        <v>1279</v>
      </c>
      <c r="P9752" s="1" t="s">
        <v>2815</v>
      </c>
      <c r="Q9752" s="30" t="s">
        <v>2565</v>
      </c>
      <c r="R9752" s="33" t="s">
        <v>3474</v>
      </c>
      <c r="S9752">
        <v>35</v>
      </c>
      <c r="T9752" s="1" t="s">
        <v>5815</v>
      </c>
      <c r="U9752" s="1" t="str">
        <f>HYPERLINK("http://ictvonline.org/taxonomy/p/taxonomy-history?taxnode_id=202102409","ICTVonline=202102409")</f>
        <v>ICTVonline=202102409</v>
      </c>
    </row>
    <row r="9753" spans="1:21" x14ac:dyDescent="0.2">
      <c r="A9753" s="3">
        <v>9752</v>
      </c>
      <c r="B9753" s="1" t="s">
        <v>5810</v>
      </c>
      <c r="D9753" s="1" t="s">
        <v>5811</v>
      </c>
      <c r="F9753" s="1" t="s">
        <v>5843</v>
      </c>
      <c r="H9753" s="1" t="s">
        <v>5846</v>
      </c>
      <c r="J9753" s="1" t="s">
        <v>5849</v>
      </c>
      <c r="L9753" s="1" t="s">
        <v>1658</v>
      </c>
      <c r="N9753" s="1" t="s">
        <v>922</v>
      </c>
      <c r="P9753" s="1" t="s">
        <v>2186</v>
      </c>
      <c r="Q9753" s="30" t="s">
        <v>2565</v>
      </c>
      <c r="R9753" s="33" t="s">
        <v>8665</v>
      </c>
      <c r="S9753">
        <v>36</v>
      </c>
      <c r="T9753" s="1" t="s">
        <v>8661</v>
      </c>
      <c r="U9753" s="1" t="str">
        <f>HYPERLINK("http://ictvonline.org/taxonomy/p/taxonomy-history?taxnode_id=202102411","ICTVonline=202102411")</f>
        <v>ICTVonline=202102411</v>
      </c>
    </row>
    <row r="9754" spans="1:21" x14ac:dyDescent="0.2">
      <c r="A9754" s="3">
        <v>9753</v>
      </c>
      <c r="B9754" s="1" t="s">
        <v>5810</v>
      </c>
      <c r="D9754" s="1" t="s">
        <v>5811</v>
      </c>
      <c r="F9754" s="1" t="s">
        <v>5843</v>
      </c>
      <c r="H9754" s="1" t="s">
        <v>5846</v>
      </c>
      <c r="J9754" s="1" t="s">
        <v>5849</v>
      </c>
      <c r="L9754" s="1" t="s">
        <v>1658</v>
      </c>
      <c r="N9754" s="1" t="s">
        <v>1334</v>
      </c>
      <c r="P9754" s="1" t="s">
        <v>2187</v>
      </c>
      <c r="Q9754" s="30" t="s">
        <v>2565</v>
      </c>
      <c r="R9754" s="33" t="s">
        <v>3474</v>
      </c>
      <c r="S9754">
        <v>35</v>
      </c>
      <c r="T9754" s="1" t="s">
        <v>5815</v>
      </c>
      <c r="U9754" s="1" t="str">
        <f>HYPERLINK("http://ictvonline.org/taxonomy/p/taxonomy-history?taxnode_id=202102413","ICTVonline=202102413")</f>
        <v>ICTVonline=202102413</v>
      </c>
    </row>
    <row r="9755" spans="1:21" x14ac:dyDescent="0.2">
      <c r="A9755" s="3">
        <v>9754</v>
      </c>
      <c r="B9755" s="1" t="s">
        <v>5810</v>
      </c>
      <c r="D9755" s="1" t="s">
        <v>5811</v>
      </c>
      <c r="F9755" s="1" t="s">
        <v>5843</v>
      </c>
      <c r="H9755" s="1" t="s">
        <v>5846</v>
      </c>
      <c r="J9755" s="1" t="s">
        <v>5849</v>
      </c>
      <c r="L9755" s="1" t="s">
        <v>1658</v>
      </c>
      <c r="N9755" s="1" t="s">
        <v>1334</v>
      </c>
      <c r="P9755" s="1" t="s">
        <v>2188</v>
      </c>
      <c r="Q9755" s="30" t="s">
        <v>2565</v>
      </c>
      <c r="R9755" s="33" t="s">
        <v>3474</v>
      </c>
      <c r="S9755">
        <v>35</v>
      </c>
      <c r="T9755" s="1" t="s">
        <v>5815</v>
      </c>
      <c r="U9755" s="1" t="str">
        <f>HYPERLINK("http://ictvonline.org/taxonomy/p/taxonomy-history?taxnode_id=202102414","ICTVonline=202102414")</f>
        <v>ICTVonline=202102414</v>
      </c>
    </row>
    <row r="9756" spans="1:21" x14ac:dyDescent="0.2">
      <c r="A9756" s="3">
        <v>9755</v>
      </c>
      <c r="B9756" s="1" t="s">
        <v>5810</v>
      </c>
      <c r="D9756" s="1" t="s">
        <v>5811</v>
      </c>
      <c r="F9756" s="1" t="s">
        <v>5843</v>
      </c>
      <c r="H9756" s="1" t="s">
        <v>5846</v>
      </c>
      <c r="J9756" s="1" t="s">
        <v>5849</v>
      </c>
      <c r="L9756" s="1" t="s">
        <v>1658</v>
      </c>
      <c r="N9756" s="1" t="s">
        <v>1334</v>
      </c>
      <c r="P9756" s="1" t="s">
        <v>3668</v>
      </c>
      <c r="Q9756" s="30" t="s">
        <v>2565</v>
      </c>
      <c r="R9756" s="33" t="s">
        <v>3474</v>
      </c>
      <c r="S9756">
        <v>35</v>
      </c>
      <c r="T9756" s="1" t="s">
        <v>5815</v>
      </c>
      <c r="U9756" s="1" t="str">
        <f>HYPERLINK("http://ictvonline.org/taxonomy/p/taxonomy-history?taxnode_id=202105655","ICTVonline=202105655")</f>
        <v>ICTVonline=202105655</v>
      </c>
    </row>
    <row r="9757" spans="1:21" x14ac:dyDescent="0.2">
      <c r="A9757" s="3">
        <v>9756</v>
      </c>
      <c r="B9757" s="1" t="s">
        <v>5810</v>
      </c>
      <c r="D9757" s="1" t="s">
        <v>5811</v>
      </c>
      <c r="F9757" s="1" t="s">
        <v>5843</v>
      </c>
      <c r="H9757" s="1" t="s">
        <v>5846</v>
      </c>
      <c r="J9757" s="1" t="s">
        <v>5849</v>
      </c>
      <c r="L9757" s="1" t="s">
        <v>1658</v>
      </c>
      <c r="N9757" s="1" t="s">
        <v>1334</v>
      </c>
      <c r="P9757" s="1" t="s">
        <v>3669</v>
      </c>
      <c r="Q9757" s="30" t="s">
        <v>2565</v>
      </c>
      <c r="R9757" s="33" t="s">
        <v>3474</v>
      </c>
      <c r="S9757">
        <v>35</v>
      </c>
      <c r="T9757" s="1" t="s">
        <v>5815</v>
      </c>
      <c r="U9757" s="1" t="str">
        <f>HYPERLINK("http://ictvonline.org/taxonomy/p/taxonomy-history?taxnode_id=202105656","ICTVonline=202105656")</f>
        <v>ICTVonline=202105656</v>
      </c>
    </row>
    <row r="9758" spans="1:21" x14ac:dyDescent="0.2">
      <c r="A9758" s="3">
        <v>9757</v>
      </c>
      <c r="B9758" s="1" t="s">
        <v>5810</v>
      </c>
      <c r="D9758" s="1" t="s">
        <v>5811</v>
      </c>
      <c r="F9758" s="1" t="s">
        <v>5843</v>
      </c>
      <c r="H9758" s="1" t="s">
        <v>5846</v>
      </c>
      <c r="J9758" s="1" t="s">
        <v>5849</v>
      </c>
      <c r="L9758" s="1" t="s">
        <v>1658</v>
      </c>
      <c r="N9758" s="1" t="s">
        <v>1334</v>
      </c>
      <c r="P9758" s="1" t="s">
        <v>3670</v>
      </c>
      <c r="Q9758" s="30" t="s">
        <v>2565</v>
      </c>
      <c r="R9758" s="33" t="s">
        <v>3474</v>
      </c>
      <c r="S9758">
        <v>35</v>
      </c>
      <c r="T9758" s="1" t="s">
        <v>5815</v>
      </c>
      <c r="U9758" s="1" t="str">
        <f>HYPERLINK("http://ictvonline.org/taxonomy/p/taxonomy-history?taxnode_id=202105657","ICTVonline=202105657")</f>
        <v>ICTVonline=202105657</v>
      </c>
    </row>
    <row r="9759" spans="1:21" x14ac:dyDescent="0.2">
      <c r="A9759" s="3">
        <v>9758</v>
      </c>
      <c r="B9759" s="1" t="s">
        <v>5810</v>
      </c>
      <c r="D9759" s="1" t="s">
        <v>5811</v>
      </c>
      <c r="F9759" s="1" t="s">
        <v>5843</v>
      </c>
      <c r="H9759" s="1" t="s">
        <v>5846</v>
      </c>
      <c r="J9759" s="1" t="s">
        <v>5849</v>
      </c>
      <c r="L9759" s="1" t="s">
        <v>1658</v>
      </c>
      <c r="N9759" s="1" t="s">
        <v>1334</v>
      </c>
      <c r="P9759" s="1" t="s">
        <v>3671</v>
      </c>
      <c r="Q9759" s="30" t="s">
        <v>2565</v>
      </c>
      <c r="R9759" s="33" t="s">
        <v>3474</v>
      </c>
      <c r="S9759">
        <v>35</v>
      </c>
      <c r="T9759" s="1" t="s">
        <v>5815</v>
      </c>
      <c r="U9759" s="1" t="str">
        <f>HYPERLINK("http://ictvonline.org/taxonomy/p/taxonomy-history?taxnode_id=202105658","ICTVonline=202105658")</f>
        <v>ICTVonline=202105658</v>
      </c>
    </row>
    <row r="9760" spans="1:21" x14ac:dyDescent="0.2">
      <c r="A9760" s="3">
        <v>9759</v>
      </c>
      <c r="B9760" s="1" t="s">
        <v>5810</v>
      </c>
      <c r="D9760" s="1" t="s">
        <v>5811</v>
      </c>
      <c r="F9760" s="1" t="s">
        <v>5843</v>
      </c>
      <c r="H9760" s="1" t="s">
        <v>5846</v>
      </c>
      <c r="J9760" s="1" t="s">
        <v>5849</v>
      </c>
      <c r="L9760" s="1" t="s">
        <v>1658</v>
      </c>
      <c r="N9760" s="1" t="s">
        <v>1334</v>
      </c>
      <c r="P9760" s="1" t="s">
        <v>3672</v>
      </c>
      <c r="Q9760" s="30" t="s">
        <v>2565</v>
      </c>
      <c r="R9760" s="33" t="s">
        <v>3474</v>
      </c>
      <c r="S9760">
        <v>35</v>
      </c>
      <c r="T9760" s="1" t="s">
        <v>5815</v>
      </c>
      <c r="U9760" s="1" t="str">
        <f>HYPERLINK("http://ictvonline.org/taxonomy/p/taxonomy-history?taxnode_id=202105659","ICTVonline=202105659")</f>
        <v>ICTVonline=202105659</v>
      </c>
    </row>
    <row r="9761" spans="1:21" x14ac:dyDescent="0.2">
      <c r="A9761" s="3">
        <v>9760</v>
      </c>
      <c r="B9761" s="1" t="s">
        <v>5810</v>
      </c>
      <c r="D9761" s="1" t="s">
        <v>5811</v>
      </c>
      <c r="F9761" s="1" t="s">
        <v>5843</v>
      </c>
      <c r="H9761" s="1" t="s">
        <v>5846</v>
      </c>
      <c r="J9761" s="1" t="s">
        <v>5849</v>
      </c>
      <c r="L9761" s="1" t="s">
        <v>1658</v>
      </c>
      <c r="N9761" s="1" t="s">
        <v>1334</v>
      </c>
      <c r="P9761" s="1" t="s">
        <v>5852</v>
      </c>
      <c r="Q9761" s="30" t="s">
        <v>2565</v>
      </c>
      <c r="R9761" s="33" t="s">
        <v>3472</v>
      </c>
      <c r="S9761">
        <v>35</v>
      </c>
      <c r="T9761" s="1" t="s">
        <v>5851</v>
      </c>
      <c r="U9761" s="1" t="str">
        <f>HYPERLINK("http://ictvonline.org/taxonomy/p/taxonomy-history?taxnode_id=202107193","ICTVonline=202107193")</f>
        <v>ICTVonline=202107193</v>
      </c>
    </row>
    <row r="9762" spans="1:21" x14ac:dyDescent="0.2">
      <c r="A9762" s="3">
        <v>9761</v>
      </c>
      <c r="B9762" s="1" t="s">
        <v>5810</v>
      </c>
      <c r="D9762" s="1" t="s">
        <v>5811</v>
      </c>
      <c r="F9762" s="1" t="s">
        <v>5843</v>
      </c>
      <c r="H9762" s="1" t="s">
        <v>5846</v>
      </c>
      <c r="J9762" s="1" t="s">
        <v>5849</v>
      </c>
      <c r="L9762" s="1" t="s">
        <v>1658</v>
      </c>
      <c r="N9762" s="1" t="s">
        <v>1334</v>
      </c>
      <c r="P9762" s="1" t="s">
        <v>5853</v>
      </c>
      <c r="Q9762" s="30" t="s">
        <v>2565</v>
      </c>
      <c r="R9762" s="33" t="s">
        <v>3472</v>
      </c>
      <c r="S9762">
        <v>35</v>
      </c>
      <c r="T9762" s="1" t="s">
        <v>5851</v>
      </c>
      <c r="U9762" s="1" t="str">
        <f>HYPERLINK("http://ictvonline.org/taxonomy/p/taxonomy-history?taxnode_id=202107194","ICTVonline=202107194")</f>
        <v>ICTVonline=202107194</v>
      </c>
    </row>
    <row r="9763" spans="1:21" x14ac:dyDescent="0.2">
      <c r="A9763" s="3">
        <v>9762</v>
      </c>
      <c r="B9763" s="1" t="s">
        <v>5810</v>
      </c>
      <c r="D9763" s="1" t="s">
        <v>5811</v>
      </c>
      <c r="F9763" s="1" t="s">
        <v>5843</v>
      </c>
      <c r="H9763" s="1" t="s">
        <v>5846</v>
      </c>
      <c r="J9763" s="1" t="s">
        <v>5849</v>
      </c>
      <c r="L9763" s="1" t="s">
        <v>1658</v>
      </c>
      <c r="N9763" s="1" t="s">
        <v>1334</v>
      </c>
      <c r="P9763" s="1" t="s">
        <v>5854</v>
      </c>
      <c r="Q9763" s="30" t="s">
        <v>2565</v>
      </c>
      <c r="R9763" s="33" t="s">
        <v>3472</v>
      </c>
      <c r="S9763">
        <v>35</v>
      </c>
      <c r="T9763" s="1" t="s">
        <v>5851</v>
      </c>
      <c r="U9763" s="1" t="str">
        <f>HYPERLINK("http://ictvonline.org/taxonomy/p/taxonomy-history?taxnode_id=202107195","ICTVonline=202107195")</f>
        <v>ICTVonline=202107195</v>
      </c>
    </row>
    <row r="9764" spans="1:21" x14ac:dyDescent="0.2">
      <c r="A9764" s="3">
        <v>9763</v>
      </c>
      <c r="B9764" s="1" t="s">
        <v>5810</v>
      </c>
      <c r="D9764" s="1" t="s">
        <v>5811</v>
      </c>
      <c r="F9764" s="1" t="s">
        <v>5843</v>
      </c>
      <c r="H9764" s="1" t="s">
        <v>5846</v>
      </c>
      <c r="J9764" s="1" t="s">
        <v>5849</v>
      </c>
      <c r="L9764" s="1" t="s">
        <v>1658</v>
      </c>
      <c r="N9764" s="1" t="s">
        <v>1334</v>
      </c>
      <c r="P9764" s="1" t="s">
        <v>2189</v>
      </c>
      <c r="Q9764" s="30" t="s">
        <v>2565</v>
      </c>
      <c r="R9764" s="33" t="s">
        <v>8665</v>
      </c>
      <c r="S9764">
        <v>36</v>
      </c>
      <c r="T9764" s="1" t="s">
        <v>8661</v>
      </c>
      <c r="U9764" s="1" t="str">
        <f>HYPERLINK("http://ictvonline.org/taxonomy/p/taxonomy-history?taxnode_id=202102415","ICTVonline=202102415")</f>
        <v>ICTVonline=202102415</v>
      </c>
    </row>
    <row r="9765" spans="1:21" x14ac:dyDescent="0.2">
      <c r="A9765" s="3">
        <v>9764</v>
      </c>
      <c r="B9765" s="1" t="s">
        <v>5810</v>
      </c>
      <c r="D9765" s="1" t="s">
        <v>5811</v>
      </c>
      <c r="F9765" s="1" t="s">
        <v>5843</v>
      </c>
      <c r="H9765" s="1" t="s">
        <v>5846</v>
      </c>
      <c r="J9765" s="1" t="s">
        <v>5849</v>
      </c>
      <c r="L9765" s="1" t="s">
        <v>1658</v>
      </c>
      <c r="N9765" s="1" t="s">
        <v>1334</v>
      </c>
      <c r="P9765" s="1" t="s">
        <v>2190</v>
      </c>
      <c r="Q9765" s="30" t="s">
        <v>2565</v>
      </c>
      <c r="R9765" s="33" t="s">
        <v>8665</v>
      </c>
      <c r="S9765">
        <v>36</v>
      </c>
      <c r="T9765" s="1" t="s">
        <v>8661</v>
      </c>
      <c r="U9765" s="1" t="str">
        <f>HYPERLINK("http://ictvonline.org/taxonomy/p/taxonomy-history?taxnode_id=202102416","ICTVonline=202102416")</f>
        <v>ICTVonline=202102416</v>
      </c>
    </row>
    <row r="9766" spans="1:21" x14ac:dyDescent="0.2">
      <c r="A9766" s="3">
        <v>9765</v>
      </c>
      <c r="B9766" s="1" t="s">
        <v>5810</v>
      </c>
      <c r="D9766" s="1" t="s">
        <v>5811</v>
      </c>
      <c r="F9766" s="1" t="s">
        <v>5843</v>
      </c>
      <c r="H9766" s="1" t="s">
        <v>5846</v>
      </c>
      <c r="J9766" s="1" t="s">
        <v>5849</v>
      </c>
      <c r="L9766" s="1" t="s">
        <v>1658</v>
      </c>
      <c r="N9766" s="1" t="s">
        <v>1334</v>
      </c>
      <c r="P9766" s="1" t="s">
        <v>2191</v>
      </c>
      <c r="Q9766" s="30" t="s">
        <v>2565</v>
      </c>
      <c r="R9766" s="33" t="s">
        <v>3474</v>
      </c>
      <c r="S9766">
        <v>35</v>
      </c>
      <c r="T9766" s="1" t="s">
        <v>5815</v>
      </c>
      <c r="U9766" s="1" t="str">
        <f>HYPERLINK("http://ictvonline.org/taxonomy/p/taxonomy-history?taxnode_id=202102417","ICTVonline=202102417")</f>
        <v>ICTVonline=202102417</v>
      </c>
    </row>
    <row r="9767" spans="1:21" x14ac:dyDescent="0.2">
      <c r="A9767" s="3">
        <v>9766</v>
      </c>
      <c r="B9767" s="1" t="s">
        <v>5810</v>
      </c>
      <c r="D9767" s="1" t="s">
        <v>5811</v>
      </c>
      <c r="F9767" s="1" t="s">
        <v>5843</v>
      </c>
      <c r="H9767" s="1" t="s">
        <v>5846</v>
      </c>
      <c r="J9767" s="1" t="s">
        <v>5849</v>
      </c>
      <c r="L9767" s="1" t="s">
        <v>1658</v>
      </c>
      <c r="N9767" s="1" t="s">
        <v>1334</v>
      </c>
      <c r="P9767" s="1" t="s">
        <v>2192</v>
      </c>
      <c r="Q9767" s="30" t="s">
        <v>2565</v>
      </c>
      <c r="R9767" s="33" t="s">
        <v>3474</v>
      </c>
      <c r="S9767">
        <v>35</v>
      </c>
      <c r="T9767" s="1" t="s">
        <v>5815</v>
      </c>
      <c r="U9767" s="1" t="str">
        <f>HYPERLINK("http://ictvonline.org/taxonomy/p/taxonomy-history?taxnode_id=202102418","ICTVonline=202102418")</f>
        <v>ICTVonline=202102418</v>
      </c>
    </row>
    <row r="9768" spans="1:21" x14ac:dyDescent="0.2">
      <c r="A9768" s="3">
        <v>9767</v>
      </c>
      <c r="B9768" s="1" t="s">
        <v>5810</v>
      </c>
      <c r="D9768" s="1" t="s">
        <v>5811</v>
      </c>
      <c r="F9768" s="1" t="s">
        <v>5843</v>
      </c>
      <c r="H9768" s="1" t="s">
        <v>5846</v>
      </c>
      <c r="J9768" s="1" t="s">
        <v>5849</v>
      </c>
      <c r="L9768" s="1" t="s">
        <v>1658</v>
      </c>
      <c r="N9768" s="1" t="s">
        <v>1334</v>
      </c>
      <c r="P9768" s="1" t="s">
        <v>3673</v>
      </c>
      <c r="Q9768" s="30" t="s">
        <v>2565</v>
      </c>
      <c r="R9768" s="33" t="s">
        <v>3474</v>
      </c>
      <c r="S9768">
        <v>35</v>
      </c>
      <c r="T9768" s="1" t="s">
        <v>5815</v>
      </c>
      <c r="U9768" s="1" t="str">
        <f>HYPERLINK("http://ictvonline.org/taxonomy/p/taxonomy-history?taxnode_id=202105660","ICTVonline=202105660")</f>
        <v>ICTVonline=202105660</v>
      </c>
    </row>
    <row r="9769" spans="1:21" x14ac:dyDescent="0.2">
      <c r="A9769" s="3">
        <v>9768</v>
      </c>
      <c r="B9769" s="1" t="s">
        <v>5810</v>
      </c>
      <c r="D9769" s="1" t="s">
        <v>5811</v>
      </c>
      <c r="F9769" s="1" t="s">
        <v>5843</v>
      </c>
      <c r="H9769" s="1" t="s">
        <v>5846</v>
      </c>
      <c r="J9769" s="1" t="s">
        <v>5849</v>
      </c>
      <c r="L9769" s="1" t="s">
        <v>1658</v>
      </c>
      <c r="N9769" s="1" t="s">
        <v>1334</v>
      </c>
      <c r="P9769" s="1" t="s">
        <v>3270</v>
      </c>
      <c r="Q9769" s="30" t="s">
        <v>2565</v>
      </c>
      <c r="R9769" s="33" t="s">
        <v>3474</v>
      </c>
      <c r="S9769">
        <v>35</v>
      </c>
      <c r="T9769" s="1" t="s">
        <v>5815</v>
      </c>
      <c r="U9769" s="1" t="str">
        <f>HYPERLINK("http://ictvonline.org/taxonomy/p/taxonomy-history?taxnode_id=202102419","ICTVonline=202102419")</f>
        <v>ICTVonline=202102419</v>
      </c>
    </row>
    <row r="9770" spans="1:21" x14ac:dyDescent="0.2">
      <c r="A9770" s="3">
        <v>9769</v>
      </c>
      <c r="B9770" s="1" t="s">
        <v>5810</v>
      </c>
      <c r="D9770" s="1" t="s">
        <v>5811</v>
      </c>
      <c r="F9770" s="1" t="s">
        <v>5843</v>
      </c>
      <c r="H9770" s="1" t="s">
        <v>5846</v>
      </c>
      <c r="J9770" s="1" t="s">
        <v>5849</v>
      </c>
      <c r="L9770" s="1" t="s">
        <v>1658</v>
      </c>
      <c r="N9770" s="1" t="s">
        <v>1334</v>
      </c>
      <c r="P9770" s="1" t="s">
        <v>3674</v>
      </c>
      <c r="Q9770" s="30" t="s">
        <v>2565</v>
      </c>
      <c r="R9770" s="33" t="s">
        <v>3474</v>
      </c>
      <c r="S9770">
        <v>35</v>
      </c>
      <c r="T9770" s="1" t="s">
        <v>5815</v>
      </c>
      <c r="U9770" s="1" t="str">
        <f>HYPERLINK("http://ictvonline.org/taxonomy/p/taxonomy-history?taxnode_id=202105661","ICTVonline=202105661")</f>
        <v>ICTVonline=202105661</v>
      </c>
    </row>
    <row r="9771" spans="1:21" x14ac:dyDescent="0.2">
      <c r="A9771" s="3">
        <v>9770</v>
      </c>
      <c r="B9771" s="1" t="s">
        <v>5810</v>
      </c>
      <c r="D9771" s="1" t="s">
        <v>5811</v>
      </c>
      <c r="F9771" s="1" t="s">
        <v>5843</v>
      </c>
      <c r="H9771" s="1" t="s">
        <v>5846</v>
      </c>
      <c r="J9771" s="1" t="s">
        <v>5849</v>
      </c>
      <c r="L9771" s="1" t="s">
        <v>1658</v>
      </c>
      <c r="N9771" s="1" t="s">
        <v>1334</v>
      </c>
      <c r="P9771" s="1" t="s">
        <v>2193</v>
      </c>
      <c r="Q9771" s="30" t="s">
        <v>2565</v>
      </c>
      <c r="R9771" s="33" t="s">
        <v>3474</v>
      </c>
      <c r="S9771">
        <v>35</v>
      </c>
      <c r="T9771" s="1" t="s">
        <v>5815</v>
      </c>
      <c r="U9771" s="1" t="str">
        <f>HYPERLINK("http://ictvonline.org/taxonomy/p/taxonomy-history?taxnode_id=202102420","ICTVonline=202102420")</f>
        <v>ICTVonline=202102420</v>
      </c>
    </row>
    <row r="9772" spans="1:21" x14ac:dyDescent="0.2">
      <c r="A9772" s="3">
        <v>9771</v>
      </c>
      <c r="B9772" s="1" t="s">
        <v>5810</v>
      </c>
      <c r="D9772" s="1" t="s">
        <v>5811</v>
      </c>
      <c r="F9772" s="1" t="s">
        <v>5843</v>
      </c>
      <c r="H9772" s="1" t="s">
        <v>5846</v>
      </c>
      <c r="J9772" s="1" t="s">
        <v>5849</v>
      </c>
      <c r="L9772" s="1" t="s">
        <v>1658</v>
      </c>
      <c r="N9772" s="1" t="s">
        <v>1334</v>
      </c>
      <c r="P9772" s="1" t="s">
        <v>2194</v>
      </c>
      <c r="Q9772" s="30" t="s">
        <v>2565</v>
      </c>
      <c r="R9772" s="33" t="s">
        <v>3474</v>
      </c>
      <c r="S9772">
        <v>35</v>
      </c>
      <c r="T9772" s="1" t="s">
        <v>5815</v>
      </c>
      <c r="U9772" s="1" t="str">
        <f>HYPERLINK("http://ictvonline.org/taxonomy/p/taxonomy-history?taxnode_id=202102421","ICTVonline=202102421")</f>
        <v>ICTVonline=202102421</v>
      </c>
    </row>
    <row r="9773" spans="1:21" x14ac:dyDescent="0.2">
      <c r="A9773" s="3">
        <v>9772</v>
      </c>
      <c r="B9773" s="1" t="s">
        <v>5810</v>
      </c>
      <c r="D9773" s="1" t="s">
        <v>5811</v>
      </c>
      <c r="F9773" s="1" t="s">
        <v>5843</v>
      </c>
      <c r="H9773" s="1" t="s">
        <v>5846</v>
      </c>
      <c r="J9773" s="1" t="s">
        <v>5849</v>
      </c>
      <c r="L9773" s="1" t="s">
        <v>1658</v>
      </c>
      <c r="N9773" s="1" t="s">
        <v>1334</v>
      </c>
      <c r="P9773" s="1" t="s">
        <v>8401</v>
      </c>
      <c r="Q9773" s="30" t="s">
        <v>2565</v>
      </c>
      <c r="R9773" s="33" t="s">
        <v>3472</v>
      </c>
      <c r="S9773">
        <v>36</v>
      </c>
      <c r="T9773" s="1" t="s">
        <v>8399</v>
      </c>
      <c r="U9773" s="1" t="str">
        <f>HYPERLINK("http://ictvonline.org/taxonomy/p/taxonomy-history?taxnode_id=202109162","ICTVonline=202109162")</f>
        <v>ICTVonline=202109162</v>
      </c>
    </row>
    <row r="9774" spans="1:21" x14ac:dyDescent="0.2">
      <c r="A9774" s="3">
        <v>9773</v>
      </c>
      <c r="B9774" s="1" t="s">
        <v>5810</v>
      </c>
      <c r="D9774" s="1" t="s">
        <v>5811</v>
      </c>
      <c r="F9774" s="1" t="s">
        <v>5843</v>
      </c>
      <c r="H9774" s="1" t="s">
        <v>5846</v>
      </c>
      <c r="J9774" s="1" t="s">
        <v>5849</v>
      </c>
      <c r="L9774" s="1" t="s">
        <v>1658</v>
      </c>
      <c r="N9774" s="1" t="s">
        <v>1334</v>
      </c>
      <c r="P9774" s="1" t="s">
        <v>2195</v>
      </c>
      <c r="Q9774" s="30" t="s">
        <v>2565</v>
      </c>
      <c r="R9774" s="33" t="s">
        <v>8665</v>
      </c>
      <c r="S9774">
        <v>36</v>
      </c>
      <c r="T9774" s="1" t="s">
        <v>8661</v>
      </c>
      <c r="U9774" s="1" t="str">
        <f>HYPERLINK("http://ictvonline.org/taxonomy/p/taxonomy-history?taxnode_id=202102422","ICTVonline=202102422")</f>
        <v>ICTVonline=202102422</v>
      </c>
    </row>
    <row r="9775" spans="1:21" x14ac:dyDescent="0.2">
      <c r="A9775" s="3">
        <v>9774</v>
      </c>
      <c r="B9775" s="1" t="s">
        <v>5810</v>
      </c>
      <c r="D9775" s="1" t="s">
        <v>5811</v>
      </c>
      <c r="F9775" s="1" t="s">
        <v>5843</v>
      </c>
      <c r="H9775" s="1" t="s">
        <v>5846</v>
      </c>
      <c r="J9775" s="1" t="s">
        <v>5849</v>
      </c>
      <c r="L9775" s="1" t="s">
        <v>1658</v>
      </c>
      <c r="N9775" s="1" t="s">
        <v>1334</v>
      </c>
      <c r="P9775" s="1" t="s">
        <v>2196</v>
      </c>
      <c r="Q9775" s="30" t="s">
        <v>2565</v>
      </c>
      <c r="R9775" s="33" t="s">
        <v>8665</v>
      </c>
      <c r="S9775">
        <v>36</v>
      </c>
      <c r="T9775" s="1" t="s">
        <v>8661</v>
      </c>
      <c r="U9775" s="1" t="str">
        <f>HYPERLINK("http://ictvonline.org/taxonomy/p/taxonomy-history?taxnode_id=202102423","ICTVonline=202102423")</f>
        <v>ICTVonline=202102423</v>
      </c>
    </row>
    <row r="9776" spans="1:21" x14ac:dyDescent="0.2">
      <c r="A9776" s="3">
        <v>9775</v>
      </c>
      <c r="B9776" s="1" t="s">
        <v>5810</v>
      </c>
      <c r="D9776" s="1" t="s">
        <v>5811</v>
      </c>
      <c r="F9776" s="1" t="s">
        <v>5843</v>
      </c>
      <c r="H9776" s="1" t="s">
        <v>5846</v>
      </c>
      <c r="J9776" s="1" t="s">
        <v>5849</v>
      </c>
      <c r="L9776" s="1" t="s">
        <v>1658</v>
      </c>
      <c r="N9776" s="1" t="s">
        <v>1334</v>
      </c>
      <c r="P9776" s="1" t="s">
        <v>2197</v>
      </c>
      <c r="Q9776" s="30" t="s">
        <v>2565</v>
      </c>
      <c r="R9776" s="33" t="s">
        <v>8665</v>
      </c>
      <c r="S9776">
        <v>36</v>
      </c>
      <c r="T9776" s="1" t="s">
        <v>8661</v>
      </c>
      <c r="U9776" s="1" t="str">
        <f>HYPERLINK("http://ictvonline.org/taxonomy/p/taxonomy-history?taxnode_id=202102424","ICTVonline=202102424")</f>
        <v>ICTVonline=202102424</v>
      </c>
    </row>
    <row r="9777" spans="1:21" x14ac:dyDescent="0.2">
      <c r="A9777" s="3">
        <v>9776</v>
      </c>
      <c r="B9777" s="1" t="s">
        <v>5810</v>
      </c>
      <c r="D9777" s="1" t="s">
        <v>5811</v>
      </c>
      <c r="F9777" s="1" t="s">
        <v>5843</v>
      </c>
      <c r="H9777" s="1" t="s">
        <v>5846</v>
      </c>
      <c r="J9777" s="1" t="s">
        <v>5849</v>
      </c>
      <c r="L9777" s="1" t="s">
        <v>1658</v>
      </c>
      <c r="N9777" s="1" t="s">
        <v>1334</v>
      </c>
      <c r="P9777" s="1" t="s">
        <v>2198</v>
      </c>
      <c r="Q9777" s="30" t="s">
        <v>2565</v>
      </c>
      <c r="R9777" s="33" t="s">
        <v>8665</v>
      </c>
      <c r="S9777">
        <v>36</v>
      </c>
      <c r="T9777" s="1" t="s">
        <v>8661</v>
      </c>
      <c r="U9777" s="1" t="str">
        <f>HYPERLINK("http://ictvonline.org/taxonomy/p/taxonomy-history?taxnode_id=202102425","ICTVonline=202102425")</f>
        <v>ICTVonline=202102425</v>
      </c>
    </row>
    <row r="9778" spans="1:21" x14ac:dyDescent="0.2">
      <c r="A9778" s="3">
        <v>9777</v>
      </c>
      <c r="B9778" s="1" t="s">
        <v>5810</v>
      </c>
      <c r="D9778" s="1" t="s">
        <v>5811</v>
      </c>
      <c r="F9778" s="1" t="s">
        <v>5843</v>
      </c>
      <c r="H9778" s="1" t="s">
        <v>5846</v>
      </c>
      <c r="J9778" s="1" t="s">
        <v>5849</v>
      </c>
      <c r="L9778" s="1" t="s">
        <v>1658</v>
      </c>
      <c r="N9778" s="1" t="s">
        <v>1334</v>
      </c>
      <c r="P9778" s="1" t="s">
        <v>2199</v>
      </c>
      <c r="Q9778" s="30" t="s">
        <v>2565</v>
      </c>
      <c r="R9778" s="33" t="s">
        <v>8665</v>
      </c>
      <c r="S9778">
        <v>36</v>
      </c>
      <c r="T9778" s="1" t="s">
        <v>8661</v>
      </c>
      <c r="U9778" s="1" t="str">
        <f>HYPERLINK("http://ictvonline.org/taxonomy/p/taxonomy-history?taxnode_id=202102426","ICTVonline=202102426")</f>
        <v>ICTVonline=202102426</v>
      </c>
    </row>
    <row r="9779" spans="1:21" x14ac:dyDescent="0.2">
      <c r="A9779" s="3">
        <v>9778</v>
      </c>
      <c r="B9779" s="1" t="s">
        <v>5810</v>
      </c>
      <c r="D9779" s="1" t="s">
        <v>5811</v>
      </c>
      <c r="F9779" s="1" t="s">
        <v>5843</v>
      </c>
      <c r="H9779" s="1" t="s">
        <v>5846</v>
      </c>
      <c r="J9779" s="1" t="s">
        <v>5849</v>
      </c>
      <c r="L9779" s="1" t="s">
        <v>1658</v>
      </c>
      <c r="N9779" s="1" t="s">
        <v>1334</v>
      </c>
      <c r="P9779" s="1" t="s">
        <v>2200</v>
      </c>
      <c r="Q9779" s="30" t="s">
        <v>2565</v>
      </c>
      <c r="R9779" s="33" t="s">
        <v>3474</v>
      </c>
      <c r="S9779">
        <v>35</v>
      </c>
      <c r="T9779" s="1" t="s">
        <v>5815</v>
      </c>
      <c r="U9779" s="1" t="str">
        <f>HYPERLINK("http://ictvonline.org/taxonomy/p/taxonomy-history?taxnode_id=202102427","ICTVonline=202102427")</f>
        <v>ICTVonline=202102427</v>
      </c>
    </row>
    <row r="9780" spans="1:21" x14ac:dyDescent="0.2">
      <c r="A9780" s="3">
        <v>9779</v>
      </c>
      <c r="B9780" s="1" t="s">
        <v>5810</v>
      </c>
      <c r="D9780" s="1" t="s">
        <v>5811</v>
      </c>
      <c r="F9780" s="1" t="s">
        <v>5843</v>
      </c>
      <c r="H9780" s="1" t="s">
        <v>5846</v>
      </c>
      <c r="J9780" s="1" t="s">
        <v>5849</v>
      </c>
      <c r="L9780" s="1" t="s">
        <v>1658</v>
      </c>
      <c r="N9780" s="1" t="s">
        <v>1334</v>
      </c>
      <c r="P9780" s="1" t="s">
        <v>2201</v>
      </c>
      <c r="Q9780" s="30" t="s">
        <v>2565</v>
      </c>
      <c r="R9780" s="33" t="s">
        <v>3474</v>
      </c>
      <c r="S9780">
        <v>35</v>
      </c>
      <c r="T9780" s="1" t="s">
        <v>5815</v>
      </c>
      <c r="U9780" s="1" t="str">
        <f>HYPERLINK("http://ictvonline.org/taxonomy/p/taxonomy-history?taxnode_id=202102428","ICTVonline=202102428")</f>
        <v>ICTVonline=202102428</v>
      </c>
    </row>
    <row r="9781" spans="1:21" x14ac:dyDescent="0.2">
      <c r="A9781" s="3">
        <v>9780</v>
      </c>
      <c r="B9781" s="1" t="s">
        <v>5810</v>
      </c>
      <c r="D9781" s="1" t="s">
        <v>5811</v>
      </c>
      <c r="F9781" s="1" t="s">
        <v>5843</v>
      </c>
      <c r="H9781" s="1" t="s">
        <v>5846</v>
      </c>
      <c r="J9781" s="1" t="s">
        <v>5849</v>
      </c>
      <c r="L9781" s="1" t="s">
        <v>1658</v>
      </c>
      <c r="N9781" s="1" t="s">
        <v>1334</v>
      </c>
      <c r="P9781" s="1" t="s">
        <v>2202</v>
      </c>
      <c r="Q9781" s="30" t="s">
        <v>2565</v>
      </c>
      <c r="R9781" s="33" t="s">
        <v>3474</v>
      </c>
      <c r="S9781">
        <v>35</v>
      </c>
      <c r="T9781" s="1" t="s">
        <v>5815</v>
      </c>
      <c r="U9781" s="1" t="str">
        <f>HYPERLINK("http://ictvonline.org/taxonomy/p/taxonomy-history?taxnode_id=202102429","ICTVonline=202102429")</f>
        <v>ICTVonline=202102429</v>
      </c>
    </row>
    <row r="9782" spans="1:21" x14ac:dyDescent="0.2">
      <c r="A9782" s="3">
        <v>9781</v>
      </c>
      <c r="B9782" s="1" t="s">
        <v>5810</v>
      </c>
      <c r="D9782" s="1" t="s">
        <v>5811</v>
      </c>
      <c r="F9782" s="1" t="s">
        <v>5843</v>
      </c>
      <c r="H9782" s="1" t="s">
        <v>5846</v>
      </c>
      <c r="J9782" s="1" t="s">
        <v>5849</v>
      </c>
      <c r="L9782" s="1" t="s">
        <v>1658</v>
      </c>
      <c r="N9782" s="1" t="s">
        <v>1334</v>
      </c>
      <c r="P9782" s="1" t="s">
        <v>2203</v>
      </c>
      <c r="Q9782" s="30" t="s">
        <v>2565</v>
      </c>
      <c r="R9782" s="33" t="s">
        <v>3474</v>
      </c>
      <c r="S9782">
        <v>35</v>
      </c>
      <c r="T9782" s="1" t="s">
        <v>5815</v>
      </c>
      <c r="U9782" s="1" t="str">
        <f>HYPERLINK("http://ictvonline.org/taxonomy/p/taxonomy-history?taxnode_id=202102430","ICTVonline=202102430")</f>
        <v>ICTVonline=202102430</v>
      </c>
    </row>
    <row r="9783" spans="1:21" x14ac:dyDescent="0.2">
      <c r="A9783" s="3">
        <v>9782</v>
      </c>
      <c r="B9783" s="1" t="s">
        <v>5810</v>
      </c>
      <c r="D9783" s="1" t="s">
        <v>5811</v>
      </c>
      <c r="F9783" s="1" t="s">
        <v>5843</v>
      </c>
      <c r="H9783" s="1" t="s">
        <v>5846</v>
      </c>
      <c r="J9783" s="1" t="s">
        <v>5849</v>
      </c>
      <c r="L9783" s="1" t="s">
        <v>1658</v>
      </c>
      <c r="N9783" s="1" t="s">
        <v>1334</v>
      </c>
      <c r="P9783" s="1" t="s">
        <v>2204</v>
      </c>
      <c r="Q9783" s="30" t="s">
        <v>2565</v>
      </c>
      <c r="R9783" s="33" t="s">
        <v>3474</v>
      </c>
      <c r="S9783">
        <v>35</v>
      </c>
      <c r="T9783" s="1" t="s">
        <v>5815</v>
      </c>
      <c r="U9783" s="1" t="str">
        <f>HYPERLINK("http://ictvonline.org/taxonomy/p/taxonomy-history?taxnode_id=202102431","ICTVonline=202102431")</f>
        <v>ICTVonline=202102431</v>
      </c>
    </row>
    <row r="9784" spans="1:21" x14ac:dyDescent="0.2">
      <c r="A9784" s="3">
        <v>9783</v>
      </c>
      <c r="B9784" s="1" t="s">
        <v>5810</v>
      </c>
      <c r="D9784" s="1" t="s">
        <v>5811</v>
      </c>
      <c r="F9784" s="1" t="s">
        <v>5843</v>
      </c>
      <c r="H9784" s="1" t="s">
        <v>5846</v>
      </c>
      <c r="J9784" s="1" t="s">
        <v>5849</v>
      </c>
      <c r="L9784" s="1" t="s">
        <v>1658</v>
      </c>
      <c r="N9784" s="1" t="s">
        <v>1334</v>
      </c>
      <c r="P9784" s="1" t="s">
        <v>2205</v>
      </c>
      <c r="Q9784" s="30" t="s">
        <v>2565</v>
      </c>
      <c r="R9784" s="33" t="s">
        <v>8665</v>
      </c>
      <c r="S9784">
        <v>36</v>
      </c>
      <c r="T9784" s="1" t="s">
        <v>8661</v>
      </c>
      <c r="U9784" s="1" t="str">
        <f>HYPERLINK("http://ictvonline.org/taxonomy/p/taxonomy-history?taxnode_id=202102432","ICTVonline=202102432")</f>
        <v>ICTVonline=202102432</v>
      </c>
    </row>
    <row r="9785" spans="1:21" x14ac:dyDescent="0.2">
      <c r="A9785" s="3">
        <v>9784</v>
      </c>
      <c r="B9785" s="1" t="s">
        <v>5810</v>
      </c>
      <c r="D9785" s="1" t="s">
        <v>5811</v>
      </c>
      <c r="F9785" s="1" t="s">
        <v>5843</v>
      </c>
      <c r="H9785" s="1" t="s">
        <v>5846</v>
      </c>
      <c r="J9785" s="1" t="s">
        <v>5849</v>
      </c>
      <c r="L9785" s="1" t="s">
        <v>1658</v>
      </c>
      <c r="N9785" s="1" t="s">
        <v>1334</v>
      </c>
      <c r="P9785" s="1" t="s">
        <v>2206</v>
      </c>
      <c r="Q9785" s="30" t="s">
        <v>2565</v>
      </c>
      <c r="R9785" s="33" t="s">
        <v>8665</v>
      </c>
      <c r="S9785">
        <v>36</v>
      </c>
      <c r="T9785" s="1" t="s">
        <v>8661</v>
      </c>
      <c r="U9785" s="1" t="str">
        <f>HYPERLINK("http://ictvonline.org/taxonomy/p/taxonomy-history?taxnode_id=202102433","ICTVonline=202102433")</f>
        <v>ICTVonline=202102433</v>
      </c>
    </row>
    <row r="9786" spans="1:21" x14ac:dyDescent="0.2">
      <c r="A9786" s="3">
        <v>9785</v>
      </c>
      <c r="B9786" s="1" t="s">
        <v>5810</v>
      </c>
      <c r="D9786" s="1" t="s">
        <v>5811</v>
      </c>
      <c r="F9786" s="1" t="s">
        <v>5843</v>
      </c>
      <c r="H9786" s="1" t="s">
        <v>5846</v>
      </c>
      <c r="J9786" s="1" t="s">
        <v>5849</v>
      </c>
      <c r="L9786" s="1" t="s">
        <v>1658</v>
      </c>
      <c r="N9786" s="1" t="s">
        <v>1334</v>
      </c>
      <c r="P9786" s="1" t="s">
        <v>5855</v>
      </c>
      <c r="Q9786" s="30" t="s">
        <v>2565</v>
      </c>
      <c r="R9786" s="33" t="s">
        <v>3472</v>
      </c>
      <c r="S9786">
        <v>35</v>
      </c>
      <c r="T9786" s="1" t="s">
        <v>5851</v>
      </c>
      <c r="U9786" s="1" t="str">
        <f>HYPERLINK("http://ictvonline.org/taxonomy/p/taxonomy-history?taxnode_id=202107196","ICTVonline=202107196")</f>
        <v>ICTVonline=202107196</v>
      </c>
    </row>
    <row r="9787" spans="1:21" x14ac:dyDescent="0.2">
      <c r="A9787" s="3">
        <v>9786</v>
      </c>
      <c r="B9787" s="1" t="s">
        <v>5810</v>
      </c>
      <c r="D9787" s="1" t="s">
        <v>5811</v>
      </c>
      <c r="F9787" s="1" t="s">
        <v>5843</v>
      </c>
      <c r="H9787" s="1" t="s">
        <v>5846</v>
      </c>
      <c r="J9787" s="1" t="s">
        <v>5849</v>
      </c>
      <c r="L9787" s="1" t="s">
        <v>1658</v>
      </c>
      <c r="N9787" s="1" t="s">
        <v>1334</v>
      </c>
      <c r="P9787" s="1" t="s">
        <v>3271</v>
      </c>
      <c r="Q9787" s="30" t="s">
        <v>2565</v>
      </c>
      <c r="R9787" s="33" t="s">
        <v>3474</v>
      </c>
      <c r="S9787">
        <v>35</v>
      </c>
      <c r="T9787" s="1" t="s">
        <v>5815</v>
      </c>
      <c r="U9787" s="1" t="str">
        <f>HYPERLINK("http://ictvonline.org/taxonomy/p/taxonomy-history?taxnode_id=202102434","ICTVonline=202102434")</f>
        <v>ICTVonline=202102434</v>
      </c>
    </row>
    <row r="9788" spans="1:21" x14ac:dyDescent="0.2">
      <c r="A9788" s="3">
        <v>9787</v>
      </c>
      <c r="B9788" s="1" t="s">
        <v>5810</v>
      </c>
      <c r="D9788" s="1" t="s">
        <v>5811</v>
      </c>
      <c r="F9788" s="1" t="s">
        <v>5843</v>
      </c>
      <c r="H9788" s="1" t="s">
        <v>5846</v>
      </c>
      <c r="J9788" s="1" t="s">
        <v>5849</v>
      </c>
      <c r="L9788" s="1" t="s">
        <v>1658</v>
      </c>
      <c r="N9788" s="1" t="s">
        <v>1334</v>
      </c>
      <c r="P9788" s="1" t="s">
        <v>5856</v>
      </c>
      <c r="Q9788" s="30" t="s">
        <v>2565</v>
      </c>
      <c r="R9788" s="33" t="s">
        <v>3472</v>
      </c>
      <c r="S9788">
        <v>35</v>
      </c>
      <c r="T9788" s="1" t="s">
        <v>5851</v>
      </c>
      <c r="U9788" s="1" t="str">
        <f>HYPERLINK("http://ictvonline.org/taxonomy/p/taxonomy-history?taxnode_id=202107197","ICTVonline=202107197")</f>
        <v>ICTVonline=202107197</v>
      </c>
    </row>
    <row r="9789" spans="1:21" x14ac:dyDescent="0.2">
      <c r="A9789" s="3">
        <v>9788</v>
      </c>
      <c r="B9789" s="1" t="s">
        <v>5810</v>
      </c>
      <c r="D9789" s="1" t="s">
        <v>5811</v>
      </c>
      <c r="F9789" s="1" t="s">
        <v>5843</v>
      </c>
      <c r="H9789" s="1" t="s">
        <v>5846</v>
      </c>
      <c r="J9789" s="1" t="s">
        <v>5849</v>
      </c>
      <c r="L9789" s="1" t="s">
        <v>1658</v>
      </c>
      <c r="N9789" s="1" t="s">
        <v>1334</v>
      </c>
      <c r="P9789" s="1" t="s">
        <v>2207</v>
      </c>
      <c r="Q9789" s="30" t="s">
        <v>2565</v>
      </c>
      <c r="R9789" s="33" t="s">
        <v>3474</v>
      </c>
      <c r="S9789">
        <v>35</v>
      </c>
      <c r="T9789" s="1" t="s">
        <v>5815</v>
      </c>
      <c r="U9789" s="1" t="str">
        <f>HYPERLINK("http://ictvonline.org/taxonomy/p/taxonomy-history?taxnode_id=202102435","ICTVonline=202102435")</f>
        <v>ICTVonline=202102435</v>
      </c>
    </row>
    <row r="9790" spans="1:21" x14ac:dyDescent="0.2">
      <c r="A9790" s="3">
        <v>9789</v>
      </c>
      <c r="B9790" s="1" t="s">
        <v>5810</v>
      </c>
      <c r="D9790" s="1" t="s">
        <v>5811</v>
      </c>
      <c r="F9790" s="1" t="s">
        <v>5843</v>
      </c>
      <c r="H9790" s="1" t="s">
        <v>5846</v>
      </c>
      <c r="J9790" s="1" t="s">
        <v>5849</v>
      </c>
      <c r="L9790" s="1" t="s">
        <v>1658</v>
      </c>
      <c r="N9790" s="1" t="s">
        <v>1334</v>
      </c>
      <c r="P9790" s="1" t="s">
        <v>2208</v>
      </c>
      <c r="Q9790" s="30" t="s">
        <v>2565</v>
      </c>
      <c r="R9790" s="33" t="s">
        <v>3474</v>
      </c>
      <c r="S9790">
        <v>35</v>
      </c>
      <c r="T9790" s="1" t="s">
        <v>5815</v>
      </c>
      <c r="U9790" s="1" t="str">
        <f>HYPERLINK("http://ictvonline.org/taxonomy/p/taxonomy-history?taxnode_id=202102436","ICTVonline=202102436")</f>
        <v>ICTVonline=202102436</v>
      </c>
    </row>
    <row r="9791" spans="1:21" x14ac:dyDescent="0.2">
      <c r="A9791" s="3">
        <v>9790</v>
      </c>
      <c r="B9791" s="1" t="s">
        <v>5810</v>
      </c>
      <c r="D9791" s="1" t="s">
        <v>5811</v>
      </c>
      <c r="F9791" s="1" t="s">
        <v>5843</v>
      </c>
      <c r="H9791" s="1" t="s">
        <v>5846</v>
      </c>
      <c r="J9791" s="1" t="s">
        <v>5849</v>
      </c>
      <c r="L9791" s="1" t="s">
        <v>1658</v>
      </c>
      <c r="N9791" s="1" t="s">
        <v>1334</v>
      </c>
      <c r="P9791" s="1" t="s">
        <v>2209</v>
      </c>
      <c r="Q9791" s="30" t="s">
        <v>2565</v>
      </c>
      <c r="R9791" s="33" t="s">
        <v>3474</v>
      </c>
      <c r="S9791">
        <v>35</v>
      </c>
      <c r="T9791" s="1" t="s">
        <v>5815</v>
      </c>
      <c r="U9791" s="1" t="str">
        <f>HYPERLINK("http://ictvonline.org/taxonomy/p/taxonomy-history?taxnode_id=202102437","ICTVonline=202102437")</f>
        <v>ICTVonline=202102437</v>
      </c>
    </row>
    <row r="9792" spans="1:21" x14ac:dyDescent="0.2">
      <c r="A9792" s="3">
        <v>9791</v>
      </c>
      <c r="B9792" s="1" t="s">
        <v>5810</v>
      </c>
      <c r="D9792" s="1" t="s">
        <v>5811</v>
      </c>
      <c r="F9792" s="1" t="s">
        <v>5843</v>
      </c>
      <c r="H9792" s="1" t="s">
        <v>5846</v>
      </c>
      <c r="J9792" s="1" t="s">
        <v>5849</v>
      </c>
      <c r="L9792" s="1" t="s">
        <v>1658</v>
      </c>
      <c r="N9792" s="1" t="s">
        <v>1334</v>
      </c>
      <c r="P9792" s="1" t="s">
        <v>3272</v>
      </c>
      <c r="Q9792" s="30" t="s">
        <v>2565</v>
      </c>
      <c r="R9792" s="33" t="s">
        <v>3474</v>
      </c>
      <c r="S9792">
        <v>35</v>
      </c>
      <c r="T9792" s="1" t="s">
        <v>5815</v>
      </c>
      <c r="U9792" s="1" t="str">
        <f>HYPERLINK("http://ictvonline.org/taxonomy/p/taxonomy-history?taxnode_id=202102438","ICTVonline=202102438")</f>
        <v>ICTVonline=202102438</v>
      </c>
    </row>
    <row r="9793" spans="1:21" x14ac:dyDescent="0.2">
      <c r="A9793" s="3">
        <v>9792</v>
      </c>
      <c r="B9793" s="1" t="s">
        <v>5810</v>
      </c>
      <c r="D9793" s="1" t="s">
        <v>5811</v>
      </c>
      <c r="F9793" s="1" t="s">
        <v>5843</v>
      </c>
      <c r="H9793" s="1" t="s">
        <v>5846</v>
      </c>
      <c r="J9793" s="1" t="s">
        <v>5849</v>
      </c>
      <c r="L9793" s="1" t="s">
        <v>1658</v>
      </c>
      <c r="N9793" s="1" t="s">
        <v>1334</v>
      </c>
      <c r="P9793" s="1" t="s">
        <v>2210</v>
      </c>
      <c r="Q9793" s="30" t="s">
        <v>2565</v>
      </c>
      <c r="R9793" s="33" t="s">
        <v>3474</v>
      </c>
      <c r="S9793">
        <v>35</v>
      </c>
      <c r="T9793" s="1" t="s">
        <v>5815</v>
      </c>
      <c r="U9793" s="1" t="str">
        <f>HYPERLINK("http://ictvonline.org/taxonomy/p/taxonomy-history?taxnode_id=202102439","ICTVonline=202102439")</f>
        <v>ICTVonline=202102439</v>
      </c>
    </row>
    <row r="9794" spans="1:21" x14ac:dyDescent="0.2">
      <c r="A9794" s="3">
        <v>9793</v>
      </c>
      <c r="B9794" s="1" t="s">
        <v>5810</v>
      </c>
      <c r="D9794" s="1" t="s">
        <v>5811</v>
      </c>
      <c r="F9794" s="1" t="s">
        <v>5843</v>
      </c>
      <c r="H9794" s="1" t="s">
        <v>5846</v>
      </c>
      <c r="J9794" s="1" t="s">
        <v>5849</v>
      </c>
      <c r="L9794" s="1" t="s">
        <v>1658</v>
      </c>
      <c r="N9794" s="1" t="s">
        <v>1334</v>
      </c>
      <c r="P9794" s="1" t="s">
        <v>2816</v>
      </c>
      <c r="Q9794" s="30" t="s">
        <v>2565</v>
      </c>
      <c r="R9794" s="33" t="s">
        <v>3474</v>
      </c>
      <c r="S9794">
        <v>35</v>
      </c>
      <c r="T9794" s="1" t="s">
        <v>5815</v>
      </c>
      <c r="U9794" s="1" t="str">
        <f>HYPERLINK("http://ictvonline.org/taxonomy/p/taxonomy-history?taxnode_id=202102440","ICTVonline=202102440")</f>
        <v>ICTVonline=202102440</v>
      </c>
    </row>
    <row r="9795" spans="1:21" x14ac:dyDescent="0.2">
      <c r="A9795" s="3">
        <v>9794</v>
      </c>
      <c r="B9795" s="1" t="s">
        <v>5810</v>
      </c>
      <c r="D9795" s="1" t="s">
        <v>5811</v>
      </c>
      <c r="F9795" s="1" t="s">
        <v>5843</v>
      </c>
      <c r="H9795" s="1" t="s">
        <v>5846</v>
      </c>
      <c r="J9795" s="1" t="s">
        <v>5849</v>
      </c>
      <c r="L9795" s="1" t="s">
        <v>1658</v>
      </c>
      <c r="N9795" s="1" t="s">
        <v>1334</v>
      </c>
      <c r="P9795" s="1" t="s">
        <v>2817</v>
      </c>
      <c r="Q9795" s="30" t="s">
        <v>2565</v>
      </c>
      <c r="R9795" s="33" t="s">
        <v>3474</v>
      </c>
      <c r="S9795">
        <v>35</v>
      </c>
      <c r="T9795" s="1" t="s">
        <v>5815</v>
      </c>
      <c r="U9795" s="1" t="str">
        <f>HYPERLINK("http://ictvonline.org/taxonomy/p/taxonomy-history?taxnode_id=202102441","ICTVonline=202102441")</f>
        <v>ICTVonline=202102441</v>
      </c>
    </row>
    <row r="9796" spans="1:21" x14ac:dyDescent="0.2">
      <c r="A9796" s="3">
        <v>9795</v>
      </c>
      <c r="B9796" s="1" t="s">
        <v>5810</v>
      </c>
      <c r="D9796" s="1" t="s">
        <v>5811</v>
      </c>
      <c r="F9796" s="1" t="s">
        <v>5843</v>
      </c>
      <c r="H9796" s="1" t="s">
        <v>5846</v>
      </c>
      <c r="J9796" s="1" t="s">
        <v>5849</v>
      </c>
      <c r="L9796" s="1" t="s">
        <v>1658</v>
      </c>
      <c r="N9796" s="1" t="s">
        <v>1334</v>
      </c>
      <c r="P9796" s="1" t="s">
        <v>3273</v>
      </c>
      <c r="Q9796" s="30" t="s">
        <v>2565</v>
      </c>
      <c r="R9796" s="33" t="s">
        <v>3474</v>
      </c>
      <c r="S9796">
        <v>35</v>
      </c>
      <c r="T9796" s="1" t="s">
        <v>5815</v>
      </c>
      <c r="U9796" s="1" t="str">
        <f>HYPERLINK("http://ictvonline.org/taxonomy/p/taxonomy-history?taxnode_id=202102442","ICTVonline=202102442")</f>
        <v>ICTVonline=202102442</v>
      </c>
    </row>
    <row r="9797" spans="1:21" x14ac:dyDescent="0.2">
      <c r="A9797" s="3">
        <v>9796</v>
      </c>
      <c r="B9797" s="1" t="s">
        <v>5810</v>
      </c>
      <c r="D9797" s="1" t="s">
        <v>5811</v>
      </c>
      <c r="F9797" s="1" t="s">
        <v>5843</v>
      </c>
      <c r="H9797" s="1" t="s">
        <v>5846</v>
      </c>
      <c r="J9797" s="1" t="s">
        <v>5849</v>
      </c>
      <c r="L9797" s="1" t="s">
        <v>1658</v>
      </c>
      <c r="N9797" s="1" t="s">
        <v>1334</v>
      </c>
      <c r="P9797" s="1" t="s">
        <v>3274</v>
      </c>
      <c r="Q9797" s="30" t="s">
        <v>2565</v>
      </c>
      <c r="R9797" s="33" t="s">
        <v>3474</v>
      </c>
      <c r="S9797">
        <v>35</v>
      </c>
      <c r="T9797" s="1" t="s">
        <v>5815</v>
      </c>
      <c r="U9797" s="1" t="str">
        <f>HYPERLINK("http://ictvonline.org/taxonomy/p/taxonomy-history?taxnode_id=202102443","ICTVonline=202102443")</f>
        <v>ICTVonline=202102443</v>
      </c>
    </row>
    <row r="9798" spans="1:21" x14ac:dyDescent="0.2">
      <c r="A9798" s="3">
        <v>9797</v>
      </c>
      <c r="B9798" s="1" t="s">
        <v>5810</v>
      </c>
      <c r="D9798" s="1" t="s">
        <v>5811</v>
      </c>
      <c r="F9798" s="1" t="s">
        <v>5843</v>
      </c>
      <c r="H9798" s="1" t="s">
        <v>5846</v>
      </c>
      <c r="J9798" s="1" t="s">
        <v>5849</v>
      </c>
      <c r="L9798" s="1" t="s">
        <v>1658</v>
      </c>
      <c r="N9798" s="1" t="s">
        <v>1334</v>
      </c>
      <c r="P9798" s="1" t="s">
        <v>3275</v>
      </c>
      <c r="Q9798" s="30" t="s">
        <v>2565</v>
      </c>
      <c r="R9798" s="33" t="s">
        <v>3474</v>
      </c>
      <c r="S9798">
        <v>35</v>
      </c>
      <c r="T9798" s="1" t="s">
        <v>5815</v>
      </c>
      <c r="U9798" s="1" t="str">
        <f>HYPERLINK("http://ictvonline.org/taxonomy/p/taxonomy-history?taxnode_id=202102444","ICTVonline=202102444")</f>
        <v>ICTVonline=202102444</v>
      </c>
    </row>
    <row r="9799" spans="1:21" x14ac:dyDescent="0.2">
      <c r="A9799" s="3">
        <v>9798</v>
      </c>
      <c r="B9799" s="1" t="s">
        <v>5810</v>
      </c>
      <c r="D9799" s="1" t="s">
        <v>5811</v>
      </c>
      <c r="F9799" s="1" t="s">
        <v>5843</v>
      </c>
      <c r="H9799" s="1" t="s">
        <v>5846</v>
      </c>
      <c r="J9799" s="1" t="s">
        <v>5849</v>
      </c>
      <c r="L9799" s="1" t="s">
        <v>1658</v>
      </c>
      <c r="N9799" s="1" t="s">
        <v>1334</v>
      </c>
      <c r="P9799" s="1" t="s">
        <v>3276</v>
      </c>
      <c r="Q9799" s="30" t="s">
        <v>2565</v>
      </c>
      <c r="R9799" s="33" t="s">
        <v>3474</v>
      </c>
      <c r="S9799">
        <v>35</v>
      </c>
      <c r="T9799" s="1" t="s">
        <v>5815</v>
      </c>
      <c r="U9799" s="1" t="str">
        <f>HYPERLINK("http://ictvonline.org/taxonomy/p/taxonomy-history?taxnode_id=202102445","ICTVonline=202102445")</f>
        <v>ICTVonline=202102445</v>
      </c>
    </row>
    <row r="9800" spans="1:21" x14ac:dyDescent="0.2">
      <c r="A9800" s="3">
        <v>9799</v>
      </c>
      <c r="B9800" s="1" t="s">
        <v>5810</v>
      </c>
      <c r="D9800" s="1" t="s">
        <v>5811</v>
      </c>
      <c r="F9800" s="1" t="s">
        <v>5843</v>
      </c>
      <c r="H9800" s="1" t="s">
        <v>5846</v>
      </c>
      <c r="J9800" s="1" t="s">
        <v>5849</v>
      </c>
      <c r="L9800" s="1" t="s">
        <v>1658</v>
      </c>
      <c r="N9800" s="1" t="s">
        <v>1334</v>
      </c>
      <c r="P9800" s="1" t="s">
        <v>3277</v>
      </c>
      <c r="Q9800" s="30" t="s">
        <v>2565</v>
      </c>
      <c r="R9800" s="33" t="s">
        <v>3474</v>
      </c>
      <c r="S9800">
        <v>35</v>
      </c>
      <c r="T9800" s="1" t="s">
        <v>5815</v>
      </c>
      <c r="U9800" s="1" t="str">
        <f>HYPERLINK("http://ictvonline.org/taxonomy/p/taxonomy-history?taxnode_id=202102446","ICTVonline=202102446")</f>
        <v>ICTVonline=202102446</v>
      </c>
    </row>
    <row r="9801" spans="1:21" x14ac:dyDescent="0.2">
      <c r="A9801" s="3">
        <v>9800</v>
      </c>
      <c r="B9801" s="1" t="s">
        <v>5810</v>
      </c>
      <c r="D9801" s="1" t="s">
        <v>5811</v>
      </c>
      <c r="F9801" s="1" t="s">
        <v>5843</v>
      </c>
      <c r="H9801" s="1" t="s">
        <v>5846</v>
      </c>
      <c r="J9801" s="1" t="s">
        <v>5849</v>
      </c>
      <c r="L9801" s="1" t="s">
        <v>1658</v>
      </c>
      <c r="N9801" s="1" t="s">
        <v>1334</v>
      </c>
      <c r="P9801" s="1" t="s">
        <v>3675</v>
      </c>
      <c r="Q9801" s="30" t="s">
        <v>2565</v>
      </c>
      <c r="R9801" s="33" t="s">
        <v>3474</v>
      </c>
      <c r="S9801">
        <v>35</v>
      </c>
      <c r="T9801" s="1" t="s">
        <v>5815</v>
      </c>
      <c r="U9801" s="1" t="str">
        <f>HYPERLINK("http://ictvonline.org/taxonomy/p/taxonomy-history?taxnode_id=202105662","ICTVonline=202105662")</f>
        <v>ICTVonline=202105662</v>
      </c>
    </row>
    <row r="9802" spans="1:21" x14ac:dyDescent="0.2">
      <c r="A9802" s="3">
        <v>9801</v>
      </c>
      <c r="B9802" s="1" t="s">
        <v>5810</v>
      </c>
      <c r="D9802" s="1" t="s">
        <v>5811</v>
      </c>
      <c r="F9802" s="1" t="s">
        <v>5843</v>
      </c>
      <c r="H9802" s="1" t="s">
        <v>5846</v>
      </c>
      <c r="J9802" s="1" t="s">
        <v>5849</v>
      </c>
      <c r="L9802" s="1" t="s">
        <v>1658</v>
      </c>
      <c r="N9802" s="1" t="s">
        <v>1334</v>
      </c>
      <c r="P9802" s="1" t="s">
        <v>3278</v>
      </c>
      <c r="Q9802" s="30" t="s">
        <v>2565</v>
      </c>
      <c r="R9802" s="33" t="s">
        <v>3474</v>
      </c>
      <c r="S9802">
        <v>35</v>
      </c>
      <c r="T9802" s="1" t="s">
        <v>5815</v>
      </c>
      <c r="U9802" s="1" t="str">
        <f>HYPERLINK("http://ictvonline.org/taxonomy/p/taxonomy-history?taxnode_id=202102447","ICTVonline=202102447")</f>
        <v>ICTVonline=202102447</v>
      </c>
    </row>
    <row r="9803" spans="1:21" x14ac:dyDescent="0.2">
      <c r="A9803" s="3">
        <v>9802</v>
      </c>
      <c r="B9803" s="1" t="s">
        <v>5810</v>
      </c>
      <c r="D9803" s="1" t="s">
        <v>5811</v>
      </c>
      <c r="F9803" s="1" t="s">
        <v>5843</v>
      </c>
      <c r="H9803" s="1" t="s">
        <v>5846</v>
      </c>
      <c r="J9803" s="1" t="s">
        <v>5849</v>
      </c>
      <c r="L9803" s="1" t="s">
        <v>1658</v>
      </c>
      <c r="N9803" s="1" t="s">
        <v>1334</v>
      </c>
      <c r="P9803" s="1" t="s">
        <v>3676</v>
      </c>
      <c r="Q9803" s="30" t="s">
        <v>2565</v>
      </c>
      <c r="R9803" s="33" t="s">
        <v>3474</v>
      </c>
      <c r="S9803">
        <v>35</v>
      </c>
      <c r="T9803" s="1" t="s">
        <v>5815</v>
      </c>
      <c r="U9803" s="1" t="str">
        <f>HYPERLINK("http://ictvonline.org/taxonomy/p/taxonomy-history?taxnode_id=202105663","ICTVonline=202105663")</f>
        <v>ICTVonline=202105663</v>
      </c>
    </row>
    <row r="9804" spans="1:21" x14ac:dyDescent="0.2">
      <c r="A9804" s="3">
        <v>9803</v>
      </c>
      <c r="B9804" s="1" t="s">
        <v>5810</v>
      </c>
      <c r="D9804" s="1" t="s">
        <v>5811</v>
      </c>
      <c r="F9804" s="1" t="s">
        <v>5843</v>
      </c>
      <c r="H9804" s="1" t="s">
        <v>5846</v>
      </c>
      <c r="J9804" s="1" t="s">
        <v>5849</v>
      </c>
      <c r="L9804" s="1" t="s">
        <v>1658</v>
      </c>
      <c r="N9804" s="1" t="s">
        <v>1334</v>
      </c>
      <c r="P9804" s="1" t="s">
        <v>2211</v>
      </c>
      <c r="Q9804" s="30" t="s">
        <v>2565</v>
      </c>
      <c r="R9804" s="33" t="s">
        <v>3474</v>
      </c>
      <c r="S9804">
        <v>35</v>
      </c>
      <c r="T9804" s="1" t="s">
        <v>5815</v>
      </c>
      <c r="U9804" s="1" t="str">
        <f>HYPERLINK("http://ictvonline.org/taxonomy/p/taxonomy-history?taxnode_id=202102448","ICTVonline=202102448")</f>
        <v>ICTVonline=202102448</v>
      </c>
    </row>
    <row r="9805" spans="1:21" x14ac:dyDescent="0.2">
      <c r="A9805" s="3">
        <v>9804</v>
      </c>
      <c r="B9805" s="1" t="s">
        <v>5810</v>
      </c>
      <c r="D9805" s="1" t="s">
        <v>5811</v>
      </c>
      <c r="F9805" s="1" t="s">
        <v>5843</v>
      </c>
      <c r="H9805" s="1" t="s">
        <v>5846</v>
      </c>
      <c r="J9805" s="1" t="s">
        <v>5849</v>
      </c>
      <c r="L9805" s="1" t="s">
        <v>1658</v>
      </c>
      <c r="N9805" s="1" t="s">
        <v>644</v>
      </c>
      <c r="P9805" s="1" t="s">
        <v>2212</v>
      </c>
      <c r="Q9805" s="30" t="s">
        <v>2565</v>
      </c>
      <c r="R9805" s="33" t="s">
        <v>8665</v>
      </c>
      <c r="S9805">
        <v>36</v>
      </c>
      <c r="T9805" s="1" t="s">
        <v>8661</v>
      </c>
      <c r="U9805" s="1" t="str">
        <f>HYPERLINK("http://ictvonline.org/taxonomy/p/taxonomy-history?taxnode_id=202102450","ICTVonline=202102450")</f>
        <v>ICTVonline=202102450</v>
      </c>
    </row>
    <row r="9806" spans="1:21" x14ac:dyDescent="0.2">
      <c r="A9806" s="3">
        <v>9805</v>
      </c>
      <c r="B9806" s="1" t="s">
        <v>5810</v>
      </c>
      <c r="D9806" s="1" t="s">
        <v>5811</v>
      </c>
      <c r="F9806" s="1" t="s">
        <v>5843</v>
      </c>
      <c r="H9806" s="1" t="s">
        <v>5846</v>
      </c>
      <c r="J9806" s="1" t="s">
        <v>5849</v>
      </c>
      <c r="L9806" s="1" t="s">
        <v>1658</v>
      </c>
      <c r="N9806" s="1" t="s">
        <v>644</v>
      </c>
      <c r="P9806" s="1" t="s">
        <v>2213</v>
      </c>
      <c r="Q9806" s="30" t="s">
        <v>2565</v>
      </c>
      <c r="R9806" s="33" t="s">
        <v>3474</v>
      </c>
      <c r="S9806">
        <v>35</v>
      </c>
      <c r="T9806" s="1" t="s">
        <v>5815</v>
      </c>
      <c r="U9806" s="1" t="str">
        <f>HYPERLINK("http://ictvonline.org/taxonomy/p/taxonomy-history?taxnode_id=202102451","ICTVonline=202102451")</f>
        <v>ICTVonline=202102451</v>
      </c>
    </row>
    <row r="9807" spans="1:21" x14ac:dyDescent="0.2">
      <c r="A9807" s="3">
        <v>9806</v>
      </c>
      <c r="B9807" s="1" t="s">
        <v>5810</v>
      </c>
      <c r="D9807" s="1" t="s">
        <v>5811</v>
      </c>
      <c r="F9807" s="1" t="s">
        <v>5843</v>
      </c>
      <c r="H9807" s="1" t="s">
        <v>5846</v>
      </c>
      <c r="J9807" s="1" t="s">
        <v>5849</v>
      </c>
      <c r="L9807" s="1" t="s">
        <v>1658</v>
      </c>
      <c r="N9807" s="1" t="s">
        <v>644</v>
      </c>
      <c r="P9807" s="1" t="s">
        <v>3279</v>
      </c>
      <c r="Q9807" s="30" t="s">
        <v>2565</v>
      </c>
      <c r="R9807" s="33" t="s">
        <v>3474</v>
      </c>
      <c r="S9807">
        <v>35</v>
      </c>
      <c r="T9807" s="1" t="s">
        <v>5815</v>
      </c>
      <c r="U9807" s="1" t="str">
        <f>HYPERLINK("http://ictvonline.org/taxonomy/p/taxonomy-history?taxnode_id=202102452","ICTVonline=202102452")</f>
        <v>ICTVonline=202102452</v>
      </c>
    </row>
    <row r="9808" spans="1:21" x14ac:dyDescent="0.2">
      <c r="A9808" s="3">
        <v>9807</v>
      </c>
      <c r="B9808" s="1" t="s">
        <v>5810</v>
      </c>
      <c r="D9808" s="1" t="s">
        <v>5811</v>
      </c>
      <c r="F9808" s="1" t="s">
        <v>5843</v>
      </c>
      <c r="H9808" s="1" t="s">
        <v>5846</v>
      </c>
      <c r="J9808" s="1" t="s">
        <v>5849</v>
      </c>
      <c r="L9808" s="1" t="s">
        <v>1658</v>
      </c>
      <c r="N9808" s="1" t="s">
        <v>644</v>
      </c>
      <c r="P9808" s="1" t="s">
        <v>8402</v>
      </c>
      <c r="Q9808" s="30" t="s">
        <v>2565</v>
      </c>
      <c r="R9808" s="33" t="s">
        <v>3472</v>
      </c>
      <c r="S9808">
        <v>36</v>
      </c>
      <c r="T9808" s="1" t="s">
        <v>8399</v>
      </c>
      <c r="U9808" s="1" t="str">
        <f>HYPERLINK("http://ictvonline.org/taxonomy/p/taxonomy-history?taxnode_id=202109163","ICTVonline=202109163")</f>
        <v>ICTVonline=202109163</v>
      </c>
    </row>
    <row r="9809" spans="1:21" x14ac:dyDescent="0.2">
      <c r="A9809" s="3">
        <v>9808</v>
      </c>
      <c r="B9809" s="1" t="s">
        <v>5810</v>
      </c>
      <c r="D9809" s="1" t="s">
        <v>5811</v>
      </c>
      <c r="F9809" s="1" t="s">
        <v>5843</v>
      </c>
      <c r="H9809" s="1" t="s">
        <v>5846</v>
      </c>
      <c r="J9809" s="1" t="s">
        <v>5849</v>
      </c>
      <c r="L9809" s="1" t="s">
        <v>1658</v>
      </c>
      <c r="N9809" s="1" t="s">
        <v>644</v>
      </c>
      <c r="P9809" s="1" t="s">
        <v>8403</v>
      </c>
      <c r="Q9809" s="30" t="s">
        <v>2565</v>
      </c>
      <c r="R9809" s="33" t="s">
        <v>3472</v>
      </c>
      <c r="S9809">
        <v>36</v>
      </c>
      <c r="T9809" s="1" t="s">
        <v>8399</v>
      </c>
      <c r="U9809" s="1" t="str">
        <f>HYPERLINK("http://ictvonline.org/taxonomy/p/taxonomy-history?taxnode_id=202109164","ICTVonline=202109164")</f>
        <v>ICTVonline=202109164</v>
      </c>
    </row>
    <row r="9810" spans="1:21" x14ac:dyDescent="0.2">
      <c r="A9810" s="3">
        <v>9809</v>
      </c>
      <c r="B9810" s="1" t="s">
        <v>5810</v>
      </c>
      <c r="D9810" s="1" t="s">
        <v>5811</v>
      </c>
      <c r="F9810" s="1" t="s">
        <v>5843</v>
      </c>
      <c r="H9810" s="1" t="s">
        <v>5846</v>
      </c>
      <c r="J9810" s="1" t="s">
        <v>5849</v>
      </c>
      <c r="L9810" s="1" t="s">
        <v>1658</v>
      </c>
      <c r="N9810" s="1" t="s">
        <v>644</v>
      </c>
      <c r="P9810" s="1" t="s">
        <v>2214</v>
      </c>
      <c r="Q9810" s="30" t="s">
        <v>2565</v>
      </c>
      <c r="R9810" s="33" t="s">
        <v>3474</v>
      </c>
      <c r="S9810">
        <v>35</v>
      </c>
      <c r="T9810" s="1" t="s">
        <v>5815</v>
      </c>
      <c r="U9810" s="1" t="str">
        <f>HYPERLINK("http://ictvonline.org/taxonomy/p/taxonomy-history?taxnode_id=202102453","ICTVonline=202102453")</f>
        <v>ICTVonline=202102453</v>
      </c>
    </row>
    <row r="9811" spans="1:21" x14ac:dyDescent="0.2">
      <c r="A9811" s="3">
        <v>9810</v>
      </c>
      <c r="B9811" s="1" t="s">
        <v>5810</v>
      </c>
      <c r="D9811" s="1" t="s">
        <v>5811</v>
      </c>
      <c r="F9811" s="1" t="s">
        <v>5843</v>
      </c>
      <c r="H9811" s="1" t="s">
        <v>5846</v>
      </c>
      <c r="J9811" s="1" t="s">
        <v>5849</v>
      </c>
      <c r="L9811" s="1" t="s">
        <v>1658</v>
      </c>
      <c r="N9811" s="1" t="s">
        <v>644</v>
      </c>
      <c r="P9811" s="1" t="s">
        <v>2215</v>
      </c>
      <c r="Q9811" s="30" t="s">
        <v>2565</v>
      </c>
      <c r="R9811" s="33" t="s">
        <v>3474</v>
      </c>
      <c r="S9811">
        <v>35</v>
      </c>
      <c r="T9811" s="1" t="s">
        <v>5815</v>
      </c>
      <c r="U9811" s="1" t="str">
        <f>HYPERLINK("http://ictvonline.org/taxonomy/p/taxonomy-history?taxnode_id=202102454","ICTVonline=202102454")</f>
        <v>ICTVonline=202102454</v>
      </c>
    </row>
    <row r="9812" spans="1:21" x14ac:dyDescent="0.2">
      <c r="A9812" s="3">
        <v>9811</v>
      </c>
      <c r="B9812" s="1" t="s">
        <v>5810</v>
      </c>
      <c r="D9812" s="1" t="s">
        <v>5811</v>
      </c>
      <c r="F9812" s="1" t="s">
        <v>5843</v>
      </c>
      <c r="H9812" s="1" t="s">
        <v>5846</v>
      </c>
      <c r="J9812" s="1" t="s">
        <v>5849</v>
      </c>
      <c r="L9812" s="1" t="s">
        <v>1658</v>
      </c>
      <c r="N9812" s="1" t="s">
        <v>644</v>
      </c>
      <c r="P9812" s="1" t="s">
        <v>2216</v>
      </c>
      <c r="Q9812" s="30" t="s">
        <v>2565</v>
      </c>
      <c r="R9812" s="33" t="s">
        <v>3474</v>
      </c>
      <c r="S9812">
        <v>35</v>
      </c>
      <c r="T9812" s="1" t="s">
        <v>5815</v>
      </c>
      <c r="U9812" s="1" t="str">
        <f>HYPERLINK("http://ictvonline.org/taxonomy/p/taxonomy-history?taxnode_id=202102455","ICTVonline=202102455")</f>
        <v>ICTVonline=202102455</v>
      </c>
    </row>
    <row r="9813" spans="1:21" x14ac:dyDescent="0.2">
      <c r="A9813" s="3">
        <v>9812</v>
      </c>
      <c r="B9813" s="1" t="s">
        <v>5810</v>
      </c>
      <c r="D9813" s="1" t="s">
        <v>5811</v>
      </c>
      <c r="F9813" s="1" t="s">
        <v>5843</v>
      </c>
      <c r="H9813" s="1" t="s">
        <v>5846</v>
      </c>
      <c r="J9813" s="1" t="s">
        <v>5849</v>
      </c>
      <c r="L9813" s="1" t="s">
        <v>1658</v>
      </c>
      <c r="N9813" s="1" t="s">
        <v>8404</v>
      </c>
      <c r="P9813" s="1" t="s">
        <v>8405</v>
      </c>
      <c r="Q9813" s="30" t="s">
        <v>2565</v>
      </c>
      <c r="R9813" s="33" t="s">
        <v>3472</v>
      </c>
      <c r="S9813">
        <v>36</v>
      </c>
      <c r="T9813" s="1" t="s">
        <v>8399</v>
      </c>
      <c r="U9813" s="1" t="str">
        <f>HYPERLINK("http://ictvonline.org/taxonomy/p/taxonomy-history?taxnode_id=202109166","ICTVonline=202109166")</f>
        <v>ICTVonline=202109166</v>
      </c>
    </row>
    <row r="9814" spans="1:21" x14ac:dyDescent="0.2">
      <c r="A9814" s="3">
        <v>9813</v>
      </c>
      <c r="B9814" s="1" t="s">
        <v>5810</v>
      </c>
      <c r="D9814" s="1" t="s">
        <v>5811</v>
      </c>
      <c r="F9814" s="1" t="s">
        <v>5843</v>
      </c>
      <c r="H9814" s="1" t="s">
        <v>5846</v>
      </c>
      <c r="J9814" s="1" t="s">
        <v>5857</v>
      </c>
      <c r="L9814" s="1" t="s">
        <v>1939</v>
      </c>
      <c r="N9814" s="1" t="s">
        <v>1940</v>
      </c>
      <c r="P9814" s="1" t="s">
        <v>13785</v>
      </c>
      <c r="Q9814" s="30" t="s">
        <v>2565</v>
      </c>
      <c r="R9814" s="33" t="s">
        <v>3475</v>
      </c>
      <c r="S9814">
        <v>37</v>
      </c>
      <c r="T9814" s="1" t="s">
        <v>13878</v>
      </c>
      <c r="U9814" s="1" t="str">
        <f>HYPERLINK("http://ictvonline.org/taxonomy/p/taxonomy-history?taxnode_id=202106992","ICTVonline=202106992")</f>
        <v>ICTVonline=202106992</v>
      </c>
    </row>
    <row r="9815" spans="1:21" x14ac:dyDescent="0.2">
      <c r="A9815" s="3">
        <v>9814</v>
      </c>
      <c r="B9815" s="1" t="s">
        <v>5810</v>
      </c>
      <c r="D9815" s="1" t="s">
        <v>5811</v>
      </c>
      <c r="F9815" s="1" t="s">
        <v>5843</v>
      </c>
      <c r="H9815" s="1" t="s">
        <v>5846</v>
      </c>
      <c r="J9815" s="1" t="s">
        <v>5857</v>
      </c>
      <c r="L9815" s="1" t="s">
        <v>1939</v>
      </c>
      <c r="N9815" s="1" t="s">
        <v>1940</v>
      </c>
      <c r="P9815" s="1" t="s">
        <v>13786</v>
      </c>
      <c r="Q9815" s="30" t="s">
        <v>2565</v>
      </c>
      <c r="R9815" s="33" t="s">
        <v>3475</v>
      </c>
      <c r="S9815">
        <v>37</v>
      </c>
      <c r="T9815" s="1" t="s">
        <v>13878</v>
      </c>
      <c r="U9815" s="1" t="str">
        <f>HYPERLINK("http://ictvonline.org/taxonomy/p/taxonomy-history?taxnode_id=202103037","ICTVonline=202103037")</f>
        <v>ICTVonline=202103037</v>
      </c>
    </row>
    <row r="9816" spans="1:21" x14ac:dyDescent="0.2">
      <c r="A9816" s="3">
        <v>9815</v>
      </c>
      <c r="B9816" s="1" t="s">
        <v>5810</v>
      </c>
      <c r="D9816" s="1" t="s">
        <v>5811</v>
      </c>
      <c r="F9816" s="1" t="s">
        <v>5843</v>
      </c>
      <c r="H9816" s="1" t="s">
        <v>5846</v>
      </c>
      <c r="L9816" s="1" t="s">
        <v>8406</v>
      </c>
      <c r="N9816" s="1" t="s">
        <v>8407</v>
      </c>
      <c r="P9816" s="1" t="s">
        <v>8408</v>
      </c>
      <c r="Q9816" s="30" t="s">
        <v>2565</v>
      </c>
      <c r="R9816" s="33" t="s">
        <v>3472</v>
      </c>
      <c r="S9816">
        <v>36</v>
      </c>
      <c r="T9816" s="1" t="s">
        <v>8409</v>
      </c>
      <c r="U9816" s="1" t="str">
        <f>HYPERLINK("http://ictvonline.org/taxonomy/p/taxonomy-history?taxnode_id=202109497","ICTVonline=202109497")</f>
        <v>ICTVonline=202109497</v>
      </c>
    </row>
    <row r="9817" spans="1:21" x14ac:dyDescent="0.2">
      <c r="A9817" s="3">
        <v>9816</v>
      </c>
      <c r="B9817" s="1" t="s">
        <v>5810</v>
      </c>
      <c r="D9817" s="1" t="s">
        <v>5811</v>
      </c>
      <c r="F9817" s="1" t="s">
        <v>5843</v>
      </c>
      <c r="H9817" s="1" t="s">
        <v>5846</v>
      </c>
      <c r="L9817" s="1" t="s">
        <v>8406</v>
      </c>
      <c r="N9817" s="1" t="s">
        <v>8407</v>
      </c>
      <c r="P9817" s="1" t="s">
        <v>8410</v>
      </c>
      <c r="Q9817" s="30" t="s">
        <v>2565</v>
      </c>
      <c r="R9817" s="33" t="s">
        <v>3472</v>
      </c>
      <c r="S9817">
        <v>36</v>
      </c>
      <c r="T9817" s="1" t="s">
        <v>8409</v>
      </c>
      <c r="U9817" s="1" t="str">
        <f>HYPERLINK("http://ictvonline.org/taxonomy/p/taxonomy-history?taxnode_id=202109495","ICTVonline=202109495")</f>
        <v>ICTVonline=202109495</v>
      </c>
    </row>
    <row r="9818" spans="1:21" x14ac:dyDescent="0.2">
      <c r="A9818" s="3">
        <v>9817</v>
      </c>
      <c r="B9818" s="1" t="s">
        <v>5810</v>
      </c>
      <c r="D9818" s="1" t="s">
        <v>5811</v>
      </c>
      <c r="F9818" s="1" t="s">
        <v>5843</v>
      </c>
      <c r="H9818" s="1" t="s">
        <v>5846</v>
      </c>
      <c r="L9818" s="1" t="s">
        <v>8406</v>
      </c>
      <c r="N9818" s="1" t="s">
        <v>8411</v>
      </c>
      <c r="P9818" s="1" t="s">
        <v>8412</v>
      </c>
      <c r="Q9818" s="30" t="s">
        <v>2565</v>
      </c>
      <c r="R9818" s="33" t="s">
        <v>3472</v>
      </c>
      <c r="S9818">
        <v>36</v>
      </c>
      <c r="T9818" s="1" t="s">
        <v>8409</v>
      </c>
      <c r="U9818" s="1" t="str">
        <f>HYPERLINK("http://ictvonline.org/taxonomy/p/taxonomy-history?taxnode_id=202109492","ICTVonline=202109492")</f>
        <v>ICTVonline=202109492</v>
      </c>
    </row>
    <row r="9819" spans="1:21" x14ac:dyDescent="0.2">
      <c r="A9819" s="3">
        <v>9818</v>
      </c>
      <c r="B9819" s="1" t="s">
        <v>5810</v>
      </c>
      <c r="D9819" s="1" t="s">
        <v>5811</v>
      </c>
      <c r="F9819" s="1" t="s">
        <v>5843</v>
      </c>
      <c r="H9819" s="1" t="s">
        <v>5846</v>
      </c>
      <c r="L9819" s="1" t="s">
        <v>8406</v>
      </c>
      <c r="N9819" s="1" t="s">
        <v>8411</v>
      </c>
      <c r="P9819" s="1" t="s">
        <v>8413</v>
      </c>
      <c r="Q9819" s="30" t="s">
        <v>2565</v>
      </c>
      <c r="R9819" s="33" t="s">
        <v>3472</v>
      </c>
      <c r="S9819">
        <v>36</v>
      </c>
      <c r="T9819" s="1" t="s">
        <v>8409</v>
      </c>
      <c r="U9819" s="1" t="str">
        <f>HYPERLINK("http://ictvonline.org/taxonomy/p/taxonomy-history?taxnode_id=202109493","ICTVonline=202109493")</f>
        <v>ICTVonline=202109493</v>
      </c>
    </row>
    <row r="9820" spans="1:21" x14ac:dyDescent="0.2">
      <c r="A9820" s="3">
        <v>9819</v>
      </c>
      <c r="B9820" s="1" t="s">
        <v>5810</v>
      </c>
      <c r="D9820" s="1" t="s">
        <v>5811</v>
      </c>
      <c r="F9820" s="1" t="s">
        <v>5843</v>
      </c>
      <c r="H9820" s="1" t="s">
        <v>5846</v>
      </c>
      <c r="L9820" s="1" t="s">
        <v>8406</v>
      </c>
      <c r="N9820" s="1" t="s">
        <v>8411</v>
      </c>
      <c r="P9820" s="1" t="s">
        <v>8414</v>
      </c>
      <c r="Q9820" s="30" t="s">
        <v>2565</v>
      </c>
      <c r="R9820" s="33" t="s">
        <v>3472</v>
      </c>
      <c r="S9820">
        <v>36</v>
      </c>
      <c r="T9820" s="1" t="s">
        <v>8409</v>
      </c>
      <c r="U9820" s="1" t="str">
        <f>HYPERLINK("http://ictvonline.org/taxonomy/p/taxonomy-history?taxnode_id=202109494","ICTVonline=202109494")</f>
        <v>ICTVonline=202109494</v>
      </c>
    </row>
    <row r="9821" spans="1:21" x14ac:dyDescent="0.2">
      <c r="A9821" s="3">
        <v>9820</v>
      </c>
      <c r="B9821" s="1" t="s">
        <v>5810</v>
      </c>
      <c r="D9821" s="1" t="s">
        <v>5811</v>
      </c>
      <c r="L9821" s="1" t="s">
        <v>13787</v>
      </c>
      <c r="N9821" s="1" t="s">
        <v>13788</v>
      </c>
      <c r="P9821" s="1" t="s">
        <v>13789</v>
      </c>
      <c r="Q9821" s="30" t="s">
        <v>2565</v>
      </c>
      <c r="R9821" s="33" t="s">
        <v>3472</v>
      </c>
      <c r="S9821">
        <v>37</v>
      </c>
      <c r="T9821" s="1" t="s">
        <v>14070</v>
      </c>
      <c r="U9821" s="1" t="str">
        <f>HYPERLINK("http://ictvonline.org/taxonomy/p/taxonomy-history?taxnode_id=202112530","ICTVonline=202112530")</f>
        <v>ICTVonline=202112530</v>
      </c>
    </row>
    <row r="9822" spans="1:21" x14ac:dyDescent="0.2">
      <c r="A9822" s="3">
        <v>9821</v>
      </c>
      <c r="B9822" s="1" t="s">
        <v>5810</v>
      </c>
      <c r="D9822" s="1" t="s">
        <v>5858</v>
      </c>
      <c r="F9822" s="1" t="s">
        <v>5859</v>
      </c>
      <c r="H9822" s="1" t="s">
        <v>5860</v>
      </c>
      <c r="J9822" s="1" t="s">
        <v>5861</v>
      </c>
      <c r="L9822" s="1" t="s">
        <v>8415</v>
      </c>
      <c r="N9822" s="1" t="s">
        <v>8416</v>
      </c>
      <c r="P9822" s="1" t="s">
        <v>8417</v>
      </c>
      <c r="Q9822" s="30" t="s">
        <v>2565</v>
      </c>
      <c r="R9822" s="33" t="s">
        <v>3473</v>
      </c>
      <c r="S9822">
        <v>36</v>
      </c>
      <c r="T9822" s="1" t="s">
        <v>8418</v>
      </c>
      <c r="U9822" s="1" t="str">
        <f>HYPERLINK("http://ictvonline.org/taxonomy/p/taxonomy-history?taxnode_id=202105064","ICTVonline=202105064")</f>
        <v>ICTVonline=202105064</v>
      </c>
    </row>
    <row r="9823" spans="1:21" x14ac:dyDescent="0.2">
      <c r="A9823" s="3">
        <v>9822</v>
      </c>
      <c r="B9823" s="1" t="s">
        <v>5810</v>
      </c>
      <c r="D9823" s="1" t="s">
        <v>5858</v>
      </c>
      <c r="F9823" s="1" t="s">
        <v>5859</v>
      </c>
      <c r="H9823" s="1" t="s">
        <v>5860</v>
      </c>
      <c r="J9823" s="1" t="s">
        <v>5861</v>
      </c>
      <c r="L9823" s="1" t="s">
        <v>8415</v>
      </c>
      <c r="N9823" s="1" t="s">
        <v>8416</v>
      </c>
      <c r="P9823" s="1" t="s">
        <v>13790</v>
      </c>
      <c r="Q9823" s="30" t="s">
        <v>2565</v>
      </c>
      <c r="R9823" s="33" t="s">
        <v>3475</v>
      </c>
      <c r="S9823">
        <v>37</v>
      </c>
      <c r="T9823" s="1" t="s">
        <v>13878</v>
      </c>
      <c r="U9823" s="1" t="str">
        <f>HYPERLINK("http://ictvonline.org/taxonomy/p/taxonomy-history?taxnode_id=202105065","ICTVonline=202105065")</f>
        <v>ICTVonline=202105065</v>
      </c>
    </row>
    <row r="9824" spans="1:21" x14ac:dyDescent="0.2">
      <c r="A9824" s="3">
        <v>9823</v>
      </c>
      <c r="B9824" s="1" t="s">
        <v>5810</v>
      </c>
      <c r="D9824" s="1" t="s">
        <v>5858</v>
      </c>
      <c r="F9824" s="1" t="s">
        <v>5859</v>
      </c>
      <c r="H9824" s="1" t="s">
        <v>5860</v>
      </c>
      <c r="J9824" s="1" t="s">
        <v>5861</v>
      </c>
      <c r="L9824" s="1" t="s">
        <v>8419</v>
      </c>
      <c r="N9824" s="1" t="s">
        <v>8420</v>
      </c>
      <c r="P9824" s="1" t="s">
        <v>8421</v>
      </c>
      <c r="Q9824" s="30" t="s">
        <v>2565</v>
      </c>
      <c r="R9824" s="33" t="s">
        <v>3472</v>
      </c>
      <c r="S9824">
        <v>36</v>
      </c>
      <c r="T9824" s="1" t="s">
        <v>8422</v>
      </c>
      <c r="U9824" s="1" t="str">
        <f>HYPERLINK("http://ictvonline.org/taxonomy/p/taxonomy-history?taxnode_id=202111861","ICTVonline=202111861")</f>
        <v>ICTVonline=202111861</v>
      </c>
    </row>
    <row r="9825" spans="1:21" x14ac:dyDescent="0.2">
      <c r="A9825" s="3">
        <v>9824</v>
      </c>
      <c r="B9825" s="1" t="s">
        <v>5810</v>
      </c>
      <c r="D9825" s="1" t="s">
        <v>5858</v>
      </c>
      <c r="F9825" s="1" t="s">
        <v>5859</v>
      </c>
      <c r="H9825" s="1" t="s">
        <v>5860</v>
      </c>
      <c r="J9825" s="1" t="s">
        <v>5861</v>
      </c>
      <c r="L9825" s="1" t="s">
        <v>8419</v>
      </c>
      <c r="N9825" s="1" t="s">
        <v>8420</v>
      </c>
      <c r="P9825" s="1" t="s">
        <v>8423</v>
      </c>
      <c r="Q9825" s="30" t="s">
        <v>2565</v>
      </c>
      <c r="R9825" s="33" t="s">
        <v>3472</v>
      </c>
      <c r="S9825">
        <v>36</v>
      </c>
      <c r="T9825" s="1" t="s">
        <v>8422</v>
      </c>
      <c r="U9825" s="1" t="str">
        <f>HYPERLINK("http://ictvonline.org/taxonomy/p/taxonomy-history?taxnode_id=202111860","ICTVonline=202111860")</f>
        <v>ICTVonline=202111860</v>
      </c>
    </row>
    <row r="9826" spans="1:21" x14ac:dyDescent="0.2">
      <c r="A9826" s="3">
        <v>9825</v>
      </c>
      <c r="B9826" s="1" t="s">
        <v>5810</v>
      </c>
      <c r="D9826" s="1" t="s">
        <v>5858</v>
      </c>
      <c r="F9826" s="1" t="s">
        <v>5859</v>
      </c>
      <c r="H9826" s="1" t="s">
        <v>5860</v>
      </c>
      <c r="J9826" s="1" t="s">
        <v>5861</v>
      </c>
      <c r="L9826" s="1" t="s">
        <v>8419</v>
      </c>
      <c r="N9826" s="1" t="s">
        <v>8420</v>
      </c>
      <c r="P9826" s="1" t="s">
        <v>8424</v>
      </c>
      <c r="Q9826" s="30" t="s">
        <v>2565</v>
      </c>
      <c r="R9826" s="33" t="s">
        <v>8662</v>
      </c>
      <c r="S9826">
        <v>36</v>
      </c>
      <c r="T9826" s="1" t="s">
        <v>8677</v>
      </c>
      <c r="U9826" s="1" t="str">
        <f>HYPERLINK("http://ictvonline.org/taxonomy/p/taxonomy-history?taxnode_id=202105062","ICTVonline=202105062")</f>
        <v>ICTVonline=202105062</v>
      </c>
    </row>
    <row r="9827" spans="1:21" x14ac:dyDescent="0.2">
      <c r="A9827" s="3">
        <v>9826</v>
      </c>
      <c r="B9827" s="1" t="s">
        <v>5810</v>
      </c>
      <c r="D9827" s="1" t="s">
        <v>5858</v>
      </c>
      <c r="F9827" s="1" t="s">
        <v>5859</v>
      </c>
      <c r="H9827" s="1" t="s">
        <v>5860</v>
      </c>
      <c r="J9827" s="1" t="s">
        <v>5861</v>
      </c>
      <c r="L9827" s="1" t="s">
        <v>2556</v>
      </c>
      <c r="N9827" s="1" t="s">
        <v>2557</v>
      </c>
      <c r="P9827" s="1" t="s">
        <v>13791</v>
      </c>
      <c r="Q9827" s="30" t="s">
        <v>2565</v>
      </c>
      <c r="R9827" s="33" t="s">
        <v>3475</v>
      </c>
      <c r="S9827">
        <v>37</v>
      </c>
      <c r="T9827" s="1" t="s">
        <v>14071</v>
      </c>
      <c r="U9827" s="1" t="str">
        <f>HYPERLINK("http://ictvonline.org/taxonomy/p/taxonomy-history?taxnode_id=202105060","ICTVonline=202105060")</f>
        <v>ICTVonline=202105060</v>
      </c>
    </row>
    <row r="9828" spans="1:21" x14ac:dyDescent="0.2">
      <c r="A9828" s="3">
        <v>9827</v>
      </c>
      <c r="B9828" s="1" t="s">
        <v>5810</v>
      </c>
      <c r="D9828" s="1" t="s">
        <v>5858</v>
      </c>
      <c r="F9828" s="1" t="s">
        <v>5859</v>
      </c>
      <c r="H9828" s="1" t="s">
        <v>5860</v>
      </c>
      <c r="J9828" s="1" t="s">
        <v>5861</v>
      </c>
      <c r="L9828" s="1" t="s">
        <v>2556</v>
      </c>
      <c r="N9828" s="1" t="s">
        <v>2557</v>
      </c>
      <c r="P9828" s="1" t="s">
        <v>13792</v>
      </c>
      <c r="Q9828" s="30" t="s">
        <v>2565</v>
      </c>
      <c r="R9828" s="33" t="s">
        <v>3475</v>
      </c>
      <c r="S9828">
        <v>37</v>
      </c>
      <c r="T9828" s="1" t="s">
        <v>14071</v>
      </c>
      <c r="U9828" s="1" t="str">
        <f>HYPERLINK("http://ictvonline.org/taxonomy/p/taxonomy-history?taxnode_id=202105057","ICTVonline=202105057")</f>
        <v>ICTVonline=202105057</v>
      </c>
    </row>
    <row r="9829" spans="1:21" x14ac:dyDescent="0.2">
      <c r="A9829" s="3">
        <v>9828</v>
      </c>
      <c r="B9829" s="1" t="s">
        <v>5810</v>
      </c>
      <c r="D9829" s="1" t="s">
        <v>5858</v>
      </c>
      <c r="F9829" s="1" t="s">
        <v>5859</v>
      </c>
      <c r="H9829" s="1" t="s">
        <v>5860</v>
      </c>
      <c r="J9829" s="1" t="s">
        <v>5861</v>
      </c>
      <c r="L9829" s="1" t="s">
        <v>2556</v>
      </c>
      <c r="N9829" s="1" t="s">
        <v>2557</v>
      </c>
      <c r="P9829" s="1" t="s">
        <v>13793</v>
      </c>
      <c r="Q9829" s="30" t="s">
        <v>2565</v>
      </c>
      <c r="R9829" s="33" t="s">
        <v>3475</v>
      </c>
      <c r="S9829">
        <v>37</v>
      </c>
      <c r="T9829" s="1" t="s">
        <v>14071</v>
      </c>
      <c r="U9829" s="1" t="str">
        <f>HYPERLINK("http://ictvonline.org/taxonomy/p/taxonomy-history?taxnode_id=202105058","ICTVonline=202105058")</f>
        <v>ICTVonline=202105058</v>
      </c>
    </row>
    <row r="9830" spans="1:21" x14ac:dyDescent="0.2">
      <c r="A9830" s="3">
        <v>9829</v>
      </c>
      <c r="B9830" s="1" t="s">
        <v>5810</v>
      </c>
      <c r="D9830" s="1" t="s">
        <v>5858</v>
      </c>
      <c r="F9830" s="1" t="s">
        <v>5859</v>
      </c>
      <c r="H9830" s="1" t="s">
        <v>5860</v>
      </c>
      <c r="J9830" s="1" t="s">
        <v>5861</v>
      </c>
      <c r="L9830" s="1" t="s">
        <v>2556</v>
      </c>
      <c r="N9830" s="1" t="s">
        <v>2557</v>
      </c>
      <c r="P9830" s="1" t="s">
        <v>13794</v>
      </c>
      <c r="Q9830" s="30" t="s">
        <v>2565</v>
      </c>
      <c r="R9830" s="33" t="s">
        <v>3475</v>
      </c>
      <c r="S9830">
        <v>37</v>
      </c>
      <c r="T9830" s="1" t="s">
        <v>14071</v>
      </c>
      <c r="U9830" s="1" t="str">
        <f>HYPERLINK("http://ictvonline.org/taxonomy/p/taxonomy-history?taxnode_id=202105059","ICTVonline=202105059")</f>
        <v>ICTVonline=202105059</v>
      </c>
    </row>
    <row r="9831" spans="1:21" x14ac:dyDescent="0.2">
      <c r="A9831" s="3">
        <v>9830</v>
      </c>
      <c r="H9831" s="1" t="s">
        <v>8425</v>
      </c>
      <c r="J9831" s="1" t="s">
        <v>8426</v>
      </c>
      <c r="L9831" s="1" t="s">
        <v>1609</v>
      </c>
      <c r="N9831" s="1" t="s">
        <v>1610</v>
      </c>
      <c r="P9831" s="1" t="s">
        <v>658</v>
      </c>
      <c r="Q9831" s="30" t="s">
        <v>2565</v>
      </c>
      <c r="R9831" s="33" t="s">
        <v>3474</v>
      </c>
      <c r="S9831">
        <v>36</v>
      </c>
      <c r="T9831" s="1" t="s">
        <v>8427</v>
      </c>
      <c r="U9831" s="1" t="str">
        <f>HYPERLINK("http://ictvonline.org/taxonomy/p/taxonomy-history?taxnode_id=202102657","ICTVonline=202102657")</f>
        <v>ICTVonline=202102657</v>
      </c>
    </row>
    <row r="9832" spans="1:21" x14ac:dyDescent="0.2">
      <c r="A9832" s="3">
        <v>9831</v>
      </c>
      <c r="H9832" s="1" t="s">
        <v>8425</v>
      </c>
      <c r="J9832" s="1" t="s">
        <v>8426</v>
      </c>
      <c r="L9832" s="1" t="s">
        <v>1609</v>
      </c>
      <c r="N9832" s="1" t="s">
        <v>1610</v>
      </c>
      <c r="P9832" s="1" t="s">
        <v>659</v>
      </c>
      <c r="Q9832" s="30" t="s">
        <v>2565</v>
      </c>
      <c r="R9832" s="33" t="s">
        <v>3474</v>
      </c>
      <c r="S9832">
        <v>36</v>
      </c>
      <c r="T9832" s="1" t="s">
        <v>8427</v>
      </c>
      <c r="U9832" s="1" t="str">
        <f>HYPERLINK("http://ictvonline.org/taxonomy/p/taxonomy-history?taxnode_id=202102658","ICTVonline=202102658")</f>
        <v>ICTVonline=202102658</v>
      </c>
    </row>
    <row r="9833" spans="1:21" x14ac:dyDescent="0.2">
      <c r="A9833" s="3">
        <v>9832</v>
      </c>
      <c r="H9833" s="1" t="s">
        <v>8425</v>
      </c>
      <c r="J9833" s="1" t="s">
        <v>8426</v>
      </c>
      <c r="L9833" s="1" t="s">
        <v>1609</v>
      </c>
      <c r="N9833" s="1" t="s">
        <v>1610</v>
      </c>
      <c r="P9833" s="1" t="s">
        <v>2827</v>
      </c>
      <c r="Q9833" s="30" t="s">
        <v>2565</v>
      </c>
      <c r="R9833" s="33" t="s">
        <v>3474</v>
      </c>
      <c r="S9833">
        <v>36</v>
      </c>
      <c r="T9833" s="1" t="s">
        <v>8427</v>
      </c>
      <c r="U9833" s="1" t="str">
        <f>HYPERLINK("http://ictvonline.org/taxonomy/p/taxonomy-history?taxnode_id=202102659","ICTVonline=202102659")</f>
        <v>ICTVonline=202102659</v>
      </c>
    </row>
    <row r="9834" spans="1:21" x14ac:dyDescent="0.2">
      <c r="A9834" s="3">
        <v>9833</v>
      </c>
      <c r="H9834" s="1" t="s">
        <v>8425</v>
      </c>
      <c r="J9834" s="1" t="s">
        <v>8426</v>
      </c>
      <c r="L9834" s="1" t="s">
        <v>1609</v>
      </c>
      <c r="N9834" s="1" t="s">
        <v>1610</v>
      </c>
      <c r="P9834" s="1" t="s">
        <v>2828</v>
      </c>
      <c r="Q9834" s="30" t="s">
        <v>2565</v>
      </c>
      <c r="R9834" s="33" t="s">
        <v>3474</v>
      </c>
      <c r="S9834">
        <v>36</v>
      </c>
      <c r="T9834" s="1" t="s">
        <v>8427</v>
      </c>
      <c r="U9834" s="1" t="str">
        <f>HYPERLINK("http://ictvonline.org/taxonomy/p/taxonomy-history?taxnode_id=202102660","ICTVonline=202102660")</f>
        <v>ICTVonline=202102660</v>
      </c>
    </row>
    <row r="9835" spans="1:21" x14ac:dyDescent="0.2">
      <c r="A9835" s="3">
        <v>9834</v>
      </c>
      <c r="H9835" s="1" t="s">
        <v>8425</v>
      </c>
      <c r="J9835" s="1" t="s">
        <v>8426</v>
      </c>
      <c r="L9835" s="1" t="s">
        <v>1609</v>
      </c>
      <c r="N9835" s="1" t="s">
        <v>1610</v>
      </c>
      <c r="P9835" s="1" t="s">
        <v>13795</v>
      </c>
      <c r="Q9835" s="30" t="s">
        <v>2565</v>
      </c>
      <c r="R9835" s="33" t="s">
        <v>3472</v>
      </c>
      <c r="S9835">
        <v>37</v>
      </c>
      <c r="T9835" s="1" t="s">
        <v>14072</v>
      </c>
      <c r="U9835" s="1" t="str">
        <f>HYPERLINK("http://ictvonline.org/taxonomy/p/taxonomy-history?taxnode_id=202113425","ICTVonline=202113425")</f>
        <v>ICTVonline=202113425</v>
      </c>
    </row>
    <row r="9836" spans="1:21" x14ac:dyDescent="0.2">
      <c r="A9836" s="3">
        <v>9835</v>
      </c>
      <c r="H9836" s="1" t="s">
        <v>8425</v>
      </c>
      <c r="J9836" s="1" t="s">
        <v>8426</v>
      </c>
      <c r="L9836" s="1" t="s">
        <v>1609</v>
      </c>
      <c r="N9836" s="1" t="s">
        <v>1610</v>
      </c>
      <c r="P9836" s="1" t="s">
        <v>13796</v>
      </c>
      <c r="Q9836" s="30" t="s">
        <v>2565</v>
      </c>
      <c r="R9836" s="33" t="s">
        <v>3472</v>
      </c>
      <c r="S9836">
        <v>37</v>
      </c>
      <c r="T9836" s="1" t="s">
        <v>14072</v>
      </c>
      <c r="U9836" s="1" t="str">
        <f>HYPERLINK("http://ictvonline.org/taxonomy/p/taxonomy-history?taxnode_id=202113426","ICTVonline=202113426")</f>
        <v>ICTVonline=202113426</v>
      </c>
    </row>
    <row r="9837" spans="1:21" x14ac:dyDescent="0.2">
      <c r="A9837" s="3">
        <v>9836</v>
      </c>
      <c r="H9837" s="1" t="s">
        <v>8425</v>
      </c>
      <c r="J9837" s="1" t="s">
        <v>8426</v>
      </c>
      <c r="L9837" s="1" t="s">
        <v>1609</v>
      </c>
      <c r="N9837" s="1" t="s">
        <v>1610</v>
      </c>
      <c r="P9837" s="1" t="s">
        <v>13797</v>
      </c>
      <c r="Q9837" s="30" t="s">
        <v>2565</v>
      </c>
      <c r="R9837" s="33" t="s">
        <v>3472</v>
      </c>
      <c r="S9837">
        <v>37</v>
      </c>
      <c r="T9837" s="1" t="s">
        <v>14072</v>
      </c>
      <c r="U9837" s="1" t="str">
        <f>HYPERLINK("http://ictvonline.org/taxonomy/p/taxonomy-history?taxnode_id=202113427","ICTVonline=202113427")</f>
        <v>ICTVonline=202113427</v>
      </c>
    </row>
    <row r="9838" spans="1:21" x14ac:dyDescent="0.2">
      <c r="A9838" s="3">
        <v>9837</v>
      </c>
      <c r="H9838" s="1" t="s">
        <v>8425</v>
      </c>
      <c r="J9838" s="1" t="s">
        <v>8426</v>
      </c>
      <c r="L9838" s="1" t="s">
        <v>1609</v>
      </c>
      <c r="N9838" s="1" t="s">
        <v>1610</v>
      </c>
      <c r="P9838" s="1" t="s">
        <v>13798</v>
      </c>
      <c r="Q9838" s="30" t="s">
        <v>2565</v>
      </c>
      <c r="R9838" s="33" t="s">
        <v>3472</v>
      </c>
      <c r="S9838">
        <v>37</v>
      </c>
      <c r="T9838" s="1" t="s">
        <v>14072</v>
      </c>
      <c r="U9838" s="1" t="str">
        <f>HYPERLINK("http://ictvonline.org/taxonomy/p/taxonomy-history?taxnode_id=202113428","ICTVonline=202113428")</f>
        <v>ICTVonline=202113428</v>
      </c>
    </row>
    <row r="9839" spans="1:21" x14ac:dyDescent="0.2">
      <c r="A9839" s="3">
        <v>9838</v>
      </c>
      <c r="H9839" s="1" t="s">
        <v>8425</v>
      </c>
      <c r="J9839" s="1" t="s">
        <v>8426</v>
      </c>
      <c r="L9839" s="1" t="s">
        <v>1609</v>
      </c>
      <c r="N9839" s="1" t="s">
        <v>1610</v>
      </c>
      <c r="P9839" s="1" t="s">
        <v>2070</v>
      </c>
      <c r="Q9839" s="30" t="s">
        <v>2565</v>
      </c>
      <c r="R9839" s="33" t="s">
        <v>3474</v>
      </c>
      <c r="S9839">
        <v>36</v>
      </c>
      <c r="T9839" s="1" t="s">
        <v>8427</v>
      </c>
      <c r="U9839" s="1" t="str">
        <f>HYPERLINK("http://ictvonline.org/taxonomy/p/taxonomy-history?taxnode_id=202102661","ICTVonline=202102661")</f>
        <v>ICTVonline=202102661</v>
      </c>
    </row>
    <row r="9840" spans="1:21" x14ac:dyDescent="0.2">
      <c r="A9840" s="3">
        <v>9839</v>
      </c>
      <c r="H9840" s="1" t="s">
        <v>8425</v>
      </c>
      <c r="J9840" s="1" t="s">
        <v>8426</v>
      </c>
      <c r="L9840" s="1" t="s">
        <v>1609</v>
      </c>
      <c r="N9840" s="1" t="s">
        <v>1610</v>
      </c>
      <c r="P9840" s="1" t="s">
        <v>1626</v>
      </c>
      <c r="Q9840" s="30" t="s">
        <v>2565</v>
      </c>
      <c r="R9840" s="33" t="s">
        <v>3474</v>
      </c>
      <c r="S9840">
        <v>36</v>
      </c>
      <c r="T9840" s="1" t="s">
        <v>8427</v>
      </c>
      <c r="U9840" s="1" t="str">
        <f>HYPERLINK("http://ictvonline.org/taxonomy/p/taxonomy-history?taxnode_id=202102662","ICTVonline=202102662")</f>
        <v>ICTVonline=202102662</v>
      </c>
    </row>
    <row r="9841" spans="1:21" x14ac:dyDescent="0.2">
      <c r="A9841" s="3">
        <v>9840</v>
      </c>
      <c r="H9841" s="1" t="s">
        <v>8425</v>
      </c>
      <c r="J9841" s="1" t="s">
        <v>8426</v>
      </c>
      <c r="L9841" s="1" t="s">
        <v>1609</v>
      </c>
      <c r="N9841" s="1" t="s">
        <v>1610</v>
      </c>
      <c r="P9841" s="1" t="s">
        <v>660</v>
      </c>
      <c r="Q9841" s="30" t="s">
        <v>2565</v>
      </c>
      <c r="R9841" s="33" t="s">
        <v>8660</v>
      </c>
      <c r="S9841">
        <v>36</v>
      </c>
      <c r="T9841" s="1" t="s">
        <v>8661</v>
      </c>
      <c r="U9841" s="1" t="str">
        <f>HYPERLINK("http://ictvonline.org/taxonomy/p/taxonomy-history?taxnode_id=202102663","ICTVonline=202102663")</f>
        <v>ICTVonline=202102663</v>
      </c>
    </row>
    <row r="9842" spans="1:21" x14ac:dyDescent="0.2">
      <c r="A9842" s="3">
        <v>9841</v>
      </c>
      <c r="H9842" s="1" t="s">
        <v>8425</v>
      </c>
      <c r="J9842" s="1" t="s">
        <v>8426</v>
      </c>
      <c r="L9842" s="1" t="s">
        <v>1609</v>
      </c>
      <c r="N9842" s="1" t="s">
        <v>1610</v>
      </c>
      <c r="P9842" s="1" t="s">
        <v>661</v>
      </c>
      <c r="Q9842" s="30" t="s">
        <v>2565</v>
      </c>
      <c r="R9842" s="33" t="s">
        <v>3474</v>
      </c>
      <c r="S9842">
        <v>36</v>
      </c>
      <c r="T9842" s="1" t="s">
        <v>8427</v>
      </c>
      <c r="U9842" s="1" t="str">
        <f>HYPERLINK("http://ictvonline.org/taxonomy/p/taxonomy-history?taxnode_id=202102664","ICTVonline=202102664")</f>
        <v>ICTVonline=202102664</v>
      </c>
    </row>
    <row r="9843" spans="1:21" x14ac:dyDescent="0.2">
      <c r="A9843" s="3">
        <v>9842</v>
      </c>
      <c r="H9843" s="1" t="s">
        <v>8425</v>
      </c>
      <c r="J9843" s="1" t="s">
        <v>8426</v>
      </c>
      <c r="L9843" s="1" t="s">
        <v>1609</v>
      </c>
      <c r="N9843" s="1" t="s">
        <v>1610</v>
      </c>
      <c r="P9843" s="1" t="s">
        <v>662</v>
      </c>
      <c r="Q9843" s="30" t="s">
        <v>2565</v>
      </c>
      <c r="R9843" s="33" t="s">
        <v>3474</v>
      </c>
      <c r="S9843">
        <v>36</v>
      </c>
      <c r="T9843" s="1" t="s">
        <v>8427</v>
      </c>
      <c r="U9843" s="1" t="str">
        <f>HYPERLINK("http://ictvonline.org/taxonomy/p/taxonomy-history?taxnode_id=202102665","ICTVonline=202102665")</f>
        <v>ICTVonline=202102665</v>
      </c>
    </row>
    <row r="9844" spans="1:21" x14ac:dyDescent="0.2">
      <c r="A9844" s="3">
        <v>9843</v>
      </c>
      <c r="H9844" s="1" t="s">
        <v>8425</v>
      </c>
      <c r="J9844" s="1" t="s">
        <v>8426</v>
      </c>
      <c r="L9844" s="1" t="s">
        <v>1609</v>
      </c>
      <c r="N9844" s="1" t="s">
        <v>1610</v>
      </c>
      <c r="P9844" s="1" t="s">
        <v>3282</v>
      </c>
      <c r="Q9844" s="30" t="s">
        <v>2565</v>
      </c>
      <c r="R9844" s="33" t="s">
        <v>3474</v>
      </c>
      <c r="S9844">
        <v>36</v>
      </c>
      <c r="T9844" s="1" t="s">
        <v>8427</v>
      </c>
      <c r="U9844" s="1" t="str">
        <f>HYPERLINK("http://ictvonline.org/taxonomy/p/taxonomy-history?taxnode_id=202102666","ICTVonline=202102666")</f>
        <v>ICTVonline=202102666</v>
      </c>
    </row>
    <row r="9845" spans="1:21" x14ac:dyDescent="0.2">
      <c r="A9845" s="3">
        <v>9844</v>
      </c>
      <c r="H9845" s="1" t="s">
        <v>8425</v>
      </c>
      <c r="J9845" s="1" t="s">
        <v>8426</v>
      </c>
      <c r="L9845" s="1" t="s">
        <v>1609</v>
      </c>
      <c r="N9845" s="1" t="s">
        <v>1610</v>
      </c>
      <c r="P9845" s="1" t="s">
        <v>663</v>
      </c>
      <c r="Q9845" s="30" t="s">
        <v>2565</v>
      </c>
      <c r="R9845" s="33" t="s">
        <v>3474</v>
      </c>
      <c r="S9845">
        <v>36</v>
      </c>
      <c r="T9845" s="1" t="s">
        <v>8427</v>
      </c>
      <c r="U9845" s="1" t="str">
        <f>HYPERLINK("http://ictvonline.org/taxonomy/p/taxonomy-history?taxnode_id=202102667","ICTVonline=202102667")</f>
        <v>ICTVonline=202102667</v>
      </c>
    </row>
    <row r="9846" spans="1:21" x14ac:dyDescent="0.2">
      <c r="A9846" s="3">
        <v>9845</v>
      </c>
      <c r="H9846" s="1" t="s">
        <v>8425</v>
      </c>
      <c r="J9846" s="1" t="s">
        <v>8426</v>
      </c>
      <c r="L9846" s="1" t="s">
        <v>1609</v>
      </c>
      <c r="N9846" s="1" t="s">
        <v>1610</v>
      </c>
      <c r="P9846" s="1" t="s">
        <v>1627</v>
      </c>
      <c r="Q9846" s="30" t="s">
        <v>2565</v>
      </c>
      <c r="R9846" s="33" t="s">
        <v>3474</v>
      </c>
      <c r="S9846">
        <v>36</v>
      </c>
      <c r="T9846" s="1" t="s">
        <v>8427</v>
      </c>
      <c r="U9846" s="1" t="str">
        <f>HYPERLINK("http://ictvonline.org/taxonomy/p/taxonomy-history?taxnode_id=202102668","ICTVonline=202102668")</f>
        <v>ICTVonline=202102668</v>
      </c>
    </row>
    <row r="9847" spans="1:21" x14ac:dyDescent="0.2">
      <c r="A9847" s="3">
        <v>9846</v>
      </c>
      <c r="H9847" s="1" t="s">
        <v>8425</v>
      </c>
      <c r="J9847" s="1" t="s">
        <v>8426</v>
      </c>
      <c r="L9847" s="1" t="s">
        <v>1609</v>
      </c>
      <c r="N9847" s="1" t="s">
        <v>1610</v>
      </c>
      <c r="P9847" s="1" t="s">
        <v>3283</v>
      </c>
      <c r="Q9847" s="30" t="s">
        <v>2565</v>
      </c>
      <c r="R9847" s="33" t="s">
        <v>3474</v>
      </c>
      <c r="S9847">
        <v>36</v>
      </c>
      <c r="T9847" s="1" t="s">
        <v>8427</v>
      </c>
      <c r="U9847" s="1" t="str">
        <f>HYPERLINK("http://ictvonline.org/taxonomy/p/taxonomy-history?taxnode_id=202102669","ICTVonline=202102669")</f>
        <v>ICTVonline=202102669</v>
      </c>
    </row>
    <row r="9848" spans="1:21" x14ac:dyDescent="0.2">
      <c r="A9848" s="3">
        <v>9847</v>
      </c>
      <c r="H9848" s="1" t="s">
        <v>8425</v>
      </c>
      <c r="J9848" s="1" t="s">
        <v>8426</v>
      </c>
      <c r="L9848" s="1" t="s">
        <v>1609</v>
      </c>
      <c r="N9848" s="1" t="s">
        <v>1610</v>
      </c>
      <c r="P9848" s="1" t="s">
        <v>1628</v>
      </c>
      <c r="Q9848" s="30" t="s">
        <v>2565</v>
      </c>
      <c r="R9848" s="33" t="s">
        <v>3474</v>
      </c>
      <c r="S9848">
        <v>36</v>
      </c>
      <c r="T9848" s="1" t="s">
        <v>8427</v>
      </c>
      <c r="U9848" s="1" t="str">
        <f>HYPERLINK("http://ictvonline.org/taxonomy/p/taxonomy-history?taxnode_id=202102670","ICTVonline=202102670")</f>
        <v>ICTVonline=202102670</v>
      </c>
    </row>
    <row r="9849" spans="1:21" x14ac:dyDescent="0.2">
      <c r="A9849" s="3">
        <v>9848</v>
      </c>
      <c r="H9849" s="1" t="s">
        <v>8425</v>
      </c>
      <c r="J9849" s="1" t="s">
        <v>8426</v>
      </c>
      <c r="L9849" s="1" t="s">
        <v>1609</v>
      </c>
      <c r="N9849" s="1" t="s">
        <v>1610</v>
      </c>
      <c r="P9849" s="1" t="s">
        <v>2071</v>
      </c>
      <c r="Q9849" s="30" t="s">
        <v>2565</v>
      </c>
      <c r="R9849" s="33" t="s">
        <v>3474</v>
      </c>
      <c r="S9849">
        <v>36</v>
      </c>
      <c r="T9849" s="1" t="s">
        <v>8427</v>
      </c>
      <c r="U9849" s="1" t="str">
        <f>HYPERLINK("http://ictvonline.org/taxonomy/p/taxonomy-history?taxnode_id=202102671","ICTVonline=202102671")</f>
        <v>ICTVonline=202102671</v>
      </c>
    </row>
    <row r="9850" spans="1:21" x14ac:dyDescent="0.2">
      <c r="A9850" s="3">
        <v>9849</v>
      </c>
      <c r="H9850" s="1" t="s">
        <v>8425</v>
      </c>
      <c r="J9850" s="1" t="s">
        <v>8426</v>
      </c>
      <c r="L9850" s="1" t="s">
        <v>1609</v>
      </c>
      <c r="N9850" s="1" t="s">
        <v>1610</v>
      </c>
      <c r="P9850" s="1" t="s">
        <v>2829</v>
      </c>
      <c r="Q9850" s="30" t="s">
        <v>2565</v>
      </c>
      <c r="R9850" s="33" t="s">
        <v>3474</v>
      </c>
      <c r="S9850">
        <v>36</v>
      </c>
      <c r="T9850" s="1" t="s">
        <v>8427</v>
      </c>
      <c r="U9850" s="1" t="str">
        <f>HYPERLINK("http://ictvonline.org/taxonomy/p/taxonomy-history?taxnode_id=202102672","ICTVonline=202102672")</f>
        <v>ICTVonline=202102672</v>
      </c>
    </row>
    <row r="9851" spans="1:21" x14ac:dyDescent="0.2">
      <c r="A9851" s="3">
        <v>9850</v>
      </c>
      <c r="H9851" s="1" t="s">
        <v>8425</v>
      </c>
      <c r="J9851" s="1" t="s">
        <v>8426</v>
      </c>
      <c r="L9851" s="1" t="s">
        <v>1609</v>
      </c>
      <c r="N9851" s="1" t="s">
        <v>1610</v>
      </c>
      <c r="P9851" s="1" t="s">
        <v>2072</v>
      </c>
      <c r="Q9851" s="30" t="s">
        <v>2565</v>
      </c>
      <c r="R9851" s="33" t="s">
        <v>3474</v>
      </c>
      <c r="S9851">
        <v>36</v>
      </c>
      <c r="T9851" s="1" t="s">
        <v>8427</v>
      </c>
      <c r="U9851" s="1" t="str">
        <f>HYPERLINK("http://ictvonline.org/taxonomy/p/taxonomy-history?taxnode_id=202102673","ICTVonline=202102673")</f>
        <v>ICTVonline=202102673</v>
      </c>
    </row>
    <row r="9852" spans="1:21" x14ac:dyDescent="0.2">
      <c r="A9852" s="3">
        <v>9851</v>
      </c>
      <c r="H9852" s="1" t="s">
        <v>8425</v>
      </c>
      <c r="J9852" s="1" t="s">
        <v>8426</v>
      </c>
      <c r="L9852" s="1" t="s">
        <v>1609</v>
      </c>
      <c r="N9852" s="1" t="s">
        <v>1610</v>
      </c>
      <c r="P9852" s="1" t="s">
        <v>5878</v>
      </c>
      <c r="Q9852" s="30" t="s">
        <v>2565</v>
      </c>
      <c r="R9852" s="33" t="s">
        <v>3474</v>
      </c>
      <c r="S9852">
        <v>36</v>
      </c>
      <c r="T9852" s="1" t="s">
        <v>8427</v>
      </c>
      <c r="U9852" s="1" t="str">
        <f>HYPERLINK("http://ictvonline.org/taxonomy/p/taxonomy-history?taxnode_id=202108661","ICTVonline=202108661")</f>
        <v>ICTVonline=202108661</v>
      </c>
    </row>
    <row r="9853" spans="1:21" x14ac:dyDescent="0.2">
      <c r="A9853" s="3">
        <v>9852</v>
      </c>
      <c r="H9853" s="1" t="s">
        <v>8425</v>
      </c>
      <c r="J9853" s="1" t="s">
        <v>8426</v>
      </c>
      <c r="L9853" s="1" t="s">
        <v>1609</v>
      </c>
      <c r="N9853" s="1" t="s">
        <v>1610</v>
      </c>
      <c r="P9853" s="1" t="s">
        <v>5879</v>
      </c>
      <c r="Q9853" s="30" t="s">
        <v>2565</v>
      </c>
      <c r="R9853" s="33" t="s">
        <v>3474</v>
      </c>
      <c r="S9853">
        <v>36</v>
      </c>
      <c r="T9853" s="1" t="s">
        <v>8427</v>
      </c>
      <c r="U9853" s="1" t="str">
        <f>HYPERLINK("http://ictvonline.org/taxonomy/p/taxonomy-history?taxnode_id=202108662","ICTVonline=202108662")</f>
        <v>ICTVonline=202108662</v>
      </c>
    </row>
    <row r="9854" spans="1:21" x14ac:dyDescent="0.2">
      <c r="A9854" s="3">
        <v>9853</v>
      </c>
      <c r="H9854" s="1" t="s">
        <v>8425</v>
      </c>
      <c r="J9854" s="1" t="s">
        <v>8426</v>
      </c>
      <c r="L9854" s="1" t="s">
        <v>1609</v>
      </c>
      <c r="N9854" s="1" t="s">
        <v>1610</v>
      </c>
      <c r="P9854" s="1" t="s">
        <v>5880</v>
      </c>
      <c r="Q9854" s="30" t="s">
        <v>2565</v>
      </c>
      <c r="R9854" s="33" t="s">
        <v>3474</v>
      </c>
      <c r="S9854">
        <v>36</v>
      </c>
      <c r="T9854" s="1" t="s">
        <v>8427</v>
      </c>
      <c r="U9854" s="1" t="str">
        <f>HYPERLINK("http://ictvonline.org/taxonomy/p/taxonomy-history?taxnode_id=202108663","ICTVonline=202108663")</f>
        <v>ICTVonline=202108663</v>
      </c>
    </row>
    <row r="9855" spans="1:21" x14ac:dyDescent="0.2">
      <c r="A9855" s="3">
        <v>9854</v>
      </c>
      <c r="H9855" s="1" t="s">
        <v>8425</v>
      </c>
      <c r="J9855" s="1" t="s">
        <v>8426</v>
      </c>
      <c r="L9855" s="1" t="s">
        <v>1609</v>
      </c>
      <c r="N9855" s="1" t="s">
        <v>1610</v>
      </c>
      <c r="P9855" s="1" t="s">
        <v>1629</v>
      </c>
      <c r="Q9855" s="30" t="s">
        <v>2565</v>
      </c>
      <c r="R9855" s="33" t="s">
        <v>3474</v>
      </c>
      <c r="S9855">
        <v>36</v>
      </c>
      <c r="T9855" s="1" t="s">
        <v>8427</v>
      </c>
      <c r="U9855" s="1" t="str">
        <f>HYPERLINK("http://ictvonline.org/taxonomy/p/taxonomy-history?taxnode_id=202102674","ICTVonline=202102674")</f>
        <v>ICTVonline=202102674</v>
      </c>
    </row>
    <row r="9856" spans="1:21" x14ac:dyDescent="0.2">
      <c r="A9856" s="3">
        <v>9855</v>
      </c>
      <c r="H9856" s="1" t="s">
        <v>8425</v>
      </c>
      <c r="J9856" s="1" t="s">
        <v>8426</v>
      </c>
      <c r="L9856" s="1" t="s">
        <v>1609</v>
      </c>
      <c r="N9856" s="1" t="s">
        <v>1610</v>
      </c>
      <c r="P9856" s="1" t="s">
        <v>1630</v>
      </c>
      <c r="Q9856" s="30" t="s">
        <v>2565</v>
      </c>
      <c r="R9856" s="33" t="s">
        <v>3474</v>
      </c>
      <c r="S9856">
        <v>36</v>
      </c>
      <c r="T9856" s="1" t="s">
        <v>8427</v>
      </c>
      <c r="U9856" s="1" t="str">
        <f>HYPERLINK("http://ictvonline.org/taxonomy/p/taxonomy-history?taxnode_id=202102675","ICTVonline=202102675")</f>
        <v>ICTVonline=202102675</v>
      </c>
    </row>
    <row r="9857" spans="1:21" x14ac:dyDescent="0.2">
      <c r="A9857" s="3">
        <v>9856</v>
      </c>
      <c r="H9857" s="1" t="s">
        <v>8425</v>
      </c>
      <c r="J9857" s="1" t="s">
        <v>8426</v>
      </c>
      <c r="L9857" s="1" t="s">
        <v>1609</v>
      </c>
      <c r="N9857" s="1" t="s">
        <v>1610</v>
      </c>
      <c r="P9857" s="1" t="s">
        <v>2073</v>
      </c>
      <c r="Q9857" s="30" t="s">
        <v>2565</v>
      </c>
      <c r="R9857" s="33" t="s">
        <v>3474</v>
      </c>
      <c r="S9857">
        <v>36</v>
      </c>
      <c r="T9857" s="1" t="s">
        <v>8427</v>
      </c>
      <c r="U9857" s="1" t="str">
        <f>HYPERLINK("http://ictvonline.org/taxonomy/p/taxonomy-history?taxnode_id=202102676","ICTVonline=202102676")</f>
        <v>ICTVonline=202102676</v>
      </c>
    </row>
    <row r="9858" spans="1:21" x14ac:dyDescent="0.2">
      <c r="A9858" s="3">
        <v>9857</v>
      </c>
      <c r="H9858" s="1" t="s">
        <v>8425</v>
      </c>
      <c r="J9858" s="1" t="s">
        <v>8426</v>
      </c>
      <c r="L9858" s="1" t="s">
        <v>1609</v>
      </c>
      <c r="N9858" s="1" t="s">
        <v>1610</v>
      </c>
      <c r="P9858" s="1" t="s">
        <v>1631</v>
      </c>
      <c r="Q9858" s="30" t="s">
        <v>2565</v>
      </c>
      <c r="R9858" s="33" t="s">
        <v>3474</v>
      </c>
      <c r="S9858">
        <v>36</v>
      </c>
      <c r="T9858" s="1" t="s">
        <v>8427</v>
      </c>
      <c r="U9858" s="1" t="str">
        <f>HYPERLINK("http://ictvonline.org/taxonomy/p/taxonomy-history?taxnode_id=202102677","ICTVonline=202102677")</f>
        <v>ICTVonline=202102677</v>
      </c>
    </row>
    <row r="9859" spans="1:21" x14ac:dyDescent="0.2">
      <c r="A9859" s="3">
        <v>9858</v>
      </c>
      <c r="H9859" s="1" t="s">
        <v>8425</v>
      </c>
      <c r="J9859" s="1" t="s">
        <v>8426</v>
      </c>
      <c r="L9859" s="1" t="s">
        <v>1609</v>
      </c>
      <c r="N9859" s="1" t="s">
        <v>1610</v>
      </c>
      <c r="P9859" s="1" t="s">
        <v>4802</v>
      </c>
      <c r="Q9859" s="30" t="s">
        <v>2565</v>
      </c>
      <c r="R9859" s="33" t="s">
        <v>3474</v>
      </c>
      <c r="S9859">
        <v>36</v>
      </c>
      <c r="T9859" s="1" t="s">
        <v>8427</v>
      </c>
      <c r="U9859" s="1" t="str">
        <f>HYPERLINK("http://ictvonline.org/taxonomy/p/taxonomy-history?taxnode_id=202106526","ICTVonline=202106526")</f>
        <v>ICTVonline=202106526</v>
      </c>
    </row>
    <row r="9860" spans="1:21" x14ac:dyDescent="0.2">
      <c r="A9860" s="3">
        <v>9859</v>
      </c>
      <c r="H9860" s="1" t="s">
        <v>8425</v>
      </c>
      <c r="J9860" s="1" t="s">
        <v>8426</v>
      </c>
      <c r="L9860" s="1" t="s">
        <v>1609</v>
      </c>
      <c r="N9860" s="1" t="s">
        <v>1610</v>
      </c>
      <c r="P9860" s="1" t="s">
        <v>2074</v>
      </c>
      <c r="Q9860" s="30" t="s">
        <v>2565</v>
      </c>
      <c r="R9860" s="33" t="s">
        <v>3474</v>
      </c>
      <c r="S9860">
        <v>36</v>
      </c>
      <c r="T9860" s="1" t="s">
        <v>8427</v>
      </c>
      <c r="U9860" s="1" t="str">
        <f>HYPERLINK("http://ictvonline.org/taxonomy/p/taxonomy-history?taxnode_id=202102678","ICTVonline=202102678")</f>
        <v>ICTVonline=202102678</v>
      </c>
    </row>
    <row r="9861" spans="1:21" x14ac:dyDescent="0.2">
      <c r="A9861" s="3">
        <v>9860</v>
      </c>
      <c r="H9861" s="1" t="s">
        <v>8425</v>
      </c>
      <c r="J9861" s="1" t="s">
        <v>8426</v>
      </c>
      <c r="L9861" s="1" t="s">
        <v>1609</v>
      </c>
      <c r="N9861" s="1" t="s">
        <v>1610</v>
      </c>
      <c r="P9861" s="1" t="s">
        <v>5881</v>
      </c>
      <c r="Q9861" s="30" t="s">
        <v>2565</v>
      </c>
      <c r="R9861" s="33" t="s">
        <v>3474</v>
      </c>
      <c r="S9861">
        <v>36</v>
      </c>
      <c r="T9861" s="1" t="s">
        <v>8427</v>
      </c>
      <c r="U9861" s="1" t="str">
        <f>HYPERLINK("http://ictvonline.org/taxonomy/p/taxonomy-history?taxnode_id=202108664","ICTVonline=202108664")</f>
        <v>ICTVonline=202108664</v>
      </c>
    </row>
    <row r="9862" spans="1:21" x14ac:dyDescent="0.2">
      <c r="A9862" s="3">
        <v>9861</v>
      </c>
      <c r="H9862" s="1" t="s">
        <v>8425</v>
      </c>
      <c r="J9862" s="1" t="s">
        <v>8426</v>
      </c>
      <c r="L9862" s="1" t="s">
        <v>1609</v>
      </c>
      <c r="N9862" s="1" t="s">
        <v>1610</v>
      </c>
      <c r="P9862" s="1" t="s">
        <v>3284</v>
      </c>
      <c r="Q9862" s="30" t="s">
        <v>2565</v>
      </c>
      <c r="R9862" s="33" t="s">
        <v>3474</v>
      </c>
      <c r="S9862">
        <v>36</v>
      </c>
      <c r="T9862" s="1" t="s">
        <v>8427</v>
      </c>
      <c r="U9862" s="1" t="str">
        <f>HYPERLINK("http://ictvonline.org/taxonomy/p/taxonomy-history?taxnode_id=202102679","ICTVonline=202102679")</f>
        <v>ICTVonline=202102679</v>
      </c>
    </row>
    <row r="9863" spans="1:21" x14ac:dyDescent="0.2">
      <c r="A9863" s="3">
        <v>9862</v>
      </c>
      <c r="H9863" s="1" t="s">
        <v>8425</v>
      </c>
      <c r="J9863" s="1" t="s">
        <v>8426</v>
      </c>
      <c r="L9863" s="1" t="s">
        <v>1609</v>
      </c>
      <c r="N9863" s="1" t="s">
        <v>1610</v>
      </c>
      <c r="P9863" s="1" t="s">
        <v>2075</v>
      </c>
      <c r="Q9863" s="30" t="s">
        <v>2565</v>
      </c>
      <c r="R9863" s="33" t="s">
        <v>3474</v>
      </c>
      <c r="S9863">
        <v>36</v>
      </c>
      <c r="T9863" s="1" t="s">
        <v>8427</v>
      </c>
      <c r="U9863" s="1" t="str">
        <f>HYPERLINK("http://ictvonline.org/taxonomy/p/taxonomy-history?taxnode_id=202102680","ICTVonline=202102680")</f>
        <v>ICTVonline=202102680</v>
      </c>
    </row>
    <row r="9864" spans="1:21" x14ac:dyDescent="0.2">
      <c r="A9864" s="3">
        <v>9863</v>
      </c>
      <c r="H9864" s="1" t="s">
        <v>8425</v>
      </c>
      <c r="J9864" s="1" t="s">
        <v>8426</v>
      </c>
      <c r="L9864" s="1" t="s">
        <v>1609</v>
      </c>
      <c r="N9864" s="1" t="s">
        <v>1610</v>
      </c>
      <c r="P9864" s="1" t="s">
        <v>4803</v>
      </c>
      <c r="Q9864" s="30" t="s">
        <v>2565</v>
      </c>
      <c r="R9864" s="33" t="s">
        <v>3474</v>
      </c>
      <c r="S9864">
        <v>36</v>
      </c>
      <c r="T9864" s="1" t="s">
        <v>8427</v>
      </c>
      <c r="U9864" s="1" t="str">
        <f>HYPERLINK("http://ictvonline.org/taxonomy/p/taxonomy-history?taxnode_id=202106527","ICTVonline=202106527")</f>
        <v>ICTVonline=202106527</v>
      </c>
    </row>
    <row r="9865" spans="1:21" x14ac:dyDescent="0.2">
      <c r="A9865" s="3">
        <v>9864</v>
      </c>
      <c r="H9865" s="1" t="s">
        <v>8425</v>
      </c>
      <c r="J9865" s="1" t="s">
        <v>8426</v>
      </c>
      <c r="L9865" s="1" t="s">
        <v>1609</v>
      </c>
      <c r="N9865" s="1" t="s">
        <v>1610</v>
      </c>
      <c r="P9865" s="1" t="s">
        <v>1632</v>
      </c>
      <c r="Q9865" s="30" t="s">
        <v>2565</v>
      </c>
      <c r="R9865" s="33" t="s">
        <v>3474</v>
      </c>
      <c r="S9865">
        <v>36</v>
      </c>
      <c r="T9865" s="1" t="s">
        <v>8427</v>
      </c>
      <c r="U9865" s="1" t="str">
        <f>HYPERLINK("http://ictvonline.org/taxonomy/p/taxonomy-history?taxnode_id=202102681","ICTVonline=202102681")</f>
        <v>ICTVonline=202102681</v>
      </c>
    </row>
    <row r="9866" spans="1:21" x14ac:dyDescent="0.2">
      <c r="A9866" s="3">
        <v>9865</v>
      </c>
      <c r="H9866" s="1" t="s">
        <v>8425</v>
      </c>
      <c r="J9866" s="1" t="s">
        <v>8426</v>
      </c>
      <c r="L9866" s="1" t="s">
        <v>1609</v>
      </c>
      <c r="N9866" s="1" t="s">
        <v>1610</v>
      </c>
      <c r="P9866" s="1" t="s">
        <v>3285</v>
      </c>
      <c r="Q9866" s="30" t="s">
        <v>2565</v>
      </c>
      <c r="R9866" s="33" t="s">
        <v>3474</v>
      </c>
      <c r="S9866">
        <v>36</v>
      </c>
      <c r="T9866" s="1" t="s">
        <v>8427</v>
      </c>
      <c r="U9866" s="1" t="str">
        <f>HYPERLINK("http://ictvonline.org/taxonomy/p/taxonomy-history?taxnode_id=202102682","ICTVonline=202102682")</f>
        <v>ICTVonline=202102682</v>
      </c>
    </row>
    <row r="9867" spans="1:21" x14ac:dyDescent="0.2">
      <c r="A9867" s="3">
        <v>9866</v>
      </c>
      <c r="H9867" s="1" t="s">
        <v>8425</v>
      </c>
      <c r="J9867" s="1" t="s">
        <v>8426</v>
      </c>
      <c r="L9867" s="1" t="s">
        <v>1609</v>
      </c>
      <c r="N9867" s="1" t="s">
        <v>1610</v>
      </c>
      <c r="P9867" s="1" t="s">
        <v>665</v>
      </c>
      <c r="Q9867" s="30" t="s">
        <v>2565</v>
      </c>
      <c r="R9867" s="33" t="s">
        <v>3474</v>
      </c>
      <c r="S9867">
        <v>36</v>
      </c>
      <c r="T9867" s="1" t="s">
        <v>8427</v>
      </c>
      <c r="U9867" s="1" t="str">
        <f>HYPERLINK("http://ictvonline.org/taxonomy/p/taxonomy-history?taxnode_id=202102683","ICTVonline=202102683")</f>
        <v>ICTVonline=202102683</v>
      </c>
    </row>
    <row r="9868" spans="1:21" x14ac:dyDescent="0.2">
      <c r="A9868" s="3">
        <v>9867</v>
      </c>
      <c r="H9868" s="1" t="s">
        <v>8425</v>
      </c>
      <c r="J9868" s="1" t="s">
        <v>8426</v>
      </c>
      <c r="L9868" s="1" t="s">
        <v>1609</v>
      </c>
      <c r="N9868" s="1" t="s">
        <v>1610</v>
      </c>
      <c r="P9868" s="1" t="s">
        <v>666</v>
      </c>
      <c r="Q9868" s="30" t="s">
        <v>2565</v>
      </c>
      <c r="R9868" s="33" t="s">
        <v>3474</v>
      </c>
      <c r="S9868">
        <v>36</v>
      </c>
      <c r="T9868" s="1" t="s">
        <v>8427</v>
      </c>
      <c r="U9868" s="1" t="str">
        <f>HYPERLINK("http://ictvonline.org/taxonomy/p/taxonomy-history?taxnode_id=202102684","ICTVonline=202102684")</f>
        <v>ICTVonline=202102684</v>
      </c>
    </row>
    <row r="9869" spans="1:21" x14ac:dyDescent="0.2">
      <c r="A9869" s="3">
        <v>9868</v>
      </c>
      <c r="H9869" s="1" t="s">
        <v>8425</v>
      </c>
      <c r="J9869" s="1" t="s">
        <v>8426</v>
      </c>
      <c r="L9869" s="1" t="s">
        <v>1609</v>
      </c>
      <c r="N9869" s="1" t="s">
        <v>1610</v>
      </c>
      <c r="P9869" s="1" t="s">
        <v>667</v>
      </c>
      <c r="Q9869" s="30" t="s">
        <v>2565</v>
      </c>
      <c r="R9869" s="33" t="s">
        <v>3474</v>
      </c>
      <c r="S9869">
        <v>36</v>
      </c>
      <c r="T9869" s="1" t="s">
        <v>8427</v>
      </c>
      <c r="U9869" s="1" t="str">
        <f>HYPERLINK("http://ictvonline.org/taxonomy/p/taxonomy-history?taxnode_id=202102685","ICTVonline=202102685")</f>
        <v>ICTVonline=202102685</v>
      </c>
    </row>
    <row r="9870" spans="1:21" x14ac:dyDescent="0.2">
      <c r="A9870" s="3">
        <v>9869</v>
      </c>
      <c r="H9870" s="1" t="s">
        <v>8425</v>
      </c>
      <c r="J9870" s="1" t="s">
        <v>8426</v>
      </c>
      <c r="L9870" s="1" t="s">
        <v>1609</v>
      </c>
      <c r="N9870" s="1" t="s">
        <v>1610</v>
      </c>
      <c r="P9870" s="1" t="s">
        <v>2076</v>
      </c>
      <c r="Q9870" s="30" t="s">
        <v>2565</v>
      </c>
      <c r="R9870" s="33" t="s">
        <v>3474</v>
      </c>
      <c r="S9870">
        <v>36</v>
      </c>
      <c r="T9870" s="1" t="s">
        <v>8427</v>
      </c>
      <c r="U9870" s="1" t="str">
        <f>HYPERLINK("http://ictvonline.org/taxonomy/p/taxonomy-history?taxnode_id=202102686","ICTVonline=202102686")</f>
        <v>ICTVonline=202102686</v>
      </c>
    </row>
    <row r="9871" spans="1:21" x14ac:dyDescent="0.2">
      <c r="A9871" s="3">
        <v>9870</v>
      </c>
      <c r="H9871" s="1" t="s">
        <v>8425</v>
      </c>
      <c r="J9871" s="1" t="s">
        <v>8426</v>
      </c>
      <c r="L9871" s="1" t="s">
        <v>1609</v>
      </c>
      <c r="N9871" s="1" t="s">
        <v>1610</v>
      </c>
      <c r="P9871" s="1" t="s">
        <v>5882</v>
      </c>
      <c r="Q9871" s="30" t="s">
        <v>2565</v>
      </c>
      <c r="R9871" s="33" t="s">
        <v>3474</v>
      </c>
      <c r="S9871">
        <v>36</v>
      </c>
      <c r="T9871" s="1" t="s">
        <v>8427</v>
      </c>
      <c r="U9871" s="1" t="str">
        <f>HYPERLINK("http://ictvonline.org/taxonomy/p/taxonomy-history?taxnode_id=202106528","ICTVonline=202106528")</f>
        <v>ICTVonline=202106528</v>
      </c>
    </row>
    <row r="9872" spans="1:21" x14ac:dyDescent="0.2">
      <c r="A9872" s="3">
        <v>9871</v>
      </c>
      <c r="H9872" s="1" t="s">
        <v>8425</v>
      </c>
      <c r="J9872" s="1" t="s">
        <v>8426</v>
      </c>
      <c r="L9872" s="1" t="s">
        <v>1609</v>
      </c>
      <c r="N9872" s="1" t="s">
        <v>1610</v>
      </c>
      <c r="P9872" s="1" t="s">
        <v>5883</v>
      </c>
      <c r="Q9872" s="30" t="s">
        <v>2565</v>
      </c>
      <c r="R9872" s="33" t="s">
        <v>3474</v>
      </c>
      <c r="S9872">
        <v>36</v>
      </c>
      <c r="T9872" s="1" t="s">
        <v>8427</v>
      </c>
      <c r="U9872" s="1" t="str">
        <f>HYPERLINK("http://ictvonline.org/taxonomy/p/taxonomy-history?taxnode_id=202108665","ICTVonline=202108665")</f>
        <v>ICTVonline=202108665</v>
      </c>
    </row>
    <row r="9873" spans="1:21" x14ac:dyDescent="0.2">
      <c r="A9873" s="3">
        <v>9872</v>
      </c>
      <c r="H9873" s="1" t="s">
        <v>8425</v>
      </c>
      <c r="J9873" s="1" t="s">
        <v>8426</v>
      </c>
      <c r="L9873" s="1" t="s">
        <v>1609</v>
      </c>
      <c r="N9873" s="1" t="s">
        <v>1610</v>
      </c>
      <c r="P9873" s="1" t="s">
        <v>4804</v>
      </c>
      <c r="Q9873" s="30" t="s">
        <v>2565</v>
      </c>
      <c r="R9873" s="33" t="s">
        <v>3474</v>
      </c>
      <c r="S9873">
        <v>36</v>
      </c>
      <c r="T9873" s="1" t="s">
        <v>8427</v>
      </c>
      <c r="U9873" s="1" t="str">
        <f>HYPERLINK("http://ictvonline.org/taxonomy/p/taxonomy-history?taxnode_id=202106529","ICTVonline=202106529")</f>
        <v>ICTVonline=202106529</v>
      </c>
    </row>
    <row r="9874" spans="1:21" x14ac:dyDescent="0.2">
      <c r="A9874" s="3">
        <v>9873</v>
      </c>
      <c r="H9874" s="1" t="s">
        <v>8425</v>
      </c>
      <c r="J9874" s="1" t="s">
        <v>8426</v>
      </c>
      <c r="L9874" s="1" t="s">
        <v>1609</v>
      </c>
      <c r="N9874" s="1" t="s">
        <v>1610</v>
      </c>
      <c r="P9874" s="1" t="s">
        <v>3286</v>
      </c>
      <c r="Q9874" s="30" t="s">
        <v>2565</v>
      </c>
      <c r="R9874" s="33" t="s">
        <v>3474</v>
      </c>
      <c r="S9874">
        <v>36</v>
      </c>
      <c r="T9874" s="1" t="s">
        <v>8427</v>
      </c>
      <c r="U9874" s="1" t="str">
        <f>HYPERLINK("http://ictvonline.org/taxonomy/p/taxonomy-history?taxnode_id=202102687","ICTVonline=202102687")</f>
        <v>ICTVonline=202102687</v>
      </c>
    </row>
    <row r="9875" spans="1:21" x14ac:dyDescent="0.2">
      <c r="A9875" s="3">
        <v>9874</v>
      </c>
      <c r="H9875" s="1" t="s">
        <v>8425</v>
      </c>
      <c r="J9875" s="1" t="s">
        <v>8426</v>
      </c>
      <c r="L9875" s="1" t="s">
        <v>1609</v>
      </c>
      <c r="N9875" s="1" t="s">
        <v>1610</v>
      </c>
      <c r="P9875" s="1" t="s">
        <v>668</v>
      </c>
      <c r="Q9875" s="30" t="s">
        <v>2565</v>
      </c>
      <c r="R9875" s="33" t="s">
        <v>3474</v>
      </c>
      <c r="S9875">
        <v>36</v>
      </c>
      <c r="T9875" s="1" t="s">
        <v>8427</v>
      </c>
      <c r="U9875" s="1" t="str">
        <f>HYPERLINK("http://ictvonline.org/taxonomy/p/taxonomy-history?taxnode_id=202102688","ICTVonline=202102688")</f>
        <v>ICTVonline=202102688</v>
      </c>
    </row>
    <row r="9876" spans="1:21" x14ac:dyDescent="0.2">
      <c r="A9876" s="3">
        <v>9875</v>
      </c>
      <c r="H9876" s="1" t="s">
        <v>8425</v>
      </c>
      <c r="J9876" s="1" t="s">
        <v>8426</v>
      </c>
      <c r="L9876" s="1" t="s">
        <v>1609</v>
      </c>
      <c r="N9876" s="1" t="s">
        <v>1610</v>
      </c>
      <c r="P9876" s="1" t="s">
        <v>4805</v>
      </c>
      <c r="Q9876" s="30" t="s">
        <v>2565</v>
      </c>
      <c r="R9876" s="33" t="s">
        <v>3474</v>
      </c>
      <c r="S9876">
        <v>36</v>
      </c>
      <c r="T9876" s="1" t="s">
        <v>8427</v>
      </c>
      <c r="U9876" s="1" t="str">
        <f>HYPERLINK("http://ictvonline.org/taxonomy/p/taxonomy-history?taxnode_id=202106530","ICTVonline=202106530")</f>
        <v>ICTVonline=202106530</v>
      </c>
    </row>
    <row r="9877" spans="1:21" x14ac:dyDescent="0.2">
      <c r="A9877" s="3">
        <v>9876</v>
      </c>
      <c r="H9877" s="1" t="s">
        <v>8425</v>
      </c>
      <c r="J9877" s="1" t="s">
        <v>8426</v>
      </c>
      <c r="L9877" s="1" t="s">
        <v>1609</v>
      </c>
      <c r="N9877" s="1" t="s">
        <v>1610</v>
      </c>
      <c r="P9877" s="1" t="s">
        <v>4806</v>
      </c>
      <c r="Q9877" s="30" t="s">
        <v>2565</v>
      </c>
      <c r="R9877" s="33" t="s">
        <v>3474</v>
      </c>
      <c r="S9877">
        <v>36</v>
      </c>
      <c r="T9877" s="1" t="s">
        <v>8427</v>
      </c>
      <c r="U9877" s="1" t="str">
        <f>HYPERLINK("http://ictvonline.org/taxonomy/p/taxonomy-history?taxnode_id=202106531","ICTVonline=202106531")</f>
        <v>ICTVonline=202106531</v>
      </c>
    </row>
    <row r="9878" spans="1:21" x14ac:dyDescent="0.2">
      <c r="A9878" s="3">
        <v>9877</v>
      </c>
      <c r="H9878" s="1" t="s">
        <v>8425</v>
      </c>
      <c r="J9878" s="1" t="s">
        <v>8426</v>
      </c>
      <c r="L9878" s="1" t="s">
        <v>1609</v>
      </c>
      <c r="N9878" s="1" t="s">
        <v>1610</v>
      </c>
      <c r="P9878" s="1" t="s">
        <v>4807</v>
      </c>
      <c r="Q9878" s="30" t="s">
        <v>2565</v>
      </c>
      <c r="R9878" s="33" t="s">
        <v>3474</v>
      </c>
      <c r="S9878">
        <v>36</v>
      </c>
      <c r="T9878" s="1" t="s">
        <v>8427</v>
      </c>
      <c r="U9878" s="1" t="str">
        <f>HYPERLINK("http://ictvonline.org/taxonomy/p/taxonomy-history?taxnode_id=202106532","ICTVonline=202106532")</f>
        <v>ICTVonline=202106532</v>
      </c>
    </row>
    <row r="9879" spans="1:21" x14ac:dyDescent="0.2">
      <c r="A9879" s="3">
        <v>9878</v>
      </c>
      <c r="H9879" s="1" t="s">
        <v>8425</v>
      </c>
      <c r="J9879" s="1" t="s">
        <v>8426</v>
      </c>
      <c r="L9879" s="1" t="s">
        <v>1609</v>
      </c>
      <c r="N9879" s="1" t="s">
        <v>1610</v>
      </c>
      <c r="P9879" s="1" t="s">
        <v>5884</v>
      </c>
      <c r="Q9879" s="30" t="s">
        <v>2565</v>
      </c>
      <c r="R9879" s="33" t="s">
        <v>3474</v>
      </c>
      <c r="S9879">
        <v>36</v>
      </c>
      <c r="T9879" s="1" t="s">
        <v>8427</v>
      </c>
      <c r="U9879" s="1" t="str">
        <f>HYPERLINK("http://ictvonline.org/taxonomy/p/taxonomy-history?taxnode_id=202108666","ICTVonline=202108666")</f>
        <v>ICTVonline=202108666</v>
      </c>
    </row>
    <row r="9880" spans="1:21" x14ac:dyDescent="0.2">
      <c r="A9880" s="3">
        <v>9879</v>
      </c>
      <c r="H9880" s="1" t="s">
        <v>8425</v>
      </c>
      <c r="J9880" s="1" t="s">
        <v>8426</v>
      </c>
      <c r="L9880" s="1" t="s">
        <v>1609</v>
      </c>
      <c r="N9880" s="1" t="s">
        <v>1610</v>
      </c>
      <c r="P9880" s="1" t="s">
        <v>5885</v>
      </c>
      <c r="Q9880" s="30" t="s">
        <v>2565</v>
      </c>
      <c r="R9880" s="33" t="s">
        <v>3474</v>
      </c>
      <c r="S9880">
        <v>36</v>
      </c>
      <c r="T9880" s="1" t="s">
        <v>8427</v>
      </c>
      <c r="U9880" s="1" t="str">
        <f>HYPERLINK("http://ictvonline.org/taxonomy/p/taxonomy-history?taxnode_id=202108667","ICTVonline=202108667")</f>
        <v>ICTVonline=202108667</v>
      </c>
    </row>
    <row r="9881" spans="1:21" x14ac:dyDescent="0.2">
      <c r="A9881" s="3">
        <v>9880</v>
      </c>
      <c r="H9881" s="1" t="s">
        <v>8425</v>
      </c>
      <c r="J9881" s="1" t="s">
        <v>8426</v>
      </c>
      <c r="L9881" s="1" t="s">
        <v>1609</v>
      </c>
      <c r="N9881" s="1" t="s">
        <v>1610</v>
      </c>
      <c r="P9881" s="1" t="s">
        <v>8428</v>
      </c>
      <c r="Q9881" s="30" t="s">
        <v>2565</v>
      </c>
      <c r="R9881" s="33" t="s">
        <v>3473</v>
      </c>
      <c r="S9881">
        <v>36</v>
      </c>
      <c r="T9881" s="1" t="s">
        <v>8429</v>
      </c>
      <c r="U9881" s="1" t="str">
        <f>HYPERLINK("http://ictvonline.org/taxonomy/p/taxonomy-history?taxnode_id=202102689","ICTVonline=202102689")</f>
        <v>ICTVonline=202102689</v>
      </c>
    </row>
    <row r="9882" spans="1:21" x14ac:dyDescent="0.2">
      <c r="A9882" s="3">
        <v>9881</v>
      </c>
      <c r="H9882" s="1" t="s">
        <v>8425</v>
      </c>
      <c r="J9882" s="1" t="s">
        <v>8426</v>
      </c>
      <c r="L9882" s="1" t="s">
        <v>1609</v>
      </c>
      <c r="N9882" s="1" t="s">
        <v>1610</v>
      </c>
      <c r="P9882" s="1" t="s">
        <v>8430</v>
      </c>
      <c r="Q9882" s="30" t="s">
        <v>2565</v>
      </c>
      <c r="R9882" s="33" t="s">
        <v>3472</v>
      </c>
      <c r="S9882">
        <v>36</v>
      </c>
      <c r="T9882" s="1" t="s">
        <v>8429</v>
      </c>
      <c r="U9882" s="1" t="str">
        <f>HYPERLINK("http://ictvonline.org/taxonomy/p/taxonomy-history?taxnode_id=202108720","ICTVonline=202108720")</f>
        <v>ICTVonline=202108720</v>
      </c>
    </row>
    <row r="9883" spans="1:21" x14ac:dyDescent="0.2">
      <c r="A9883" s="3">
        <v>9882</v>
      </c>
      <c r="H9883" s="1" t="s">
        <v>8425</v>
      </c>
      <c r="J9883" s="1" t="s">
        <v>8426</v>
      </c>
      <c r="L9883" s="1" t="s">
        <v>1609</v>
      </c>
      <c r="N9883" s="1" t="s">
        <v>1610</v>
      </c>
      <c r="P9883" s="1" t="s">
        <v>765</v>
      </c>
      <c r="Q9883" s="30" t="s">
        <v>2565</v>
      </c>
      <c r="R9883" s="33" t="s">
        <v>3474</v>
      </c>
      <c r="S9883">
        <v>36</v>
      </c>
      <c r="T9883" s="1" t="s">
        <v>8427</v>
      </c>
      <c r="U9883" s="1" t="str">
        <f>HYPERLINK("http://ictvonline.org/taxonomy/p/taxonomy-history?taxnode_id=202102690","ICTVonline=202102690")</f>
        <v>ICTVonline=202102690</v>
      </c>
    </row>
    <row r="9884" spans="1:21" x14ac:dyDescent="0.2">
      <c r="A9884" s="3">
        <v>9883</v>
      </c>
      <c r="H9884" s="1" t="s">
        <v>8425</v>
      </c>
      <c r="J9884" s="1" t="s">
        <v>8426</v>
      </c>
      <c r="L9884" s="1" t="s">
        <v>1609</v>
      </c>
      <c r="N9884" s="1" t="s">
        <v>1610</v>
      </c>
      <c r="P9884" s="1" t="s">
        <v>766</v>
      </c>
      <c r="Q9884" s="30" t="s">
        <v>2565</v>
      </c>
      <c r="R9884" s="33" t="s">
        <v>3474</v>
      </c>
      <c r="S9884">
        <v>36</v>
      </c>
      <c r="T9884" s="1" t="s">
        <v>8427</v>
      </c>
      <c r="U9884" s="1" t="str">
        <f>HYPERLINK("http://ictvonline.org/taxonomy/p/taxonomy-history?taxnode_id=202102691","ICTVonline=202102691")</f>
        <v>ICTVonline=202102691</v>
      </c>
    </row>
    <row r="9885" spans="1:21" x14ac:dyDescent="0.2">
      <c r="A9885" s="3">
        <v>9884</v>
      </c>
      <c r="H9885" s="1" t="s">
        <v>8425</v>
      </c>
      <c r="J9885" s="1" t="s">
        <v>8426</v>
      </c>
      <c r="L9885" s="1" t="s">
        <v>1609</v>
      </c>
      <c r="N9885" s="1" t="s">
        <v>1610</v>
      </c>
      <c r="P9885" s="1" t="s">
        <v>767</v>
      </c>
      <c r="Q9885" s="30" t="s">
        <v>2565</v>
      </c>
      <c r="R9885" s="33" t="s">
        <v>3474</v>
      </c>
      <c r="S9885">
        <v>36</v>
      </c>
      <c r="T9885" s="1" t="s">
        <v>8427</v>
      </c>
      <c r="U9885" s="1" t="str">
        <f>HYPERLINK("http://ictvonline.org/taxonomy/p/taxonomy-history?taxnode_id=202102692","ICTVonline=202102692")</f>
        <v>ICTVonline=202102692</v>
      </c>
    </row>
    <row r="9886" spans="1:21" x14ac:dyDescent="0.2">
      <c r="A9886" s="3">
        <v>9885</v>
      </c>
      <c r="H9886" s="1" t="s">
        <v>8425</v>
      </c>
      <c r="J9886" s="1" t="s">
        <v>8426</v>
      </c>
      <c r="L9886" s="1" t="s">
        <v>1609</v>
      </c>
      <c r="N9886" s="1" t="s">
        <v>1610</v>
      </c>
      <c r="P9886" s="1" t="s">
        <v>2830</v>
      </c>
      <c r="Q9886" s="30" t="s">
        <v>2565</v>
      </c>
      <c r="R9886" s="33" t="s">
        <v>3474</v>
      </c>
      <c r="S9886">
        <v>36</v>
      </c>
      <c r="T9886" s="1" t="s">
        <v>8427</v>
      </c>
      <c r="U9886" s="1" t="str">
        <f>HYPERLINK("http://ictvonline.org/taxonomy/p/taxonomy-history?taxnode_id=202102693","ICTVonline=202102693")</f>
        <v>ICTVonline=202102693</v>
      </c>
    </row>
    <row r="9887" spans="1:21" x14ac:dyDescent="0.2">
      <c r="A9887" s="3">
        <v>9886</v>
      </c>
      <c r="H9887" s="1" t="s">
        <v>8425</v>
      </c>
      <c r="J9887" s="1" t="s">
        <v>8426</v>
      </c>
      <c r="L9887" s="1" t="s">
        <v>1609</v>
      </c>
      <c r="N9887" s="1" t="s">
        <v>1610</v>
      </c>
      <c r="P9887" s="1" t="s">
        <v>768</v>
      </c>
      <c r="Q9887" s="30" t="s">
        <v>2565</v>
      </c>
      <c r="R9887" s="33" t="s">
        <v>3474</v>
      </c>
      <c r="S9887">
        <v>36</v>
      </c>
      <c r="T9887" s="1" t="s">
        <v>8427</v>
      </c>
      <c r="U9887" s="1" t="str">
        <f>HYPERLINK("http://ictvonline.org/taxonomy/p/taxonomy-history?taxnode_id=202102694","ICTVonline=202102694")</f>
        <v>ICTVonline=202102694</v>
      </c>
    </row>
    <row r="9888" spans="1:21" x14ac:dyDescent="0.2">
      <c r="A9888" s="3">
        <v>9887</v>
      </c>
      <c r="H9888" s="1" t="s">
        <v>8425</v>
      </c>
      <c r="J9888" s="1" t="s">
        <v>8426</v>
      </c>
      <c r="L9888" s="1" t="s">
        <v>1609</v>
      </c>
      <c r="N9888" s="1" t="s">
        <v>1610</v>
      </c>
      <c r="P9888" s="1" t="s">
        <v>769</v>
      </c>
      <c r="Q9888" s="30" t="s">
        <v>2565</v>
      </c>
      <c r="R9888" s="33" t="s">
        <v>3474</v>
      </c>
      <c r="S9888">
        <v>36</v>
      </c>
      <c r="T9888" s="1" t="s">
        <v>8427</v>
      </c>
      <c r="U9888" s="1" t="str">
        <f>HYPERLINK("http://ictvonline.org/taxonomy/p/taxonomy-history?taxnode_id=202102695","ICTVonline=202102695")</f>
        <v>ICTVonline=202102695</v>
      </c>
    </row>
    <row r="9889" spans="1:21" x14ac:dyDescent="0.2">
      <c r="A9889" s="3">
        <v>9888</v>
      </c>
      <c r="H9889" s="1" t="s">
        <v>8425</v>
      </c>
      <c r="J9889" s="1" t="s">
        <v>8426</v>
      </c>
      <c r="L9889" s="1" t="s">
        <v>1609</v>
      </c>
      <c r="N9889" s="1" t="s">
        <v>1610</v>
      </c>
      <c r="P9889" s="1" t="s">
        <v>5886</v>
      </c>
      <c r="Q9889" s="30" t="s">
        <v>2565</v>
      </c>
      <c r="R9889" s="33" t="s">
        <v>3474</v>
      </c>
      <c r="S9889">
        <v>36</v>
      </c>
      <c r="T9889" s="1" t="s">
        <v>8427</v>
      </c>
      <c r="U9889" s="1" t="str">
        <f>HYPERLINK("http://ictvonline.org/taxonomy/p/taxonomy-history?taxnode_id=202108668","ICTVonline=202108668")</f>
        <v>ICTVonline=202108668</v>
      </c>
    </row>
    <row r="9890" spans="1:21" x14ac:dyDescent="0.2">
      <c r="A9890" s="3">
        <v>9889</v>
      </c>
      <c r="H9890" s="1" t="s">
        <v>8425</v>
      </c>
      <c r="J9890" s="1" t="s">
        <v>8426</v>
      </c>
      <c r="L9890" s="1" t="s">
        <v>1609</v>
      </c>
      <c r="N9890" s="1" t="s">
        <v>1610</v>
      </c>
      <c r="P9890" s="1" t="s">
        <v>1065</v>
      </c>
      <c r="Q9890" s="30" t="s">
        <v>2565</v>
      </c>
      <c r="R9890" s="33" t="s">
        <v>3474</v>
      </c>
      <c r="S9890">
        <v>36</v>
      </c>
      <c r="T9890" s="1" t="s">
        <v>8427</v>
      </c>
      <c r="U9890" s="1" t="str">
        <f>HYPERLINK("http://ictvonline.org/taxonomy/p/taxonomy-history?taxnode_id=202102696","ICTVonline=202102696")</f>
        <v>ICTVonline=202102696</v>
      </c>
    </row>
    <row r="9891" spans="1:21" x14ac:dyDescent="0.2">
      <c r="A9891" s="3">
        <v>9890</v>
      </c>
      <c r="H9891" s="1" t="s">
        <v>8425</v>
      </c>
      <c r="J9891" s="1" t="s">
        <v>8426</v>
      </c>
      <c r="L9891" s="1" t="s">
        <v>1609</v>
      </c>
      <c r="N9891" s="1" t="s">
        <v>1066</v>
      </c>
      <c r="P9891" s="1" t="s">
        <v>1067</v>
      </c>
      <c r="Q9891" s="30" t="s">
        <v>2565</v>
      </c>
      <c r="R9891" s="33" t="s">
        <v>3474</v>
      </c>
      <c r="S9891">
        <v>36</v>
      </c>
      <c r="T9891" s="1" t="s">
        <v>8427</v>
      </c>
      <c r="U9891" s="1" t="str">
        <f>HYPERLINK("http://ictvonline.org/taxonomy/p/taxonomy-history?taxnode_id=202102698","ICTVonline=202102698")</f>
        <v>ICTVonline=202102698</v>
      </c>
    </row>
    <row r="9892" spans="1:21" x14ac:dyDescent="0.2">
      <c r="A9892" s="3">
        <v>9891</v>
      </c>
      <c r="H9892" s="1" t="s">
        <v>8425</v>
      </c>
      <c r="J9892" s="1" t="s">
        <v>8426</v>
      </c>
      <c r="L9892" s="1" t="s">
        <v>1609</v>
      </c>
      <c r="N9892" s="1" t="s">
        <v>1066</v>
      </c>
      <c r="P9892" s="1" t="s">
        <v>2831</v>
      </c>
      <c r="Q9892" s="30" t="s">
        <v>2565</v>
      </c>
      <c r="R9892" s="33" t="s">
        <v>3474</v>
      </c>
      <c r="S9892">
        <v>36</v>
      </c>
      <c r="T9892" s="1" t="s">
        <v>8427</v>
      </c>
      <c r="U9892" s="1" t="str">
        <f>HYPERLINK("http://ictvonline.org/taxonomy/p/taxonomy-history?taxnode_id=202102699","ICTVonline=202102699")</f>
        <v>ICTVonline=202102699</v>
      </c>
    </row>
    <row r="9893" spans="1:21" x14ac:dyDescent="0.2">
      <c r="A9893" s="3">
        <v>9892</v>
      </c>
      <c r="H9893" s="1" t="s">
        <v>8425</v>
      </c>
      <c r="J9893" s="1" t="s">
        <v>8426</v>
      </c>
      <c r="L9893" s="1" t="s">
        <v>1609</v>
      </c>
      <c r="N9893" s="1" t="s">
        <v>1066</v>
      </c>
      <c r="P9893" s="1" t="s">
        <v>1068</v>
      </c>
      <c r="Q9893" s="30" t="s">
        <v>2565</v>
      </c>
      <c r="R9893" s="33" t="s">
        <v>3474</v>
      </c>
      <c r="S9893">
        <v>36</v>
      </c>
      <c r="T9893" s="1" t="s">
        <v>8427</v>
      </c>
      <c r="U9893" s="1" t="str">
        <f>HYPERLINK("http://ictvonline.org/taxonomy/p/taxonomy-history?taxnode_id=202102700","ICTVonline=202102700")</f>
        <v>ICTVonline=202102700</v>
      </c>
    </row>
    <row r="9894" spans="1:21" x14ac:dyDescent="0.2">
      <c r="A9894" s="3">
        <v>9893</v>
      </c>
      <c r="H9894" s="1" t="s">
        <v>8425</v>
      </c>
      <c r="J9894" s="1" t="s">
        <v>8426</v>
      </c>
      <c r="L9894" s="1" t="s">
        <v>1609</v>
      </c>
      <c r="N9894" s="1" t="s">
        <v>1066</v>
      </c>
      <c r="P9894" s="1" t="s">
        <v>13799</v>
      </c>
      <c r="Q9894" s="30" t="s">
        <v>2565</v>
      </c>
      <c r="R9894" s="33" t="s">
        <v>3472</v>
      </c>
      <c r="S9894">
        <v>37</v>
      </c>
      <c r="T9894" s="1" t="s">
        <v>14072</v>
      </c>
      <c r="U9894" s="1" t="str">
        <f>HYPERLINK("http://ictvonline.org/taxonomy/p/taxonomy-history?taxnode_id=202113429","ICTVonline=202113429")</f>
        <v>ICTVonline=202113429</v>
      </c>
    </row>
    <row r="9895" spans="1:21" x14ac:dyDescent="0.2">
      <c r="A9895" s="3">
        <v>9894</v>
      </c>
      <c r="H9895" s="1" t="s">
        <v>8425</v>
      </c>
      <c r="J9895" s="1" t="s">
        <v>8426</v>
      </c>
      <c r="L9895" s="1" t="s">
        <v>1609</v>
      </c>
      <c r="N9895" s="1" t="s">
        <v>1066</v>
      </c>
      <c r="P9895" s="1" t="s">
        <v>13800</v>
      </c>
      <c r="Q9895" s="30" t="s">
        <v>2565</v>
      </c>
      <c r="R9895" s="33" t="s">
        <v>3472</v>
      </c>
      <c r="S9895">
        <v>37</v>
      </c>
      <c r="T9895" s="1" t="s">
        <v>14072</v>
      </c>
      <c r="U9895" s="1" t="str">
        <f>HYPERLINK("http://ictvonline.org/taxonomy/p/taxonomy-history?taxnode_id=202113430","ICTVonline=202113430")</f>
        <v>ICTVonline=202113430</v>
      </c>
    </row>
    <row r="9896" spans="1:21" x14ac:dyDescent="0.2">
      <c r="A9896" s="3">
        <v>9895</v>
      </c>
      <c r="H9896" s="1" t="s">
        <v>8425</v>
      </c>
      <c r="J9896" s="1" t="s">
        <v>8426</v>
      </c>
      <c r="L9896" s="1" t="s">
        <v>1609</v>
      </c>
      <c r="N9896" s="1" t="s">
        <v>1066</v>
      </c>
      <c r="P9896" s="1" t="s">
        <v>1069</v>
      </c>
      <c r="Q9896" s="30" t="s">
        <v>2565</v>
      </c>
      <c r="R9896" s="33" t="s">
        <v>3474</v>
      </c>
      <c r="S9896">
        <v>36</v>
      </c>
      <c r="T9896" s="1" t="s">
        <v>8427</v>
      </c>
      <c r="U9896" s="1" t="str">
        <f>HYPERLINK("http://ictvonline.org/taxonomy/p/taxonomy-history?taxnode_id=202102701","ICTVonline=202102701")</f>
        <v>ICTVonline=202102701</v>
      </c>
    </row>
    <row r="9897" spans="1:21" x14ac:dyDescent="0.2">
      <c r="A9897" s="3">
        <v>9896</v>
      </c>
      <c r="H9897" s="1" t="s">
        <v>8425</v>
      </c>
      <c r="J9897" s="1" t="s">
        <v>8426</v>
      </c>
      <c r="L9897" s="1" t="s">
        <v>1609</v>
      </c>
      <c r="N9897" s="1" t="s">
        <v>1066</v>
      </c>
      <c r="P9897" s="1" t="s">
        <v>3287</v>
      </c>
      <c r="Q9897" s="30" t="s">
        <v>2565</v>
      </c>
      <c r="R9897" s="33" t="s">
        <v>3474</v>
      </c>
      <c r="S9897">
        <v>36</v>
      </c>
      <c r="T9897" s="1" t="s">
        <v>8427</v>
      </c>
      <c r="U9897" s="1" t="str">
        <f>HYPERLINK("http://ictvonline.org/taxonomy/p/taxonomy-history?taxnode_id=202102702","ICTVonline=202102702")</f>
        <v>ICTVonline=202102702</v>
      </c>
    </row>
    <row r="9898" spans="1:21" x14ac:dyDescent="0.2">
      <c r="A9898" s="3">
        <v>9897</v>
      </c>
      <c r="H9898" s="1" t="s">
        <v>8425</v>
      </c>
      <c r="J9898" s="1" t="s">
        <v>8426</v>
      </c>
      <c r="L9898" s="1" t="s">
        <v>1609</v>
      </c>
      <c r="N9898" s="1" t="s">
        <v>1066</v>
      </c>
      <c r="P9898" s="1" t="s">
        <v>3288</v>
      </c>
      <c r="Q9898" s="30" t="s">
        <v>2565</v>
      </c>
      <c r="R9898" s="33" t="s">
        <v>3474</v>
      </c>
      <c r="S9898">
        <v>36</v>
      </c>
      <c r="T9898" s="1" t="s">
        <v>8427</v>
      </c>
      <c r="U9898" s="1" t="str">
        <f>HYPERLINK("http://ictvonline.org/taxonomy/p/taxonomy-history?taxnode_id=202102703","ICTVonline=202102703")</f>
        <v>ICTVonline=202102703</v>
      </c>
    </row>
    <row r="9899" spans="1:21" x14ac:dyDescent="0.2">
      <c r="A9899" s="3">
        <v>9898</v>
      </c>
      <c r="H9899" s="1" t="s">
        <v>8425</v>
      </c>
      <c r="J9899" s="1" t="s">
        <v>8426</v>
      </c>
      <c r="L9899" s="1" t="s">
        <v>1609</v>
      </c>
      <c r="N9899" s="1" t="s">
        <v>1066</v>
      </c>
      <c r="P9899" s="1" t="s">
        <v>3289</v>
      </c>
      <c r="Q9899" s="30" t="s">
        <v>2565</v>
      </c>
      <c r="R9899" s="33" t="s">
        <v>3474</v>
      </c>
      <c r="S9899">
        <v>36</v>
      </c>
      <c r="T9899" s="1" t="s">
        <v>8427</v>
      </c>
      <c r="U9899" s="1" t="str">
        <f>HYPERLINK("http://ictvonline.org/taxonomy/p/taxonomy-history?taxnode_id=202102704","ICTVonline=202102704")</f>
        <v>ICTVonline=202102704</v>
      </c>
    </row>
    <row r="9900" spans="1:21" x14ac:dyDescent="0.2">
      <c r="A9900" s="3">
        <v>9899</v>
      </c>
      <c r="H9900" s="1" t="s">
        <v>8425</v>
      </c>
      <c r="J9900" s="1" t="s">
        <v>8426</v>
      </c>
      <c r="L9900" s="1" t="s">
        <v>1609</v>
      </c>
      <c r="N9900" s="1" t="s">
        <v>1066</v>
      </c>
      <c r="P9900" s="1" t="s">
        <v>3775</v>
      </c>
      <c r="Q9900" s="30" t="s">
        <v>2565</v>
      </c>
      <c r="R9900" s="33" t="s">
        <v>3474</v>
      </c>
      <c r="S9900">
        <v>36</v>
      </c>
      <c r="T9900" s="1" t="s">
        <v>8427</v>
      </c>
      <c r="U9900" s="1" t="str">
        <f>HYPERLINK("http://ictvonline.org/taxonomy/p/taxonomy-history?taxnode_id=202105756","ICTVonline=202105756")</f>
        <v>ICTVonline=202105756</v>
      </c>
    </row>
    <row r="9901" spans="1:21" x14ac:dyDescent="0.2">
      <c r="A9901" s="3">
        <v>9900</v>
      </c>
      <c r="H9901" s="1" t="s">
        <v>8425</v>
      </c>
      <c r="J9901" s="1" t="s">
        <v>8426</v>
      </c>
      <c r="L9901" s="1" t="s">
        <v>1609</v>
      </c>
      <c r="N9901" s="1" t="s">
        <v>1066</v>
      </c>
      <c r="P9901" s="1" t="s">
        <v>671</v>
      </c>
      <c r="Q9901" s="30" t="s">
        <v>2565</v>
      </c>
      <c r="R9901" s="33" t="s">
        <v>3474</v>
      </c>
      <c r="S9901">
        <v>36</v>
      </c>
      <c r="T9901" s="1" t="s">
        <v>8427</v>
      </c>
      <c r="U9901" s="1" t="str">
        <f>HYPERLINK("http://ictvonline.org/taxonomy/p/taxonomy-history?taxnode_id=202102705","ICTVonline=202102705")</f>
        <v>ICTVonline=202102705</v>
      </c>
    </row>
    <row r="9902" spans="1:21" x14ac:dyDescent="0.2">
      <c r="A9902" s="3">
        <v>9901</v>
      </c>
      <c r="H9902" s="1" t="s">
        <v>8425</v>
      </c>
      <c r="J9902" s="1" t="s">
        <v>8426</v>
      </c>
      <c r="L9902" s="1" t="s">
        <v>1609</v>
      </c>
      <c r="N9902" s="1" t="s">
        <v>1066</v>
      </c>
      <c r="P9902" s="1" t="s">
        <v>672</v>
      </c>
      <c r="Q9902" s="30" t="s">
        <v>2565</v>
      </c>
      <c r="R9902" s="33" t="s">
        <v>8660</v>
      </c>
      <c r="S9902">
        <v>36</v>
      </c>
      <c r="T9902" s="1" t="s">
        <v>8661</v>
      </c>
      <c r="U9902" s="1" t="str">
        <f>HYPERLINK("http://ictvonline.org/taxonomy/p/taxonomy-history?taxnode_id=202102706","ICTVonline=202102706")</f>
        <v>ICTVonline=202102706</v>
      </c>
    </row>
    <row r="9903" spans="1:21" x14ac:dyDescent="0.2">
      <c r="A9903" s="3">
        <v>9902</v>
      </c>
      <c r="H9903" s="1" t="s">
        <v>8425</v>
      </c>
      <c r="J9903" s="1" t="s">
        <v>8426</v>
      </c>
      <c r="L9903" s="1" t="s">
        <v>1609</v>
      </c>
      <c r="N9903" s="1" t="s">
        <v>1066</v>
      </c>
      <c r="P9903" s="1" t="s">
        <v>3290</v>
      </c>
      <c r="Q9903" s="30" t="s">
        <v>2565</v>
      </c>
      <c r="R9903" s="33" t="s">
        <v>3474</v>
      </c>
      <c r="S9903">
        <v>36</v>
      </c>
      <c r="T9903" s="1" t="s">
        <v>8427</v>
      </c>
      <c r="U9903" s="1" t="str">
        <f>HYPERLINK("http://ictvonline.org/taxonomy/p/taxonomy-history?taxnode_id=202102707","ICTVonline=202102707")</f>
        <v>ICTVonline=202102707</v>
      </c>
    </row>
    <row r="9904" spans="1:21" x14ac:dyDescent="0.2">
      <c r="A9904" s="3">
        <v>9903</v>
      </c>
      <c r="H9904" s="1" t="s">
        <v>8425</v>
      </c>
      <c r="J9904" s="1" t="s">
        <v>8426</v>
      </c>
      <c r="L9904" s="1" t="s">
        <v>1609</v>
      </c>
      <c r="N9904" s="1" t="s">
        <v>1066</v>
      </c>
      <c r="P9904" s="1" t="s">
        <v>3291</v>
      </c>
      <c r="Q9904" s="30" t="s">
        <v>2565</v>
      </c>
      <c r="R9904" s="33" t="s">
        <v>3474</v>
      </c>
      <c r="S9904">
        <v>36</v>
      </c>
      <c r="T9904" s="1" t="s">
        <v>8427</v>
      </c>
      <c r="U9904" s="1" t="str">
        <f>HYPERLINK("http://ictvonline.org/taxonomy/p/taxonomy-history?taxnode_id=202102708","ICTVonline=202102708")</f>
        <v>ICTVonline=202102708</v>
      </c>
    </row>
    <row r="9905" spans="1:21" x14ac:dyDescent="0.2">
      <c r="A9905" s="3">
        <v>9904</v>
      </c>
      <c r="H9905" s="1" t="s">
        <v>8425</v>
      </c>
      <c r="J9905" s="1" t="s">
        <v>8426</v>
      </c>
      <c r="L9905" s="1" t="s">
        <v>1609</v>
      </c>
      <c r="N9905" s="1" t="s">
        <v>1066</v>
      </c>
      <c r="P9905" s="1" t="s">
        <v>2832</v>
      </c>
      <c r="Q9905" s="30" t="s">
        <v>2565</v>
      </c>
      <c r="R9905" s="33" t="s">
        <v>3474</v>
      </c>
      <c r="S9905">
        <v>36</v>
      </c>
      <c r="T9905" s="1" t="s">
        <v>8427</v>
      </c>
      <c r="U9905" s="1" t="str">
        <f>HYPERLINK("http://ictvonline.org/taxonomy/p/taxonomy-history?taxnode_id=202102709","ICTVonline=202102709")</f>
        <v>ICTVonline=202102709</v>
      </c>
    </row>
    <row r="9906" spans="1:21" x14ac:dyDescent="0.2">
      <c r="A9906" s="3">
        <v>9905</v>
      </c>
      <c r="H9906" s="1" t="s">
        <v>8425</v>
      </c>
      <c r="J9906" s="1" t="s">
        <v>8426</v>
      </c>
      <c r="L9906" s="1" t="s">
        <v>1609</v>
      </c>
      <c r="N9906" s="1" t="s">
        <v>1066</v>
      </c>
      <c r="P9906" s="1" t="s">
        <v>670</v>
      </c>
      <c r="Q9906" s="30" t="s">
        <v>2565</v>
      </c>
      <c r="R9906" s="33" t="s">
        <v>3474</v>
      </c>
      <c r="S9906">
        <v>36</v>
      </c>
      <c r="T9906" s="1" t="s">
        <v>8427</v>
      </c>
      <c r="U9906" s="1" t="str">
        <f>HYPERLINK("http://ictvonline.org/taxonomy/p/taxonomy-history?taxnode_id=202102710","ICTVonline=202102710")</f>
        <v>ICTVonline=202102710</v>
      </c>
    </row>
    <row r="9907" spans="1:21" x14ac:dyDescent="0.2">
      <c r="A9907" s="3">
        <v>9906</v>
      </c>
      <c r="H9907" s="1" t="s">
        <v>8425</v>
      </c>
      <c r="J9907" s="1" t="s">
        <v>8426</v>
      </c>
      <c r="L9907" s="1" t="s">
        <v>1609</v>
      </c>
      <c r="N9907" s="1" t="s">
        <v>1066</v>
      </c>
      <c r="P9907" s="1" t="s">
        <v>674</v>
      </c>
      <c r="Q9907" s="30" t="s">
        <v>2565</v>
      </c>
      <c r="R9907" s="33" t="s">
        <v>3474</v>
      </c>
      <c r="S9907">
        <v>36</v>
      </c>
      <c r="T9907" s="1" t="s">
        <v>8427</v>
      </c>
      <c r="U9907" s="1" t="str">
        <f>HYPERLINK("http://ictvonline.org/taxonomy/p/taxonomy-history?taxnode_id=202102711","ICTVonline=202102711")</f>
        <v>ICTVonline=202102711</v>
      </c>
    </row>
    <row r="9908" spans="1:21" x14ac:dyDescent="0.2">
      <c r="A9908" s="3">
        <v>9907</v>
      </c>
      <c r="H9908" s="1" t="s">
        <v>8425</v>
      </c>
      <c r="J9908" s="1" t="s">
        <v>8426</v>
      </c>
      <c r="L9908" s="1" t="s">
        <v>1609</v>
      </c>
      <c r="N9908" s="1" t="s">
        <v>1066</v>
      </c>
      <c r="P9908" s="1" t="s">
        <v>1635</v>
      </c>
      <c r="Q9908" s="30" t="s">
        <v>2565</v>
      </c>
      <c r="R9908" s="33" t="s">
        <v>3474</v>
      </c>
      <c r="S9908">
        <v>36</v>
      </c>
      <c r="T9908" s="1" t="s">
        <v>8427</v>
      </c>
      <c r="U9908" s="1" t="str">
        <f>HYPERLINK("http://ictvonline.org/taxonomy/p/taxonomy-history?taxnode_id=202102712","ICTVonline=202102712")</f>
        <v>ICTVonline=202102712</v>
      </c>
    </row>
    <row r="9909" spans="1:21" x14ac:dyDescent="0.2">
      <c r="A9909" s="3">
        <v>9908</v>
      </c>
      <c r="H9909" s="1" t="s">
        <v>8425</v>
      </c>
      <c r="J9909" s="1" t="s">
        <v>8426</v>
      </c>
      <c r="L9909" s="1" t="s">
        <v>1609</v>
      </c>
      <c r="N9909" s="1" t="s">
        <v>1066</v>
      </c>
      <c r="P9909" s="1" t="s">
        <v>4808</v>
      </c>
      <c r="Q9909" s="30" t="s">
        <v>2565</v>
      </c>
      <c r="R9909" s="33" t="s">
        <v>3474</v>
      </c>
      <c r="S9909">
        <v>36</v>
      </c>
      <c r="T9909" s="1" t="s">
        <v>8427</v>
      </c>
      <c r="U9909" s="1" t="str">
        <f>HYPERLINK("http://ictvonline.org/taxonomy/p/taxonomy-history?taxnode_id=202106533","ICTVonline=202106533")</f>
        <v>ICTVonline=202106533</v>
      </c>
    </row>
    <row r="9910" spans="1:21" x14ac:dyDescent="0.2">
      <c r="A9910" s="3">
        <v>9909</v>
      </c>
      <c r="H9910" s="1" t="s">
        <v>8425</v>
      </c>
      <c r="J9910" s="1" t="s">
        <v>8426</v>
      </c>
      <c r="L9910" s="1" t="s">
        <v>1609</v>
      </c>
      <c r="N9910" s="1" t="s">
        <v>1066</v>
      </c>
      <c r="P9910" s="1" t="s">
        <v>3776</v>
      </c>
      <c r="Q9910" s="30" t="s">
        <v>2565</v>
      </c>
      <c r="R9910" s="33" t="s">
        <v>3474</v>
      </c>
      <c r="S9910">
        <v>36</v>
      </c>
      <c r="T9910" s="1" t="s">
        <v>8427</v>
      </c>
      <c r="U9910" s="1" t="str">
        <f>HYPERLINK("http://ictvonline.org/taxonomy/p/taxonomy-history?taxnode_id=202102716","ICTVonline=202102716")</f>
        <v>ICTVonline=202102716</v>
      </c>
    </row>
    <row r="9911" spans="1:21" x14ac:dyDescent="0.2">
      <c r="A9911" s="3">
        <v>9910</v>
      </c>
      <c r="H9911" s="1" t="s">
        <v>8425</v>
      </c>
      <c r="J9911" s="1" t="s">
        <v>8426</v>
      </c>
      <c r="L9911" s="1" t="s">
        <v>1609</v>
      </c>
      <c r="N9911" s="1" t="s">
        <v>1066</v>
      </c>
      <c r="P9911" s="1" t="s">
        <v>3777</v>
      </c>
      <c r="Q9911" s="30" t="s">
        <v>2565</v>
      </c>
      <c r="R9911" s="33" t="s">
        <v>3474</v>
      </c>
      <c r="S9911">
        <v>36</v>
      </c>
      <c r="T9911" s="1" t="s">
        <v>8427</v>
      </c>
      <c r="U9911" s="1" t="str">
        <f>HYPERLINK("http://ictvonline.org/taxonomy/p/taxonomy-history?taxnode_id=202105757","ICTVonline=202105757")</f>
        <v>ICTVonline=202105757</v>
      </c>
    </row>
    <row r="9912" spans="1:21" x14ac:dyDescent="0.2">
      <c r="A9912" s="3">
        <v>9911</v>
      </c>
      <c r="H9912" s="1" t="s">
        <v>8425</v>
      </c>
      <c r="J9912" s="1" t="s">
        <v>8426</v>
      </c>
      <c r="L9912" s="1" t="s">
        <v>1609</v>
      </c>
      <c r="N9912" s="1" t="s">
        <v>1066</v>
      </c>
      <c r="P9912" s="1" t="s">
        <v>1636</v>
      </c>
      <c r="Q9912" s="30" t="s">
        <v>2565</v>
      </c>
      <c r="R9912" s="33" t="s">
        <v>3474</v>
      </c>
      <c r="S9912">
        <v>36</v>
      </c>
      <c r="T9912" s="1" t="s">
        <v>8427</v>
      </c>
      <c r="U9912" s="1" t="str">
        <f>HYPERLINK("http://ictvonline.org/taxonomy/p/taxonomy-history?taxnode_id=202102713","ICTVonline=202102713")</f>
        <v>ICTVonline=202102713</v>
      </c>
    </row>
    <row r="9913" spans="1:21" x14ac:dyDescent="0.2">
      <c r="A9913" s="3">
        <v>9912</v>
      </c>
      <c r="H9913" s="1" t="s">
        <v>8425</v>
      </c>
      <c r="J9913" s="1" t="s">
        <v>8426</v>
      </c>
      <c r="L9913" s="1" t="s">
        <v>1609</v>
      </c>
      <c r="N9913" s="1" t="s">
        <v>1066</v>
      </c>
      <c r="P9913" s="1" t="s">
        <v>589</v>
      </c>
      <c r="Q9913" s="30" t="s">
        <v>2565</v>
      </c>
      <c r="R9913" s="33" t="s">
        <v>3474</v>
      </c>
      <c r="S9913">
        <v>36</v>
      </c>
      <c r="T9913" s="1" t="s">
        <v>8427</v>
      </c>
      <c r="U9913" s="1" t="str">
        <f>HYPERLINK("http://ictvonline.org/taxonomy/p/taxonomy-history?taxnode_id=202102714","ICTVonline=202102714")</f>
        <v>ICTVonline=202102714</v>
      </c>
    </row>
    <row r="9914" spans="1:21" x14ac:dyDescent="0.2">
      <c r="A9914" s="3">
        <v>9913</v>
      </c>
      <c r="H9914" s="1" t="s">
        <v>8425</v>
      </c>
      <c r="J9914" s="1" t="s">
        <v>8426</v>
      </c>
      <c r="L9914" s="1" t="s">
        <v>1609</v>
      </c>
      <c r="N9914" s="1" t="s">
        <v>1066</v>
      </c>
      <c r="P9914" s="1" t="s">
        <v>590</v>
      </c>
      <c r="Q9914" s="30" t="s">
        <v>2565</v>
      </c>
      <c r="R9914" s="33" t="s">
        <v>3474</v>
      </c>
      <c r="S9914">
        <v>36</v>
      </c>
      <c r="T9914" s="1" t="s">
        <v>8427</v>
      </c>
      <c r="U9914" s="1" t="str">
        <f>HYPERLINK("http://ictvonline.org/taxonomy/p/taxonomy-history?taxnode_id=202102715","ICTVonline=202102715")</f>
        <v>ICTVonline=202102715</v>
      </c>
    </row>
    <row r="9915" spans="1:21" x14ac:dyDescent="0.2">
      <c r="A9915" s="3">
        <v>9914</v>
      </c>
      <c r="H9915" s="1" t="s">
        <v>8425</v>
      </c>
      <c r="J9915" s="1" t="s">
        <v>8426</v>
      </c>
      <c r="L9915" s="1" t="s">
        <v>1609</v>
      </c>
      <c r="N9915" s="1" t="s">
        <v>1066</v>
      </c>
      <c r="P9915" s="1" t="s">
        <v>2833</v>
      </c>
      <c r="Q9915" s="30" t="s">
        <v>2565</v>
      </c>
      <c r="R9915" s="33" t="s">
        <v>3474</v>
      </c>
      <c r="S9915">
        <v>36</v>
      </c>
      <c r="T9915" s="1" t="s">
        <v>8427</v>
      </c>
      <c r="U9915" s="1" t="str">
        <f>HYPERLINK("http://ictvonline.org/taxonomy/p/taxonomy-history?taxnode_id=202102717","ICTVonline=202102717")</f>
        <v>ICTVonline=202102717</v>
      </c>
    </row>
    <row r="9916" spans="1:21" x14ac:dyDescent="0.2">
      <c r="A9916" s="3">
        <v>9915</v>
      </c>
      <c r="H9916" s="1" t="s">
        <v>8425</v>
      </c>
      <c r="J9916" s="1" t="s">
        <v>8426</v>
      </c>
      <c r="L9916" s="1" t="s">
        <v>1609</v>
      </c>
      <c r="N9916" s="1" t="s">
        <v>1066</v>
      </c>
      <c r="P9916" s="1" t="s">
        <v>3292</v>
      </c>
      <c r="Q9916" s="30" t="s">
        <v>2565</v>
      </c>
      <c r="R9916" s="33" t="s">
        <v>3474</v>
      </c>
      <c r="S9916">
        <v>36</v>
      </c>
      <c r="T9916" s="1" t="s">
        <v>8427</v>
      </c>
      <c r="U9916" s="1" t="str">
        <f>HYPERLINK("http://ictvonline.org/taxonomy/p/taxonomy-history?taxnode_id=202102718","ICTVonline=202102718")</f>
        <v>ICTVonline=202102718</v>
      </c>
    </row>
    <row r="9917" spans="1:21" x14ac:dyDescent="0.2">
      <c r="A9917" s="3">
        <v>9916</v>
      </c>
      <c r="H9917" s="1" t="s">
        <v>8425</v>
      </c>
      <c r="J9917" s="1" t="s">
        <v>8426</v>
      </c>
      <c r="L9917" s="1" t="s">
        <v>1609</v>
      </c>
      <c r="N9917" s="1" t="s">
        <v>1066</v>
      </c>
      <c r="P9917" s="1" t="s">
        <v>1639</v>
      </c>
      <c r="Q9917" s="30" t="s">
        <v>2565</v>
      </c>
      <c r="R9917" s="33" t="s">
        <v>3474</v>
      </c>
      <c r="S9917">
        <v>36</v>
      </c>
      <c r="T9917" s="1" t="s">
        <v>8427</v>
      </c>
      <c r="U9917" s="1" t="str">
        <f>HYPERLINK("http://ictvonline.org/taxonomy/p/taxonomy-history?taxnode_id=202102719","ICTVonline=202102719")</f>
        <v>ICTVonline=202102719</v>
      </c>
    </row>
    <row r="9918" spans="1:21" x14ac:dyDescent="0.2">
      <c r="A9918" s="3">
        <v>9917</v>
      </c>
      <c r="H9918" s="1" t="s">
        <v>8425</v>
      </c>
      <c r="J9918" s="1" t="s">
        <v>8426</v>
      </c>
      <c r="L9918" s="1" t="s">
        <v>1609</v>
      </c>
      <c r="N9918" s="1" t="s">
        <v>1066</v>
      </c>
      <c r="P9918" s="1" t="s">
        <v>1640</v>
      </c>
      <c r="Q9918" s="30" t="s">
        <v>2565</v>
      </c>
      <c r="R9918" s="33" t="s">
        <v>3474</v>
      </c>
      <c r="S9918">
        <v>36</v>
      </c>
      <c r="T9918" s="1" t="s">
        <v>8427</v>
      </c>
      <c r="U9918" s="1" t="str">
        <f>HYPERLINK("http://ictvonline.org/taxonomy/p/taxonomy-history?taxnode_id=202102720","ICTVonline=202102720")</f>
        <v>ICTVonline=202102720</v>
      </c>
    </row>
    <row r="9919" spans="1:21" x14ac:dyDescent="0.2">
      <c r="A9919" s="3">
        <v>9918</v>
      </c>
      <c r="H9919" s="1" t="s">
        <v>8425</v>
      </c>
      <c r="J9919" s="1" t="s">
        <v>8426</v>
      </c>
      <c r="L9919" s="1" t="s">
        <v>1609</v>
      </c>
      <c r="N9919" s="1" t="s">
        <v>1641</v>
      </c>
      <c r="P9919" s="1" t="s">
        <v>594</v>
      </c>
      <c r="Q9919" s="30" t="s">
        <v>2565</v>
      </c>
      <c r="R9919" s="33" t="s">
        <v>8660</v>
      </c>
      <c r="S9919">
        <v>36</v>
      </c>
      <c r="T9919" s="1" t="s">
        <v>8661</v>
      </c>
      <c r="U9919" s="1" t="str">
        <f>HYPERLINK("http://ictvonline.org/taxonomy/p/taxonomy-history?taxnode_id=202102722","ICTVonline=202102722")</f>
        <v>ICTVonline=202102722</v>
      </c>
    </row>
    <row r="9920" spans="1:21" x14ac:dyDescent="0.2">
      <c r="A9920" s="3">
        <v>9919</v>
      </c>
      <c r="H9920" s="1" t="s">
        <v>8425</v>
      </c>
      <c r="J9920" s="1" t="s">
        <v>8426</v>
      </c>
      <c r="L9920" s="1" t="s">
        <v>1609</v>
      </c>
      <c r="N9920" s="1" t="s">
        <v>595</v>
      </c>
      <c r="P9920" s="1" t="s">
        <v>596</v>
      </c>
      <c r="Q9920" s="30" t="s">
        <v>2565</v>
      </c>
      <c r="R9920" s="33" t="s">
        <v>8660</v>
      </c>
      <c r="S9920">
        <v>36</v>
      </c>
      <c r="T9920" s="1" t="s">
        <v>8661</v>
      </c>
      <c r="U9920" s="1" t="str">
        <f>HYPERLINK("http://ictvonline.org/taxonomy/p/taxonomy-history?taxnode_id=202102724","ICTVonline=202102724")</f>
        <v>ICTVonline=202102724</v>
      </c>
    </row>
    <row r="9921" spans="1:21" x14ac:dyDescent="0.2">
      <c r="A9921" s="3">
        <v>9920</v>
      </c>
      <c r="H9921" s="1" t="s">
        <v>8425</v>
      </c>
      <c r="J9921" s="1" t="s">
        <v>8426</v>
      </c>
      <c r="L9921" s="1" t="s">
        <v>1609</v>
      </c>
      <c r="N9921" s="1" t="s">
        <v>595</v>
      </c>
      <c r="P9921" s="1" t="s">
        <v>1643</v>
      </c>
      <c r="Q9921" s="30" t="s">
        <v>2565</v>
      </c>
      <c r="R9921" s="33" t="s">
        <v>3474</v>
      </c>
      <c r="S9921">
        <v>36</v>
      </c>
      <c r="T9921" s="1" t="s">
        <v>8427</v>
      </c>
      <c r="U9921" s="1" t="str">
        <f>HYPERLINK("http://ictvonline.org/taxonomy/p/taxonomy-history?taxnode_id=202102725","ICTVonline=202102725")</f>
        <v>ICTVonline=202102725</v>
      </c>
    </row>
    <row r="9922" spans="1:21" x14ac:dyDescent="0.2">
      <c r="A9922" s="3">
        <v>9921</v>
      </c>
      <c r="H9922" s="1" t="s">
        <v>8425</v>
      </c>
      <c r="J9922" s="1" t="s">
        <v>8426</v>
      </c>
      <c r="L9922" s="1" t="s">
        <v>93</v>
      </c>
      <c r="N9922" s="1" t="s">
        <v>94</v>
      </c>
      <c r="P9922" s="1" t="s">
        <v>5891</v>
      </c>
      <c r="Q9922" s="30" t="s">
        <v>2565</v>
      </c>
      <c r="R9922" s="33" t="s">
        <v>8660</v>
      </c>
      <c r="S9922">
        <v>36</v>
      </c>
      <c r="T9922" s="1" t="s">
        <v>8661</v>
      </c>
      <c r="U9922" s="1" t="str">
        <f>HYPERLINK("http://ictvonline.org/taxonomy/p/taxonomy-history?taxnode_id=202103681","ICTVonline=202103681")</f>
        <v>ICTVonline=202103681</v>
      </c>
    </row>
    <row r="9923" spans="1:21" x14ac:dyDescent="0.2">
      <c r="A9923" s="3">
        <v>9922</v>
      </c>
      <c r="H9923" s="1" t="s">
        <v>8425</v>
      </c>
      <c r="J9923" s="1" t="s">
        <v>8426</v>
      </c>
      <c r="L9923" s="1" t="s">
        <v>93</v>
      </c>
      <c r="N9923" s="1" t="s">
        <v>95</v>
      </c>
      <c r="P9923" s="1" t="s">
        <v>5892</v>
      </c>
      <c r="Q9923" s="30" t="s">
        <v>2565</v>
      </c>
      <c r="R9923" s="33" t="s">
        <v>8660</v>
      </c>
      <c r="S9923">
        <v>36</v>
      </c>
      <c r="T9923" s="1" t="s">
        <v>8661</v>
      </c>
      <c r="U9923" s="1" t="str">
        <f>HYPERLINK("http://ictvonline.org/taxonomy/p/taxonomy-history?taxnode_id=202103683","ICTVonline=202103683")</f>
        <v>ICTVonline=202103683</v>
      </c>
    </row>
    <row r="9924" spans="1:21" x14ac:dyDescent="0.2">
      <c r="A9924" s="3">
        <v>9923</v>
      </c>
      <c r="H9924" s="1" t="s">
        <v>8425</v>
      </c>
      <c r="J9924" s="1" t="s">
        <v>8426</v>
      </c>
      <c r="L9924" s="1" t="s">
        <v>2322</v>
      </c>
      <c r="N9924" s="1" t="s">
        <v>2323</v>
      </c>
      <c r="P9924" s="1" t="s">
        <v>8431</v>
      </c>
      <c r="Q9924" s="30" t="s">
        <v>2565</v>
      </c>
      <c r="R9924" s="33" t="s">
        <v>3472</v>
      </c>
      <c r="S9924">
        <v>36</v>
      </c>
      <c r="T9924" s="1" t="s">
        <v>8432</v>
      </c>
      <c r="U9924" s="1" t="str">
        <f>HYPERLINK("http://ictvonline.org/taxonomy/p/taxonomy-history?taxnode_id=202108926","ICTVonline=202108926")</f>
        <v>ICTVonline=202108926</v>
      </c>
    </row>
    <row r="9925" spans="1:21" x14ac:dyDescent="0.2">
      <c r="A9925" s="3">
        <v>9924</v>
      </c>
      <c r="H9925" s="1" t="s">
        <v>8425</v>
      </c>
      <c r="J9925" s="1" t="s">
        <v>8426</v>
      </c>
      <c r="L9925" s="1" t="s">
        <v>2322</v>
      </c>
      <c r="N9925" s="1" t="s">
        <v>2323</v>
      </c>
      <c r="P9925" s="1" t="s">
        <v>8433</v>
      </c>
      <c r="Q9925" s="30" t="s">
        <v>2565</v>
      </c>
      <c r="R9925" s="33" t="s">
        <v>3472</v>
      </c>
      <c r="S9925">
        <v>36</v>
      </c>
      <c r="T9925" s="1" t="s">
        <v>8432</v>
      </c>
      <c r="U9925" s="1" t="str">
        <f>HYPERLINK("http://ictvonline.org/taxonomy/p/taxonomy-history?taxnode_id=202108927","ICTVonline=202108927")</f>
        <v>ICTVonline=202108927</v>
      </c>
    </row>
    <row r="9926" spans="1:21" x14ac:dyDescent="0.2">
      <c r="A9926" s="3">
        <v>9925</v>
      </c>
      <c r="H9926" s="1" t="s">
        <v>8425</v>
      </c>
      <c r="J9926" s="1" t="s">
        <v>8426</v>
      </c>
      <c r="L9926" s="1" t="s">
        <v>2322</v>
      </c>
      <c r="N9926" s="1" t="s">
        <v>2323</v>
      </c>
      <c r="P9926" s="1" t="s">
        <v>8434</v>
      </c>
      <c r="Q9926" s="30" t="s">
        <v>2565</v>
      </c>
      <c r="R9926" s="33" t="s">
        <v>3472</v>
      </c>
      <c r="S9926">
        <v>36</v>
      </c>
      <c r="T9926" s="1" t="s">
        <v>8432</v>
      </c>
      <c r="U9926" s="1" t="str">
        <f>HYPERLINK("http://ictvonline.org/taxonomy/p/taxonomy-history?taxnode_id=202108928","ICTVonline=202108928")</f>
        <v>ICTVonline=202108928</v>
      </c>
    </row>
    <row r="9927" spans="1:21" x14ac:dyDescent="0.2">
      <c r="A9927" s="3">
        <v>9926</v>
      </c>
      <c r="H9927" s="1" t="s">
        <v>8425</v>
      </c>
      <c r="J9927" s="1" t="s">
        <v>8426</v>
      </c>
      <c r="L9927" s="1" t="s">
        <v>2322</v>
      </c>
      <c r="N9927" s="1" t="s">
        <v>2323</v>
      </c>
      <c r="P9927" s="1" t="s">
        <v>8435</v>
      </c>
      <c r="Q9927" s="30" t="s">
        <v>2565</v>
      </c>
      <c r="R9927" s="33" t="s">
        <v>3472</v>
      </c>
      <c r="S9927">
        <v>36</v>
      </c>
      <c r="T9927" s="1" t="s">
        <v>8432</v>
      </c>
      <c r="U9927" s="1" t="str">
        <f>HYPERLINK("http://ictvonline.org/taxonomy/p/taxonomy-history?taxnode_id=202108929","ICTVonline=202108929")</f>
        <v>ICTVonline=202108929</v>
      </c>
    </row>
    <row r="9928" spans="1:21" x14ac:dyDescent="0.2">
      <c r="A9928" s="3">
        <v>9927</v>
      </c>
      <c r="H9928" s="1" t="s">
        <v>8425</v>
      </c>
      <c r="J9928" s="1" t="s">
        <v>8426</v>
      </c>
      <c r="L9928" s="1" t="s">
        <v>2322</v>
      </c>
      <c r="N9928" s="1" t="s">
        <v>2323</v>
      </c>
      <c r="P9928" s="1" t="s">
        <v>8436</v>
      </c>
      <c r="Q9928" s="30" t="s">
        <v>2565</v>
      </c>
      <c r="R9928" s="33" t="s">
        <v>3472</v>
      </c>
      <c r="S9928">
        <v>36</v>
      </c>
      <c r="T9928" s="1" t="s">
        <v>8432</v>
      </c>
      <c r="U9928" s="1" t="str">
        <f>HYPERLINK("http://ictvonline.org/taxonomy/p/taxonomy-history?taxnode_id=202108930","ICTVonline=202108930")</f>
        <v>ICTVonline=202108930</v>
      </c>
    </row>
    <row r="9929" spans="1:21" x14ac:dyDescent="0.2">
      <c r="A9929" s="3">
        <v>9928</v>
      </c>
      <c r="H9929" s="1" t="s">
        <v>8425</v>
      </c>
      <c r="J9929" s="1" t="s">
        <v>8426</v>
      </c>
      <c r="L9929" s="1" t="s">
        <v>2322</v>
      </c>
      <c r="N9929" s="1" t="s">
        <v>2323</v>
      </c>
      <c r="P9929" s="1" t="s">
        <v>2324</v>
      </c>
      <c r="Q9929" s="30" t="s">
        <v>2565</v>
      </c>
      <c r="R9929" s="33" t="s">
        <v>3474</v>
      </c>
      <c r="S9929">
        <v>36</v>
      </c>
      <c r="T9929" s="1" t="s">
        <v>8427</v>
      </c>
      <c r="U9929" s="1" t="str">
        <f>HYPERLINK("http://ictvonline.org/taxonomy/p/taxonomy-history?taxnode_id=202103939","ICTVonline=202103939")</f>
        <v>ICTVonline=202103939</v>
      </c>
    </row>
    <row r="9930" spans="1:21" x14ac:dyDescent="0.2">
      <c r="A9930" s="3">
        <v>9929</v>
      </c>
      <c r="H9930" s="1" t="s">
        <v>8425</v>
      </c>
      <c r="J9930" s="1" t="s">
        <v>8426</v>
      </c>
      <c r="L9930" s="1" t="s">
        <v>2322</v>
      </c>
      <c r="N9930" s="1" t="s">
        <v>2323</v>
      </c>
      <c r="P9930" s="1" t="s">
        <v>2325</v>
      </c>
      <c r="Q9930" s="30" t="s">
        <v>2565</v>
      </c>
      <c r="R9930" s="33" t="s">
        <v>8660</v>
      </c>
      <c r="S9930">
        <v>36</v>
      </c>
      <c r="T9930" s="1" t="s">
        <v>8661</v>
      </c>
      <c r="U9930" s="1" t="str">
        <f>HYPERLINK("http://ictvonline.org/taxonomy/p/taxonomy-history?taxnode_id=202103940","ICTVonline=202103940")</f>
        <v>ICTVonline=202103940</v>
      </c>
    </row>
    <row r="9931" spans="1:21" x14ac:dyDescent="0.2">
      <c r="A9931" s="3">
        <v>9930</v>
      </c>
      <c r="H9931" s="1" t="s">
        <v>8425</v>
      </c>
      <c r="J9931" s="1" t="s">
        <v>8426</v>
      </c>
      <c r="L9931" s="1" t="s">
        <v>2322</v>
      </c>
      <c r="N9931" s="1" t="s">
        <v>2326</v>
      </c>
      <c r="P9931" s="1" t="s">
        <v>2327</v>
      </c>
      <c r="Q9931" s="30" t="s">
        <v>2565</v>
      </c>
      <c r="R9931" s="33" t="s">
        <v>8660</v>
      </c>
      <c r="S9931">
        <v>36</v>
      </c>
      <c r="T9931" s="1" t="s">
        <v>8661</v>
      </c>
      <c r="U9931" s="1" t="str">
        <f>HYPERLINK("http://ictvonline.org/taxonomy/p/taxonomy-history?taxnode_id=202103942","ICTVonline=202103942")</f>
        <v>ICTVonline=202103942</v>
      </c>
    </row>
    <row r="9932" spans="1:21" x14ac:dyDescent="0.2">
      <c r="A9932" s="3">
        <v>9931</v>
      </c>
      <c r="H9932" s="1" t="s">
        <v>8425</v>
      </c>
      <c r="J9932" s="1" t="s">
        <v>8426</v>
      </c>
      <c r="L9932" s="1" t="s">
        <v>2322</v>
      </c>
      <c r="N9932" s="1" t="s">
        <v>8437</v>
      </c>
      <c r="P9932" s="1" t="s">
        <v>8438</v>
      </c>
      <c r="Q9932" s="30" t="s">
        <v>2565</v>
      </c>
      <c r="R9932" s="33" t="s">
        <v>3472</v>
      </c>
      <c r="S9932">
        <v>36</v>
      </c>
      <c r="T9932" s="1" t="s">
        <v>8432</v>
      </c>
      <c r="U9932" s="1" t="str">
        <f>HYPERLINK("http://ictvonline.org/taxonomy/p/taxonomy-history?taxnode_id=202108935","ICTVonline=202108935")</f>
        <v>ICTVonline=202108935</v>
      </c>
    </row>
    <row r="9933" spans="1:21" x14ac:dyDescent="0.2">
      <c r="A9933" s="3">
        <v>9932</v>
      </c>
      <c r="H9933" s="1" t="s">
        <v>8425</v>
      </c>
      <c r="J9933" s="1" t="s">
        <v>8426</v>
      </c>
      <c r="L9933" s="1" t="s">
        <v>2322</v>
      </c>
      <c r="N9933" s="1" t="s">
        <v>8439</v>
      </c>
      <c r="P9933" s="1" t="s">
        <v>13801</v>
      </c>
      <c r="Q9933" s="30" t="s">
        <v>2565</v>
      </c>
      <c r="R9933" s="33" t="s">
        <v>3472</v>
      </c>
      <c r="S9933">
        <v>37</v>
      </c>
      <c r="T9933" s="1" t="s">
        <v>14073</v>
      </c>
      <c r="U9933" s="1" t="str">
        <f>HYPERLINK("http://ictvonline.org/taxonomy/p/taxonomy-history?taxnode_id=202113432","ICTVonline=202113432")</f>
        <v>ICTVonline=202113432</v>
      </c>
    </row>
    <row r="9934" spans="1:21" x14ac:dyDescent="0.2">
      <c r="A9934" s="3">
        <v>9933</v>
      </c>
      <c r="H9934" s="1" t="s">
        <v>8425</v>
      </c>
      <c r="J9934" s="1" t="s">
        <v>8426</v>
      </c>
      <c r="L9934" s="1" t="s">
        <v>2322</v>
      </c>
      <c r="N9934" s="1" t="s">
        <v>8439</v>
      </c>
      <c r="P9934" s="1" t="s">
        <v>13802</v>
      </c>
      <c r="Q9934" s="30" t="s">
        <v>2565</v>
      </c>
      <c r="R9934" s="33" t="s">
        <v>3472</v>
      </c>
      <c r="S9934">
        <v>37</v>
      </c>
      <c r="T9934" s="1" t="s">
        <v>14073</v>
      </c>
      <c r="U9934" s="1" t="str">
        <f>HYPERLINK("http://ictvonline.org/taxonomy/p/taxonomy-history?taxnode_id=202113431","ICTVonline=202113431")</f>
        <v>ICTVonline=202113431</v>
      </c>
    </row>
    <row r="9935" spans="1:21" x14ac:dyDescent="0.2">
      <c r="A9935" s="3">
        <v>9934</v>
      </c>
      <c r="H9935" s="1" t="s">
        <v>8425</v>
      </c>
      <c r="J9935" s="1" t="s">
        <v>8426</v>
      </c>
      <c r="L9935" s="1" t="s">
        <v>2322</v>
      </c>
      <c r="N9935" s="1" t="s">
        <v>8439</v>
      </c>
      <c r="P9935" s="1" t="s">
        <v>8440</v>
      </c>
      <c r="Q9935" s="30" t="s">
        <v>2565</v>
      </c>
      <c r="R9935" s="33" t="s">
        <v>3472</v>
      </c>
      <c r="S9935">
        <v>36</v>
      </c>
      <c r="T9935" s="1" t="s">
        <v>8432</v>
      </c>
      <c r="U9935" s="1" t="str">
        <f>HYPERLINK("http://ictvonline.org/taxonomy/p/taxonomy-history?taxnode_id=202108932","ICTVonline=202108932")</f>
        <v>ICTVonline=202108932</v>
      </c>
    </row>
    <row r="9936" spans="1:21" x14ac:dyDescent="0.2">
      <c r="A9936" s="3">
        <v>9935</v>
      </c>
      <c r="H9936" s="1" t="s">
        <v>8425</v>
      </c>
      <c r="J9936" s="1" t="s">
        <v>8426</v>
      </c>
      <c r="L9936" s="1" t="s">
        <v>2322</v>
      </c>
      <c r="N9936" s="1" t="s">
        <v>8439</v>
      </c>
      <c r="P9936" s="1" t="s">
        <v>8441</v>
      </c>
      <c r="Q9936" s="30" t="s">
        <v>2565</v>
      </c>
      <c r="R9936" s="33" t="s">
        <v>3472</v>
      </c>
      <c r="S9936">
        <v>36</v>
      </c>
      <c r="T9936" s="1" t="s">
        <v>8432</v>
      </c>
      <c r="U9936" s="1" t="str">
        <f>HYPERLINK("http://ictvonline.org/taxonomy/p/taxonomy-history?taxnode_id=202108933","ICTVonline=202108933")</f>
        <v>ICTVonline=202108933</v>
      </c>
    </row>
    <row r="9937" spans="1:21" x14ac:dyDescent="0.2">
      <c r="A9937" s="3">
        <v>9936</v>
      </c>
      <c r="H9937" s="1" t="s">
        <v>8425</v>
      </c>
      <c r="L9937" s="1" t="s">
        <v>999</v>
      </c>
      <c r="N9937" s="1" t="s">
        <v>1000</v>
      </c>
      <c r="P9937" s="1" t="s">
        <v>1001</v>
      </c>
      <c r="Q9937" s="30" t="s">
        <v>2565</v>
      </c>
      <c r="R9937" s="33" t="s">
        <v>8660</v>
      </c>
      <c r="S9937">
        <v>36</v>
      </c>
      <c r="T9937" s="1" t="s">
        <v>8661</v>
      </c>
      <c r="U9937" s="1" t="str">
        <f>HYPERLINK("http://ictvonline.org/taxonomy/p/taxonomy-history?taxnode_id=202103922","ICTVonline=202103922")</f>
        <v>ICTVonline=202103922</v>
      </c>
    </row>
    <row r="9938" spans="1:21" x14ac:dyDescent="0.2">
      <c r="A9938" s="3">
        <v>9937</v>
      </c>
      <c r="L9938" s="1" t="s">
        <v>3677</v>
      </c>
      <c r="M9938" s="1" t="s">
        <v>3678</v>
      </c>
      <c r="N9938" s="1" t="s">
        <v>3679</v>
      </c>
      <c r="P9938" s="1" t="s">
        <v>3680</v>
      </c>
      <c r="Q9938" s="30" t="s">
        <v>2568</v>
      </c>
      <c r="R9938" s="33" t="s">
        <v>8665</v>
      </c>
      <c r="S9938">
        <v>36</v>
      </c>
      <c r="T9938" s="1" t="s">
        <v>8661</v>
      </c>
      <c r="U9938" s="1" t="str">
        <f>HYPERLINK("http://ictvonline.org/taxonomy/p/taxonomy-history?taxnode_id=202106012","ICTVonline=202106012")</f>
        <v>ICTVonline=202106012</v>
      </c>
    </row>
    <row r="9939" spans="1:21" x14ac:dyDescent="0.2">
      <c r="A9939" s="3">
        <v>9938</v>
      </c>
      <c r="L9939" s="1" t="s">
        <v>3677</v>
      </c>
      <c r="M9939" s="1" t="s">
        <v>3678</v>
      </c>
      <c r="N9939" s="1" t="s">
        <v>3679</v>
      </c>
      <c r="P9939" s="1" t="s">
        <v>3682</v>
      </c>
      <c r="Q9939" s="30" t="s">
        <v>2568</v>
      </c>
      <c r="R9939" s="33" t="s">
        <v>3472</v>
      </c>
      <c r="S9939">
        <v>32</v>
      </c>
      <c r="T9939" s="1" t="s">
        <v>3681</v>
      </c>
      <c r="U9939" s="1" t="str">
        <f>HYPERLINK("http://ictvonline.org/taxonomy/p/taxonomy-history?taxnode_id=202105664","ICTVonline=202105664")</f>
        <v>ICTVonline=202105664</v>
      </c>
    </row>
    <row r="9940" spans="1:21" x14ac:dyDescent="0.2">
      <c r="A9940" s="3">
        <v>9939</v>
      </c>
      <c r="L9940" s="1" t="s">
        <v>3677</v>
      </c>
      <c r="M9940" s="1" t="s">
        <v>3678</v>
      </c>
      <c r="N9940" s="1" t="s">
        <v>3683</v>
      </c>
      <c r="P9940" s="1" t="s">
        <v>5866</v>
      </c>
      <c r="Q9940" s="30" t="s">
        <v>2969</v>
      </c>
      <c r="R9940" s="33" t="s">
        <v>3472</v>
      </c>
      <c r="S9940">
        <v>35</v>
      </c>
      <c r="T9940" s="1" t="s">
        <v>5867</v>
      </c>
      <c r="U9940" s="1" t="str">
        <f>HYPERLINK("http://ictvonline.org/taxonomy/p/taxonomy-history?taxnode_id=202107290","ICTVonline=202107290")</f>
        <v>ICTVonline=202107290</v>
      </c>
    </row>
    <row r="9941" spans="1:21" x14ac:dyDescent="0.2">
      <c r="A9941" s="3">
        <v>9940</v>
      </c>
      <c r="L9941" s="1" t="s">
        <v>3677</v>
      </c>
      <c r="M9941" s="1" t="s">
        <v>3678</v>
      </c>
      <c r="N9941" s="1" t="s">
        <v>3683</v>
      </c>
      <c r="P9941" s="1" t="s">
        <v>5868</v>
      </c>
      <c r="Q9941" s="30" t="s">
        <v>2969</v>
      </c>
      <c r="R9941" s="33" t="s">
        <v>3472</v>
      </c>
      <c r="S9941">
        <v>35</v>
      </c>
      <c r="T9941" s="1" t="s">
        <v>5867</v>
      </c>
      <c r="U9941" s="1" t="str">
        <f>HYPERLINK("http://ictvonline.org/taxonomy/p/taxonomy-history?taxnode_id=202107289","ICTVonline=202107289")</f>
        <v>ICTVonline=202107289</v>
      </c>
    </row>
    <row r="9942" spans="1:21" x14ac:dyDescent="0.2">
      <c r="A9942" s="3">
        <v>9941</v>
      </c>
      <c r="L9942" s="1" t="s">
        <v>3677</v>
      </c>
      <c r="M9942" s="1" t="s">
        <v>3678</v>
      </c>
      <c r="N9942" s="1" t="s">
        <v>3683</v>
      </c>
      <c r="P9942" s="1" t="s">
        <v>8442</v>
      </c>
      <c r="Q9942" s="30" t="s">
        <v>2969</v>
      </c>
      <c r="R9942" s="33" t="s">
        <v>3472</v>
      </c>
      <c r="S9942">
        <v>36</v>
      </c>
      <c r="T9942" s="1" t="s">
        <v>8443</v>
      </c>
      <c r="U9942" s="1" t="str">
        <f>HYPERLINK("http://ictvonline.org/taxonomy/p/taxonomy-history?taxnode_id=202108800","ICTVonline=202108800")</f>
        <v>ICTVonline=202108800</v>
      </c>
    </row>
    <row r="9943" spans="1:21" x14ac:dyDescent="0.2">
      <c r="A9943" s="3">
        <v>9942</v>
      </c>
      <c r="L9943" s="1" t="s">
        <v>3677</v>
      </c>
      <c r="M9943" s="1" t="s">
        <v>3678</v>
      </c>
      <c r="N9943" s="1" t="s">
        <v>3683</v>
      </c>
      <c r="P9943" s="1" t="s">
        <v>3684</v>
      </c>
      <c r="Q9943" s="30" t="s">
        <v>2568</v>
      </c>
      <c r="R9943" s="33" t="s">
        <v>8665</v>
      </c>
      <c r="S9943">
        <v>36</v>
      </c>
      <c r="T9943" s="1" t="s">
        <v>8661</v>
      </c>
      <c r="U9943" s="1" t="str">
        <f>HYPERLINK("http://ictvonline.org/taxonomy/p/taxonomy-history?taxnode_id=202105666","ICTVonline=202105666")</f>
        <v>ICTVonline=202105666</v>
      </c>
    </row>
    <row r="9944" spans="1:21" x14ac:dyDescent="0.2">
      <c r="A9944" s="3">
        <v>9943</v>
      </c>
      <c r="L9944" s="1" t="s">
        <v>3677</v>
      </c>
      <c r="M9944" s="1" t="s">
        <v>3678</v>
      </c>
      <c r="N9944" s="1" t="s">
        <v>3683</v>
      </c>
      <c r="P9944" s="1" t="s">
        <v>3685</v>
      </c>
      <c r="Q9944" s="30" t="s">
        <v>2568</v>
      </c>
      <c r="R9944" s="33" t="s">
        <v>3472</v>
      </c>
      <c r="S9944">
        <v>32</v>
      </c>
      <c r="T9944" s="1" t="s">
        <v>3681</v>
      </c>
      <c r="U9944" s="1" t="str">
        <f>HYPERLINK("http://ictvonline.org/taxonomy/p/taxonomy-history?taxnode_id=202105667","ICTVonline=202105667")</f>
        <v>ICTVonline=202105667</v>
      </c>
    </row>
    <row r="9945" spans="1:21" x14ac:dyDescent="0.2">
      <c r="A9945" s="3">
        <v>9944</v>
      </c>
      <c r="L9945" s="1" t="s">
        <v>3677</v>
      </c>
      <c r="M9945" s="1" t="s">
        <v>3678</v>
      </c>
      <c r="N9945" s="1" t="s">
        <v>3683</v>
      </c>
      <c r="P9945" s="1" t="s">
        <v>3686</v>
      </c>
      <c r="Q9945" s="30" t="s">
        <v>2568</v>
      </c>
      <c r="R9945" s="33" t="s">
        <v>3472</v>
      </c>
      <c r="S9945">
        <v>32</v>
      </c>
      <c r="T9945" s="1" t="s">
        <v>3681</v>
      </c>
      <c r="U9945" s="1" t="str">
        <f>HYPERLINK("http://ictvonline.org/taxonomy/p/taxonomy-history?taxnode_id=202105668","ICTVonline=202105668")</f>
        <v>ICTVonline=202105668</v>
      </c>
    </row>
    <row r="9946" spans="1:21" x14ac:dyDescent="0.2">
      <c r="A9946" s="3">
        <v>9945</v>
      </c>
      <c r="L9946" s="1" t="s">
        <v>3677</v>
      </c>
      <c r="M9946" s="1" t="s">
        <v>3678</v>
      </c>
      <c r="N9946" s="1" t="s">
        <v>3683</v>
      </c>
      <c r="P9946" s="1" t="s">
        <v>3687</v>
      </c>
      <c r="Q9946" s="30" t="s">
        <v>2568</v>
      </c>
      <c r="R9946" s="33" t="s">
        <v>3472</v>
      </c>
      <c r="S9946">
        <v>32</v>
      </c>
      <c r="T9946" s="1" t="s">
        <v>3681</v>
      </c>
      <c r="U9946" s="1" t="str">
        <f>HYPERLINK("http://ictvonline.org/taxonomy/p/taxonomy-history?taxnode_id=202105669","ICTVonline=202105669")</f>
        <v>ICTVonline=202105669</v>
      </c>
    </row>
    <row r="9947" spans="1:21" x14ac:dyDescent="0.2">
      <c r="A9947" s="3">
        <v>9946</v>
      </c>
      <c r="L9947" s="1" t="s">
        <v>3677</v>
      </c>
      <c r="M9947" s="1" t="s">
        <v>3678</v>
      </c>
      <c r="N9947" s="1" t="s">
        <v>3683</v>
      </c>
      <c r="P9947" s="1" t="s">
        <v>3688</v>
      </c>
      <c r="Q9947" s="30" t="s">
        <v>2568</v>
      </c>
      <c r="R9947" s="33" t="s">
        <v>3472</v>
      </c>
      <c r="S9947">
        <v>32</v>
      </c>
      <c r="T9947" s="1" t="s">
        <v>3681</v>
      </c>
      <c r="U9947" s="1" t="str">
        <f>HYPERLINK("http://ictvonline.org/taxonomy/p/taxonomy-history?taxnode_id=202105670","ICTVonline=202105670")</f>
        <v>ICTVonline=202105670</v>
      </c>
    </row>
    <row r="9948" spans="1:21" x14ac:dyDescent="0.2">
      <c r="A9948" s="3">
        <v>9947</v>
      </c>
      <c r="L9948" s="1" t="s">
        <v>3677</v>
      </c>
      <c r="M9948" s="1" t="s">
        <v>3678</v>
      </c>
      <c r="N9948" s="1" t="s">
        <v>3683</v>
      </c>
      <c r="P9948" s="1" t="s">
        <v>8444</v>
      </c>
      <c r="Q9948" s="30" t="s">
        <v>2969</v>
      </c>
      <c r="R9948" s="33" t="s">
        <v>3472</v>
      </c>
      <c r="S9948">
        <v>36</v>
      </c>
      <c r="T9948" s="1" t="s">
        <v>8443</v>
      </c>
      <c r="U9948" s="1" t="str">
        <f>HYPERLINK("http://ictvonline.org/taxonomy/p/taxonomy-history?taxnode_id=202108799","ICTVonline=202108799")</f>
        <v>ICTVonline=202108799</v>
      </c>
    </row>
    <row r="9949" spans="1:21" x14ac:dyDescent="0.2">
      <c r="A9949" s="3">
        <v>9948</v>
      </c>
      <c r="L9949" s="1" t="s">
        <v>3677</v>
      </c>
      <c r="M9949" s="1" t="s">
        <v>3678</v>
      </c>
      <c r="N9949" s="1" t="s">
        <v>3683</v>
      </c>
      <c r="P9949" s="1" t="s">
        <v>5869</v>
      </c>
      <c r="Q9949" s="30" t="s">
        <v>2969</v>
      </c>
      <c r="R9949" s="33" t="s">
        <v>3472</v>
      </c>
      <c r="S9949">
        <v>35</v>
      </c>
      <c r="T9949" s="1" t="s">
        <v>5867</v>
      </c>
      <c r="U9949" s="1" t="str">
        <f>HYPERLINK("http://ictvonline.org/taxonomy/p/taxonomy-history?taxnode_id=202107291","ICTVonline=202107291")</f>
        <v>ICTVonline=202107291</v>
      </c>
    </row>
    <row r="9950" spans="1:21" x14ac:dyDescent="0.2">
      <c r="A9950" s="3">
        <v>9949</v>
      </c>
      <c r="L9950" s="1" t="s">
        <v>3677</v>
      </c>
      <c r="M9950" s="1" t="s">
        <v>3678</v>
      </c>
      <c r="N9950" s="1" t="s">
        <v>3683</v>
      </c>
      <c r="P9950" s="1" t="s">
        <v>5870</v>
      </c>
      <c r="Q9950" s="30" t="s">
        <v>2969</v>
      </c>
      <c r="R9950" s="33" t="s">
        <v>3472</v>
      </c>
      <c r="S9950">
        <v>35</v>
      </c>
      <c r="T9950" s="1" t="s">
        <v>5867</v>
      </c>
      <c r="U9950" s="1" t="str">
        <f>HYPERLINK("http://ictvonline.org/taxonomy/p/taxonomy-history?taxnode_id=202107292","ICTVonline=202107292")</f>
        <v>ICTVonline=202107292</v>
      </c>
    </row>
    <row r="9951" spans="1:21" x14ac:dyDescent="0.2">
      <c r="A9951" s="3">
        <v>9950</v>
      </c>
      <c r="L9951" s="1" t="s">
        <v>3677</v>
      </c>
      <c r="M9951" s="1" t="s">
        <v>3678</v>
      </c>
      <c r="N9951" s="1" t="s">
        <v>3683</v>
      </c>
      <c r="P9951" s="1" t="s">
        <v>3689</v>
      </c>
      <c r="Q9951" s="30" t="s">
        <v>2568</v>
      </c>
      <c r="R9951" s="33" t="s">
        <v>3472</v>
      </c>
      <c r="S9951">
        <v>32</v>
      </c>
      <c r="T9951" s="1" t="s">
        <v>3681</v>
      </c>
      <c r="U9951" s="1" t="str">
        <f>HYPERLINK("http://ictvonline.org/taxonomy/p/taxonomy-history?taxnode_id=202105671","ICTVonline=202105671")</f>
        <v>ICTVonline=202105671</v>
      </c>
    </row>
    <row r="9952" spans="1:21" x14ac:dyDescent="0.2">
      <c r="A9952" s="3">
        <v>9951</v>
      </c>
      <c r="L9952" s="1" t="s">
        <v>3677</v>
      </c>
      <c r="M9952" s="1" t="s">
        <v>3678</v>
      </c>
      <c r="N9952" s="1" t="s">
        <v>3683</v>
      </c>
      <c r="P9952" s="1" t="s">
        <v>8445</v>
      </c>
      <c r="Q9952" s="30" t="s">
        <v>2969</v>
      </c>
      <c r="R9952" s="33" t="s">
        <v>3472</v>
      </c>
      <c r="S9952">
        <v>36</v>
      </c>
      <c r="T9952" s="1" t="s">
        <v>8443</v>
      </c>
      <c r="U9952" s="1" t="str">
        <f>HYPERLINK("http://ictvonline.org/taxonomy/p/taxonomy-history?taxnode_id=202108798","ICTVonline=202108798")</f>
        <v>ICTVonline=202108798</v>
      </c>
    </row>
    <row r="9953" spans="1:21" x14ac:dyDescent="0.2">
      <c r="A9953" s="3">
        <v>9952</v>
      </c>
      <c r="L9953" s="1" t="s">
        <v>3677</v>
      </c>
      <c r="M9953" s="1" t="s">
        <v>3678</v>
      </c>
      <c r="N9953" s="1" t="s">
        <v>3683</v>
      </c>
      <c r="P9953" s="1" t="s">
        <v>3690</v>
      </c>
      <c r="Q9953" s="30" t="s">
        <v>2568</v>
      </c>
      <c r="R9953" s="33" t="s">
        <v>3472</v>
      </c>
      <c r="S9953">
        <v>32</v>
      </c>
      <c r="T9953" s="1" t="s">
        <v>3681</v>
      </c>
      <c r="U9953" s="1" t="str">
        <f>HYPERLINK("http://ictvonline.org/taxonomy/p/taxonomy-history?taxnode_id=202105672","ICTVonline=202105672")</f>
        <v>ICTVonline=202105672</v>
      </c>
    </row>
    <row r="9954" spans="1:21" x14ac:dyDescent="0.2">
      <c r="A9954" s="3">
        <v>9953</v>
      </c>
      <c r="L9954" s="1" t="s">
        <v>3677</v>
      </c>
      <c r="M9954" s="1" t="s">
        <v>3678</v>
      </c>
      <c r="N9954" s="1" t="s">
        <v>3683</v>
      </c>
      <c r="P9954" s="1" t="s">
        <v>3691</v>
      </c>
      <c r="Q9954" s="30" t="s">
        <v>2568</v>
      </c>
      <c r="R9954" s="33" t="s">
        <v>3472</v>
      </c>
      <c r="S9954">
        <v>32</v>
      </c>
      <c r="T9954" s="1" t="s">
        <v>3681</v>
      </c>
      <c r="U9954" s="1" t="str">
        <f>HYPERLINK("http://ictvonline.org/taxonomy/p/taxonomy-history?taxnode_id=202105673","ICTVonline=202105673")</f>
        <v>ICTVonline=202105673</v>
      </c>
    </row>
    <row r="9955" spans="1:21" x14ac:dyDescent="0.2">
      <c r="A9955" s="3">
        <v>9954</v>
      </c>
      <c r="L9955" s="1" t="s">
        <v>3677</v>
      </c>
      <c r="M9955" s="1" t="s">
        <v>3678</v>
      </c>
      <c r="N9955" s="1" t="s">
        <v>3692</v>
      </c>
      <c r="P9955" s="1" t="s">
        <v>3693</v>
      </c>
      <c r="Q9955" s="30" t="s">
        <v>2568</v>
      </c>
      <c r="R9955" s="33" t="s">
        <v>3472</v>
      </c>
      <c r="S9955">
        <v>32</v>
      </c>
      <c r="T9955" s="1" t="s">
        <v>3681</v>
      </c>
      <c r="U9955" s="1" t="str">
        <f>HYPERLINK("http://ictvonline.org/taxonomy/p/taxonomy-history?taxnode_id=202105675","ICTVonline=202105675")</f>
        <v>ICTVonline=202105675</v>
      </c>
    </row>
    <row r="9956" spans="1:21" x14ac:dyDescent="0.2">
      <c r="A9956" s="3">
        <v>9955</v>
      </c>
      <c r="L9956" s="1" t="s">
        <v>3677</v>
      </c>
      <c r="M9956" s="1" t="s">
        <v>3678</v>
      </c>
      <c r="N9956" s="1" t="s">
        <v>3692</v>
      </c>
      <c r="P9956" s="1" t="s">
        <v>3694</v>
      </c>
      <c r="Q9956" s="30" t="s">
        <v>2568</v>
      </c>
      <c r="R9956" s="33" t="s">
        <v>3472</v>
      </c>
      <c r="S9956">
        <v>32</v>
      </c>
      <c r="T9956" s="1" t="s">
        <v>3681</v>
      </c>
      <c r="U9956" s="1" t="str">
        <f>HYPERLINK("http://ictvonline.org/taxonomy/p/taxonomy-history?taxnode_id=202105676","ICTVonline=202105676")</f>
        <v>ICTVonline=202105676</v>
      </c>
    </row>
    <row r="9957" spans="1:21" x14ac:dyDescent="0.2">
      <c r="A9957" s="3">
        <v>9956</v>
      </c>
      <c r="L9957" s="1" t="s">
        <v>3677</v>
      </c>
      <c r="M9957" s="1" t="s">
        <v>3678</v>
      </c>
      <c r="N9957" s="1" t="s">
        <v>3692</v>
      </c>
      <c r="P9957" s="1" t="s">
        <v>3695</v>
      </c>
      <c r="Q9957" s="30" t="s">
        <v>2568</v>
      </c>
      <c r="R9957" s="33" t="s">
        <v>3472</v>
      </c>
      <c r="S9957">
        <v>32</v>
      </c>
      <c r="T9957" s="1" t="s">
        <v>3681</v>
      </c>
      <c r="U9957" s="1" t="str">
        <f>HYPERLINK("http://ictvonline.org/taxonomy/p/taxonomy-history?taxnode_id=202105677","ICTVonline=202105677")</f>
        <v>ICTVonline=202105677</v>
      </c>
    </row>
    <row r="9958" spans="1:21" x14ac:dyDescent="0.2">
      <c r="A9958" s="3">
        <v>9957</v>
      </c>
      <c r="L9958" s="1" t="s">
        <v>3677</v>
      </c>
      <c r="M9958" s="1" t="s">
        <v>3678</v>
      </c>
      <c r="N9958" s="1" t="s">
        <v>3692</v>
      </c>
      <c r="P9958" s="1" t="s">
        <v>3696</v>
      </c>
      <c r="Q9958" s="30" t="s">
        <v>2568</v>
      </c>
      <c r="R9958" s="33" t="s">
        <v>3472</v>
      </c>
      <c r="S9958">
        <v>32</v>
      </c>
      <c r="T9958" s="1" t="s">
        <v>3681</v>
      </c>
      <c r="U9958" s="1" t="str">
        <f>HYPERLINK("http://ictvonline.org/taxonomy/p/taxonomy-history?taxnode_id=202105678","ICTVonline=202105678")</f>
        <v>ICTVonline=202105678</v>
      </c>
    </row>
    <row r="9959" spans="1:21" x14ac:dyDescent="0.2">
      <c r="A9959" s="3">
        <v>9958</v>
      </c>
      <c r="L9959" s="1" t="s">
        <v>3677</v>
      </c>
      <c r="M9959" s="1" t="s">
        <v>3678</v>
      </c>
      <c r="N9959" s="1" t="s">
        <v>3692</v>
      </c>
      <c r="P9959" s="1" t="s">
        <v>3697</v>
      </c>
      <c r="Q9959" s="30" t="s">
        <v>2568</v>
      </c>
      <c r="R9959" s="33" t="s">
        <v>3472</v>
      </c>
      <c r="S9959">
        <v>32</v>
      </c>
      <c r="T9959" s="1" t="s">
        <v>3681</v>
      </c>
      <c r="U9959" s="1" t="str">
        <f>HYPERLINK("http://ictvonline.org/taxonomy/p/taxonomy-history?taxnode_id=202105679","ICTVonline=202105679")</f>
        <v>ICTVonline=202105679</v>
      </c>
    </row>
    <row r="9960" spans="1:21" x14ac:dyDescent="0.2">
      <c r="A9960" s="3">
        <v>9959</v>
      </c>
      <c r="L9960" s="1" t="s">
        <v>3677</v>
      </c>
      <c r="M9960" s="1" t="s">
        <v>3678</v>
      </c>
      <c r="N9960" s="1" t="s">
        <v>3692</v>
      </c>
      <c r="P9960" s="1" t="s">
        <v>3698</v>
      </c>
      <c r="Q9960" s="30" t="s">
        <v>2568</v>
      </c>
      <c r="R9960" s="33" t="s">
        <v>3472</v>
      </c>
      <c r="S9960">
        <v>32</v>
      </c>
      <c r="T9960" s="1" t="s">
        <v>3681</v>
      </c>
      <c r="U9960" s="1" t="str">
        <f>HYPERLINK("http://ictvonline.org/taxonomy/p/taxonomy-history?taxnode_id=202105680","ICTVonline=202105680")</f>
        <v>ICTVonline=202105680</v>
      </c>
    </row>
    <row r="9961" spans="1:21" x14ac:dyDescent="0.2">
      <c r="A9961" s="3">
        <v>9960</v>
      </c>
      <c r="L9961" s="1" t="s">
        <v>3677</v>
      </c>
      <c r="M9961" s="1" t="s">
        <v>3678</v>
      </c>
      <c r="N9961" s="1" t="s">
        <v>3692</v>
      </c>
      <c r="P9961" s="1" t="s">
        <v>3699</v>
      </c>
      <c r="Q9961" s="30" t="s">
        <v>2568</v>
      </c>
      <c r="R9961" s="33" t="s">
        <v>3472</v>
      </c>
      <c r="S9961">
        <v>32</v>
      </c>
      <c r="T9961" s="1" t="s">
        <v>3681</v>
      </c>
      <c r="U9961" s="1" t="str">
        <f>HYPERLINK("http://ictvonline.org/taxonomy/p/taxonomy-history?taxnode_id=202105681","ICTVonline=202105681")</f>
        <v>ICTVonline=202105681</v>
      </c>
    </row>
    <row r="9962" spans="1:21" x14ac:dyDescent="0.2">
      <c r="A9962" s="3">
        <v>9961</v>
      </c>
      <c r="L9962" s="1" t="s">
        <v>3677</v>
      </c>
      <c r="M9962" s="1" t="s">
        <v>3678</v>
      </c>
      <c r="N9962" s="1" t="s">
        <v>3692</v>
      </c>
      <c r="P9962" s="1" t="s">
        <v>3700</v>
      </c>
      <c r="Q9962" s="30" t="s">
        <v>2568</v>
      </c>
      <c r="R9962" s="33" t="s">
        <v>3472</v>
      </c>
      <c r="S9962">
        <v>32</v>
      </c>
      <c r="T9962" s="1" t="s">
        <v>3681</v>
      </c>
      <c r="U9962" s="1" t="str">
        <f>HYPERLINK("http://ictvonline.org/taxonomy/p/taxonomy-history?taxnode_id=202105682","ICTVonline=202105682")</f>
        <v>ICTVonline=202105682</v>
      </c>
    </row>
    <row r="9963" spans="1:21" x14ac:dyDescent="0.2">
      <c r="A9963" s="3">
        <v>9962</v>
      </c>
      <c r="L9963" s="1" t="s">
        <v>3677</v>
      </c>
      <c r="M9963" s="1" t="s">
        <v>3678</v>
      </c>
      <c r="N9963" s="1" t="s">
        <v>3692</v>
      </c>
      <c r="P9963" s="1" t="s">
        <v>3701</v>
      </c>
      <c r="Q9963" s="30" t="s">
        <v>2568</v>
      </c>
      <c r="R9963" s="33" t="s">
        <v>3472</v>
      </c>
      <c r="S9963">
        <v>32</v>
      </c>
      <c r="T9963" s="1" t="s">
        <v>3681</v>
      </c>
      <c r="U9963" s="1" t="str">
        <f>HYPERLINK("http://ictvonline.org/taxonomy/p/taxonomy-history?taxnode_id=202105683","ICTVonline=202105683")</f>
        <v>ICTVonline=202105683</v>
      </c>
    </row>
    <row r="9964" spans="1:21" x14ac:dyDescent="0.2">
      <c r="A9964" s="3">
        <v>9963</v>
      </c>
      <c r="L9964" s="1" t="s">
        <v>3677</v>
      </c>
      <c r="M9964" s="1" t="s">
        <v>3678</v>
      </c>
      <c r="N9964" s="1" t="s">
        <v>3692</v>
      </c>
      <c r="P9964" s="1" t="s">
        <v>3702</v>
      </c>
      <c r="Q9964" s="30" t="s">
        <v>2568</v>
      </c>
      <c r="R9964" s="33" t="s">
        <v>3472</v>
      </c>
      <c r="S9964">
        <v>32</v>
      </c>
      <c r="T9964" s="1" t="s">
        <v>3681</v>
      </c>
      <c r="U9964" s="1" t="str">
        <f>HYPERLINK("http://ictvonline.org/taxonomy/p/taxonomy-history?taxnode_id=202105684","ICTVonline=202105684")</f>
        <v>ICTVonline=202105684</v>
      </c>
    </row>
    <row r="9965" spans="1:21" x14ac:dyDescent="0.2">
      <c r="A9965" s="3">
        <v>9964</v>
      </c>
      <c r="L9965" s="1" t="s">
        <v>3677</v>
      </c>
      <c r="M9965" s="1" t="s">
        <v>3678</v>
      </c>
      <c r="N9965" s="1" t="s">
        <v>3692</v>
      </c>
      <c r="P9965" s="1" t="s">
        <v>3703</v>
      </c>
      <c r="Q9965" s="30" t="s">
        <v>2568</v>
      </c>
      <c r="R9965" s="33" t="s">
        <v>8665</v>
      </c>
      <c r="S9965">
        <v>36</v>
      </c>
      <c r="T9965" s="1" t="s">
        <v>8661</v>
      </c>
      <c r="U9965" s="1" t="str">
        <f>HYPERLINK("http://ictvonline.org/taxonomy/p/taxonomy-history?taxnode_id=202105685","ICTVonline=202105685")</f>
        <v>ICTVonline=202105685</v>
      </c>
    </row>
    <row r="9966" spans="1:21" x14ac:dyDescent="0.2">
      <c r="A9966" s="3">
        <v>9965</v>
      </c>
      <c r="L9966" s="1" t="s">
        <v>3677</v>
      </c>
      <c r="M9966" s="1" t="s">
        <v>3678</v>
      </c>
      <c r="N9966" s="1" t="s">
        <v>3692</v>
      </c>
      <c r="P9966" s="1" t="s">
        <v>3704</v>
      </c>
      <c r="Q9966" s="30" t="s">
        <v>2568</v>
      </c>
      <c r="R9966" s="33" t="s">
        <v>3472</v>
      </c>
      <c r="S9966">
        <v>32</v>
      </c>
      <c r="T9966" s="1" t="s">
        <v>3681</v>
      </c>
      <c r="U9966" s="1" t="str">
        <f>HYPERLINK("http://ictvonline.org/taxonomy/p/taxonomy-history?taxnode_id=202105686","ICTVonline=202105686")</f>
        <v>ICTVonline=202105686</v>
      </c>
    </row>
    <row r="9967" spans="1:21" x14ac:dyDescent="0.2">
      <c r="A9967" s="3">
        <v>9966</v>
      </c>
      <c r="L9967" s="1" t="s">
        <v>3677</v>
      </c>
      <c r="M9967" s="1" t="s">
        <v>3678</v>
      </c>
      <c r="N9967" s="1" t="s">
        <v>3692</v>
      </c>
      <c r="P9967" s="1" t="s">
        <v>3705</v>
      </c>
      <c r="Q9967" s="30" t="s">
        <v>2568</v>
      </c>
      <c r="R9967" s="33" t="s">
        <v>3472</v>
      </c>
      <c r="S9967">
        <v>32</v>
      </c>
      <c r="T9967" s="1" t="s">
        <v>3681</v>
      </c>
      <c r="U9967" s="1" t="str">
        <f>HYPERLINK("http://ictvonline.org/taxonomy/p/taxonomy-history?taxnode_id=202105687","ICTVonline=202105687")</f>
        <v>ICTVonline=202105687</v>
      </c>
    </row>
    <row r="9968" spans="1:21" x14ac:dyDescent="0.2">
      <c r="A9968" s="3">
        <v>9967</v>
      </c>
      <c r="L9968" s="1" t="s">
        <v>3677</v>
      </c>
      <c r="M9968" s="1" t="s">
        <v>3678</v>
      </c>
      <c r="N9968" s="1" t="s">
        <v>3692</v>
      </c>
      <c r="P9968" s="1" t="s">
        <v>3706</v>
      </c>
      <c r="Q9968" s="30" t="s">
        <v>2568</v>
      </c>
      <c r="R9968" s="33" t="s">
        <v>3472</v>
      </c>
      <c r="S9968">
        <v>32</v>
      </c>
      <c r="T9968" s="1" t="s">
        <v>3681</v>
      </c>
      <c r="U9968" s="1" t="str">
        <f>HYPERLINK("http://ictvonline.org/taxonomy/p/taxonomy-history?taxnode_id=202105688","ICTVonline=202105688")</f>
        <v>ICTVonline=202105688</v>
      </c>
    </row>
    <row r="9969" spans="1:21" x14ac:dyDescent="0.2">
      <c r="A9969" s="3">
        <v>9968</v>
      </c>
      <c r="L9969" s="1" t="s">
        <v>3677</v>
      </c>
      <c r="M9969" s="1" t="s">
        <v>3678</v>
      </c>
      <c r="N9969" s="1" t="s">
        <v>3692</v>
      </c>
      <c r="P9969" s="1" t="s">
        <v>3707</v>
      </c>
      <c r="Q9969" s="30" t="s">
        <v>2568</v>
      </c>
      <c r="R9969" s="33" t="s">
        <v>3472</v>
      </c>
      <c r="S9969">
        <v>32</v>
      </c>
      <c r="T9969" s="1" t="s">
        <v>3681</v>
      </c>
      <c r="U9969" s="1" t="str">
        <f>HYPERLINK("http://ictvonline.org/taxonomy/p/taxonomy-history?taxnode_id=202105689","ICTVonline=202105689")</f>
        <v>ICTVonline=202105689</v>
      </c>
    </row>
    <row r="9970" spans="1:21" x14ac:dyDescent="0.2">
      <c r="A9970" s="3">
        <v>9969</v>
      </c>
      <c r="L9970" s="1" t="s">
        <v>3677</v>
      </c>
      <c r="M9970" s="1" t="s">
        <v>3678</v>
      </c>
      <c r="N9970" s="1" t="s">
        <v>3692</v>
      </c>
      <c r="P9970" s="1" t="s">
        <v>3708</v>
      </c>
      <c r="Q9970" s="30" t="s">
        <v>2568</v>
      </c>
      <c r="R9970" s="33" t="s">
        <v>3472</v>
      </c>
      <c r="S9970">
        <v>32</v>
      </c>
      <c r="T9970" s="1" t="s">
        <v>3681</v>
      </c>
      <c r="U9970" s="1" t="str">
        <f>HYPERLINK("http://ictvonline.org/taxonomy/p/taxonomy-history?taxnode_id=202105690","ICTVonline=202105690")</f>
        <v>ICTVonline=202105690</v>
      </c>
    </row>
    <row r="9971" spans="1:21" x14ac:dyDescent="0.2">
      <c r="A9971" s="3">
        <v>9970</v>
      </c>
      <c r="L9971" s="1" t="s">
        <v>3677</v>
      </c>
      <c r="M9971" s="1" t="s">
        <v>3678</v>
      </c>
      <c r="N9971" s="1" t="s">
        <v>3692</v>
      </c>
      <c r="P9971" s="1" t="s">
        <v>8446</v>
      </c>
      <c r="Q9971" s="30" t="s">
        <v>2969</v>
      </c>
      <c r="R9971" s="33" t="s">
        <v>3472</v>
      </c>
      <c r="S9971">
        <v>36</v>
      </c>
      <c r="T9971" s="1" t="s">
        <v>8443</v>
      </c>
      <c r="U9971" s="1" t="str">
        <f>HYPERLINK("http://ictvonline.org/taxonomy/p/taxonomy-history?taxnode_id=202108797","ICTVonline=202108797")</f>
        <v>ICTVonline=202108797</v>
      </c>
    </row>
    <row r="9972" spans="1:21" x14ac:dyDescent="0.2">
      <c r="A9972" s="3">
        <v>9971</v>
      </c>
      <c r="L9972" s="1" t="s">
        <v>3677</v>
      </c>
      <c r="M9972" s="1" t="s">
        <v>3678</v>
      </c>
      <c r="N9972" s="1" t="s">
        <v>3692</v>
      </c>
      <c r="P9972" s="1" t="s">
        <v>3709</v>
      </c>
      <c r="Q9972" s="30" t="s">
        <v>2568</v>
      </c>
      <c r="R9972" s="33" t="s">
        <v>3472</v>
      </c>
      <c r="S9972">
        <v>32</v>
      </c>
      <c r="T9972" s="1" t="s">
        <v>3681</v>
      </c>
      <c r="U9972" s="1" t="str">
        <f>HYPERLINK("http://ictvonline.org/taxonomy/p/taxonomy-history?taxnode_id=202105691","ICTVonline=202105691")</f>
        <v>ICTVonline=202105691</v>
      </c>
    </row>
    <row r="9973" spans="1:21" x14ac:dyDescent="0.2">
      <c r="A9973" s="3">
        <v>9972</v>
      </c>
      <c r="L9973" s="1" t="s">
        <v>3677</v>
      </c>
      <c r="M9973" s="1" t="s">
        <v>3678</v>
      </c>
      <c r="N9973" s="1" t="s">
        <v>3692</v>
      </c>
      <c r="P9973" s="1" t="s">
        <v>3710</v>
      </c>
      <c r="Q9973" s="30" t="s">
        <v>2568</v>
      </c>
      <c r="R9973" s="33" t="s">
        <v>3472</v>
      </c>
      <c r="S9973">
        <v>32</v>
      </c>
      <c r="T9973" s="1" t="s">
        <v>3681</v>
      </c>
      <c r="U9973" s="1" t="str">
        <f>HYPERLINK("http://ictvonline.org/taxonomy/p/taxonomy-history?taxnode_id=202105692","ICTVonline=202105692")</f>
        <v>ICTVonline=202105692</v>
      </c>
    </row>
    <row r="9974" spans="1:21" x14ac:dyDescent="0.2">
      <c r="A9974" s="3">
        <v>9973</v>
      </c>
      <c r="L9974" s="1" t="s">
        <v>3677</v>
      </c>
      <c r="M9974" s="1" t="s">
        <v>3678</v>
      </c>
      <c r="N9974" s="1" t="s">
        <v>3692</v>
      </c>
      <c r="P9974" s="1" t="s">
        <v>3711</v>
      </c>
      <c r="Q9974" s="30" t="s">
        <v>2568</v>
      </c>
      <c r="R9974" s="33" t="s">
        <v>3472</v>
      </c>
      <c r="S9974">
        <v>32</v>
      </c>
      <c r="T9974" s="1" t="s">
        <v>3681</v>
      </c>
      <c r="U9974" s="1" t="str">
        <f>HYPERLINK("http://ictvonline.org/taxonomy/p/taxonomy-history?taxnode_id=202105693","ICTVonline=202105693")</f>
        <v>ICTVonline=202105693</v>
      </c>
    </row>
    <row r="9975" spans="1:21" x14ac:dyDescent="0.2">
      <c r="A9975" s="3">
        <v>9974</v>
      </c>
      <c r="L9975" s="1" t="s">
        <v>3677</v>
      </c>
      <c r="M9975" s="1" t="s">
        <v>3678</v>
      </c>
      <c r="N9975" s="1" t="s">
        <v>3692</v>
      </c>
      <c r="P9975" s="1" t="s">
        <v>3712</v>
      </c>
      <c r="Q9975" s="30" t="s">
        <v>2568</v>
      </c>
      <c r="R9975" s="33" t="s">
        <v>3472</v>
      </c>
      <c r="S9975">
        <v>32</v>
      </c>
      <c r="T9975" s="1" t="s">
        <v>3681</v>
      </c>
      <c r="U9975" s="1" t="str">
        <f>HYPERLINK("http://ictvonline.org/taxonomy/p/taxonomy-history?taxnode_id=202105694","ICTVonline=202105694")</f>
        <v>ICTVonline=202105694</v>
      </c>
    </row>
    <row r="9976" spans="1:21" x14ac:dyDescent="0.2">
      <c r="A9976" s="3">
        <v>9975</v>
      </c>
      <c r="L9976" s="1" t="s">
        <v>3677</v>
      </c>
      <c r="M9976" s="1" t="s">
        <v>3678</v>
      </c>
      <c r="N9976" s="1" t="s">
        <v>3692</v>
      </c>
      <c r="P9976" s="1" t="s">
        <v>3713</v>
      </c>
      <c r="Q9976" s="30" t="s">
        <v>2568</v>
      </c>
      <c r="R9976" s="33" t="s">
        <v>3472</v>
      </c>
      <c r="S9976">
        <v>32</v>
      </c>
      <c r="T9976" s="1" t="s">
        <v>3681</v>
      </c>
      <c r="U9976" s="1" t="str">
        <f>HYPERLINK("http://ictvonline.org/taxonomy/p/taxonomy-history?taxnode_id=202105695","ICTVonline=202105695")</f>
        <v>ICTVonline=202105695</v>
      </c>
    </row>
    <row r="9977" spans="1:21" x14ac:dyDescent="0.2">
      <c r="A9977" s="3">
        <v>9976</v>
      </c>
      <c r="L9977" s="1" t="s">
        <v>3677</v>
      </c>
      <c r="M9977" s="1" t="s">
        <v>3678</v>
      </c>
      <c r="N9977" s="1" t="s">
        <v>3692</v>
      </c>
      <c r="P9977" s="1" t="s">
        <v>3714</v>
      </c>
      <c r="Q9977" s="30" t="s">
        <v>2568</v>
      </c>
      <c r="R9977" s="33" t="s">
        <v>3472</v>
      </c>
      <c r="S9977">
        <v>32</v>
      </c>
      <c r="T9977" s="1" t="s">
        <v>3681</v>
      </c>
      <c r="U9977" s="1" t="str">
        <f>HYPERLINK("http://ictvonline.org/taxonomy/p/taxonomy-history?taxnode_id=202105696","ICTVonline=202105696")</f>
        <v>ICTVonline=202105696</v>
      </c>
    </row>
    <row r="9978" spans="1:21" x14ac:dyDescent="0.2">
      <c r="A9978" s="3">
        <v>9977</v>
      </c>
      <c r="L9978" s="1" t="s">
        <v>3677</v>
      </c>
      <c r="M9978" s="1" t="s">
        <v>3678</v>
      </c>
      <c r="N9978" s="1" t="s">
        <v>3692</v>
      </c>
      <c r="P9978" s="1" t="s">
        <v>5871</v>
      </c>
      <c r="Q9978" s="30" t="s">
        <v>2969</v>
      </c>
      <c r="R9978" s="33" t="s">
        <v>3472</v>
      </c>
      <c r="S9978">
        <v>35</v>
      </c>
      <c r="T9978" s="1" t="s">
        <v>5867</v>
      </c>
      <c r="U9978" s="1" t="str">
        <f>HYPERLINK("http://ictvonline.org/taxonomy/p/taxonomy-history?taxnode_id=202107294","ICTVonline=202107294")</f>
        <v>ICTVonline=202107294</v>
      </c>
    </row>
    <row r="9979" spans="1:21" x14ac:dyDescent="0.2">
      <c r="A9979" s="3">
        <v>9978</v>
      </c>
      <c r="L9979" s="1" t="s">
        <v>3677</v>
      </c>
      <c r="M9979" s="1" t="s">
        <v>3678</v>
      </c>
      <c r="N9979" s="1" t="s">
        <v>3692</v>
      </c>
      <c r="P9979" s="1" t="s">
        <v>3715</v>
      </c>
      <c r="Q9979" s="30" t="s">
        <v>2568</v>
      </c>
      <c r="R9979" s="33" t="s">
        <v>3472</v>
      </c>
      <c r="S9979">
        <v>32</v>
      </c>
      <c r="T9979" s="1" t="s">
        <v>3681</v>
      </c>
      <c r="U9979" s="1" t="str">
        <f>HYPERLINK("http://ictvonline.org/taxonomy/p/taxonomy-history?taxnode_id=202105697","ICTVonline=202105697")</f>
        <v>ICTVonline=202105697</v>
      </c>
    </row>
    <row r="9980" spans="1:21" x14ac:dyDescent="0.2">
      <c r="A9980" s="3">
        <v>9979</v>
      </c>
      <c r="L9980" s="1" t="s">
        <v>3677</v>
      </c>
      <c r="M9980" s="1" t="s">
        <v>3678</v>
      </c>
      <c r="N9980" s="1" t="s">
        <v>3692</v>
      </c>
      <c r="P9980" s="1" t="s">
        <v>3716</v>
      </c>
      <c r="Q9980" s="30" t="s">
        <v>2568</v>
      </c>
      <c r="R9980" s="33" t="s">
        <v>3472</v>
      </c>
      <c r="S9980">
        <v>32</v>
      </c>
      <c r="T9980" s="1" t="s">
        <v>3681</v>
      </c>
      <c r="U9980" s="1" t="str">
        <f>HYPERLINK("http://ictvonline.org/taxonomy/p/taxonomy-history?taxnode_id=202105698","ICTVonline=202105698")</f>
        <v>ICTVonline=202105698</v>
      </c>
    </row>
    <row r="9981" spans="1:21" x14ac:dyDescent="0.2">
      <c r="A9981" s="3">
        <v>9980</v>
      </c>
      <c r="L9981" s="1" t="s">
        <v>3677</v>
      </c>
      <c r="M9981" s="1" t="s">
        <v>3678</v>
      </c>
      <c r="N9981" s="1" t="s">
        <v>3692</v>
      </c>
      <c r="P9981" s="1" t="s">
        <v>3717</v>
      </c>
      <c r="Q9981" s="30" t="s">
        <v>2568</v>
      </c>
      <c r="R9981" s="33" t="s">
        <v>3472</v>
      </c>
      <c r="S9981">
        <v>32</v>
      </c>
      <c r="T9981" s="1" t="s">
        <v>3681</v>
      </c>
      <c r="U9981" s="1" t="str">
        <f>HYPERLINK("http://ictvonline.org/taxonomy/p/taxonomy-history?taxnode_id=202105699","ICTVonline=202105699")</f>
        <v>ICTVonline=202105699</v>
      </c>
    </row>
    <row r="9982" spans="1:21" x14ac:dyDescent="0.2">
      <c r="A9982" s="3">
        <v>9981</v>
      </c>
      <c r="L9982" s="1" t="s">
        <v>3677</v>
      </c>
      <c r="M9982" s="1" t="s">
        <v>3678</v>
      </c>
      <c r="N9982" s="1" t="s">
        <v>8447</v>
      </c>
      <c r="P9982" s="1" t="s">
        <v>3725</v>
      </c>
      <c r="Q9982" s="30" t="s">
        <v>2969</v>
      </c>
      <c r="R9982" s="33" t="s">
        <v>3474</v>
      </c>
      <c r="S9982">
        <v>36</v>
      </c>
      <c r="T9982" s="1" t="s">
        <v>8443</v>
      </c>
      <c r="U9982" s="1" t="str">
        <f>HYPERLINK("http://ictvonline.org/taxonomy/p/taxonomy-history?taxnode_id=202105708","ICTVonline=202105708")</f>
        <v>ICTVonline=202105708</v>
      </c>
    </row>
    <row r="9983" spans="1:21" x14ac:dyDescent="0.2">
      <c r="A9983" s="3">
        <v>9982</v>
      </c>
      <c r="L9983" s="1" t="s">
        <v>3677</v>
      </c>
      <c r="M9983" s="1" t="s">
        <v>3678</v>
      </c>
      <c r="N9983" s="1" t="s">
        <v>3718</v>
      </c>
      <c r="P9983" s="1" t="s">
        <v>8448</v>
      </c>
      <c r="Q9983" s="30" t="s">
        <v>2969</v>
      </c>
      <c r="R9983" s="33" t="s">
        <v>3472</v>
      </c>
      <c r="S9983">
        <v>36</v>
      </c>
      <c r="T9983" s="1" t="s">
        <v>8443</v>
      </c>
      <c r="U9983" s="1" t="str">
        <f>HYPERLINK("http://ictvonline.org/taxonomy/p/taxonomy-history?taxnode_id=202108796","ICTVonline=202108796")</f>
        <v>ICTVonline=202108796</v>
      </c>
    </row>
    <row r="9984" spans="1:21" x14ac:dyDescent="0.2">
      <c r="A9984" s="3">
        <v>9983</v>
      </c>
      <c r="L9984" s="1" t="s">
        <v>3677</v>
      </c>
      <c r="M9984" s="1" t="s">
        <v>3678</v>
      </c>
      <c r="N9984" s="1" t="s">
        <v>3718</v>
      </c>
      <c r="P9984" s="1" t="s">
        <v>5872</v>
      </c>
      <c r="Q9984" s="30" t="s">
        <v>2969</v>
      </c>
      <c r="R9984" s="33" t="s">
        <v>3472</v>
      </c>
      <c r="S9984">
        <v>35</v>
      </c>
      <c r="T9984" s="1" t="s">
        <v>5867</v>
      </c>
      <c r="U9984" s="1" t="str">
        <f>HYPERLINK("http://ictvonline.org/taxonomy/p/taxonomy-history?taxnode_id=202107293","ICTVonline=202107293")</f>
        <v>ICTVonline=202107293</v>
      </c>
    </row>
    <row r="9985" spans="1:21" x14ac:dyDescent="0.2">
      <c r="A9985" s="3">
        <v>9984</v>
      </c>
      <c r="L9985" s="1" t="s">
        <v>3677</v>
      </c>
      <c r="M9985" s="1" t="s">
        <v>3678</v>
      </c>
      <c r="N9985" s="1" t="s">
        <v>3718</v>
      </c>
      <c r="P9985" s="1" t="s">
        <v>3719</v>
      </c>
      <c r="Q9985" s="30" t="s">
        <v>2568</v>
      </c>
      <c r="R9985" s="33" t="s">
        <v>8665</v>
      </c>
      <c r="S9985">
        <v>36</v>
      </c>
      <c r="T9985" s="1" t="s">
        <v>8661</v>
      </c>
      <c r="U9985" s="1" t="str">
        <f>HYPERLINK("http://ictvonline.org/taxonomy/p/taxonomy-history?taxnode_id=202105701","ICTVonline=202105701")</f>
        <v>ICTVonline=202105701</v>
      </c>
    </row>
    <row r="9986" spans="1:21" x14ac:dyDescent="0.2">
      <c r="A9986" s="3">
        <v>9985</v>
      </c>
      <c r="L9986" s="1" t="s">
        <v>3677</v>
      </c>
      <c r="M9986" s="1" t="s">
        <v>3678</v>
      </c>
      <c r="N9986" s="1" t="s">
        <v>3718</v>
      </c>
      <c r="P9986" s="1" t="s">
        <v>3720</v>
      </c>
      <c r="Q9986" s="30" t="s">
        <v>2568</v>
      </c>
      <c r="R9986" s="33" t="s">
        <v>3472</v>
      </c>
      <c r="S9986">
        <v>32</v>
      </c>
      <c r="T9986" s="1" t="s">
        <v>3681</v>
      </c>
      <c r="U9986" s="1" t="str">
        <f>HYPERLINK("http://ictvonline.org/taxonomy/p/taxonomy-history?taxnode_id=202105702","ICTVonline=202105702")</f>
        <v>ICTVonline=202105702</v>
      </c>
    </row>
    <row r="9987" spans="1:21" x14ac:dyDescent="0.2">
      <c r="A9987" s="3">
        <v>9986</v>
      </c>
      <c r="L9987" s="1" t="s">
        <v>3677</v>
      </c>
      <c r="M9987" s="1" t="s">
        <v>3678</v>
      </c>
      <c r="N9987" s="1" t="s">
        <v>3718</v>
      </c>
      <c r="P9987" s="1" t="s">
        <v>3721</v>
      </c>
      <c r="Q9987" s="30" t="s">
        <v>2568</v>
      </c>
      <c r="R9987" s="33" t="s">
        <v>3472</v>
      </c>
      <c r="S9987">
        <v>32</v>
      </c>
      <c r="T9987" s="1" t="s">
        <v>3681</v>
      </c>
      <c r="U9987" s="1" t="str">
        <f>HYPERLINK("http://ictvonline.org/taxonomy/p/taxonomy-history?taxnode_id=202105703","ICTVonline=202105703")</f>
        <v>ICTVonline=202105703</v>
      </c>
    </row>
    <row r="9988" spans="1:21" x14ac:dyDescent="0.2">
      <c r="A9988" s="3">
        <v>9987</v>
      </c>
      <c r="L9988" s="1" t="s">
        <v>3677</v>
      </c>
      <c r="M9988" s="1" t="s">
        <v>3678</v>
      </c>
      <c r="N9988" s="1" t="s">
        <v>3718</v>
      </c>
      <c r="P9988" s="1" t="s">
        <v>3722</v>
      </c>
      <c r="Q9988" s="30" t="s">
        <v>2568</v>
      </c>
      <c r="R9988" s="33" t="s">
        <v>3472</v>
      </c>
      <c r="S9988">
        <v>32</v>
      </c>
      <c r="T9988" s="1" t="s">
        <v>3681</v>
      </c>
      <c r="U9988" s="1" t="str">
        <f>HYPERLINK("http://ictvonline.org/taxonomy/p/taxonomy-history?taxnode_id=202105704","ICTVonline=202105704")</f>
        <v>ICTVonline=202105704</v>
      </c>
    </row>
    <row r="9989" spans="1:21" x14ac:dyDescent="0.2">
      <c r="A9989" s="3">
        <v>9988</v>
      </c>
      <c r="L9989" s="1" t="s">
        <v>3677</v>
      </c>
      <c r="M9989" s="1" t="s">
        <v>3678</v>
      </c>
      <c r="N9989" s="1" t="s">
        <v>3718</v>
      </c>
      <c r="P9989" s="1" t="s">
        <v>3723</v>
      </c>
      <c r="Q9989" s="30" t="s">
        <v>2568</v>
      </c>
      <c r="R9989" s="33" t="s">
        <v>3472</v>
      </c>
      <c r="S9989">
        <v>32</v>
      </c>
      <c r="T9989" s="1" t="s">
        <v>3681</v>
      </c>
      <c r="U9989" s="1" t="str">
        <f>HYPERLINK("http://ictvonline.org/taxonomy/p/taxonomy-history?taxnode_id=202105705","ICTVonline=202105705")</f>
        <v>ICTVonline=202105705</v>
      </c>
    </row>
    <row r="9990" spans="1:21" x14ac:dyDescent="0.2">
      <c r="A9990" s="3">
        <v>9989</v>
      </c>
      <c r="L9990" s="1" t="s">
        <v>3677</v>
      </c>
      <c r="M9990" s="1" t="s">
        <v>3678</v>
      </c>
      <c r="N9990" s="1" t="s">
        <v>3718</v>
      </c>
      <c r="P9990" s="1" t="s">
        <v>3724</v>
      </c>
      <c r="Q9990" s="30" t="s">
        <v>2568</v>
      </c>
      <c r="R9990" s="33" t="s">
        <v>3472</v>
      </c>
      <c r="S9990">
        <v>32</v>
      </c>
      <c r="T9990" s="1" t="s">
        <v>3681</v>
      </c>
      <c r="U9990" s="1" t="str">
        <f>HYPERLINK("http://ictvonline.org/taxonomy/p/taxonomy-history?taxnode_id=202105706","ICTVonline=202105706")</f>
        <v>ICTVonline=202105706</v>
      </c>
    </row>
    <row r="9991" spans="1:21" x14ac:dyDescent="0.2">
      <c r="A9991" s="3">
        <v>9990</v>
      </c>
      <c r="L9991" s="1" t="s">
        <v>3677</v>
      </c>
      <c r="M9991" s="1" t="s">
        <v>3678</v>
      </c>
      <c r="N9991" s="1" t="s">
        <v>8449</v>
      </c>
      <c r="P9991" s="1" t="s">
        <v>8450</v>
      </c>
      <c r="Q9991" s="30" t="s">
        <v>2969</v>
      </c>
      <c r="R9991" s="33" t="s">
        <v>3472</v>
      </c>
      <c r="S9991">
        <v>36</v>
      </c>
      <c r="T9991" s="1" t="s">
        <v>8443</v>
      </c>
      <c r="U9991" s="1" t="str">
        <f>HYPERLINK("http://ictvonline.org/taxonomy/p/taxonomy-history?taxnode_id=202108802","ICTVonline=202108802")</f>
        <v>ICTVonline=202108802</v>
      </c>
    </row>
    <row r="9992" spans="1:21" x14ac:dyDescent="0.2">
      <c r="A9992" s="3">
        <v>9991</v>
      </c>
      <c r="L9992" s="1" t="s">
        <v>3677</v>
      </c>
      <c r="M9992" s="1" t="s">
        <v>3678</v>
      </c>
      <c r="N9992" s="1" t="s">
        <v>8451</v>
      </c>
      <c r="P9992" s="1" t="s">
        <v>4797</v>
      </c>
      <c r="Q9992" s="30" t="s">
        <v>2969</v>
      </c>
      <c r="R9992" s="33" t="s">
        <v>3474</v>
      </c>
      <c r="S9992">
        <v>36</v>
      </c>
      <c r="T9992" s="1" t="s">
        <v>8443</v>
      </c>
      <c r="U9992" s="1" t="str">
        <f>HYPERLINK("http://ictvonline.org/taxonomy/p/taxonomy-history?taxnode_id=202105709","ICTVonline=202105709")</f>
        <v>ICTVonline=202105709</v>
      </c>
    </row>
    <row r="9993" spans="1:21" x14ac:dyDescent="0.2">
      <c r="A9993" s="3">
        <v>9992</v>
      </c>
      <c r="L9993" s="1" t="s">
        <v>3677</v>
      </c>
      <c r="M9993" s="1" t="s">
        <v>3726</v>
      </c>
      <c r="N9993" s="1" t="s">
        <v>3731</v>
      </c>
      <c r="P9993" s="1" t="s">
        <v>4200</v>
      </c>
      <c r="Q9993" s="30" t="s">
        <v>2568</v>
      </c>
      <c r="R9993" s="33" t="s">
        <v>3472</v>
      </c>
      <c r="S9993">
        <v>32</v>
      </c>
      <c r="T9993" s="1" t="s">
        <v>3681</v>
      </c>
      <c r="U9993" s="1" t="str">
        <f>HYPERLINK("http://ictvonline.org/taxonomy/p/taxonomy-history?taxnode_id=202105716","ICTVonline=202105716")</f>
        <v>ICTVonline=202105716</v>
      </c>
    </row>
    <row r="9994" spans="1:21" x14ac:dyDescent="0.2">
      <c r="A9994" s="3">
        <v>9993</v>
      </c>
      <c r="L9994" s="1" t="s">
        <v>3677</v>
      </c>
      <c r="M9994" s="1" t="s">
        <v>3726</v>
      </c>
      <c r="N9994" s="1" t="s">
        <v>3731</v>
      </c>
      <c r="P9994" s="1" t="s">
        <v>4201</v>
      </c>
      <c r="Q9994" s="30" t="s">
        <v>2568</v>
      </c>
      <c r="R9994" s="33" t="s">
        <v>3472</v>
      </c>
      <c r="S9994">
        <v>32</v>
      </c>
      <c r="T9994" s="1" t="s">
        <v>3681</v>
      </c>
      <c r="U9994" s="1" t="str">
        <f>HYPERLINK("http://ictvonline.org/taxonomy/p/taxonomy-history?taxnode_id=202105717","ICTVonline=202105717")</f>
        <v>ICTVonline=202105717</v>
      </c>
    </row>
    <row r="9995" spans="1:21" x14ac:dyDescent="0.2">
      <c r="A9995" s="3">
        <v>9994</v>
      </c>
      <c r="L9995" s="1" t="s">
        <v>3677</v>
      </c>
      <c r="M9995" s="1" t="s">
        <v>3726</v>
      </c>
      <c r="N9995" s="1" t="s">
        <v>3731</v>
      </c>
      <c r="P9995" s="1" t="s">
        <v>4202</v>
      </c>
      <c r="Q9995" s="30" t="s">
        <v>2568</v>
      </c>
      <c r="R9995" s="33" t="s">
        <v>3472</v>
      </c>
      <c r="S9995">
        <v>32</v>
      </c>
      <c r="T9995" s="1" t="s">
        <v>3681</v>
      </c>
      <c r="U9995" s="1" t="str">
        <f>HYPERLINK("http://ictvonline.org/taxonomy/p/taxonomy-history?taxnode_id=202105718","ICTVonline=202105718")</f>
        <v>ICTVonline=202105718</v>
      </c>
    </row>
    <row r="9996" spans="1:21" x14ac:dyDescent="0.2">
      <c r="A9996" s="3">
        <v>9995</v>
      </c>
      <c r="L9996" s="1" t="s">
        <v>3677</v>
      </c>
      <c r="M9996" s="1" t="s">
        <v>3726</v>
      </c>
      <c r="N9996" s="1" t="s">
        <v>3731</v>
      </c>
      <c r="P9996" s="1" t="s">
        <v>4203</v>
      </c>
      <c r="Q9996" s="30" t="s">
        <v>2568</v>
      </c>
      <c r="R9996" s="33" t="s">
        <v>3472</v>
      </c>
      <c r="S9996">
        <v>32</v>
      </c>
      <c r="T9996" s="1" t="s">
        <v>3681</v>
      </c>
      <c r="U9996" s="1" t="str">
        <f>HYPERLINK("http://ictvonline.org/taxonomy/p/taxonomy-history?taxnode_id=202105719","ICTVonline=202105719")</f>
        <v>ICTVonline=202105719</v>
      </c>
    </row>
    <row r="9997" spans="1:21" x14ac:dyDescent="0.2">
      <c r="A9997" s="3">
        <v>9996</v>
      </c>
      <c r="L9997" s="1" t="s">
        <v>3677</v>
      </c>
      <c r="M9997" s="1" t="s">
        <v>3726</v>
      </c>
      <c r="N9997" s="1" t="s">
        <v>3731</v>
      </c>
      <c r="P9997" s="1" t="s">
        <v>3732</v>
      </c>
      <c r="Q9997" s="30" t="s">
        <v>2568</v>
      </c>
      <c r="R9997" s="33" t="s">
        <v>8665</v>
      </c>
      <c r="S9997">
        <v>36</v>
      </c>
      <c r="T9997" s="1" t="s">
        <v>8661</v>
      </c>
      <c r="U9997" s="1" t="str">
        <f>HYPERLINK("http://ictvonline.org/taxonomy/p/taxonomy-history?taxnode_id=202105720","ICTVonline=202105720")</f>
        <v>ICTVonline=202105720</v>
      </c>
    </row>
    <row r="9998" spans="1:21" x14ac:dyDescent="0.2">
      <c r="A9998" s="3">
        <v>9997</v>
      </c>
      <c r="L9998" s="1" t="s">
        <v>3677</v>
      </c>
      <c r="M9998" s="1" t="s">
        <v>3726</v>
      </c>
      <c r="N9998" s="1" t="s">
        <v>3733</v>
      </c>
      <c r="P9998" s="1" t="s">
        <v>3734</v>
      </c>
      <c r="Q9998" s="30" t="s">
        <v>2568</v>
      </c>
      <c r="R9998" s="33" t="s">
        <v>8665</v>
      </c>
      <c r="S9998">
        <v>36</v>
      </c>
      <c r="T9998" s="1" t="s">
        <v>8661</v>
      </c>
      <c r="U9998" s="1" t="str">
        <f>HYPERLINK("http://ictvonline.org/taxonomy/p/taxonomy-history?taxnode_id=202105722","ICTVonline=202105722")</f>
        <v>ICTVonline=202105722</v>
      </c>
    </row>
    <row r="9999" spans="1:21" x14ac:dyDescent="0.2">
      <c r="A9999" s="3">
        <v>9998</v>
      </c>
      <c r="L9999" s="1" t="s">
        <v>3677</v>
      </c>
      <c r="M9999" s="1" t="s">
        <v>3726</v>
      </c>
      <c r="N9999" s="1" t="s">
        <v>3735</v>
      </c>
      <c r="P9999" s="1" t="s">
        <v>4204</v>
      </c>
      <c r="Q9999" s="30" t="s">
        <v>2568</v>
      </c>
      <c r="R9999" s="33" t="s">
        <v>8665</v>
      </c>
      <c r="S9999">
        <v>36</v>
      </c>
      <c r="T9999" s="1" t="s">
        <v>8661</v>
      </c>
      <c r="U9999" s="1" t="str">
        <f>HYPERLINK("http://ictvonline.org/taxonomy/p/taxonomy-history?taxnode_id=202105724","ICTVonline=202105724")</f>
        <v>ICTVonline=202105724</v>
      </c>
    </row>
    <row r="10000" spans="1:21" x14ac:dyDescent="0.2">
      <c r="A10000" s="3">
        <v>9999</v>
      </c>
      <c r="L10000" s="1" t="s">
        <v>3677</v>
      </c>
      <c r="M10000" s="1" t="s">
        <v>3726</v>
      </c>
      <c r="N10000" s="1" t="s">
        <v>3736</v>
      </c>
      <c r="P10000" s="1" t="s">
        <v>3737</v>
      </c>
      <c r="Q10000" s="30" t="s">
        <v>2568</v>
      </c>
      <c r="R10000" s="33" t="s">
        <v>3472</v>
      </c>
      <c r="S10000">
        <v>32</v>
      </c>
      <c r="T10000" s="1" t="s">
        <v>3681</v>
      </c>
      <c r="U10000" s="1" t="str">
        <f>HYPERLINK("http://ictvonline.org/taxonomy/p/taxonomy-history?taxnode_id=202105726","ICTVonline=202105726")</f>
        <v>ICTVonline=202105726</v>
      </c>
    </row>
    <row r="10001" spans="1:21" x14ac:dyDescent="0.2">
      <c r="A10001" s="3">
        <v>10000</v>
      </c>
      <c r="L10001" s="1" t="s">
        <v>3677</v>
      </c>
      <c r="M10001" s="1" t="s">
        <v>3726</v>
      </c>
      <c r="N10001" s="1" t="s">
        <v>3736</v>
      </c>
      <c r="P10001" s="1" t="s">
        <v>4205</v>
      </c>
      <c r="Q10001" s="30" t="s">
        <v>2568</v>
      </c>
      <c r="R10001" s="33" t="s">
        <v>8665</v>
      </c>
      <c r="S10001">
        <v>36</v>
      </c>
      <c r="T10001" s="1" t="s">
        <v>8661</v>
      </c>
      <c r="U10001" s="1" t="str">
        <f>HYPERLINK("http://ictvonline.org/taxonomy/p/taxonomy-history?taxnode_id=202105727","ICTVonline=202105727")</f>
        <v>ICTVonline=202105727</v>
      </c>
    </row>
    <row r="10002" spans="1:21" x14ac:dyDescent="0.2">
      <c r="A10002" s="3">
        <v>10001</v>
      </c>
      <c r="L10002" s="1" t="s">
        <v>3677</v>
      </c>
      <c r="M10002" s="1" t="s">
        <v>3726</v>
      </c>
      <c r="N10002" s="1" t="s">
        <v>3736</v>
      </c>
      <c r="P10002" s="1" t="s">
        <v>8452</v>
      </c>
      <c r="Q10002" s="30" t="s">
        <v>2969</v>
      </c>
      <c r="R10002" s="33" t="s">
        <v>3472</v>
      </c>
      <c r="S10002">
        <v>36</v>
      </c>
      <c r="T10002" s="1" t="s">
        <v>8443</v>
      </c>
      <c r="U10002" s="1" t="str">
        <f>HYPERLINK("http://ictvonline.org/taxonomy/p/taxonomy-history?taxnode_id=202108794","ICTVonline=202108794")</f>
        <v>ICTVonline=202108794</v>
      </c>
    </row>
    <row r="10003" spans="1:21" x14ac:dyDescent="0.2">
      <c r="A10003" s="3">
        <v>10002</v>
      </c>
      <c r="L10003" s="1" t="s">
        <v>3677</v>
      </c>
      <c r="M10003" s="1" t="s">
        <v>3726</v>
      </c>
      <c r="N10003" s="1" t="s">
        <v>3736</v>
      </c>
      <c r="P10003" s="1" t="s">
        <v>8453</v>
      </c>
      <c r="Q10003" s="30" t="s">
        <v>2969</v>
      </c>
      <c r="R10003" s="33" t="s">
        <v>3472</v>
      </c>
      <c r="S10003">
        <v>36</v>
      </c>
      <c r="T10003" s="1" t="s">
        <v>8443</v>
      </c>
      <c r="U10003" s="1" t="str">
        <f>HYPERLINK("http://ictvonline.org/taxonomy/p/taxonomy-history?taxnode_id=202108795","ICTVonline=202108795")</f>
        <v>ICTVonline=202108795</v>
      </c>
    </row>
    <row r="10004" spans="1:21" x14ac:dyDescent="0.2">
      <c r="A10004" s="3">
        <v>10003</v>
      </c>
      <c r="L10004" s="1" t="s">
        <v>3677</v>
      </c>
      <c r="M10004" s="1" t="s">
        <v>3726</v>
      </c>
      <c r="N10004" s="1" t="s">
        <v>3736</v>
      </c>
      <c r="P10004" s="1" t="s">
        <v>8454</v>
      </c>
      <c r="Q10004" s="30" t="s">
        <v>2969</v>
      </c>
      <c r="R10004" s="33" t="s">
        <v>3472</v>
      </c>
      <c r="S10004">
        <v>36</v>
      </c>
      <c r="T10004" s="1" t="s">
        <v>8443</v>
      </c>
      <c r="U10004" s="1" t="str">
        <f>HYPERLINK("http://ictvonline.org/taxonomy/p/taxonomy-history?taxnode_id=202108793","ICTVonline=202108793")</f>
        <v>ICTVonline=202108793</v>
      </c>
    </row>
    <row r="10005" spans="1:21" x14ac:dyDescent="0.2">
      <c r="A10005" s="3">
        <v>10004</v>
      </c>
      <c r="L10005" s="1" t="s">
        <v>3677</v>
      </c>
      <c r="M10005" s="1" t="s">
        <v>3726</v>
      </c>
      <c r="N10005" s="1" t="s">
        <v>3736</v>
      </c>
      <c r="P10005" s="1" t="s">
        <v>4206</v>
      </c>
      <c r="Q10005" s="30" t="s">
        <v>2568</v>
      </c>
      <c r="R10005" s="33" t="s">
        <v>3472</v>
      </c>
      <c r="S10005">
        <v>32</v>
      </c>
      <c r="T10005" s="1" t="s">
        <v>3681</v>
      </c>
      <c r="U10005" s="1" t="str">
        <f>HYPERLINK("http://ictvonline.org/taxonomy/p/taxonomy-history?taxnode_id=202105728","ICTVonline=202105728")</f>
        <v>ICTVonline=202105728</v>
      </c>
    </row>
    <row r="10006" spans="1:21" x14ac:dyDescent="0.2">
      <c r="A10006" s="3">
        <v>10005</v>
      </c>
      <c r="L10006" s="1" t="s">
        <v>3677</v>
      </c>
      <c r="M10006" s="1" t="s">
        <v>3726</v>
      </c>
      <c r="N10006" s="1" t="s">
        <v>3736</v>
      </c>
      <c r="P10006" s="1" t="s">
        <v>3738</v>
      </c>
      <c r="Q10006" s="30" t="s">
        <v>2568</v>
      </c>
      <c r="R10006" s="33" t="s">
        <v>3472</v>
      </c>
      <c r="S10006">
        <v>32</v>
      </c>
      <c r="T10006" s="1" t="s">
        <v>3681</v>
      </c>
      <c r="U10006" s="1" t="str">
        <f>HYPERLINK("http://ictvonline.org/taxonomy/p/taxonomy-history?taxnode_id=202105729","ICTVonline=202105729")</f>
        <v>ICTVonline=202105729</v>
      </c>
    </row>
    <row r="10007" spans="1:21" x14ac:dyDescent="0.2">
      <c r="A10007" s="3">
        <v>10006</v>
      </c>
      <c r="L10007" s="1" t="s">
        <v>3677</v>
      </c>
      <c r="M10007" s="1" t="s">
        <v>3726</v>
      </c>
      <c r="N10007" s="1" t="s">
        <v>3739</v>
      </c>
      <c r="P10007" s="1" t="s">
        <v>5873</v>
      </c>
      <c r="Q10007" s="30" t="s">
        <v>2969</v>
      </c>
      <c r="R10007" s="33" t="s">
        <v>3472</v>
      </c>
      <c r="S10007">
        <v>35</v>
      </c>
      <c r="T10007" s="1" t="s">
        <v>5867</v>
      </c>
      <c r="U10007" s="1" t="str">
        <f>HYPERLINK("http://ictvonline.org/taxonomy/p/taxonomy-history?taxnode_id=202107296","ICTVonline=202107296")</f>
        <v>ICTVonline=202107296</v>
      </c>
    </row>
    <row r="10008" spans="1:21" x14ac:dyDescent="0.2">
      <c r="A10008" s="3">
        <v>10007</v>
      </c>
      <c r="L10008" s="1" t="s">
        <v>3677</v>
      </c>
      <c r="M10008" s="1" t="s">
        <v>3726</v>
      </c>
      <c r="N10008" s="1" t="s">
        <v>3739</v>
      </c>
      <c r="P10008" s="1" t="s">
        <v>3740</v>
      </c>
      <c r="Q10008" s="30" t="s">
        <v>2568</v>
      </c>
      <c r="R10008" s="33" t="s">
        <v>8665</v>
      </c>
      <c r="S10008">
        <v>36</v>
      </c>
      <c r="T10008" s="1" t="s">
        <v>8661</v>
      </c>
      <c r="U10008" s="1" t="str">
        <f>HYPERLINK("http://ictvonline.org/taxonomy/p/taxonomy-history?taxnode_id=202105731","ICTVonline=202105731")</f>
        <v>ICTVonline=202105731</v>
      </c>
    </row>
    <row r="10009" spans="1:21" x14ac:dyDescent="0.2">
      <c r="A10009" s="3">
        <v>10008</v>
      </c>
      <c r="L10009" s="1" t="s">
        <v>3677</v>
      </c>
      <c r="M10009" s="1" t="s">
        <v>3726</v>
      </c>
      <c r="N10009" s="1" t="s">
        <v>3741</v>
      </c>
      <c r="P10009" s="1" t="s">
        <v>3742</v>
      </c>
      <c r="Q10009" s="30" t="s">
        <v>2568</v>
      </c>
      <c r="R10009" s="33" t="s">
        <v>3472</v>
      </c>
      <c r="S10009">
        <v>32</v>
      </c>
      <c r="T10009" s="1" t="s">
        <v>3681</v>
      </c>
      <c r="U10009" s="1" t="str">
        <f>HYPERLINK("http://ictvonline.org/taxonomy/p/taxonomy-history?taxnode_id=202105733","ICTVonline=202105733")</f>
        <v>ICTVonline=202105733</v>
      </c>
    </row>
    <row r="10010" spans="1:21" x14ac:dyDescent="0.2">
      <c r="A10010" s="3">
        <v>10009</v>
      </c>
      <c r="L10010" s="1" t="s">
        <v>3677</v>
      </c>
      <c r="M10010" s="1" t="s">
        <v>3726</v>
      </c>
      <c r="N10010" s="1" t="s">
        <v>3741</v>
      </c>
      <c r="P10010" s="1" t="s">
        <v>5874</v>
      </c>
      <c r="Q10010" s="30" t="s">
        <v>2969</v>
      </c>
      <c r="R10010" s="33" t="s">
        <v>3472</v>
      </c>
      <c r="S10010">
        <v>35</v>
      </c>
      <c r="T10010" s="1" t="s">
        <v>5867</v>
      </c>
      <c r="U10010" s="1" t="str">
        <f>HYPERLINK("http://ictvonline.org/taxonomy/p/taxonomy-history?taxnode_id=202107295","ICTVonline=202107295")</f>
        <v>ICTVonline=202107295</v>
      </c>
    </row>
    <row r="10011" spans="1:21" x14ac:dyDescent="0.2">
      <c r="A10011" s="3">
        <v>10010</v>
      </c>
      <c r="L10011" s="1" t="s">
        <v>3677</v>
      </c>
      <c r="M10011" s="1" t="s">
        <v>3726</v>
      </c>
      <c r="N10011" s="1" t="s">
        <v>3741</v>
      </c>
      <c r="P10011" s="1" t="s">
        <v>4799</v>
      </c>
      <c r="Q10011" s="30" t="s">
        <v>2568</v>
      </c>
      <c r="R10011" s="33" t="s">
        <v>3475</v>
      </c>
      <c r="S10011">
        <v>34</v>
      </c>
      <c r="T10011" s="1" t="s">
        <v>4798</v>
      </c>
      <c r="U10011" s="1" t="str">
        <f>HYPERLINK("http://ictvonline.org/taxonomy/p/taxonomy-history?taxnode_id=202105734","ICTVonline=202105734")</f>
        <v>ICTVonline=202105734</v>
      </c>
    </row>
    <row r="10012" spans="1:21" x14ac:dyDescent="0.2">
      <c r="A10012" s="3">
        <v>10011</v>
      </c>
      <c r="L10012" s="1" t="s">
        <v>3677</v>
      </c>
      <c r="M10012" s="1" t="s">
        <v>3726</v>
      </c>
      <c r="N10012" s="1" t="s">
        <v>3741</v>
      </c>
      <c r="P10012" s="1" t="s">
        <v>3743</v>
      </c>
      <c r="Q10012" s="30" t="s">
        <v>2568</v>
      </c>
      <c r="R10012" s="33" t="s">
        <v>8665</v>
      </c>
      <c r="S10012">
        <v>36</v>
      </c>
      <c r="T10012" s="1" t="s">
        <v>8661</v>
      </c>
      <c r="U10012" s="1" t="str">
        <f>HYPERLINK("http://ictvonline.org/taxonomy/p/taxonomy-history?taxnode_id=202105735","ICTVonline=202105735")</f>
        <v>ICTVonline=202105735</v>
      </c>
    </row>
    <row r="10013" spans="1:21" x14ac:dyDescent="0.2">
      <c r="A10013" s="3">
        <v>10012</v>
      </c>
      <c r="L10013" s="1" t="s">
        <v>3677</v>
      </c>
      <c r="M10013" s="1" t="s">
        <v>8455</v>
      </c>
      <c r="N10013" s="1" t="s">
        <v>3727</v>
      </c>
      <c r="P10013" s="1" t="s">
        <v>3728</v>
      </c>
      <c r="Q10013" s="30" t="s">
        <v>2969</v>
      </c>
      <c r="R10013" s="33" t="s">
        <v>8660</v>
      </c>
      <c r="S10013">
        <v>36</v>
      </c>
      <c r="T10013" s="1" t="s">
        <v>8661</v>
      </c>
      <c r="U10013" s="1" t="str">
        <f>HYPERLINK("http://ictvonline.org/taxonomy/p/taxonomy-history?taxnode_id=202105712","ICTVonline=202105712")</f>
        <v>ICTVonline=202105712</v>
      </c>
    </row>
    <row r="10014" spans="1:21" x14ac:dyDescent="0.2">
      <c r="A10014" s="3">
        <v>10013</v>
      </c>
      <c r="L10014" s="1" t="s">
        <v>3677</v>
      </c>
      <c r="M10014" s="1" t="s">
        <v>8455</v>
      </c>
      <c r="N10014" s="1" t="s">
        <v>8457</v>
      </c>
      <c r="P10014" s="1" t="s">
        <v>8458</v>
      </c>
      <c r="Q10014" s="30" t="s">
        <v>2969</v>
      </c>
      <c r="R10014" s="33" t="s">
        <v>3473</v>
      </c>
      <c r="S10014">
        <v>36</v>
      </c>
      <c r="T10014" s="1" t="s">
        <v>8456</v>
      </c>
      <c r="U10014" s="1" t="str">
        <f>HYPERLINK("http://ictvonline.org/taxonomy/p/taxonomy-history?taxnode_id=202105738","ICTVonline=202105738")</f>
        <v>ICTVonline=202105738</v>
      </c>
    </row>
    <row r="10015" spans="1:21" x14ac:dyDescent="0.2">
      <c r="A10015" s="3">
        <v>10014</v>
      </c>
      <c r="L10015" s="1" t="s">
        <v>3677</v>
      </c>
      <c r="M10015" s="1" t="s">
        <v>8455</v>
      </c>
      <c r="N10015" s="1" t="s">
        <v>8457</v>
      </c>
      <c r="P10015" s="1" t="s">
        <v>8459</v>
      </c>
      <c r="Q10015" s="30" t="s">
        <v>2969</v>
      </c>
      <c r="R10015" s="33" t="s">
        <v>3472</v>
      </c>
      <c r="S10015">
        <v>36</v>
      </c>
      <c r="T10015" s="1" t="s">
        <v>8456</v>
      </c>
      <c r="U10015" s="1" t="str">
        <f>HYPERLINK("http://ictvonline.org/taxonomy/p/taxonomy-history?taxnode_id=202108763","ICTVonline=202108763")</f>
        <v>ICTVonline=202108763</v>
      </c>
    </row>
    <row r="10016" spans="1:21" x14ac:dyDescent="0.2">
      <c r="A10016" s="3">
        <v>10015</v>
      </c>
      <c r="L10016" s="1" t="s">
        <v>3677</v>
      </c>
      <c r="M10016" s="1" t="s">
        <v>8455</v>
      </c>
      <c r="N10016" s="1" t="s">
        <v>8457</v>
      </c>
      <c r="P10016" s="1" t="s">
        <v>8460</v>
      </c>
      <c r="Q10016" s="30" t="s">
        <v>2969</v>
      </c>
      <c r="R10016" s="33" t="s">
        <v>3472</v>
      </c>
      <c r="S10016">
        <v>36</v>
      </c>
      <c r="T10016" s="1" t="s">
        <v>8456</v>
      </c>
      <c r="U10016" s="1" t="str">
        <f>HYPERLINK("http://ictvonline.org/taxonomy/p/taxonomy-history?taxnode_id=202108765","ICTVonline=202108765")</f>
        <v>ICTVonline=202108765</v>
      </c>
    </row>
    <row r="10017" spans="1:21" x14ac:dyDescent="0.2">
      <c r="A10017" s="3">
        <v>10016</v>
      </c>
      <c r="L10017" s="1" t="s">
        <v>3677</v>
      </c>
      <c r="M10017" s="1" t="s">
        <v>8455</v>
      </c>
      <c r="N10017" s="1" t="s">
        <v>8457</v>
      </c>
      <c r="P10017" s="1" t="s">
        <v>8461</v>
      </c>
      <c r="Q10017" s="30" t="s">
        <v>2969</v>
      </c>
      <c r="R10017" s="33" t="s">
        <v>3472</v>
      </c>
      <c r="S10017">
        <v>36</v>
      </c>
      <c r="T10017" s="1" t="s">
        <v>8456</v>
      </c>
      <c r="U10017" s="1" t="str">
        <f>HYPERLINK("http://ictvonline.org/taxonomy/p/taxonomy-history?taxnode_id=202108764","ICTVonline=202108764")</f>
        <v>ICTVonline=202108764</v>
      </c>
    </row>
    <row r="10018" spans="1:21" x14ac:dyDescent="0.2">
      <c r="A10018" s="3">
        <v>10017</v>
      </c>
      <c r="L10018" s="1" t="s">
        <v>3677</v>
      </c>
      <c r="M10018" s="1" t="s">
        <v>8455</v>
      </c>
      <c r="N10018" s="1" t="s">
        <v>8462</v>
      </c>
      <c r="P10018" s="1" t="s">
        <v>8463</v>
      </c>
      <c r="Q10018" s="30" t="s">
        <v>2969</v>
      </c>
      <c r="R10018" s="33" t="s">
        <v>3472</v>
      </c>
      <c r="S10018">
        <v>36</v>
      </c>
      <c r="T10018" s="1" t="s">
        <v>8456</v>
      </c>
      <c r="U10018" s="1" t="str">
        <f>HYPERLINK("http://ictvonline.org/taxonomy/p/taxonomy-history?taxnode_id=202108767","ICTVonline=202108767")</f>
        <v>ICTVonline=202108767</v>
      </c>
    </row>
    <row r="10019" spans="1:21" x14ac:dyDescent="0.2">
      <c r="A10019" s="3">
        <v>10018</v>
      </c>
      <c r="L10019" s="1" t="s">
        <v>3677</v>
      </c>
      <c r="M10019" s="1" t="s">
        <v>8455</v>
      </c>
      <c r="N10019" s="1" t="s">
        <v>8464</v>
      </c>
      <c r="P10019" s="1" t="s">
        <v>8465</v>
      </c>
      <c r="Q10019" s="30" t="s">
        <v>2969</v>
      </c>
      <c r="R10019" s="33" t="s">
        <v>3472</v>
      </c>
      <c r="S10019">
        <v>36</v>
      </c>
      <c r="T10019" s="1" t="s">
        <v>8456</v>
      </c>
      <c r="U10019" s="1" t="str">
        <f>HYPERLINK("http://ictvonline.org/taxonomy/p/taxonomy-history?taxnode_id=202108769","ICTVonline=202108769")</f>
        <v>ICTVonline=202108769</v>
      </c>
    </row>
    <row r="10020" spans="1:21" x14ac:dyDescent="0.2">
      <c r="A10020" s="3">
        <v>10019</v>
      </c>
      <c r="L10020" s="1" t="s">
        <v>3677</v>
      </c>
      <c r="M10020" s="1" t="s">
        <v>8455</v>
      </c>
      <c r="N10020" s="1" t="s">
        <v>8466</v>
      </c>
      <c r="P10020" s="1" t="s">
        <v>4199</v>
      </c>
      <c r="Q10020" s="30" t="s">
        <v>2969</v>
      </c>
      <c r="R10020" s="33" t="s">
        <v>3474</v>
      </c>
      <c r="S10020">
        <v>36</v>
      </c>
      <c r="T10020" s="1" t="s">
        <v>8456</v>
      </c>
      <c r="U10020" s="1" t="str">
        <f>HYPERLINK("http://ictvonline.org/taxonomy/p/taxonomy-history?taxnode_id=202105711","ICTVonline=202105711")</f>
        <v>ICTVonline=202105711</v>
      </c>
    </row>
    <row r="10021" spans="1:21" x14ac:dyDescent="0.2">
      <c r="A10021" s="3">
        <v>10020</v>
      </c>
      <c r="L10021" s="1" t="s">
        <v>3677</v>
      </c>
      <c r="M10021" s="1" t="s">
        <v>8455</v>
      </c>
      <c r="N10021" s="1" t="s">
        <v>8466</v>
      </c>
      <c r="P10021" s="1" t="s">
        <v>3729</v>
      </c>
      <c r="Q10021" s="30" t="s">
        <v>2969</v>
      </c>
      <c r="R10021" s="33" t="s">
        <v>3474</v>
      </c>
      <c r="S10021">
        <v>36</v>
      </c>
      <c r="T10021" s="1" t="s">
        <v>8456</v>
      </c>
      <c r="U10021" s="1" t="str">
        <f>HYPERLINK("http://ictvonline.org/taxonomy/p/taxonomy-history?taxnode_id=202105713","ICTVonline=202105713")</f>
        <v>ICTVonline=202105713</v>
      </c>
    </row>
    <row r="10022" spans="1:21" x14ac:dyDescent="0.2">
      <c r="A10022" s="3">
        <v>10021</v>
      </c>
      <c r="L10022" s="1" t="s">
        <v>3677</v>
      </c>
      <c r="M10022" s="1" t="s">
        <v>8455</v>
      </c>
      <c r="N10022" s="1" t="s">
        <v>8466</v>
      </c>
      <c r="P10022" s="1" t="s">
        <v>3730</v>
      </c>
      <c r="Q10022" s="30" t="s">
        <v>2969</v>
      </c>
      <c r="R10022" s="33" t="s">
        <v>3474</v>
      </c>
      <c r="S10022">
        <v>36</v>
      </c>
      <c r="T10022" s="1" t="s">
        <v>8456</v>
      </c>
      <c r="U10022" s="1" t="str">
        <f>HYPERLINK("http://ictvonline.org/taxonomy/p/taxonomy-history?taxnode_id=202105714","ICTVonline=202105714")</f>
        <v>ICTVonline=202105714</v>
      </c>
    </row>
    <row r="10023" spans="1:21" x14ac:dyDescent="0.2">
      <c r="A10023" s="3">
        <v>10022</v>
      </c>
      <c r="L10023" s="1" t="s">
        <v>972</v>
      </c>
      <c r="N10023" s="1" t="s">
        <v>8467</v>
      </c>
      <c r="P10023" s="1" t="s">
        <v>8468</v>
      </c>
      <c r="Q10023" s="30" t="s">
        <v>2565</v>
      </c>
      <c r="R10023" s="33" t="s">
        <v>8662</v>
      </c>
      <c r="S10023">
        <v>36</v>
      </c>
      <c r="T10023" s="1" t="s">
        <v>8678</v>
      </c>
      <c r="U10023" s="1" t="str">
        <f>HYPERLINK("http://ictvonline.org/taxonomy/p/taxonomy-history?taxnode_id=202102484","ICTVonline=202102484")</f>
        <v>ICTVonline=202102484</v>
      </c>
    </row>
    <row r="10024" spans="1:21" x14ac:dyDescent="0.2">
      <c r="A10024" s="3">
        <v>10023</v>
      </c>
      <c r="L10024" s="1" t="s">
        <v>972</v>
      </c>
      <c r="N10024" s="1" t="s">
        <v>8467</v>
      </c>
      <c r="P10024" s="1" t="s">
        <v>8470</v>
      </c>
      <c r="Q10024" s="30" t="s">
        <v>2565</v>
      </c>
      <c r="R10024" s="33" t="s">
        <v>3472</v>
      </c>
      <c r="S10024">
        <v>36</v>
      </c>
      <c r="T10024" s="1" t="s">
        <v>8469</v>
      </c>
      <c r="U10024" s="1" t="str">
        <f>HYPERLINK("http://ictvonline.org/taxonomy/p/taxonomy-history?taxnode_id=202109183","ICTVonline=202109183")</f>
        <v>ICTVonline=202109183</v>
      </c>
    </row>
    <row r="10025" spans="1:21" x14ac:dyDescent="0.2">
      <c r="A10025" s="3">
        <v>10024</v>
      </c>
      <c r="L10025" s="1" t="s">
        <v>972</v>
      </c>
      <c r="N10025" s="1" t="s">
        <v>8467</v>
      </c>
      <c r="P10025" s="1" t="s">
        <v>8471</v>
      </c>
      <c r="Q10025" s="30" t="s">
        <v>2565</v>
      </c>
      <c r="R10025" s="33" t="s">
        <v>3472</v>
      </c>
      <c r="S10025">
        <v>36</v>
      </c>
      <c r="T10025" s="1" t="s">
        <v>8469</v>
      </c>
      <c r="U10025" s="1" t="str">
        <f>HYPERLINK("http://ictvonline.org/taxonomy/p/taxonomy-history?taxnode_id=202109184","ICTVonline=202109184")</f>
        <v>ICTVonline=202109184</v>
      </c>
    </row>
    <row r="10026" spans="1:21" x14ac:dyDescent="0.2">
      <c r="A10026" s="3">
        <v>10025</v>
      </c>
      <c r="L10026" s="1" t="s">
        <v>298</v>
      </c>
      <c r="N10026" s="1" t="s">
        <v>8472</v>
      </c>
      <c r="P10026" s="1" t="s">
        <v>8473</v>
      </c>
      <c r="Q10026" s="30" t="s">
        <v>2818</v>
      </c>
      <c r="R10026" s="33" t="s">
        <v>3472</v>
      </c>
      <c r="S10026">
        <v>36</v>
      </c>
      <c r="T10026" s="1" t="s">
        <v>8474</v>
      </c>
      <c r="U10026" s="1" t="str">
        <f>HYPERLINK("http://ictvonline.org/taxonomy/p/taxonomy-history?taxnode_id=202109394","ICTVonline=202109394")</f>
        <v>ICTVonline=202109394</v>
      </c>
    </row>
    <row r="10027" spans="1:21" x14ac:dyDescent="0.2">
      <c r="A10027" s="3">
        <v>10026</v>
      </c>
      <c r="L10027" s="1" t="s">
        <v>298</v>
      </c>
      <c r="N10027" s="1" t="s">
        <v>8472</v>
      </c>
      <c r="P10027" s="1" t="s">
        <v>8475</v>
      </c>
      <c r="Q10027" s="30" t="s">
        <v>2818</v>
      </c>
      <c r="R10027" s="33" t="s">
        <v>3472</v>
      </c>
      <c r="S10027">
        <v>36</v>
      </c>
      <c r="T10027" s="1" t="s">
        <v>8474</v>
      </c>
      <c r="U10027" s="1" t="str">
        <f>HYPERLINK("http://ictvonline.org/taxonomy/p/taxonomy-history?taxnode_id=202109393","ICTVonline=202109393")</f>
        <v>ICTVonline=202109393</v>
      </c>
    </row>
    <row r="10028" spans="1:21" x14ac:dyDescent="0.2">
      <c r="A10028" s="3">
        <v>10027</v>
      </c>
      <c r="L10028" s="1" t="s">
        <v>298</v>
      </c>
      <c r="N10028" s="1" t="s">
        <v>299</v>
      </c>
      <c r="P10028" s="1" t="s">
        <v>8476</v>
      </c>
      <c r="Q10028" s="30" t="s">
        <v>2818</v>
      </c>
      <c r="R10028" s="33" t="s">
        <v>3472</v>
      </c>
      <c r="S10028">
        <v>36</v>
      </c>
      <c r="T10028" s="1" t="s">
        <v>8474</v>
      </c>
      <c r="U10028" s="1" t="str">
        <f>HYPERLINK("http://ictvonline.org/taxonomy/p/taxonomy-history?taxnode_id=202109395","ICTVonline=202109395")</f>
        <v>ICTVonline=202109395</v>
      </c>
    </row>
    <row r="10029" spans="1:21" x14ac:dyDescent="0.2">
      <c r="A10029" s="3">
        <v>10028</v>
      </c>
      <c r="L10029" s="1" t="s">
        <v>298</v>
      </c>
      <c r="N10029" s="1" t="s">
        <v>299</v>
      </c>
      <c r="P10029" s="1" t="s">
        <v>8477</v>
      </c>
      <c r="Q10029" s="30" t="s">
        <v>2818</v>
      </c>
      <c r="R10029" s="33" t="s">
        <v>3472</v>
      </c>
      <c r="S10029">
        <v>36</v>
      </c>
      <c r="T10029" s="1" t="s">
        <v>8474</v>
      </c>
      <c r="U10029" s="1" t="str">
        <f>HYPERLINK("http://ictvonline.org/taxonomy/p/taxonomy-history?taxnode_id=202109396","ICTVonline=202109396")</f>
        <v>ICTVonline=202109396</v>
      </c>
    </row>
    <row r="10030" spans="1:21" x14ac:dyDescent="0.2">
      <c r="A10030" s="3">
        <v>10029</v>
      </c>
      <c r="L10030" s="1" t="s">
        <v>298</v>
      </c>
      <c r="N10030" s="1" t="s">
        <v>299</v>
      </c>
      <c r="P10030" s="1" t="s">
        <v>8478</v>
      </c>
      <c r="Q10030" s="30" t="s">
        <v>2818</v>
      </c>
      <c r="R10030" s="33" t="s">
        <v>3472</v>
      </c>
      <c r="S10030">
        <v>36</v>
      </c>
      <c r="T10030" s="1" t="s">
        <v>8474</v>
      </c>
      <c r="U10030" s="1" t="str">
        <f>HYPERLINK("http://ictvonline.org/taxonomy/p/taxonomy-history?taxnode_id=202109397","ICTVonline=202109397")</f>
        <v>ICTVonline=202109397</v>
      </c>
    </row>
    <row r="10031" spans="1:21" x14ac:dyDescent="0.2">
      <c r="A10031" s="3">
        <v>10030</v>
      </c>
      <c r="L10031" s="1" t="s">
        <v>298</v>
      </c>
      <c r="N10031" s="1" t="s">
        <v>299</v>
      </c>
      <c r="P10031" s="1" t="s">
        <v>8479</v>
      </c>
      <c r="Q10031" s="30" t="s">
        <v>2818</v>
      </c>
      <c r="R10031" s="33" t="s">
        <v>3472</v>
      </c>
      <c r="S10031">
        <v>36</v>
      </c>
      <c r="T10031" s="1" t="s">
        <v>8474</v>
      </c>
      <c r="U10031" s="1" t="str">
        <f>HYPERLINK("http://ictvonline.org/taxonomy/p/taxonomy-history?taxnode_id=202109398","ICTVonline=202109398")</f>
        <v>ICTVonline=202109398</v>
      </c>
    </row>
    <row r="10032" spans="1:21" x14ac:dyDescent="0.2">
      <c r="A10032" s="3">
        <v>10031</v>
      </c>
      <c r="L10032" s="1" t="s">
        <v>298</v>
      </c>
      <c r="N10032" s="1" t="s">
        <v>299</v>
      </c>
      <c r="P10032" s="1" t="s">
        <v>1581</v>
      </c>
      <c r="Q10032" s="30" t="s">
        <v>2818</v>
      </c>
      <c r="R10032" s="33" t="s">
        <v>8665</v>
      </c>
      <c r="S10032">
        <v>36</v>
      </c>
      <c r="T10032" s="1" t="s">
        <v>8661</v>
      </c>
      <c r="U10032" s="1" t="str">
        <f>HYPERLINK("http://ictvonline.org/taxonomy/p/taxonomy-history?taxnode_id=202102488","ICTVonline=202102488")</f>
        <v>ICTVonline=202102488</v>
      </c>
    </row>
    <row r="10033" spans="1:21" x14ac:dyDescent="0.2">
      <c r="A10033" s="3">
        <v>10032</v>
      </c>
      <c r="L10033" s="1" t="s">
        <v>298</v>
      </c>
      <c r="N10033" s="1" t="s">
        <v>299</v>
      </c>
      <c r="P10033" s="1" t="s">
        <v>1582</v>
      </c>
      <c r="Q10033" s="30" t="s">
        <v>2818</v>
      </c>
      <c r="R10033" s="33" t="s">
        <v>3472</v>
      </c>
      <c r="S10033">
        <v>25</v>
      </c>
      <c r="T10033" s="1" t="s">
        <v>3744</v>
      </c>
      <c r="U10033" s="1" t="str">
        <f>HYPERLINK("http://ictvonline.org/taxonomy/p/taxonomy-history?taxnode_id=202102489","ICTVonline=202102489")</f>
        <v>ICTVonline=202102489</v>
      </c>
    </row>
    <row r="10034" spans="1:21" x14ac:dyDescent="0.2">
      <c r="A10034" s="3">
        <v>10033</v>
      </c>
      <c r="L10034" s="1" t="s">
        <v>298</v>
      </c>
      <c r="N10034" s="1" t="s">
        <v>299</v>
      </c>
      <c r="P10034" s="1" t="s">
        <v>1583</v>
      </c>
      <c r="Q10034" s="30" t="s">
        <v>2818</v>
      </c>
      <c r="R10034" s="33" t="s">
        <v>3472</v>
      </c>
      <c r="S10034">
        <v>25</v>
      </c>
      <c r="T10034" s="1" t="s">
        <v>3744</v>
      </c>
      <c r="U10034" s="1" t="str">
        <f>HYPERLINK("http://ictvonline.org/taxonomy/p/taxonomy-history?taxnode_id=202102490","ICTVonline=202102490")</f>
        <v>ICTVonline=202102490</v>
      </c>
    </row>
    <row r="10035" spans="1:21" x14ac:dyDescent="0.2">
      <c r="A10035" s="3">
        <v>10034</v>
      </c>
      <c r="L10035" s="1" t="s">
        <v>298</v>
      </c>
      <c r="N10035" s="1" t="s">
        <v>299</v>
      </c>
      <c r="P10035" s="1" t="s">
        <v>303</v>
      </c>
      <c r="Q10035" s="30" t="s">
        <v>2818</v>
      </c>
      <c r="R10035" s="33" t="s">
        <v>3472</v>
      </c>
      <c r="S10035">
        <v>25</v>
      </c>
      <c r="T10035" s="1" t="s">
        <v>3744</v>
      </c>
      <c r="U10035" s="1" t="str">
        <f>HYPERLINK("http://ictvonline.org/taxonomy/p/taxonomy-history?taxnode_id=202102491","ICTVonline=202102491")</f>
        <v>ICTVonline=202102491</v>
      </c>
    </row>
    <row r="10036" spans="1:21" x14ac:dyDescent="0.2">
      <c r="A10036" s="3">
        <v>10035</v>
      </c>
      <c r="L10036" s="1" t="s">
        <v>298</v>
      </c>
      <c r="N10036" s="1" t="s">
        <v>299</v>
      </c>
      <c r="P10036" s="1" t="s">
        <v>304</v>
      </c>
      <c r="Q10036" s="30" t="s">
        <v>2818</v>
      </c>
      <c r="R10036" s="33" t="s">
        <v>3472</v>
      </c>
      <c r="S10036">
        <v>25</v>
      </c>
      <c r="T10036" s="1" t="s">
        <v>3744</v>
      </c>
      <c r="U10036" s="1" t="str">
        <f>HYPERLINK("http://ictvonline.org/taxonomy/p/taxonomy-history?taxnode_id=202102492","ICTVonline=202102492")</f>
        <v>ICTVonline=202102492</v>
      </c>
    </row>
    <row r="10037" spans="1:21" x14ac:dyDescent="0.2">
      <c r="A10037" s="3">
        <v>10036</v>
      </c>
      <c r="L10037" s="1" t="s">
        <v>298</v>
      </c>
      <c r="N10037" s="1" t="s">
        <v>299</v>
      </c>
      <c r="P10037" s="1" t="s">
        <v>305</v>
      </c>
      <c r="Q10037" s="30" t="s">
        <v>2818</v>
      </c>
      <c r="R10037" s="33" t="s">
        <v>3472</v>
      </c>
      <c r="S10037">
        <v>25</v>
      </c>
      <c r="T10037" s="1" t="s">
        <v>3744</v>
      </c>
      <c r="U10037" s="1" t="str">
        <f>HYPERLINK("http://ictvonline.org/taxonomy/p/taxonomy-history?taxnode_id=202102493","ICTVonline=202102493")</f>
        <v>ICTVonline=202102493</v>
      </c>
    </row>
    <row r="10038" spans="1:21" x14ac:dyDescent="0.2">
      <c r="A10038" s="3">
        <v>10037</v>
      </c>
      <c r="L10038" s="1" t="s">
        <v>298</v>
      </c>
      <c r="N10038" s="1" t="s">
        <v>299</v>
      </c>
      <c r="P10038" s="1" t="s">
        <v>306</v>
      </c>
      <c r="Q10038" s="30" t="s">
        <v>2818</v>
      </c>
      <c r="R10038" s="33" t="s">
        <v>6026</v>
      </c>
      <c r="S10038">
        <v>36</v>
      </c>
      <c r="T10038" s="1" t="s">
        <v>8474</v>
      </c>
      <c r="U10038" s="1" t="str">
        <f>HYPERLINK("http://ictvonline.org/taxonomy/p/taxonomy-history?taxnode_id=202102494","ICTVonline=202102494")</f>
        <v>ICTVonline=202102494</v>
      </c>
    </row>
    <row r="10039" spans="1:21" x14ac:dyDescent="0.2">
      <c r="A10039" s="3">
        <v>10038</v>
      </c>
      <c r="L10039" s="1" t="s">
        <v>298</v>
      </c>
      <c r="N10039" s="1" t="s">
        <v>299</v>
      </c>
      <c r="P10039" s="1" t="s">
        <v>307</v>
      </c>
      <c r="Q10039" s="30" t="s">
        <v>2818</v>
      </c>
      <c r="R10039" s="33" t="s">
        <v>6026</v>
      </c>
      <c r="S10039">
        <v>36</v>
      </c>
      <c r="T10039" s="1" t="s">
        <v>8474</v>
      </c>
      <c r="U10039" s="1" t="str">
        <f>HYPERLINK("http://ictvonline.org/taxonomy/p/taxonomy-history?taxnode_id=202102496","ICTVonline=202102496")</f>
        <v>ICTVonline=202102496</v>
      </c>
    </row>
    <row r="10040" spans="1:21" x14ac:dyDescent="0.2">
      <c r="A10040" s="3">
        <v>10039</v>
      </c>
      <c r="L10040" s="1" t="s">
        <v>298</v>
      </c>
      <c r="N10040" s="1" t="s">
        <v>299</v>
      </c>
      <c r="P10040" s="1" t="s">
        <v>308</v>
      </c>
      <c r="Q10040" s="30" t="s">
        <v>2818</v>
      </c>
      <c r="R10040" s="33" t="s">
        <v>3472</v>
      </c>
      <c r="S10040">
        <v>25</v>
      </c>
      <c r="T10040" s="1" t="s">
        <v>3744</v>
      </c>
      <c r="U10040" s="1" t="str">
        <f>HYPERLINK("http://ictvonline.org/taxonomy/p/taxonomy-history?taxnode_id=202102497","ICTVonline=202102497")</f>
        <v>ICTVonline=202102497</v>
      </c>
    </row>
    <row r="10041" spans="1:21" x14ac:dyDescent="0.2">
      <c r="A10041" s="3">
        <v>10040</v>
      </c>
      <c r="L10041" s="1" t="s">
        <v>298</v>
      </c>
      <c r="N10041" s="1" t="s">
        <v>299</v>
      </c>
      <c r="P10041" s="1" t="s">
        <v>309</v>
      </c>
      <c r="Q10041" s="30" t="s">
        <v>2818</v>
      </c>
      <c r="R10041" s="33" t="s">
        <v>3472</v>
      </c>
      <c r="S10041">
        <v>25</v>
      </c>
      <c r="T10041" s="1" t="s">
        <v>3744</v>
      </c>
      <c r="U10041" s="1" t="str">
        <f>HYPERLINK("http://ictvonline.org/taxonomy/p/taxonomy-history?taxnode_id=202102500","ICTVonline=202102500")</f>
        <v>ICTVonline=202102500</v>
      </c>
    </row>
    <row r="10042" spans="1:21" x14ac:dyDescent="0.2">
      <c r="A10042" s="3">
        <v>10041</v>
      </c>
      <c r="L10042" s="1" t="s">
        <v>298</v>
      </c>
      <c r="N10042" s="1" t="s">
        <v>299</v>
      </c>
      <c r="P10042" s="1" t="s">
        <v>310</v>
      </c>
      <c r="Q10042" s="30" t="s">
        <v>2818</v>
      </c>
      <c r="R10042" s="33" t="s">
        <v>3472</v>
      </c>
      <c r="S10042">
        <v>25</v>
      </c>
      <c r="T10042" s="1" t="s">
        <v>3744</v>
      </c>
      <c r="U10042" s="1" t="str">
        <f>HYPERLINK("http://ictvonline.org/taxonomy/p/taxonomy-history?taxnode_id=202102501","ICTVonline=202102501")</f>
        <v>ICTVonline=202102501</v>
      </c>
    </row>
    <row r="10043" spans="1:21" x14ac:dyDescent="0.2">
      <c r="A10043" s="3">
        <v>10042</v>
      </c>
      <c r="L10043" s="1" t="s">
        <v>298</v>
      </c>
      <c r="N10043" s="1" t="s">
        <v>299</v>
      </c>
      <c r="P10043" s="1" t="s">
        <v>311</v>
      </c>
      <c r="Q10043" s="30" t="s">
        <v>2818</v>
      </c>
      <c r="R10043" s="33" t="s">
        <v>6026</v>
      </c>
      <c r="S10043">
        <v>36</v>
      </c>
      <c r="T10043" s="1" t="s">
        <v>8474</v>
      </c>
      <c r="U10043" s="1" t="str">
        <f>HYPERLINK("http://ictvonline.org/taxonomy/p/taxonomy-history?taxnode_id=202102502","ICTVonline=202102502")</f>
        <v>ICTVonline=202102502</v>
      </c>
    </row>
    <row r="10044" spans="1:21" x14ac:dyDescent="0.2">
      <c r="A10044" s="3">
        <v>10043</v>
      </c>
      <c r="L10044" s="1" t="s">
        <v>298</v>
      </c>
      <c r="N10044" s="1" t="s">
        <v>299</v>
      </c>
      <c r="P10044" s="1" t="s">
        <v>312</v>
      </c>
      <c r="Q10044" s="30" t="s">
        <v>2818</v>
      </c>
      <c r="R10044" s="33" t="s">
        <v>3472</v>
      </c>
      <c r="S10044">
        <v>25</v>
      </c>
      <c r="T10044" s="1" t="s">
        <v>3744</v>
      </c>
      <c r="U10044" s="1" t="str">
        <f>HYPERLINK("http://ictvonline.org/taxonomy/p/taxonomy-history?taxnode_id=202102504","ICTVonline=202102504")</f>
        <v>ICTVonline=202102504</v>
      </c>
    </row>
    <row r="10045" spans="1:21" x14ac:dyDescent="0.2">
      <c r="A10045" s="3">
        <v>10044</v>
      </c>
      <c r="L10045" s="1" t="s">
        <v>298</v>
      </c>
      <c r="N10045" s="1" t="s">
        <v>299</v>
      </c>
      <c r="P10045" s="1" t="s">
        <v>313</v>
      </c>
      <c r="Q10045" s="30" t="s">
        <v>2818</v>
      </c>
      <c r="R10045" s="33" t="s">
        <v>3472</v>
      </c>
      <c r="S10045">
        <v>25</v>
      </c>
      <c r="T10045" s="1" t="s">
        <v>3744</v>
      </c>
      <c r="U10045" s="1" t="str">
        <f>HYPERLINK("http://ictvonline.org/taxonomy/p/taxonomy-history?taxnode_id=202102505","ICTVonline=202102505")</f>
        <v>ICTVonline=202102505</v>
      </c>
    </row>
    <row r="10046" spans="1:21" x14ac:dyDescent="0.2">
      <c r="A10046" s="3">
        <v>10045</v>
      </c>
      <c r="L10046" s="1" t="s">
        <v>298</v>
      </c>
      <c r="N10046" s="1" t="s">
        <v>299</v>
      </c>
      <c r="P10046" s="1" t="s">
        <v>314</v>
      </c>
      <c r="Q10046" s="30" t="s">
        <v>2818</v>
      </c>
      <c r="R10046" s="33" t="s">
        <v>3472</v>
      </c>
      <c r="S10046">
        <v>25</v>
      </c>
      <c r="T10046" s="1" t="s">
        <v>3744</v>
      </c>
      <c r="U10046" s="1" t="str">
        <f>HYPERLINK("http://ictvonline.org/taxonomy/p/taxonomy-history?taxnode_id=202102506","ICTVonline=202102506")</f>
        <v>ICTVonline=202102506</v>
      </c>
    </row>
    <row r="10047" spans="1:21" x14ac:dyDescent="0.2">
      <c r="A10047" s="3">
        <v>10046</v>
      </c>
      <c r="L10047" s="1" t="s">
        <v>298</v>
      </c>
      <c r="N10047" s="1" t="s">
        <v>299</v>
      </c>
      <c r="P10047" s="1" t="s">
        <v>315</v>
      </c>
      <c r="Q10047" s="30" t="s">
        <v>2818</v>
      </c>
      <c r="R10047" s="33" t="s">
        <v>3472</v>
      </c>
      <c r="S10047">
        <v>25</v>
      </c>
      <c r="T10047" s="1" t="s">
        <v>3744</v>
      </c>
      <c r="U10047" s="1" t="str">
        <f>HYPERLINK("http://ictvonline.org/taxonomy/p/taxonomy-history?taxnode_id=202102507","ICTVonline=202102507")</f>
        <v>ICTVonline=202102507</v>
      </c>
    </row>
    <row r="10048" spans="1:21" x14ac:dyDescent="0.2">
      <c r="A10048" s="3">
        <v>10047</v>
      </c>
      <c r="L10048" s="1" t="s">
        <v>298</v>
      </c>
      <c r="N10048" s="1" t="s">
        <v>299</v>
      </c>
      <c r="P10048" s="1" t="s">
        <v>316</v>
      </c>
      <c r="Q10048" s="30" t="s">
        <v>2818</v>
      </c>
      <c r="R10048" s="33" t="s">
        <v>3472</v>
      </c>
      <c r="S10048">
        <v>25</v>
      </c>
      <c r="T10048" s="1" t="s">
        <v>3744</v>
      </c>
      <c r="U10048" s="1" t="str">
        <f>HYPERLINK("http://ictvonline.org/taxonomy/p/taxonomy-history?taxnode_id=202102508","ICTVonline=202102508")</f>
        <v>ICTVonline=202102508</v>
      </c>
    </row>
    <row r="10049" spans="1:21" x14ac:dyDescent="0.2">
      <c r="A10049" s="3">
        <v>10048</v>
      </c>
      <c r="L10049" s="1" t="s">
        <v>298</v>
      </c>
      <c r="N10049" s="1" t="s">
        <v>299</v>
      </c>
      <c r="P10049" s="1" t="s">
        <v>317</v>
      </c>
      <c r="Q10049" s="30" t="s">
        <v>2818</v>
      </c>
      <c r="R10049" s="33" t="s">
        <v>6026</v>
      </c>
      <c r="S10049">
        <v>36</v>
      </c>
      <c r="T10049" s="1" t="s">
        <v>8474</v>
      </c>
      <c r="U10049" s="1" t="str">
        <f>HYPERLINK("http://ictvonline.org/taxonomy/p/taxonomy-history?taxnode_id=202102511","ICTVonline=202102511")</f>
        <v>ICTVonline=202102511</v>
      </c>
    </row>
    <row r="10050" spans="1:21" x14ac:dyDescent="0.2">
      <c r="A10050" s="3">
        <v>10049</v>
      </c>
      <c r="L10050" s="1" t="s">
        <v>298</v>
      </c>
      <c r="N10050" s="1" t="s">
        <v>299</v>
      </c>
      <c r="P10050" s="1" t="s">
        <v>429</v>
      </c>
      <c r="Q10050" s="30" t="s">
        <v>2818</v>
      </c>
      <c r="R10050" s="33" t="s">
        <v>3472</v>
      </c>
      <c r="S10050">
        <v>25</v>
      </c>
      <c r="T10050" s="1" t="s">
        <v>3744</v>
      </c>
      <c r="U10050" s="1" t="str">
        <f>HYPERLINK("http://ictvonline.org/taxonomy/p/taxonomy-history?taxnode_id=202102512","ICTVonline=202102512")</f>
        <v>ICTVonline=202102512</v>
      </c>
    </row>
    <row r="10051" spans="1:21" x14ac:dyDescent="0.2">
      <c r="A10051" s="3">
        <v>10050</v>
      </c>
      <c r="L10051" s="1" t="s">
        <v>298</v>
      </c>
      <c r="N10051" s="1" t="s">
        <v>299</v>
      </c>
      <c r="P10051" s="1" t="s">
        <v>430</v>
      </c>
      <c r="Q10051" s="30" t="s">
        <v>2818</v>
      </c>
      <c r="R10051" s="33" t="s">
        <v>3472</v>
      </c>
      <c r="S10051">
        <v>25</v>
      </c>
      <c r="T10051" s="1" t="s">
        <v>3744</v>
      </c>
      <c r="U10051" s="1" t="str">
        <f>HYPERLINK("http://ictvonline.org/taxonomy/p/taxonomy-history?taxnode_id=202102513","ICTVonline=202102513")</f>
        <v>ICTVonline=202102513</v>
      </c>
    </row>
    <row r="10052" spans="1:21" x14ac:dyDescent="0.2">
      <c r="A10052" s="3">
        <v>10051</v>
      </c>
      <c r="L10052" s="1" t="s">
        <v>298</v>
      </c>
      <c r="N10052" s="1" t="s">
        <v>299</v>
      </c>
      <c r="P10052" s="1" t="s">
        <v>1365</v>
      </c>
      <c r="Q10052" s="30" t="s">
        <v>2818</v>
      </c>
      <c r="R10052" s="33" t="s">
        <v>6026</v>
      </c>
      <c r="S10052">
        <v>36</v>
      </c>
      <c r="T10052" s="1" t="s">
        <v>8474</v>
      </c>
      <c r="U10052" s="1" t="str">
        <f>HYPERLINK("http://ictvonline.org/taxonomy/p/taxonomy-history?taxnode_id=202102516","ICTVonline=202102516")</f>
        <v>ICTVonline=202102516</v>
      </c>
    </row>
    <row r="10053" spans="1:21" x14ac:dyDescent="0.2">
      <c r="A10053" s="3">
        <v>10052</v>
      </c>
      <c r="L10053" s="1" t="s">
        <v>298</v>
      </c>
      <c r="N10053" s="1" t="s">
        <v>299</v>
      </c>
      <c r="P10053" s="1" t="s">
        <v>8480</v>
      </c>
      <c r="Q10053" s="30" t="s">
        <v>2818</v>
      </c>
      <c r="R10053" s="33" t="s">
        <v>3472</v>
      </c>
      <c r="S10053">
        <v>36</v>
      </c>
      <c r="T10053" s="1" t="s">
        <v>8474</v>
      </c>
      <c r="U10053" s="1" t="str">
        <f>HYPERLINK("http://ictvonline.org/taxonomy/p/taxonomy-history?taxnode_id=202109399","ICTVonline=202109399")</f>
        <v>ICTVonline=202109399</v>
      </c>
    </row>
    <row r="10054" spans="1:21" x14ac:dyDescent="0.2">
      <c r="A10054" s="3">
        <v>10053</v>
      </c>
      <c r="L10054" s="1" t="s">
        <v>298</v>
      </c>
      <c r="N10054" s="1" t="s">
        <v>300</v>
      </c>
      <c r="P10054" s="1" t="s">
        <v>1747</v>
      </c>
      <c r="Q10054" s="30" t="s">
        <v>2818</v>
      </c>
      <c r="R10054" s="33" t="s">
        <v>8665</v>
      </c>
      <c r="S10054">
        <v>36</v>
      </c>
      <c r="T10054" s="1" t="s">
        <v>8661</v>
      </c>
      <c r="U10054" s="1" t="str">
        <f>HYPERLINK("http://ictvonline.org/taxonomy/p/taxonomy-history?taxnode_id=202102518","ICTVonline=202102518")</f>
        <v>ICTVonline=202102518</v>
      </c>
    </row>
    <row r="10055" spans="1:21" x14ac:dyDescent="0.2">
      <c r="A10055" s="3">
        <v>10054</v>
      </c>
      <c r="L10055" s="1" t="s">
        <v>298</v>
      </c>
      <c r="N10055" s="1" t="s">
        <v>300</v>
      </c>
      <c r="P10055" s="1" t="s">
        <v>1725</v>
      </c>
      <c r="Q10055" s="30" t="s">
        <v>2818</v>
      </c>
      <c r="R10055" s="33" t="s">
        <v>3472</v>
      </c>
      <c r="S10055">
        <v>25</v>
      </c>
      <c r="T10055" s="1" t="s">
        <v>3744</v>
      </c>
      <c r="U10055" s="1" t="str">
        <f>HYPERLINK("http://ictvonline.org/taxonomy/p/taxonomy-history?taxnode_id=202102519","ICTVonline=202102519")</f>
        <v>ICTVonline=202102519</v>
      </c>
    </row>
    <row r="10056" spans="1:21" x14ac:dyDescent="0.2">
      <c r="A10056" s="3">
        <v>10055</v>
      </c>
      <c r="L10056" s="1" t="s">
        <v>298</v>
      </c>
      <c r="N10056" s="1" t="s">
        <v>300</v>
      </c>
      <c r="P10056" s="1" t="s">
        <v>1726</v>
      </c>
      <c r="Q10056" s="30" t="s">
        <v>2818</v>
      </c>
      <c r="R10056" s="33" t="s">
        <v>3472</v>
      </c>
      <c r="S10056">
        <v>25</v>
      </c>
      <c r="T10056" s="1" t="s">
        <v>3744</v>
      </c>
      <c r="U10056" s="1" t="str">
        <f>HYPERLINK("http://ictvonline.org/taxonomy/p/taxonomy-history?taxnode_id=202102520","ICTVonline=202102520")</f>
        <v>ICTVonline=202102520</v>
      </c>
    </row>
    <row r="10057" spans="1:21" x14ac:dyDescent="0.2">
      <c r="A10057" s="3">
        <v>10056</v>
      </c>
      <c r="L10057" s="1" t="s">
        <v>298</v>
      </c>
      <c r="N10057" s="1" t="s">
        <v>300</v>
      </c>
      <c r="P10057" s="1" t="s">
        <v>1727</v>
      </c>
      <c r="Q10057" s="30" t="s">
        <v>2818</v>
      </c>
      <c r="R10057" s="33" t="s">
        <v>3472</v>
      </c>
      <c r="S10057">
        <v>25</v>
      </c>
      <c r="T10057" s="1" t="s">
        <v>3744</v>
      </c>
      <c r="U10057" s="1" t="str">
        <f>HYPERLINK("http://ictvonline.org/taxonomy/p/taxonomy-history?taxnode_id=202102521","ICTVonline=202102521")</f>
        <v>ICTVonline=202102521</v>
      </c>
    </row>
    <row r="10058" spans="1:21" x14ac:dyDescent="0.2">
      <c r="A10058" s="3">
        <v>10057</v>
      </c>
      <c r="L10058" s="1" t="s">
        <v>298</v>
      </c>
      <c r="N10058" s="1" t="s">
        <v>300</v>
      </c>
      <c r="P10058" s="1" t="s">
        <v>1750</v>
      </c>
      <c r="Q10058" s="30" t="s">
        <v>2818</v>
      </c>
      <c r="R10058" s="33" t="s">
        <v>3472</v>
      </c>
      <c r="S10058">
        <v>25</v>
      </c>
      <c r="T10058" s="1" t="s">
        <v>3744</v>
      </c>
      <c r="U10058" s="1" t="str">
        <f>HYPERLINK("http://ictvonline.org/taxonomy/p/taxonomy-history?taxnode_id=202102522","ICTVonline=202102522")</f>
        <v>ICTVonline=202102522</v>
      </c>
    </row>
    <row r="10059" spans="1:21" x14ac:dyDescent="0.2">
      <c r="A10059" s="3">
        <v>10058</v>
      </c>
      <c r="L10059" s="1" t="s">
        <v>298</v>
      </c>
      <c r="N10059" s="1" t="s">
        <v>300</v>
      </c>
      <c r="P10059" s="1" t="s">
        <v>1751</v>
      </c>
      <c r="Q10059" s="30" t="s">
        <v>2818</v>
      </c>
      <c r="R10059" s="33" t="s">
        <v>3472</v>
      </c>
      <c r="S10059">
        <v>25</v>
      </c>
      <c r="T10059" s="1" t="s">
        <v>3744</v>
      </c>
      <c r="U10059" s="1" t="str">
        <f>HYPERLINK("http://ictvonline.org/taxonomy/p/taxonomy-history?taxnode_id=202102523","ICTVonline=202102523")</f>
        <v>ICTVonline=202102523</v>
      </c>
    </row>
    <row r="10060" spans="1:21" x14ac:dyDescent="0.2">
      <c r="A10060" s="3">
        <v>10059</v>
      </c>
      <c r="L10060" s="1" t="s">
        <v>298</v>
      </c>
      <c r="N10060" s="1" t="s">
        <v>300</v>
      </c>
      <c r="P10060" s="1" t="s">
        <v>1453</v>
      </c>
      <c r="Q10060" s="30" t="s">
        <v>2818</v>
      </c>
      <c r="R10060" s="33" t="s">
        <v>3472</v>
      </c>
      <c r="S10060">
        <v>25</v>
      </c>
      <c r="T10060" s="1" t="s">
        <v>3744</v>
      </c>
      <c r="U10060" s="1" t="str">
        <f>HYPERLINK("http://ictvonline.org/taxonomy/p/taxonomy-history?taxnode_id=202102524","ICTVonline=202102524")</f>
        <v>ICTVonline=202102524</v>
      </c>
    </row>
    <row r="10061" spans="1:21" x14ac:dyDescent="0.2">
      <c r="A10061" s="3">
        <v>10060</v>
      </c>
      <c r="L10061" s="1" t="s">
        <v>298</v>
      </c>
      <c r="N10061" s="1" t="s">
        <v>300</v>
      </c>
      <c r="P10061" s="1" t="s">
        <v>1454</v>
      </c>
      <c r="Q10061" s="30" t="s">
        <v>2818</v>
      </c>
      <c r="R10061" s="33" t="s">
        <v>3472</v>
      </c>
      <c r="S10061">
        <v>25</v>
      </c>
      <c r="T10061" s="1" t="s">
        <v>3744</v>
      </c>
      <c r="U10061" s="1" t="str">
        <f>HYPERLINK("http://ictvonline.org/taxonomy/p/taxonomy-history?taxnode_id=202102525","ICTVonline=202102525")</f>
        <v>ICTVonline=202102525</v>
      </c>
    </row>
    <row r="10062" spans="1:21" x14ac:dyDescent="0.2">
      <c r="A10062" s="3">
        <v>10061</v>
      </c>
      <c r="L10062" s="1" t="s">
        <v>298</v>
      </c>
      <c r="N10062" s="1" t="s">
        <v>300</v>
      </c>
      <c r="P10062" s="1" t="s">
        <v>1455</v>
      </c>
      <c r="Q10062" s="30" t="s">
        <v>2818</v>
      </c>
      <c r="R10062" s="33" t="s">
        <v>3472</v>
      </c>
      <c r="S10062">
        <v>25</v>
      </c>
      <c r="T10062" s="1" t="s">
        <v>3744</v>
      </c>
      <c r="U10062" s="1" t="str">
        <f>HYPERLINK("http://ictvonline.org/taxonomy/p/taxonomy-history?taxnode_id=202102526","ICTVonline=202102526")</f>
        <v>ICTVonline=202102526</v>
      </c>
    </row>
    <row r="10063" spans="1:21" x14ac:dyDescent="0.2">
      <c r="A10063" s="3">
        <v>10062</v>
      </c>
      <c r="L10063" s="1" t="s">
        <v>298</v>
      </c>
      <c r="N10063" s="1" t="s">
        <v>300</v>
      </c>
      <c r="P10063" s="1" t="s">
        <v>22</v>
      </c>
      <c r="Q10063" s="30" t="s">
        <v>2818</v>
      </c>
      <c r="R10063" s="33" t="s">
        <v>3472</v>
      </c>
      <c r="S10063">
        <v>26</v>
      </c>
      <c r="T10063" s="1" t="s">
        <v>3745</v>
      </c>
      <c r="U10063" s="1" t="str">
        <f>HYPERLINK("http://ictvonline.org/taxonomy/p/taxonomy-history?taxnode_id=202102527","ICTVonline=202102527")</f>
        <v>ICTVonline=202102527</v>
      </c>
    </row>
    <row r="10064" spans="1:21" x14ac:dyDescent="0.2">
      <c r="A10064" s="3">
        <v>10063</v>
      </c>
      <c r="L10064" s="1" t="s">
        <v>298</v>
      </c>
      <c r="N10064" s="1" t="s">
        <v>300</v>
      </c>
      <c r="P10064" s="1" t="s">
        <v>23</v>
      </c>
      <c r="Q10064" s="30" t="s">
        <v>2818</v>
      </c>
      <c r="R10064" s="33" t="s">
        <v>3472</v>
      </c>
      <c r="S10064">
        <v>26</v>
      </c>
      <c r="T10064" s="1" t="s">
        <v>3745</v>
      </c>
      <c r="U10064" s="1" t="str">
        <f>HYPERLINK("http://ictvonline.org/taxonomy/p/taxonomy-history?taxnode_id=202102528","ICTVonline=202102528")</f>
        <v>ICTVonline=202102528</v>
      </c>
    </row>
    <row r="10065" spans="1:21" x14ac:dyDescent="0.2">
      <c r="A10065" s="3">
        <v>10064</v>
      </c>
      <c r="L10065" s="1" t="s">
        <v>298</v>
      </c>
      <c r="N10065" s="1" t="s">
        <v>300</v>
      </c>
      <c r="P10065" s="1" t="s">
        <v>24</v>
      </c>
      <c r="Q10065" s="30" t="s">
        <v>2818</v>
      </c>
      <c r="R10065" s="33" t="s">
        <v>3472</v>
      </c>
      <c r="S10065">
        <v>26</v>
      </c>
      <c r="T10065" s="1" t="s">
        <v>3745</v>
      </c>
      <c r="U10065" s="1" t="str">
        <f>HYPERLINK("http://ictvonline.org/taxonomy/p/taxonomy-history?taxnode_id=202102529","ICTVonline=202102529")</f>
        <v>ICTVonline=202102529</v>
      </c>
    </row>
    <row r="10066" spans="1:21" x14ac:dyDescent="0.2">
      <c r="A10066" s="3">
        <v>10065</v>
      </c>
      <c r="L10066" s="1" t="s">
        <v>298</v>
      </c>
      <c r="N10066" s="1" t="s">
        <v>300</v>
      </c>
      <c r="P10066" s="1" t="s">
        <v>8481</v>
      </c>
      <c r="Q10066" s="30" t="s">
        <v>2818</v>
      </c>
      <c r="R10066" s="33" t="s">
        <v>3472</v>
      </c>
      <c r="S10066">
        <v>36</v>
      </c>
      <c r="T10066" s="1" t="s">
        <v>8474</v>
      </c>
      <c r="U10066" s="1" t="str">
        <f>HYPERLINK("http://ictvonline.org/taxonomy/p/taxonomy-history?taxnode_id=202109400","ICTVonline=202109400")</f>
        <v>ICTVonline=202109400</v>
      </c>
    </row>
    <row r="10067" spans="1:21" x14ac:dyDescent="0.2">
      <c r="A10067" s="3">
        <v>10066</v>
      </c>
      <c r="L10067" s="1" t="s">
        <v>298</v>
      </c>
      <c r="N10067" s="1" t="s">
        <v>300</v>
      </c>
      <c r="P10067" s="1" t="s">
        <v>8482</v>
      </c>
      <c r="Q10067" s="30" t="s">
        <v>2818</v>
      </c>
      <c r="R10067" s="33" t="s">
        <v>3472</v>
      </c>
      <c r="S10067">
        <v>36</v>
      </c>
      <c r="T10067" s="1" t="s">
        <v>8474</v>
      </c>
      <c r="U10067" s="1" t="str">
        <f>HYPERLINK("http://ictvonline.org/taxonomy/p/taxonomy-history?taxnode_id=202109401","ICTVonline=202109401")</f>
        <v>ICTVonline=202109401</v>
      </c>
    </row>
    <row r="10068" spans="1:21" x14ac:dyDescent="0.2">
      <c r="A10068" s="3">
        <v>10067</v>
      </c>
      <c r="L10068" s="1" t="s">
        <v>298</v>
      </c>
      <c r="N10068" s="1" t="s">
        <v>300</v>
      </c>
      <c r="P10068" s="1" t="s">
        <v>8483</v>
      </c>
      <c r="Q10068" s="30" t="s">
        <v>2818</v>
      </c>
      <c r="R10068" s="33" t="s">
        <v>3472</v>
      </c>
      <c r="S10068">
        <v>36</v>
      </c>
      <c r="T10068" s="1" t="s">
        <v>8474</v>
      </c>
      <c r="U10068" s="1" t="str">
        <f>HYPERLINK("http://ictvonline.org/taxonomy/p/taxonomy-history?taxnode_id=202109402","ICTVonline=202109402")</f>
        <v>ICTVonline=202109402</v>
      </c>
    </row>
    <row r="10069" spans="1:21" x14ac:dyDescent="0.2">
      <c r="A10069" s="3">
        <v>10068</v>
      </c>
      <c r="L10069" s="1" t="s">
        <v>298</v>
      </c>
      <c r="N10069" s="1" t="s">
        <v>300</v>
      </c>
      <c r="P10069" s="1" t="s">
        <v>8484</v>
      </c>
      <c r="Q10069" s="30" t="s">
        <v>2818</v>
      </c>
      <c r="R10069" s="33" t="s">
        <v>3472</v>
      </c>
      <c r="S10069">
        <v>36</v>
      </c>
      <c r="T10069" s="1" t="s">
        <v>8474</v>
      </c>
      <c r="U10069" s="1" t="str">
        <f>HYPERLINK("http://ictvonline.org/taxonomy/p/taxonomy-history?taxnode_id=202109403","ICTVonline=202109403")</f>
        <v>ICTVonline=202109403</v>
      </c>
    </row>
    <row r="10070" spans="1:21" x14ac:dyDescent="0.2">
      <c r="A10070" s="3">
        <v>10069</v>
      </c>
      <c r="L10070" s="1" t="s">
        <v>298</v>
      </c>
      <c r="N10070" s="1" t="s">
        <v>300</v>
      </c>
      <c r="P10070" s="1" t="s">
        <v>8485</v>
      </c>
      <c r="Q10070" s="30" t="s">
        <v>2818</v>
      </c>
      <c r="R10070" s="33" t="s">
        <v>3472</v>
      </c>
      <c r="S10070">
        <v>36</v>
      </c>
      <c r="T10070" s="1" t="s">
        <v>8474</v>
      </c>
      <c r="U10070" s="1" t="str">
        <f>HYPERLINK("http://ictvonline.org/taxonomy/p/taxonomy-history?taxnode_id=202109404","ICTVonline=202109404")</f>
        <v>ICTVonline=202109404</v>
      </c>
    </row>
    <row r="10071" spans="1:21" x14ac:dyDescent="0.2">
      <c r="A10071" s="3">
        <v>10070</v>
      </c>
      <c r="L10071" s="1" t="s">
        <v>298</v>
      </c>
      <c r="N10071" s="1" t="s">
        <v>300</v>
      </c>
      <c r="P10071" s="1" t="s">
        <v>8486</v>
      </c>
      <c r="Q10071" s="30" t="s">
        <v>2818</v>
      </c>
      <c r="R10071" s="33" t="s">
        <v>3472</v>
      </c>
      <c r="S10071">
        <v>36</v>
      </c>
      <c r="T10071" s="1" t="s">
        <v>8474</v>
      </c>
      <c r="U10071" s="1" t="str">
        <f>HYPERLINK("http://ictvonline.org/taxonomy/p/taxonomy-history?taxnode_id=202109405","ICTVonline=202109405")</f>
        <v>ICTVonline=202109405</v>
      </c>
    </row>
    <row r="10072" spans="1:21" x14ac:dyDescent="0.2">
      <c r="A10072" s="3">
        <v>10071</v>
      </c>
      <c r="L10072" s="1" t="s">
        <v>298</v>
      </c>
      <c r="N10072" s="1" t="s">
        <v>300</v>
      </c>
      <c r="P10072" s="1" t="s">
        <v>8487</v>
      </c>
      <c r="Q10072" s="30" t="s">
        <v>2818</v>
      </c>
      <c r="R10072" s="33" t="s">
        <v>3472</v>
      </c>
      <c r="S10072">
        <v>36</v>
      </c>
      <c r="T10072" s="1" t="s">
        <v>8474</v>
      </c>
      <c r="U10072" s="1" t="str">
        <f>HYPERLINK("http://ictvonline.org/taxonomy/p/taxonomy-history?taxnode_id=202109406","ICTVonline=202109406")</f>
        <v>ICTVonline=202109406</v>
      </c>
    </row>
    <row r="10073" spans="1:21" x14ac:dyDescent="0.2">
      <c r="A10073" s="3">
        <v>10072</v>
      </c>
      <c r="L10073" s="1" t="s">
        <v>298</v>
      </c>
      <c r="N10073" s="1" t="s">
        <v>300</v>
      </c>
      <c r="P10073" s="1" t="s">
        <v>8488</v>
      </c>
      <c r="Q10073" s="30" t="s">
        <v>2818</v>
      </c>
      <c r="R10073" s="33" t="s">
        <v>3472</v>
      </c>
      <c r="S10073">
        <v>36</v>
      </c>
      <c r="T10073" s="1" t="s">
        <v>8474</v>
      </c>
      <c r="U10073" s="1" t="str">
        <f>HYPERLINK("http://ictvonline.org/taxonomy/p/taxonomy-history?taxnode_id=202109407","ICTVonline=202109407")</f>
        <v>ICTVonline=202109407</v>
      </c>
    </row>
    <row r="10074" spans="1:21" x14ac:dyDescent="0.2">
      <c r="A10074" s="3">
        <v>10073</v>
      </c>
      <c r="L10074" s="1" t="s">
        <v>298</v>
      </c>
      <c r="N10074" s="1" t="s">
        <v>300</v>
      </c>
      <c r="P10074" s="1" t="s">
        <v>8489</v>
      </c>
      <c r="Q10074" s="30" t="s">
        <v>2818</v>
      </c>
      <c r="R10074" s="33" t="s">
        <v>3472</v>
      </c>
      <c r="S10074">
        <v>36</v>
      </c>
      <c r="T10074" s="1" t="s">
        <v>8474</v>
      </c>
      <c r="U10074" s="1" t="str">
        <f>HYPERLINK("http://ictvonline.org/taxonomy/p/taxonomy-history?taxnode_id=202109408","ICTVonline=202109408")</f>
        <v>ICTVonline=202109408</v>
      </c>
    </row>
    <row r="10075" spans="1:21" x14ac:dyDescent="0.2">
      <c r="A10075" s="3">
        <v>10074</v>
      </c>
      <c r="L10075" s="1" t="s">
        <v>298</v>
      </c>
      <c r="N10075" s="1" t="s">
        <v>300</v>
      </c>
      <c r="P10075" s="1" t="s">
        <v>8490</v>
      </c>
      <c r="Q10075" s="30" t="s">
        <v>2818</v>
      </c>
      <c r="R10075" s="33" t="s">
        <v>3472</v>
      </c>
      <c r="S10075">
        <v>36</v>
      </c>
      <c r="T10075" s="1" t="s">
        <v>8474</v>
      </c>
      <c r="U10075" s="1" t="str">
        <f>HYPERLINK("http://ictvonline.org/taxonomy/p/taxonomy-history?taxnode_id=202109409","ICTVonline=202109409")</f>
        <v>ICTVonline=202109409</v>
      </c>
    </row>
    <row r="10076" spans="1:21" x14ac:dyDescent="0.2">
      <c r="A10076" s="3">
        <v>10075</v>
      </c>
      <c r="L10076" s="1" t="s">
        <v>298</v>
      </c>
      <c r="N10076" s="1" t="s">
        <v>300</v>
      </c>
      <c r="P10076" s="1" t="s">
        <v>8491</v>
      </c>
      <c r="Q10076" s="30" t="s">
        <v>2818</v>
      </c>
      <c r="R10076" s="33" t="s">
        <v>3472</v>
      </c>
      <c r="S10076">
        <v>36</v>
      </c>
      <c r="T10076" s="1" t="s">
        <v>8474</v>
      </c>
      <c r="U10076" s="1" t="str">
        <f>HYPERLINK("http://ictvonline.org/taxonomy/p/taxonomy-history?taxnode_id=202109410","ICTVonline=202109410")</f>
        <v>ICTVonline=202109410</v>
      </c>
    </row>
    <row r="10077" spans="1:21" x14ac:dyDescent="0.2">
      <c r="A10077" s="3">
        <v>10076</v>
      </c>
      <c r="L10077" s="1" t="s">
        <v>298</v>
      </c>
      <c r="N10077" s="1" t="s">
        <v>300</v>
      </c>
      <c r="P10077" s="1" t="s">
        <v>8492</v>
      </c>
      <c r="Q10077" s="30" t="s">
        <v>2818</v>
      </c>
      <c r="R10077" s="33" t="s">
        <v>3472</v>
      </c>
      <c r="S10077">
        <v>36</v>
      </c>
      <c r="T10077" s="1" t="s">
        <v>8474</v>
      </c>
      <c r="U10077" s="1" t="str">
        <f>HYPERLINK("http://ictvonline.org/taxonomy/p/taxonomy-history?taxnode_id=202109411","ICTVonline=202109411")</f>
        <v>ICTVonline=202109411</v>
      </c>
    </row>
    <row r="10078" spans="1:21" x14ac:dyDescent="0.2">
      <c r="A10078" s="3">
        <v>10077</v>
      </c>
      <c r="L10078" s="1" t="s">
        <v>298</v>
      </c>
      <c r="N10078" s="1" t="s">
        <v>300</v>
      </c>
      <c r="P10078" s="1" t="s">
        <v>8493</v>
      </c>
      <c r="Q10078" s="30" t="s">
        <v>2818</v>
      </c>
      <c r="R10078" s="33" t="s">
        <v>3472</v>
      </c>
      <c r="S10078">
        <v>36</v>
      </c>
      <c r="T10078" s="1" t="s">
        <v>8474</v>
      </c>
      <c r="U10078" s="1" t="str">
        <f>HYPERLINK("http://ictvonline.org/taxonomy/p/taxonomy-history?taxnode_id=202109412","ICTVonline=202109412")</f>
        <v>ICTVonline=202109412</v>
      </c>
    </row>
    <row r="10079" spans="1:21" x14ac:dyDescent="0.2">
      <c r="A10079" s="3">
        <v>10078</v>
      </c>
      <c r="L10079" s="1" t="s">
        <v>298</v>
      </c>
      <c r="N10079" s="1" t="s">
        <v>300</v>
      </c>
      <c r="P10079" s="1" t="s">
        <v>8494</v>
      </c>
      <c r="Q10079" s="30" t="s">
        <v>2818</v>
      </c>
      <c r="R10079" s="33" t="s">
        <v>3472</v>
      </c>
      <c r="S10079">
        <v>36</v>
      </c>
      <c r="T10079" s="1" t="s">
        <v>8474</v>
      </c>
      <c r="U10079" s="1" t="str">
        <f>HYPERLINK("http://ictvonline.org/taxonomy/p/taxonomy-history?taxnode_id=202109413","ICTVonline=202109413")</f>
        <v>ICTVonline=202109413</v>
      </c>
    </row>
    <row r="10080" spans="1:21" x14ac:dyDescent="0.2">
      <c r="A10080" s="3">
        <v>10079</v>
      </c>
      <c r="L10080" s="1" t="s">
        <v>298</v>
      </c>
      <c r="N10080" s="1" t="s">
        <v>300</v>
      </c>
      <c r="P10080" s="1" t="s">
        <v>8495</v>
      </c>
      <c r="Q10080" s="30" t="s">
        <v>2818</v>
      </c>
      <c r="R10080" s="33" t="s">
        <v>3472</v>
      </c>
      <c r="S10080">
        <v>36</v>
      </c>
      <c r="T10080" s="1" t="s">
        <v>8474</v>
      </c>
      <c r="U10080" s="1" t="str">
        <f>HYPERLINK("http://ictvonline.org/taxonomy/p/taxonomy-history?taxnode_id=202109414","ICTVonline=202109414")</f>
        <v>ICTVonline=202109414</v>
      </c>
    </row>
    <row r="10081" spans="1:21" x14ac:dyDescent="0.2">
      <c r="A10081" s="3">
        <v>10080</v>
      </c>
      <c r="L10081" s="1" t="s">
        <v>298</v>
      </c>
      <c r="N10081" s="1" t="s">
        <v>300</v>
      </c>
      <c r="P10081" s="1" t="s">
        <v>8496</v>
      </c>
      <c r="Q10081" s="30" t="s">
        <v>2818</v>
      </c>
      <c r="R10081" s="33" t="s">
        <v>3472</v>
      </c>
      <c r="S10081">
        <v>36</v>
      </c>
      <c r="T10081" s="1" t="s">
        <v>8474</v>
      </c>
      <c r="U10081" s="1" t="str">
        <f>HYPERLINK("http://ictvonline.org/taxonomy/p/taxonomy-history?taxnode_id=202109415","ICTVonline=202109415")</f>
        <v>ICTVonline=202109415</v>
      </c>
    </row>
    <row r="10082" spans="1:21" x14ac:dyDescent="0.2">
      <c r="A10082" s="3">
        <v>10081</v>
      </c>
      <c r="L10082" s="1" t="s">
        <v>298</v>
      </c>
      <c r="N10082" s="1" t="s">
        <v>300</v>
      </c>
      <c r="P10082" s="1" t="s">
        <v>8497</v>
      </c>
      <c r="Q10082" s="30" t="s">
        <v>2818</v>
      </c>
      <c r="R10082" s="33" t="s">
        <v>3472</v>
      </c>
      <c r="S10082">
        <v>36</v>
      </c>
      <c r="T10082" s="1" t="s">
        <v>8474</v>
      </c>
      <c r="U10082" s="1" t="str">
        <f>HYPERLINK("http://ictvonline.org/taxonomy/p/taxonomy-history?taxnode_id=202109416","ICTVonline=202109416")</f>
        <v>ICTVonline=202109416</v>
      </c>
    </row>
    <row r="10083" spans="1:21" x14ac:dyDescent="0.2">
      <c r="A10083" s="3">
        <v>10082</v>
      </c>
      <c r="L10083" s="1" t="s">
        <v>298</v>
      </c>
      <c r="N10083" s="1" t="s">
        <v>300</v>
      </c>
      <c r="P10083" s="1" t="s">
        <v>8498</v>
      </c>
      <c r="Q10083" s="30" t="s">
        <v>2818</v>
      </c>
      <c r="R10083" s="33" t="s">
        <v>3472</v>
      </c>
      <c r="S10083">
        <v>36</v>
      </c>
      <c r="T10083" s="1" t="s">
        <v>8474</v>
      </c>
      <c r="U10083" s="1" t="str">
        <f>HYPERLINK("http://ictvonline.org/taxonomy/p/taxonomy-history?taxnode_id=202109417","ICTVonline=202109417")</f>
        <v>ICTVonline=202109417</v>
      </c>
    </row>
    <row r="10084" spans="1:21" x14ac:dyDescent="0.2">
      <c r="A10084" s="3">
        <v>10083</v>
      </c>
      <c r="L10084" s="1" t="s">
        <v>298</v>
      </c>
      <c r="N10084" s="1" t="s">
        <v>300</v>
      </c>
      <c r="P10084" s="1" t="s">
        <v>8499</v>
      </c>
      <c r="Q10084" s="30" t="s">
        <v>2818</v>
      </c>
      <c r="R10084" s="33" t="s">
        <v>3472</v>
      </c>
      <c r="S10084">
        <v>36</v>
      </c>
      <c r="T10084" s="1" t="s">
        <v>8474</v>
      </c>
      <c r="U10084" s="1" t="str">
        <f>HYPERLINK("http://ictvonline.org/taxonomy/p/taxonomy-history?taxnode_id=202109418","ICTVonline=202109418")</f>
        <v>ICTVonline=202109418</v>
      </c>
    </row>
    <row r="10085" spans="1:21" x14ac:dyDescent="0.2">
      <c r="A10085" s="3">
        <v>10084</v>
      </c>
      <c r="L10085" s="1" t="s">
        <v>298</v>
      </c>
      <c r="N10085" s="1" t="s">
        <v>300</v>
      </c>
      <c r="P10085" s="1" t="s">
        <v>8500</v>
      </c>
      <c r="Q10085" s="30" t="s">
        <v>2818</v>
      </c>
      <c r="R10085" s="33" t="s">
        <v>3472</v>
      </c>
      <c r="S10085">
        <v>36</v>
      </c>
      <c r="T10085" s="1" t="s">
        <v>8474</v>
      </c>
      <c r="U10085" s="1" t="str">
        <f>HYPERLINK("http://ictvonline.org/taxonomy/p/taxonomy-history?taxnode_id=202109419","ICTVonline=202109419")</f>
        <v>ICTVonline=202109419</v>
      </c>
    </row>
    <row r="10086" spans="1:21" x14ac:dyDescent="0.2">
      <c r="A10086" s="3">
        <v>10085</v>
      </c>
      <c r="L10086" s="1" t="s">
        <v>298</v>
      </c>
      <c r="N10086" s="1" t="s">
        <v>300</v>
      </c>
      <c r="P10086" s="1" t="s">
        <v>8501</v>
      </c>
      <c r="Q10086" s="30" t="s">
        <v>2818</v>
      </c>
      <c r="R10086" s="33" t="s">
        <v>3472</v>
      </c>
      <c r="S10086">
        <v>36</v>
      </c>
      <c r="T10086" s="1" t="s">
        <v>8474</v>
      </c>
      <c r="U10086" s="1" t="str">
        <f>HYPERLINK("http://ictvonline.org/taxonomy/p/taxonomy-history?taxnode_id=202109420","ICTVonline=202109420")</f>
        <v>ICTVonline=202109420</v>
      </c>
    </row>
    <row r="10087" spans="1:21" x14ac:dyDescent="0.2">
      <c r="A10087" s="3">
        <v>10086</v>
      </c>
      <c r="L10087" s="1" t="s">
        <v>298</v>
      </c>
      <c r="N10087" s="1" t="s">
        <v>300</v>
      </c>
      <c r="P10087" s="1" t="s">
        <v>8502</v>
      </c>
      <c r="Q10087" s="30" t="s">
        <v>2818</v>
      </c>
      <c r="R10087" s="33" t="s">
        <v>3472</v>
      </c>
      <c r="S10087">
        <v>36</v>
      </c>
      <c r="T10087" s="1" t="s">
        <v>8474</v>
      </c>
      <c r="U10087" s="1" t="str">
        <f>HYPERLINK("http://ictvonline.org/taxonomy/p/taxonomy-history?taxnode_id=202109421","ICTVonline=202109421")</f>
        <v>ICTVonline=202109421</v>
      </c>
    </row>
    <row r="10088" spans="1:21" x14ac:dyDescent="0.2">
      <c r="A10088" s="3">
        <v>10087</v>
      </c>
      <c r="L10088" s="1" t="s">
        <v>298</v>
      </c>
      <c r="N10088" s="1" t="s">
        <v>300</v>
      </c>
      <c r="P10088" s="1" t="s">
        <v>8503</v>
      </c>
      <c r="Q10088" s="30" t="s">
        <v>2818</v>
      </c>
      <c r="R10088" s="33" t="s">
        <v>3472</v>
      </c>
      <c r="S10088">
        <v>36</v>
      </c>
      <c r="T10088" s="1" t="s">
        <v>8474</v>
      </c>
      <c r="U10088" s="1" t="str">
        <f>HYPERLINK("http://ictvonline.org/taxonomy/p/taxonomy-history?taxnode_id=202109422","ICTVonline=202109422")</f>
        <v>ICTVonline=202109422</v>
      </c>
    </row>
    <row r="10089" spans="1:21" x14ac:dyDescent="0.2">
      <c r="A10089" s="3">
        <v>10088</v>
      </c>
      <c r="L10089" s="1" t="s">
        <v>298</v>
      </c>
      <c r="N10089" s="1" t="s">
        <v>300</v>
      </c>
      <c r="P10089" s="1" t="s">
        <v>8504</v>
      </c>
      <c r="Q10089" s="30" t="s">
        <v>2818</v>
      </c>
      <c r="R10089" s="33" t="s">
        <v>3472</v>
      </c>
      <c r="S10089">
        <v>36</v>
      </c>
      <c r="T10089" s="1" t="s">
        <v>8474</v>
      </c>
      <c r="U10089" s="1" t="str">
        <f>HYPERLINK("http://ictvonline.org/taxonomy/p/taxonomy-history?taxnode_id=202109423","ICTVonline=202109423")</f>
        <v>ICTVonline=202109423</v>
      </c>
    </row>
    <row r="10090" spans="1:21" x14ac:dyDescent="0.2">
      <c r="A10090" s="3">
        <v>10089</v>
      </c>
      <c r="L10090" s="1" t="s">
        <v>298</v>
      </c>
      <c r="N10090" s="1" t="s">
        <v>300</v>
      </c>
      <c r="P10090" s="1" t="s">
        <v>8505</v>
      </c>
      <c r="Q10090" s="30" t="s">
        <v>2818</v>
      </c>
      <c r="R10090" s="33" t="s">
        <v>3472</v>
      </c>
      <c r="S10090">
        <v>36</v>
      </c>
      <c r="T10090" s="1" t="s">
        <v>8474</v>
      </c>
      <c r="U10090" s="1" t="str">
        <f>HYPERLINK("http://ictvonline.org/taxonomy/p/taxonomy-history?taxnode_id=202109424","ICTVonline=202109424")</f>
        <v>ICTVonline=202109424</v>
      </c>
    </row>
    <row r="10091" spans="1:21" x14ac:dyDescent="0.2">
      <c r="A10091" s="3">
        <v>10090</v>
      </c>
      <c r="L10091" s="1" t="s">
        <v>298</v>
      </c>
      <c r="N10091" s="1" t="s">
        <v>300</v>
      </c>
      <c r="P10091" s="1" t="s">
        <v>8506</v>
      </c>
      <c r="Q10091" s="30" t="s">
        <v>2818</v>
      </c>
      <c r="R10091" s="33" t="s">
        <v>3472</v>
      </c>
      <c r="S10091">
        <v>36</v>
      </c>
      <c r="T10091" s="1" t="s">
        <v>8474</v>
      </c>
      <c r="U10091" s="1" t="str">
        <f>HYPERLINK("http://ictvonline.org/taxonomy/p/taxonomy-history?taxnode_id=202109425","ICTVonline=202109425")</f>
        <v>ICTVonline=202109425</v>
      </c>
    </row>
    <row r="10092" spans="1:21" x14ac:dyDescent="0.2">
      <c r="A10092" s="3">
        <v>10091</v>
      </c>
      <c r="L10092" s="1" t="s">
        <v>298</v>
      </c>
      <c r="N10092" s="1" t="s">
        <v>8507</v>
      </c>
      <c r="P10092" s="1" t="s">
        <v>8508</v>
      </c>
      <c r="Q10092" s="30" t="s">
        <v>2818</v>
      </c>
      <c r="R10092" s="33" t="s">
        <v>3472</v>
      </c>
      <c r="S10092">
        <v>36</v>
      </c>
      <c r="T10092" s="1" t="s">
        <v>8474</v>
      </c>
      <c r="U10092" s="1" t="str">
        <f>HYPERLINK("http://ictvonline.org/taxonomy/p/taxonomy-history?taxnode_id=202109427","ICTVonline=202109427")</f>
        <v>ICTVonline=202109427</v>
      </c>
    </row>
    <row r="10093" spans="1:21" x14ac:dyDescent="0.2">
      <c r="A10093" s="3">
        <v>10092</v>
      </c>
      <c r="L10093" s="1" t="s">
        <v>298</v>
      </c>
      <c r="N10093" s="1" t="s">
        <v>8509</v>
      </c>
      <c r="P10093" s="1" t="s">
        <v>8510</v>
      </c>
      <c r="Q10093" s="30" t="s">
        <v>2818</v>
      </c>
      <c r="R10093" s="33" t="s">
        <v>3472</v>
      </c>
      <c r="S10093">
        <v>36</v>
      </c>
      <c r="T10093" s="1" t="s">
        <v>8474</v>
      </c>
      <c r="U10093" s="1" t="str">
        <f>HYPERLINK("http://ictvonline.org/taxonomy/p/taxonomy-history?taxnode_id=202109429","ICTVonline=202109429")</f>
        <v>ICTVonline=202109429</v>
      </c>
    </row>
    <row r="10094" spans="1:21" x14ac:dyDescent="0.2">
      <c r="A10094" s="3">
        <v>10093</v>
      </c>
      <c r="L10094" s="1" t="s">
        <v>298</v>
      </c>
      <c r="N10094" s="1" t="s">
        <v>302</v>
      </c>
      <c r="P10094" s="1" t="s">
        <v>1460</v>
      </c>
      <c r="Q10094" s="30" t="s">
        <v>2818</v>
      </c>
      <c r="R10094" s="33" t="s">
        <v>8665</v>
      </c>
      <c r="S10094">
        <v>36</v>
      </c>
      <c r="T10094" s="1" t="s">
        <v>8661</v>
      </c>
      <c r="U10094" s="1" t="str">
        <f>HYPERLINK("http://ictvonline.org/taxonomy/p/taxonomy-history?taxnode_id=202102531","ICTVonline=202102531")</f>
        <v>ICTVonline=202102531</v>
      </c>
    </row>
    <row r="10095" spans="1:21" x14ac:dyDescent="0.2">
      <c r="A10095" s="3">
        <v>10094</v>
      </c>
      <c r="L10095" s="1" t="s">
        <v>298</v>
      </c>
      <c r="N10095" s="1" t="s">
        <v>1576</v>
      </c>
      <c r="P10095" s="1" t="s">
        <v>468</v>
      </c>
      <c r="Q10095" s="30" t="s">
        <v>2818</v>
      </c>
      <c r="R10095" s="33" t="s">
        <v>8665</v>
      </c>
      <c r="S10095">
        <v>36</v>
      </c>
      <c r="T10095" s="1" t="s">
        <v>8661</v>
      </c>
      <c r="U10095" s="1" t="str">
        <f>HYPERLINK("http://ictvonline.org/taxonomy/p/taxonomy-history?taxnode_id=202102533","ICTVonline=202102533")</f>
        <v>ICTVonline=202102533</v>
      </c>
    </row>
    <row r="10096" spans="1:21" x14ac:dyDescent="0.2">
      <c r="A10096" s="3">
        <v>10095</v>
      </c>
      <c r="L10096" s="1" t="s">
        <v>298</v>
      </c>
      <c r="N10096" s="1" t="s">
        <v>1578</v>
      </c>
      <c r="P10096" s="1" t="s">
        <v>8511</v>
      </c>
      <c r="Q10096" s="30" t="s">
        <v>2818</v>
      </c>
      <c r="R10096" s="33" t="s">
        <v>8666</v>
      </c>
      <c r="S10096">
        <v>36</v>
      </c>
      <c r="T10096" s="1" t="s">
        <v>8679</v>
      </c>
      <c r="U10096" s="1" t="str">
        <f>HYPERLINK("http://ictvonline.org/taxonomy/p/taxonomy-history?taxnode_id=202102535","ICTVonline=202102535")</f>
        <v>ICTVonline=202102535</v>
      </c>
    </row>
    <row r="10097" spans="1:21" x14ac:dyDescent="0.2">
      <c r="A10097" s="3">
        <v>10096</v>
      </c>
      <c r="L10097" s="1" t="s">
        <v>298</v>
      </c>
      <c r="N10097" s="1" t="s">
        <v>1578</v>
      </c>
      <c r="P10097" s="1" t="s">
        <v>8512</v>
      </c>
      <c r="Q10097" s="30" t="s">
        <v>2818</v>
      </c>
      <c r="R10097" s="33" t="s">
        <v>3475</v>
      </c>
      <c r="S10097">
        <v>36</v>
      </c>
      <c r="T10097" s="1" t="s">
        <v>8474</v>
      </c>
      <c r="U10097" s="1" t="str">
        <f>HYPERLINK("http://ictvonline.org/taxonomy/p/taxonomy-history?taxnode_id=202102536","ICTVonline=202102536")</f>
        <v>ICTVonline=202102536</v>
      </c>
    </row>
    <row r="10098" spans="1:21" x14ac:dyDescent="0.2">
      <c r="A10098" s="3">
        <v>10097</v>
      </c>
      <c r="L10098" s="1" t="s">
        <v>298</v>
      </c>
      <c r="N10098" s="1" t="s">
        <v>1578</v>
      </c>
      <c r="P10098" s="1" t="s">
        <v>8513</v>
      </c>
      <c r="Q10098" s="30" t="s">
        <v>2818</v>
      </c>
      <c r="R10098" s="33" t="s">
        <v>3472</v>
      </c>
      <c r="S10098">
        <v>36</v>
      </c>
      <c r="T10098" s="1" t="s">
        <v>8474</v>
      </c>
      <c r="U10098" s="1" t="str">
        <f>HYPERLINK("http://ictvonline.org/taxonomy/p/taxonomy-history?taxnode_id=202109430","ICTVonline=202109430")</f>
        <v>ICTVonline=202109430</v>
      </c>
    </row>
    <row r="10099" spans="1:21" x14ac:dyDescent="0.2">
      <c r="A10099" s="3">
        <v>10098</v>
      </c>
      <c r="L10099" s="1" t="s">
        <v>298</v>
      </c>
      <c r="N10099" s="1" t="s">
        <v>1578</v>
      </c>
      <c r="P10099" s="1" t="s">
        <v>8514</v>
      </c>
      <c r="Q10099" s="30" t="s">
        <v>2818</v>
      </c>
      <c r="R10099" s="33" t="s">
        <v>3472</v>
      </c>
      <c r="S10099">
        <v>36</v>
      </c>
      <c r="T10099" s="1" t="s">
        <v>8474</v>
      </c>
      <c r="U10099" s="1" t="str">
        <f>HYPERLINK("http://ictvonline.org/taxonomy/p/taxonomy-history?taxnode_id=202109431","ICTVonline=202109431")</f>
        <v>ICTVonline=202109431</v>
      </c>
    </row>
    <row r="10100" spans="1:21" x14ac:dyDescent="0.2">
      <c r="A10100" s="3">
        <v>10099</v>
      </c>
      <c r="L10100" s="1" t="s">
        <v>298</v>
      </c>
      <c r="N10100" s="1" t="s">
        <v>1578</v>
      </c>
      <c r="P10100" s="1" t="s">
        <v>8556</v>
      </c>
      <c r="Q10100" s="30" t="s">
        <v>2818</v>
      </c>
      <c r="R10100" s="33" t="s">
        <v>3474</v>
      </c>
      <c r="S10100">
        <v>37</v>
      </c>
      <c r="T10100" s="1" t="s">
        <v>14074</v>
      </c>
      <c r="U10100" s="1" t="str">
        <f>HYPERLINK("http://ictvonline.org/taxonomy/p/taxonomy-history?taxnode_id=202109456","ICTVonline=202109456")</f>
        <v>ICTVonline=202109456</v>
      </c>
    </row>
    <row r="10101" spans="1:21" x14ac:dyDescent="0.2">
      <c r="A10101" s="3">
        <v>10100</v>
      </c>
      <c r="L10101" s="1" t="s">
        <v>298</v>
      </c>
      <c r="N10101" s="1" t="s">
        <v>1578</v>
      </c>
      <c r="P10101" s="1" t="s">
        <v>8515</v>
      </c>
      <c r="Q10101" s="30" t="s">
        <v>2818</v>
      </c>
      <c r="R10101" s="33" t="s">
        <v>3472</v>
      </c>
      <c r="S10101">
        <v>36</v>
      </c>
      <c r="T10101" s="1" t="s">
        <v>8474</v>
      </c>
      <c r="U10101" s="1" t="str">
        <f>HYPERLINK("http://ictvonline.org/taxonomy/p/taxonomy-history?taxnode_id=202109432","ICTVonline=202109432")</f>
        <v>ICTVonline=202109432</v>
      </c>
    </row>
    <row r="10102" spans="1:21" x14ac:dyDescent="0.2">
      <c r="A10102" s="3">
        <v>10101</v>
      </c>
      <c r="L10102" s="1" t="s">
        <v>298</v>
      </c>
      <c r="N10102" s="1" t="s">
        <v>301</v>
      </c>
      <c r="P10102" s="1" t="s">
        <v>1755</v>
      </c>
      <c r="Q10102" s="30" t="s">
        <v>2818</v>
      </c>
      <c r="R10102" s="33" t="s">
        <v>8665</v>
      </c>
      <c r="S10102">
        <v>36</v>
      </c>
      <c r="T10102" s="1" t="s">
        <v>8661</v>
      </c>
      <c r="U10102" s="1" t="str">
        <f>HYPERLINK("http://ictvonline.org/taxonomy/p/taxonomy-history?taxnode_id=202102538","ICTVonline=202102538")</f>
        <v>ICTVonline=202102538</v>
      </c>
    </row>
    <row r="10103" spans="1:21" x14ac:dyDescent="0.2">
      <c r="A10103" s="3">
        <v>10102</v>
      </c>
      <c r="L10103" s="1" t="s">
        <v>298</v>
      </c>
      <c r="N10103" s="1" t="s">
        <v>301</v>
      </c>
      <c r="P10103" s="1" t="s">
        <v>1756</v>
      </c>
      <c r="Q10103" s="30" t="s">
        <v>2818</v>
      </c>
      <c r="R10103" s="33" t="s">
        <v>3472</v>
      </c>
      <c r="S10103">
        <v>25</v>
      </c>
      <c r="T10103" s="1" t="s">
        <v>3744</v>
      </c>
      <c r="U10103" s="1" t="str">
        <f>HYPERLINK("http://ictvonline.org/taxonomy/p/taxonomy-history?taxnode_id=202102539","ICTVonline=202102539")</f>
        <v>ICTVonline=202102539</v>
      </c>
    </row>
    <row r="10104" spans="1:21" x14ac:dyDescent="0.2">
      <c r="A10104" s="3">
        <v>10103</v>
      </c>
      <c r="L10104" s="1" t="s">
        <v>298</v>
      </c>
      <c r="N10104" s="1" t="s">
        <v>301</v>
      </c>
      <c r="P10104" s="1" t="s">
        <v>31</v>
      </c>
      <c r="Q10104" s="30" t="s">
        <v>2818</v>
      </c>
      <c r="R10104" s="33" t="s">
        <v>3472</v>
      </c>
      <c r="S10104">
        <v>26</v>
      </c>
      <c r="T10104" s="1" t="s">
        <v>3746</v>
      </c>
      <c r="U10104" s="1" t="str">
        <f>HYPERLINK("http://ictvonline.org/taxonomy/p/taxonomy-history?taxnode_id=202102540","ICTVonline=202102540")</f>
        <v>ICTVonline=202102540</v>
      </c>
    </row>
    <row r="10105" spans="1:21" x14ac:dyDescent="0.2">
      <c r="A10105" s="3">
        <v>10104</v>
      </c>
      <c r="L10105" s="1" t="s">
        <v>298</v>
      </c>
      <c r="N10105" s="1" t="s">
        <v>301</v>
      </c>
      <c r="P10105" s="1" t="s">
        <v>32</v>
      </c>
      <c r="Q10105" s="30" t="s">
        <v>2818</v>
      </c>
      <c r="R10105" s="33" t="s">
        <v>3472</v>
      </c>
      <c r="S10105">
        <v>26</v>
      </c>
      <c r="T10105" s="1" t="s">
        <v>3746</v>
      </c>
      <c r="U10105" s="1" t="str">
        <f>HYPERLINK("http://ictvonline.org/taxonomy/p/taxonomy-history?taxnode_id=202102541","ICTVonline=202102541")</f>
        <v>ICTVonline=202102541</v>
      </c>
    </row>
    <row r="10106" spans="1:21" x14ac:dyDescent="0.2">
      <c r="A10106" s="3">
        <v>10105</v>
      </c>
      <c r="L10106" s="1" t="s">
        <v>298</v>
      </c>
      <c r="N10106" s="1" t="s">
        <v>301</v>
      </c>
      <c r="P10106" s="1" t="s">
        <v>33</v>
      </c>
      <c r="Q10106" s="30" t="s">
        <v>2818</v>
      </c>
      <c r="R10106" s="33" t="s">
        <v>3472</v>
      </c>
      <c r="S10106">
        <v>26</v>
      </c>
      <c r="T10106" s="1" t="s">
        <v>3746</v>
      </c>
      <c r="U10106" s="1" t="str">
        <f>HYPERLINK("http://ictvonline.org/taxonomy/p/taxonomy-history?taxnode_id=202102542","ICTVonline=202102542")</f>
        <v>ICTVonline=202102542</v>
      </c>
    </row>
    <row r="10107" spans="1:21" x14ac:dyDescent="0.2">
      <c r="A10107" s="3">
        <v>10106</v>
      </c>
      <c r="L10107" s="1" t="s">
        <v>298</v>
      </c>
      <c r="N10107" s="1" t="s">
        <v>301</v>
      </c>
      <c r="P10107" s="1" t="s">
        <v>34</v>
      </c>
      <c r="Q10107" s="30" t="s">
        <v>2818</v>
      </c>
      <c r="R10107" s="33" t="s">
        <v>3472</v>
      </c>
      <c r="S10107">
        <v>26</v>
      </c>
      <c r="T10107" s="1" t="s">
        <v>3746</v>
      </c>
      <c r="U10107" s="1" t="str">
        <f>HYPERLINK("http://ictvonline.org/taxonomy/p/taxonomy-history?taxnode_id=202102543","ICTVonline=202102543")</f>
        <v>ICTVonline=202102543</v>
      </c>
    </row>
    <row r="10108" spans="1:21" x14ac:dyDescent="0.2">
      <c r="A10108" s="3">
        <v>10107</v>
      </c>
      <c r="L10108" s="1" t="s">
        <v>298</v>
      </c>
      <c r="N10108" s="1" t="s">
        <v>301</v>
      </c>
      <c r="P10108" s="1" t="s">
        <v>35</v>
      </c>
      <c r="Q10108" s="30" t="s">
        <v>2818</v>
      </c>
      <c r="R10108" s="33" t="s">
        <v>3472</v>
      </c>
      <c r="S10108">
        <v>26</v>
      </c>
      <c r="T10108" s="1" t="s">
        <v>3746</v>
      </c>
      <c r="U10108" s="1" t="str">
        <f>HYPERLINK("http://ictvonline.org/taxonomy/p/taxonomy-history?taxnode_id=202102544","ICTVonline=202102544")</f>
        <v>ICTVonline=202102544</v>
      </c>
    </row>
    <row r="10109" spans="1:21" x14ac:dyDescent="0.2">
      <c r="A10109" s="3">
        <v>10108</v>
      </c>
      <c r="L10109" s="1" t="s">
        <v>298</v>
      </c>
      <c r="N10109" s="1" t="s">
        <v>301</v>
      </c>
      <c r="P10109" s="1" t="s">
        <v>36</v>
      </c>
      <c r="Q10109" s="30" t="s">
        <v>2818</v>
      </c>
      <c r="R10109" s="33" t="s">
        <v>3472</v>
      </c>
      <c r="S10109">
        <v>26</v>
      </c>
      <c r="T10109" s="1" t="s">
        <v>3746</v>
      </c>
      <c r="U10109" s="1" t="str">
        <f>HYPERLINK("http://ictvonline.org/taxonomy/p/taxonomy-history?taxnode_id=202102545","ICTVonline=202102545")</f>
        <v>ICTVonline=202102545</v>
      </c>
    </row>
    <row r="10110" spans="1:21" x14ac:dyDescent="0.2">
      <c r="A10110" s="3">
        <v>10109</v>
      </c>
      <c r="L10110" s="1" t="s">
        <v>298</v>
      </c>
      <c r="N10110" s="1" t="s">
        <v>301</v>
      </c>
      <c r="P10110" s="1" t="s">
        <v>37</v>
      </c>
      <c r="Q10110" s="30" t="s">
        <v>2818</v>
      </c>
      <c r="R10110" s="33" t="s">
        <v>3472</v>
      </c>
      <c r="S10110">
        <v>26</v>
      </c>
      <c r="T10110" s="1" t="s">
        <v>3746</v>
      </c>
      <c r="U10110" s="1" t="str">
        <f>HYPERLINK("http://ictvonline.org/taxonomy/p/taxonomy-history?taxnode_id=202102546","ICTVonline=202102546")</f>
        <v>ICTVonline=202102546</v>
      </c>
    </row>
    <row r="10111" spans="1:21" x14ac:dyDescent="0.2">
      <c r="A10111" s="3">
        <v>10110</v>
      </c>
      <c r="L10111" s="1" t="s">
        <v>298</v>
      </c>
      <c r="N10111" s="1" t="s">
        <v>301</v>
      </c>
      <c r="P10111" s="1" t="s">
        <v>25</v>
      </c>
      <c r="Q10111" s="30" t="s">
        <v>2818</v>
      </c>
      <c r="R10111" s="33" t="s">
        <v>3472</v>
      </c>
      <c r="S10111">
        <v>26</v>
      </c>
      <c r="T10111" s="1" t="s">
        <v>3746</v>
      </c>
      <c r="U10111" s="1" t="str">
        <f>HYPERLINK("http://ictvonline.org/taxonomy/p/taxonomy-history?taxnode_id=202102547","ICTVonline=202102547")</f>
        <v>ICTVonline=202102547</v>
      </c>
    </row>
    <row r="10112" spans="1:21" x14ac:dyDescent="0.2">
      <c r="A10112" s="3">
        <v>10111</v>
      </c>
      <c r="L10112" s="1" t="s">
        <v>298</v>
      </c>
      <c r="N10112" s="1" t="s">
        <v>301</v>
      </c>
      <c r="P10112" s="1" t="s">
        <v>26</v>
      </c>
      <c r="Q10112" s="30" t="s">
        <v>2818</v>
      </c>
      <c r="R10112" s="33" t="s">
        <v>3472</v>
      </c>
      <c r="S10112">
        <v>26</v>
      </c>
      <c r="T10112" s="1" t="s">
        <v>3746</v>
      </c>
      <c r="U10112" s="1" t="str">
        <f>HYPERLINK("http://ictvonline.org/taxonomy/p/taxonomy-history?taxnode_id=202102548","ICTVonline=202102548")</f>
        <v>ICTVonline=202102548</v>
      </c>
    </row>
    <row r="10113" spans="1:21" x14ac:dyDescent="0.2">
      <c r="A10113" s="3">
        <v>10112</v>
      </c>
      <c r="L10113" s="1" t="s">
        <v>298</v>
      </c>
      <c r="N10113" s="1" t="s">
        <v>301</v>
      </c>
      <c r="P10113" s="1" t="s">
        <v>27</v>
      </c>
      <c r="Q10113" s="30" t="s">
        <v>2818</v>
      </c>
      <c r="R10113" s="33" t="s">
        <v>3472</v>
      </c>
      <c r="S10113">
        <v>26</v>
      </c>
      <c r="T10113" s="1" t="s">
        <v>3746</v>
      </c>
      <c r="U10113" s="1" t="str">
        <f>HYPERLINK("http://ictvonline.org/taxonomy/p/taxonomy-history?taxnode_id=202102549","ICTVonline=202102549")</f>
        <v>ICTVonline=202102549</v>
      </c>
    </row>
    <row r="10114" spans="1:21" x14ac:dyDescent="0.2">
      <c r="A10114" s="3">
        <v>10113</v>
      </c>
      <c r="L10114" s="1" t="s">
        <v>298</v>
      </c>
      <c r="N10114" s="1" t="s">
        <v>301</v>
      </c>
      <c r="P10114" s="1" t="s">
        <v>28</v>
      </c>
      <c r="Q10114" s="30" t="s">
        <v>2818</v>
      </c>
      <c r="R10114" s="33" t="s">
        <v>3472</v>
      </c>
      <c r="S10114">
        <v>26</v>
      </c>
      <c r="T10114" s="1" t="s">
        <v>3746</v>
      </c>
      <c r="U10114" s="1" t="str">
        <f>HYPERLINK("http://ictvonline.org/taxonomy/p/taxonomy-history?taxnode_id=202102550","ICTVonline=202102550")</f>
        <v>ICTVonline=202102550</v>
      </c>
    </row>
    <row r="10115" spans="1:21" x14ac:dyDescent="0.2">
      <c r="A10115" s="3">
        <v>10114</v>
      </c>
      <c r="L10115" s="1" t="s">
        <v>298</v>
      </c>
      <c r="N10115" s="1" t="s">
        <v>301</v>
      </c>
      <c r="P10115" s="1" t="s">
        <v>29</v>
      </c>
      <c r="Q10115" s="30" t="s">
        <v>2818</v>
      </c>
      <c r="R10115" s="33" t="s">
        <v>3472</v>
      </c>
      <c r="S10115">
        <v>26</v>
      </c>
      <c r="T10115" s="1" t="s">
        <v>3746</v>
      </c>
      <c r="U10115" s="1" t="str">
        <f>HYPERLINK("http://ictvonline.org/taxonomy/p/taxonomy-history?taxnode_id=202102551","ICTVonline=202102551")</f>
        <v>ICTVonline=202102551</v>
      </c>
    </row>
    <row r="10116" spans="1:21" x14ac:dyDescent="0.2">
      <c r="A10116" s="3">
        <v>10115</v>
      </c>
      <c r="L10116" s="1" t="s">
        <v>298</v>
      </c>
      <c r="N10116" s="1" t="s">
        <v>301</v>
      </c>
      <c r="P10116" s="1" t="s">
        <v>30</v>
      </c>
      <c r="Q10116" s="30" t="s">
        <v>2818</v>
      </c>
      <c r="R10116" s="33" t="s">
        <v>3472</v>
      </c>
      <c r="S10116">
        <v>26</v>
      </c>
      <c r="T10116" s="1" t="s">
        <v>3746</v>
      </c>
      <c r="U10116" s="1" t="str">
        <f>HYPERLINK("http://ictvonline.org/taxonomy/p/taxonomy-history?taxnode_id=202102552","ICTVonline=202102552")</f>
        <v>ICTVonline=202102552</v>
      </c>
    </row>
    <row r="10117" spans="1:21" x14ac:dyDescent="0.2">
      <c r="A10117" s="3">
        <v>10116</v>
      </c>
      <c r="L10117" s="1" t="s">
        <v>298</v>
      </c>
      <c r="N10117" s="1" t="s">
        <v>8516</v>
      </c>
      <c r="P10117" s="1" t="s">
        <v>8517</v>
      </c>
      <c r="Q10117" s="30" t="s">
        <v>2818</v>
      </c>
      <c r="R10117" s="33" t="s">
        <v>3472</v>
      </c>
      <c r="S10117">
        <v>36</v>
      </c>
      <c r="T10117" s="1" t="s">
        <v>8474</v>
      </c>
      <c r="U10117" s="1" t="str">
        <f>HYPERLINK("http://ictvonline.org/taxonomy/p/taxonomy-history?taxnode_id=202109434","ICTVonline=202109434")</f>
        <v>ICTVonline=202109434</v>
      </c>
    </row>
    <row r="10118" spans="1:21" x14ac:dyDescent="0.2">
      <c r="A10118" s="3">
        <v>10117</v>
      </c>
      <c r="L10118" s="1" t="s">
        <v>298</v>
      </c>
      <c r="N10118" s="1" t="s">
        <v>1827</v>
      </c>
      <c r="P10118" s="1" t="s">
        <v>1828</v>
      </c>
      <c r="Q10118" s="30" t="s">
        <v>2818</v>
      </c>
      <c r="R10118" s="33" t="s">
        <v>8665</v>
      </c>
      <c r="S10118">
        <v>36</v>
      </c>
      <c r="T10118" s="1" t="s">
        <v>8661</v>
      </c>
      <c r="U10118" s="1" t="str">
        <f>HYPERLINK("http://ictvonline.org/taxonomy/p/taxonomy-history?taxnode_id=202102554","ICTVonline=202102554")</f>
        <v>ICTVonline=202102554</v>
      </c>
    </row>
    <row r="10119" spans="1:21" x14ac:dyDescent="0.2">
      <c r="A10119" s="3">
        <v>10118</v>
      </c>
      <c r="L10119" s="1" t="s">
        <v>298</v>
      </c>
      <c r="N10119" s="1" t="s">
        <v>1827</v>
      </c>
      <c r="P10119" s="1" t="s">
        <v>8518</v>
      </c>
      <c r="Q10119" s="30" t="s">
        <v>2818</v>
      </c>
      <c r="R10119" s="33" t="s">
        <v>3472</v>
      </c>
      <c r="S10119">
        <v>36</v>
      </c>
      <c r="T10119" s="1" t="s">
        <v>8519</v>
      </c>
      <c r="U10119" s="1" t="str">
        <f>HYPERLINK("http://ictvonline.org/taxonomy/p/taxonomy-history?taxnode_id=202109379","ICTVonline=202109379")</f>
        <v>ICTVonline=202109379</v>
      </c>
    </row>
    <row r="10120" spans="1:21" x14ac:dyDescent="0.2">
      <c r="A10120" s="3">
        <v>10119</v>
      </c>
      <c r="L10120" s="1" t="s">
        <v>298</v>
      </c>
      <c r="N10120" s="1" t="s">
        <v>1827</v>
      </c>
      <c r="P10120" s="1" t="s">
        <v>8520</v>
      </c>
      <c r="Q10120" s="30" t="s">
        <v>2818</v>
      </c>
      <c r="R10120" s="33" t="s">
        <v>3472</v>
      </c>
      <c r="S10120">
        <v>36</v>
      </c>
      <c r="T10120" s="1" t="s">
        <v>8519</v>
      </c>
      <c r="U10120" s="1" t="str">
        <f>HYPERLINK("http://ictvonline.org/taxonomy/p/taxonomy-history?taxnode_id=202109375","ICTVonline=202109375")</f>
        <v>ICTVonline=202109375</v>
      </c>
    </row>
    <row r="10121" spans="1:21" x14ac:dyDescent="0.2">
      <c r="A10121" s="3">
        <v>10120</v>
      </c>
      <c r="L10121" s="1" t="s">
        <v>298</v>
      </c>
      <c r="N10121" s="1" t="s">
        <v>1827</v>
      </c>
      <c r="P10121" s="1" t="s">
        <v>8521</v>
      </c>
      <c r="Q10121" s="30" t="s">
        <v>2818</v>
      </c>
      <c r="R10121" s="33" t="s">
        <v>3472</v>
      </c>
      <c r="S10121">
        <v>36</v>
      </c>
      <c r="T10121" s="1" t="s">
        <v>8519</v>
      </c>
      <c r="U10121" s="1" t="str">
        <f>HYPERLINK("http://ictvonline.org/taxonomy/p/taxonomy-history?taxnode_id=202109380","ICTVonline=202109380")</f>
        <v>ICTVonline=202109380</v>
      </c>
    </row>
    <row r="10122" spans="1:21" x14ac:dyDescent="0.2">
      <c r="A10122" s="3">
        <v>10121</v>
      </c>
      <c r="L10122" s="1" t="s">
        <v>298</v>
      </c>
      <c r="N10122" s="1" t="s">
        <v>1827</v>
      </c>
      <c r="P10122" s="1" t="s">
        <v>8522</v>
      </c>
      <c r="Q10122" s="30" t="s">
        <v>2818</v>
      </c>
      <c r="R10122" s="33" t="s">
        <v>3472</v>
      </c>
      <c r="S10122">
        <v>36</v>
      </c>
      <c r="T10122" s="1" t="s">
        <v>8519</v>
      </c>
      <c r="U10122" s="1" t="str">
        <f>HYPERLINK("http://ictvonline.org/taxonomy/p/taxonomy-history?taxnode_id=202109374","ICTVonline=202109374")</f>
        <v>ICTVonline=202109374</v>
      </c>
    </row>
    <row r="10123" spans="1:21" x14ac:dyDescent="0.2">
      <c r="A10123" s="3">
        <v>10122</v>
      </c>
      <c r="L10123" s="1" t="s">
        <v>298</v>
      </c>
      <c r="N10123" s="1" t="s">
        <v>1827</v>
      </c>
      <c r="P10123" s="1" t="s">
        <v>8523</v>
      </c>
      <c r="Q10123" s="30" t="s">
        <v>2818</v>
      </c>
      <c r="R10123" s="33" t="s">
        <v>3472</v>
      </c>
      <c r="S10123">
        <v>36</v>
      </c>
      <c r="T10123" s="1" t="s">
        <v>8519</v>
      </c>
      <c r="U10123" s="1" t="str">
        <f>HYPERLINK("http://ictvonline.org/taxonomy/p/taxonomy-history?taxnode_id=202109376","ICTVonline=202109376")</f>
        <v>ICTVonline=202109376</v>
      </c>
    </row>
    <row r="10124" spans="1:21" x14ac:dyDescent="0.2">
      <c r="A10124" s="3">
        <v>10123</v>
      </c>
      <c r="L10124" s="1" t="s">
        <v>298</v>
      </c>
      <c r="N10124" s="1" t="s">
        <v>1827</v>
      </c>
      <c r="P10124" s="1" t="s">
        <v>8524</v>
      </c>
      <c r="Q10124" s="30" t="s">
        <v>2818</v>
      </c>
      <c r="R10124" s="33" t="s">
        <v>3472</v>
      </c>
      <c r="S10124">
        <v>36</v>
      </c>
      <c r="T10124" s="1" t="s">
        <v>8519</v>
      </c>
      <c r="U10124" s="1" t="str">
        <f>HYPERLINK("http://ictvonline.org/taxonomy/p/taxonomy-history?taxnode_id=202109377","ICTVonline=202109377")</f>
        <v>ICTVonline=202109377</v>
      </c>
    </row>
    <row r="10125" spans="1:21" x14ac:dyDescent="0.2">
      <c r="A10125" s="3">
        <v>10124</v>
      </c>
      <c r="L10125" s="1" t="s">
        <v>298</v>
      </c>
      <c r="N10125" s="1" t="s">
        <v>1827</v>
      </c>
      <c r="P10125" s="1" t="s">
        <v>8525</v>
      </c>
      <c r="Q10125" s="30" t="s">
        <v>2818</v>
      </c>
      <c r="R10125" s="33" t="s">
        <v>3472</v>
      </c>
      <c r="S10125">
        <v>36</v>
      </c>
      <c r="T10125" s="1" t="s">
        <v>8519</v>
      </c>
      <c r="U10125" s="1" t="str">
        <f>HYPERLINK("http://ictvonline.org/taxonomy/p/taxonomy-history?taxnode_id=202109378","ICTVonline=202109378")</f>
        <v>ICTVonline=202109378</v>
      </c>
    </row>
    <row r="10126" spans="1:21" x14ac:dyDescent="0.2">
      <c r="A10126" s="3">
        <v>10125</v>
      </c>
      <c r="L10126" s="1" t="s">
        <v>298</v>
      </c>
      <c r="N10126" s="1" t="s">
        <v>1827</v>
      </c>
      <c r="P10126" s="1" t="s">
        <v>8526</v>
      </c>
      <c r="Q10126" s="30" t="s">
        <v>2818</v>
      </c>
      <c r="R10126" s="33" t="s">
        <v>3472</v>
      </c>
      <c r="S10126">
        <v>36</v>
      </c>
      <c r="T10126" s="1" t="s">
        <v>8519</v>
      </c>
      <c r="U10126" s="1" t="str">
        <f>HYPERLINK("http://ictvonline.org/taxonomy/p/taxonomy-history?taxnode_id=202109381","ICTVonline=202109381")</f>
        <v>ICTVonline=202109381</v>
      </c>
    </row>
    <row r="10127" spans="1:21" x14ac:dyDescent="0.2">
      <c r="A10127" s="3">
        <v>10126</v>
      </c>
      <c r="L10127" s="1" t="s">
        <v>298</v>
      </c>
      <c r="N10127" s="1" t="s">
        <v>1827</v>
      </c>
      <c r="P10127" s="1" t="s">
        <v>8527</v>
      </c>
      <c r="Q10127" s="30" t="s">
        <v>2818</v>
      </c>
      <c r="R10127" s="33" t="s">
        <v>3472</v>
      </c>
      <c r="S10127">
        <v>36</v>
      </c>
      <c r="T10127" s="1" t="s">
        <v>8519</v>
      </c>
      <c r="U10127" s="1" t="str">
        <f>HYPERLINK("http://ictvonline.org/taxonomy/p/taxonomy-history?taxnode_id=202109382","ICTVonline=202109382")</f>
        <v>ICTVonline=202109382</v>
      </c>
    </row>
    <row r="10128" spans="1:21" x14ac:dyDescent="0.2">
      <c r="A10128" s="3">
        <v>10127</v>
      </c>
      <c r="L10128" s="1" t="s">
        <v>298</v>
      </c>
      <c r="N10128" s="1" t="s">
        <v>8528</v>
      </c>
      <c r="P10128" s="1" t="s">
        <v>8529</v>
      </c>
      <c r="Q10128" s="30" t="s">
        <v>2818</v>
      </c>
      <c r="R10128" s="33" t="s">
        <v>3472</v>
      </c>
      <c r="S10128">
        <v>36</v>
      </c>
      <c r="T10128" s="1" t="s">
        <v>8474</v>
      </c>
      <c r="U10128" s="1" t="str">
        <f>HYPERLINK("http://ictvonline.org/taxonomy/p/taxonomy-history?taxnode_id=202109436","ICTVonline=202109436")</f>
        <v>ICTVonline=202109436</v>
      </c>
    </row>
    <row r="10129" spans="1:21" x14ac:dyDescent="0.2">
      <c r="A10129" s="3">
        <v>10128</v>
      </c>
      <c r="L10129" s="1" t="s">
        <v>298</v>
      </c>
      <c r="N10129" s="1" t="s">
        <v>1580</v>
      </c>
      <c r="P10129" s="1" t="s">
        <v>38</v>
      </c>
      <c r="Q10129" s="30" t="s">
        <v>2818</v>
      </c>
      <c r="R10129" s="33" t="s">
        <v>8665</v>
      </c>
      <c r="S10129">
        <v>36</v>
      </c>
      <c r="T10129" s="1" t="s">
        <v>8661</v>
      </c>
      <c r="U10129" s="1" t="str">
        <f>HYPERLINK("http://ictvonline.org/taxonomy/p/taxonomy-history?taxnode_id=202102556","ICTVonline=202102556")</f>
        <v>ICTVonline=202102556</v>
      </c>
    </row>
    <row r="10130" spans="1:21" x14ac:dyDescent="0.2">
      <c r="A10130" s="3">
        <v>10129</v>
      </c>
      <c r="L10130" s="1" t="s">
        <v>298</v>
      </c>
      <c r="N10130" s="1" t="s">
        <v>39</v>
      </c>
      <c r="P10130" s="1" t="s">
        <v>2819</v>
      </c>
      <c r="Q10130" s="30" t="s">
        <v>2818</v>
      </c>
      <c r="R10130" s="33" t="s">
        <v>8665</v>
      </c>
      <c r="S10130">
        <v>36</v>
      </c>
      <c r="T10130" s="1" t="s">
        <v>8661</v>
      </c>
      <c r="U10130" s="1" t="str">
        <f>HYPERLINK("http://ictvonline.org/taxonomy/p/taxonomy-history?taxnode_id=202102559","ICTVonline=202102559")</f>
        <v>ICTVonline=202102559</v>
      </c>
    </row>
    <row r="10131" spans="1:21" x14ac:dyDescent="0.2">
      <c r="A10131" s="3">
        <v>10130</v>
      </c>
      <c r="L10131" s="1" t="s">
        <v>298</v>
      </c>
      <c r="N10131" s="1" t="s">
        <v>39</v>
      </c>
      <c r="P10131" s="1" t="s">
        <v>2820</v>
      </c>
      <c r="Q10131" s="30" t="s">
        <v>2818</v>
      </c>
      <c r="R10131" s="33" t="s">
        <v>3472</v>
      </c>
      <c r="S10131">
        <v>30</v>
      </c>
      <c r="T10131" s="1" t="s">
        <v>3747</v>
      </c>
      <c r="U10131" s="1" t="str">
        <f>HYPERLINK("http://ictvonline.org/taxonomy/p/taxonomy-history?taxnode_id=202102560","ICTVonline=202102560")</f>
        <v>ICTVonline=202102560</v>
      </c>
    </row>
    <row r="10132" spans="1:21" x14ac:dyDescent="0.2">
      <c r="A10132" s="3">
        <v>10131</v>
      </c>
      <c r="L10132" s="1" t="s">
        <v>298</v>
      </c>
      <c r="N10132" s="1" t="s">
        <v>40</v>
      </c>
      <c r="P10132" s="1" t="s">
        <v>8530</v>
      </c>
      <c r="Q10132" s="30" t="s">
        <v>2818</v>
      </c>
      <c r="R10132" s="33" t="s">
        <v>3475</v>
      </c>
      <c r="S10132">
        <v>36</v>
      </c>
      <c r="T10132" s="1" t="s">
        <v>8474</v>
      </c>
      <c r="U10132" s="1" t="str">
        <f>HYPERLINK("http://ictvonline.org/taxonomy/p/taxonomy-history?taxnode_id=202106510","ICTVonline=202106510")</f>
        <v>ICTVonline=202106510</v>
      </c>
    </row>
    <row r="10133" spans="1:21" x14ac:dyDescent="0.2">
      <c r="A10133" s="3">
        <v>10132</v>
      </c>
      <c r="L10133" s="1" t="s">
        <v>298</v>
      </c>
      <c r="N10133" s="1" t="s">
        <v>40</v>
      </c>
      <c r="P10133" s="1" t="s">
        <v>8531</v>
      </c>
      <c r="Q10133" s="30" t="s">
        <v>2818</v>
      </c>
      <c r="R10133" s="33" t="s">
        <v>3475</v>
      </c>
      <c r="S10133">
        <v>36</v>
      </c>
      <c r="T10133" s="1" t="s">
        <v>8474</v>
      </c>
      <c r="U10133" s="1" t="str">
        <f>HYPERLINK("http://ictvonline.org/taxonomy/p/taxonomy-history?taxnode_id=202106511","ICTVonline=202106511")</f>
        <v>ICTVonline=202106511</v>
      </c>
    </row>
    <row r="10134" spans="1:21" x14ac:dyDescent="0.2">
      <c r="A10134" s="3">
        <v>10133</v>
      </c>
      <c r="L10134" s="1" t="s">
        <v>298</v>
      </c>
      <c r="N10134" s="1" t="s">
        <v>40</v>
      </c>
      <c r="P10134" s="1" t="s">
        <v>8532</v>
      </c>
      <c r="Q10134" s="30" t="s">
        <v>2818</v>
      </c>
      <c r="R10134" s="33" t="s">
        <v>3475</v>
      </c>
      <c r="S10134">
        <v>36</v>
      </c>
      <c r="T10134" s="1" t="s">
        <v>8474</v>
      </c>
      <c r="U10134" s="1" t="str">
        <f>HYPERLINK("http://ictvonline.org/taxonomy/p/taxonomy-history?taxnode_id=202106512","ICTVonline=202106512")</f>
        <v>ICTVonline=202106512</v>
      </c>
    </row>
    <row r="10135" spans="1:21" x14ac:dyDescent="0.2">
      <c r="A10135" s="3">
        <v>10134</v>
      </c>
      <c r="L10135" s="1" t="s">
        <v>298</v>
      </c>
      <c r="N10135" s="1" t="s">
        <v>40</v>
      </c>
      <c r="P10135" s="1" t="s">
        <v>8534</v>
      </c>
      <c r="Q10135" s="30" t="s">
        <v>2818</v>
      </c>
      <c r="R10135" s="33" t="s">
        <v>3475</v>
      </c>
      <c r="S10135">
        <v>36</v>
      </c>
      <c r="T10135" s="1" t="s">
        <v>8474</v>
      </c>
      <c r="U10135" s="1" t="str">
        <f>HYPERLINK("http://ictvonline.org/taxonomy/p/taxonomy-history?taxnode_id=202106513","ICTVonline=202106513")</f>
        <v>ICTVonline=202106513</v>
      </c>
    </row>
    <row r="10136" spans="1:21" x14ac:dyDescent="0.2">
      <c r="A10136" s="3">
        <v>10135</v>
      </c>
      <c r="L10136" s="1" t="s">
        <v>298</v>
      </c>
      <c r="N10136" s="1" t="s">
        <v>40</v>
      </c>
      <c r="P10136" s="1" t="s">
        <v>8535</v>
      </c>
      <c r="Q10136" s="30" t="s">
        <v>2818</v>
      </c>
      <c r="R10136" s="33" t="s">
        <v>3475</v>
      </c>
      <c r="S10136">
        <v>36</v>
      </c>
      <c r="T10136" s="1" t="s">
        <v>8474</v>
      </c>
      <c r="U10136" s="1" t="str">
        <f>HYPERLINK("http://ictvonline.org/taxonomy/p/taxonomy-history?taxnode_id=202106514","ICTVonline=202106514")</f>
        <v>ICTVonline=202106514</v>
      </c>
    </row>
    <row r="10137" spans="1:21" x14ac:dyDescent="0.2">
      <c r="A10137" s="3">
        <v>10136</v>
      </c>
      <c r="L10137" s="1" t="s">
        <v>298</v>
      </c>
      <c r="N10137" s="1" t="s">
        <v>4800</v>
      </c>
      <c r="P10137" s="1" t="s">
        <v>13803</v>
      </c>
      <c r="Q10137" s="30" t="s">
        <v>2818</v>
      </c>
      <c r="R10137" s="33" t="s">
        <v>3472</v>
      </c>
      <c r="S10137">
        <v>37</v>
      </c>
      <c r="T10137" s="1" t="s">
        <v>14075</v>
      </c>
      <c r="U10137" s="1" t="str">
        <f>HYPERLINK("http://ictvonline.org/taxonomy/p/taxonomy-history?taxnode_id=202113424","ICTVonline=202113424")</f>
        <v>ICTVonline=202113424</v>
      </c>
    </row>
    <row r="10138" spans="1:21" x14ac:dyDescent="0.2">
      <c r="A10138" s="3">
        <v>10137</v>
      </c>
      <c r="L10138" s="1" t="s">
        <v>298</v>
      </c>
      <c r="N10138" s="1" t="s">
        <v>4800</v>
      </c>
      <c r="P10138" s="1" t="s">
        <v>8536</v>
      </c>
      <c r="Q10138" s="30" t="s">
        <v>2818</v>
      </c>
      <c r="R10138" s="33" t="s">
        <v>8666</v>
      </c>
      <c r="S10138">
        <v>36</v>
      </c>
      <c r="T10138" s="1" t="s">
        <v>8679</v>
      </c>
      <c r="U10138" s="1" t="str">
        <f>HYPERLINK("http://ictvonline.org/taxonomy/p/taxonomy-history?taxnode_id=202106509","ICTVonline=202106509")</f>
        <v>ICTVonline=202106509</v>
      </c>
    </row>
    <row r="10139" spans="1:21" x14ac:dyDescent="0.2">
      <c r="A10139" s="3">
        <v>10138</v>
      </c>
      <c r="L10139" s="1" t="s">
        <v>298</v>
      </c>
      <c r="N10139" s="1" t="s">
        <v>4801</v>
      </c>
      <c r="P10139" s="1" t="s">
        <v>8537</v>
      </c>
      <c r="Q10139" s="30" t="s">
        <v>2818</v>
      </c>
      <c r="R10139" s="33" t="s">
        <v>8666</v>
      </c>
      <c r="S10139">
        <v>36</v>
      </c>
      <c r="T10139" s="1" t="s">
        <v>8474</v>
      </c>
      <c r="U10139" s="1" t="str">
        <f>HYPERLINK("http://ictvonline.org/taxonomy/p/taxonomy-history?taxnode_id=202106516","ICTVonline=202106516")</f>
        <v>ICTVonline=202106516</v>
      </c>
    </row>
    <row r="10140" spans="1:21" x14ac:dyDescent="0.2">
      <c r="A10140" s="3">
        <v>10139</v>
      </c>
      <c r="L10140" s="1" t="s">
        <v>298</v>
      </c>
      <c r="N10140" s="1" t="s">
        <v>8538</v>
      </c>
      <c r="P10140" s="1" t="s">
        <v>8539</v>
      </c>
      <c r="Q10140" s="30" t="s">
        <v>2818</v>
      </c>
      <c r="R10140" s="33" t="s">
        <v>3472</v>
      </c>
      <c r="S10140">
        <v>36</v>
      </c>
      <c r="T10140" s="1" t="s">
        <v>8474</v>
      </c>
      <c r="U10140" s="1" t="str">
        <f>HYPERLINK("http://ictvonline.org/taxonomy/p/taxonomy-history?taxnode_id=202109438","ICTVonline=202109438")</f>
        <v>ICTVonline=202109438</v>
      </c>
    </row>
    <row r="10141" spans="1:21" x14ac:dyDescent="0.2">
      <c r="A10141" s="3">
        <v>10140</v>
      </c>
      <c r="L10141" s="1" t="s">
        <v>298</v>
      </c>
      <c r="N10141" s="1" t="s">
        <v>8540</v>
      </c>
      <c r="P10141" s="1" t="s">
        <v>8541</v>
      </c>
      <c r="Q10141" s="30" t="s">
        <v>2818</v>
      </c>
      <c r="R10141" s="33" t="s">
        <v>3472</v>
      </c>
      <c r="S10141">
        <v>36</v>
      </c>
      <c r="T10141" s="1" t="s">
        <v>8474</v>
      </c>
      <c r="U10141" s="1" t="str">
        <f>HYPERLINK("http://ictvonline.org/taxonomy/p/taxonomy-history?taxnode_id=202109440","ICTVonline=202109440")</f>
        <v>ICTVonline=202109440</v>
      </c>
    </row>
    <row r="10142" spans="1:21" x14ac:dyDescent="0.2">
      <c r="A10142" s="3">
        <v>10141</v>
      </c>
      <c r="L10142" s="1" t="s">
        <v>298</v>
      </c>
      <c r="N10142" s="1" t="s">
        <v>8542</v>
      </c>
      <c r="P10142" s="1" t="s">
        <v>8543</v>
      </c>
      <c r="Q10142" s="30" t="s">
        <v>2818</v>
      </c>
      <c r="R10142" s="33" t="s">
        <v>3472</v>
      </c>
      <c r="S10142">
        <v>36</v>
      </c>
      <c r="T10142" s="1" t="s">
        <v>8474</v>
      </c>
      <c r="U10142" s="1" t="str">
        <f>HYPERLINK("http://ictvonline.org/taxonomy/p/taxonomy-history?taxnode_id=202109442","ICTVonline=202109442")</f>
        <v>ICTVonline=202109442</v>
      </c>
    </row>
    <row r="10143" spans="1:21" x14ac:dyDescent="0.2">
      <c r="A10143" s="3">
        <v>10142</v>
      </c>
      <c r="L10143" s="1" t="s">
        <v>298</v>
      </c>
      <c r="N10143" s="1" t="s">
        <v>8542</v>
      </c>
      <c r="P10143" s="1" t="s">
        <v>8544</v>
      </c>
      <c r="Q10143" s="30" t="s">
        <v>2818</v>
      </c>
      <c r="R10143" s="33" t="s">
        <v>3472</v>
      </c>
      <c r="S10143">
        <v>36</v>
      </c>
      <c r="T10143" s="1" t="s">
        <v>8474</v>
      </c>
      <c r="U10143" s="1" t="str">
        <f>HYPERLINK("http://ictvonline.org/taxonomy/p/taxonomy-history?taxnode_id=202109443","ICTVonline=202109443")</f>
        <v>ICTVonline=202109443</v>
      </c>
    </row>
    <row r="10144" spans="1:21" x14ac:dyDescent="0.2">
      <c r="A10144" s="3">
        <v>10143</v>
      </c>
      <c r="L10144" s="1" t="s">
        <v>298</v>
      </c>
      <c r="N10144" s="1" t="s">
        <v>8542</v>
      </c>
      <c r="P10144" s="1" t="s">
        <v>8545</v>
      </c>
      <c r="Q10144" s="30" t="s">
        <v>2818</v>
      </c>
      <c r="R10144" s="33" t="s">
        <v>3472</v>
      </c>
      <c r="S10144">
        <v>36</v>
      </c>
      <c r="T10144" s="1" t="s">
        <v>8474</v>
      </c>
      <c r="U10144" s="1" t="str">
        <f>HYPERLINK("http://ictvonline.org/taxonomy/p/taxonomy-history?taxnode_id=202109444","ICTVonline=202109444")</f>
        <v>ICTVonline=202109444</v>
      </c>
    </row>
    <row r="10145" spans="1:21" x14ac:dyDescent="0.2">
      <c r="A10145" s="3">
        <v>10144</v>
      </c>
      <c r="L10145" s="1" t="s">
        <v>298</v>
      </c>
      <c r="N10145" s="1" t="s">
        <v>8542</v>
      </c>
      <c r="P10145" s="1" t="s">
        <v>8546</v>
      </c>
      <c r="Q10145" s="30" t="s">
        <v>2818</v>
      </c>
      <c r="R10145" s="33" t="s">
        <v>3472</v>
      </c>
      <c r="S10145">
        <v>36</v>
      </c>
      <c r="T10145" s="1" t="s">
        <v>8474</v>
      </c>
      <c r="U10145" s="1" t="str">
        <f>HYPERLINK("http://ictvonline.org/taxonomy/p/taxonomy-history?taxnode_id=202109445","ICTVonline=202109445")</f>
        <v>ICTVonline=202109445</v>
      </c>
    </row>
    <row r="10146" spans="1:21" x14ac:dyDescent="0.2">
      <c r="A10146" s="3">
        <v>10145</v>
      </c>
      <c r="L10146" s="1" t="s">
        <v>298</v>
      </c>
      <c r="N10146" s="1" t="s">
        <v>8542</v>
      </c>
      <c r="P10146" s="1" t="s">
        <v>8547</v>
      </c>
      <c r="Q10146" s="30" t="s">
        <v>2818</v>
      </c>
      <c r="R10146" s="33" t="s">
        <v>3472</v>
      </c>
      <c r="S10146">
        <v>36</v>
      </c>
      <c r="T10146" s="1" t="s">
        <v>8474</v>
      </c>
      <c r="U10146" s="1" t="str">
        <f>HYPERLINK("http://ictvonline.org/taxonomy/p/taxonomy-history?taxnode_id=202109446","ICTVonline=202109446")</f>
        <v>ICTVonline=202109446</v>
      </c>
    </row>
    <row r="10147" spans="1:21" x14ac:dyDescent="0.2">
      <c r="A10147" s="3">
        <v>10146</v>
      </c>
      <c r="L10147" s="1" t="s">
        <v>298</v>
      </c>
      <c r="N10147" s="1" t="s">
        <v>8542</v>
      </c>
      <c r="P10147" s="1" t="s">
        <v>8548</v>
      </c>
      <c r="Q10147" s="30" t="s">
        <v>2818</v>
      </c>
      <c r="R10147" s="33" t="s">
        <v>3472</v>
      </c>
      <c r="S10147">
        <v>36</v>
      </c>
      <c r="T10147" s="1" t="s">
        <v>8474</v>
      </c>
      <c r="U10147" s="1" t="str">
        <f>HYPERLINK("http://ictvonline.org/taxonomy/p/taxonomy-history?taxnode_id=202109447","ICTVonline=202109447")</f>
        <v>ICTVonline=202109447</v>
      </c>
    </row>
    <row r="10148" spans="1:21" x14ac:dyDescent="0.2">
      <c r="A10148" s="3">
        <v>10147</v>
      </c>
      <c r="L10148" s="1" t="s">
        <v>298</v>
      </c>
      <c r="N10148" s="1" t="s">
        <v>8549</v>
      </c>
      <c r="P10148" s="1" t="s">
        <v>8550</v>
      </c>
      <c r="Q10148" s="30" t="s">
        <v>2818</v>
      </c>
      <c r="R10148" s="33" t="s">
        <v>3472</v>
      </c>
      <c r="S10148">
        <v>36</v>
      </c>
      <c r="T10148" s="1" t="s">
        <v>8474</v>
      </c>
      <c r="U10148" s="1" t="str">
        <f>HYPERLINK("http://ictvonline.org/taxonomy/p/taxonomy-history?taxnode_id=202109449","ICTVonline=202109449")</f>
        <v>ICTVonline=202109449</v>
      </c>
    </row>
    <row r="10149" spans="1:21" x14ac:dyDescent="0.2">
      <c r="A10149" s="3">
        <v>10148</v>
      </c>
      <c r="L10149" s="1" t="s">
        <v>298</v>
      </c>
      <c r="N10149" s="1" t="s">
        <v>8551</v>
      </c>
      <c r="P10149" s="1" t="s">
        <v>8552</v>
      </c>
      <c r="Q10149" s="30" t="s">
        <v>2818</v>
      </c>
      <c r="R10149" s="33" t="s">
        <v>3472</v>
      </c>
      <c r="S10149">
        <v>36</v>
      </c>
      <c r="T10149" s="1" t="s">
        <v>8474</v>
      </c>
      <c r="U10149" s="1" t="str">
        <f>HYPERLINK("http://ictvonline.org/taxonomy/p/taxonomy-history?taxnode_id=202109451","ICTVonline=202109451")</f>
        <v>ICTVonline=202109451</v>
      </c>
    </row>
    <row r="10150" spans="1:21" x14ac:dyDescent="0.2">
      <c r="A10150" s="3">
        <v>10149</v>
      </c>
      <c r="L10150" s="1" t="s">
        <v>298</v>
      </c>
      <c r="N10150" s="1" t="s">
        <v>8553</v>
      </c>
      <c r="P10150" s="1" t="s">
        <v>8533</v>
      </c>
      <c r="Q10150" s="30" t="s">
        <v>2818</v>
      </c>
      <c r="R10150" s="33" t="s">
        <v>3474</v>
      </c>
      <c r="S10150">
        <v>37</v>
      </c>
      <c r="T10150" s="1" t="s">
        <v>14074</v>
      </c>
      <c r="U10150" s="1" t="str">
        <f>HYPERLINK("http://ictvonline.org/taxonomy/p/taxonomy-history?taxnode_id=202102562","ICTVonline=202102562")</f>
        <v>ICTVonline=202102562</v>
      </c>
    </row>
    <row r="10151" spans="1:21" x14ac:dyDescent="0.2">
      <c r="A10151" s="3">
        <v>10150</v>
      </c>
      <c r="L10151" s="1" t="s">
        <v>298</v>
      </c>
      <c r="N10151" s="1" t="s">
        <v>8553</v>
      </c>
      <c r="P10151" s="1" t="s">
        <v>8554</v>
      </c>
      <c r="Q10151" s="30" t="s">
        <v>2818</v>
      </c>
      <c r="R10151" s="33" t="s">
        <v>3472</v>
      </c>
      <c r="S10151">
        <v>36</v>
      </c>
      <c r="T10151" s="1" t="s">
        <v>8474</v>
      </c>
      <c r="U10151" s="1" t="str">
        <f>HYPERLINK("http://ictvonline.org/taxonomy/p/taxonomy-history?taxnode_id=202109453","ICTVonline=202109453")</f>
        <v>ICTVonline=202109453</v>
      </c>
    </row>
    <row r="10152" spans="1:21" x14ac:dyDescent="0.2">
      <c r="A10152" s="3">
        <v>10151</v>
      </c>
      <c r="L10152" s="1" t="s">
        <v>298</v>
      </c>
      <c r="N10152" s="1" t="s">
        <v>8553</v>
      </c>
      <c r="P10152" s="1" t="s">
        <v>8555</v>
      </c>
      <c r="Q10152" s="30" t="s">
        <v>2818</v>
      </c>
      <c r="R10152" s="33" t="s">
        <v>3472</v>
      </c>
      <c r="S10152">
        <v>36</v>
      </c>
      <c r="T10152" s="1" t="s">
        <v>8474</v>
      </c>
      <c r="U10152" s="1" t="str">
        <f>HYPERLINK("http://ictvonline.org/taxonomy/p/taxonomy-history?taxnode_id=202109454","ICTVonline=202109454")</f>
        <v>ICTVonline=202109454</v>
      </c>
    </row>
    <row r="10153" spans="1:21" x14ac:dyDescent="0.2">
      <c r="A10153" s="3">
        <v>10152</v>
      </c>
      <c r="L10153" s="1" t="s">
        <v>298</v>
      </c>
      <c r="N10153" s="1" t="s">
        <v>8557</v>
      </c>
      <c r="P10153" s="1" t="s">
        <v>8558</v>
      </c>
      <c r="Q10153" s="30" t="s">
        <v>2818</v>
      </c>
      <c r="R10153" s="33" t="s">
        <v>3472</v>
      </c>
      <c r="S10153">
        <v>36</v>
      </c>
      <c r="T10153" s="1" t="s">
        <v>8474</v>
      </c>
      <c r="U10153" s="1" t="str">
        <f>HYPERLINK("http://ictvonline.org/taxonomy/p/taxonomy-history?taxnode_id=202109458","ICTVonline=202109458")</f>
        <v>ICTVonline=202109458</v>
      </c>
    </row>
    <row r="10154" spans="1:21" x14ac:dyDescent="0.2">
      <c r="A10154" s="3">
        <v>10153</v>
      </c>
      <c r="L10154" s="1" t="s">
        <v>298</v>
      </c>
      <c r="N10154" s="1" t="s">
        <v>1579</v>
      </c>
      <c r="P10154" s="1" t="s">
        <v>8559</v>
      </c>
      <c r="Q10154" s="30" t="s">
        <v>2818</v>
      </c>
      <c r="R10154" s="33" t="s">
        <v>3472</v>
      </c>
      <c r="S10154">
        <v>36</v>
      </c>
      <c r="T10154" s="1" t="s">
        <v>8474</v>
      </c>
      <c r="U10154" s="1" t="str">
        <f>HYPERLINK("http://ictvonline.org/taxonomy/p/taxonomy-history?taxnode_id=202109459","ICTVonline=202109459")</f>
        <v>ICTVonline=202109459</v>
      </c>
    </row>
    <row r="10155" spans="1:21" x14ac:dyDescent="0.2">
      <c r="A10155" s="3">
        <v>10154</v>
      </c>
      <c r="L10155" s="1" t="s">
        <v>298</v>
      </c>
      <c r="N10155" s="1" t="s">
        <v>1579</v>
      </c>
      <c r="P10155" s="1" t="s">
        <v>8560</v>
      </c>
      <c r="Q10155" s="30" t="s">
        <v>2818</v>
      </c>
      <c r="R10155" s="33" t="s">
        <v>8666</v>
      </c>
      <c r="S10155">
        <v>36</v>
      </c>
      <c r="T10155" s="1" t="s">
        <v>8679</v>
      </c>
      <c r="U10155" s="1" t="str">
        <f>HYPERLINK("http://ictvonline.org/taxonomy/p/taxonomy-history?taxnode_id=202102564","ICTVonline=202102564")</f>
        <v>ICTVonline=202102564</v>
      </c>
    </row>
    <row r="10156" spans="1:21" x14ac:dyDescent="0.2">
      <c r="A10156" s="3">
        <v>10155</v>
      </c>
      <c r="L10156" s="1" t="s">
        <v>298</v>
      </c>
      <c r="N10156" s="1" t="s">
        <v>1579</v>
      </c>
      <c r="P10156" s="1" t="s">
        <v>8561</v>
      </c>
      <c r="Q10156" s="30" t="s">
        <v>2818</v>
      </c>
      <c r="R10156" s="33" t="s">
        <v>3472</v>
      </c>
      <c r="S10156">
        <v>36</v>
      </c>
      <c r="T10156" s="1" t="s">
        <v>8474</v>
      </c>
      <c r="U10156" s="1" t="str">
        <f>HYPERLINK("http://ictvonline.org/taxonomy/p/taxonomy-history?taxnode_id=202109460","ICTVonline=202109460")</f>
        <v>ICTVonline=202109460</v>
      </c>
    </row>
    <row r="10157" spans="1:21" x14ac:dyDescent="0.2">
      <c r="A10157" s="3">
        <v>10156</v>
      </c>
      <c r="L10157" s="1" t="s">
        <v>298</v>
      </c>
      <c r="N10157" s="1" t="s">
        <v>1579</v>
      </c>
      <c r="P10157" s="1" t="s">
        <v>8562</v>
      </c>
      <c r="Q10157" s="30" t="s">
        <v>2818</v>
      </c>
      <c r="R10157" s="33" t="s">
        <v>3472</v>
      </c>
      <c r="S10157">
        <v>36</v>
      </c>
      <c r="T10157" s="1" t="s">
        <v>8474</v>
      </c>
      <c r="U10157" s="1" t="str">
        <f>HYPERLINK("http://ictvonline.org/taxonomy/p/taxonomy-history?taxnode_id=202109461","ICTVonline=202109461")</f>
        <v>ICTVonline=202109461</v>
      </c>
    </row>
    <row r="10158" spans="1:21" x14ac:dyDescent="0.2">
      <c r="A10158" s="3">
        <v>10157</v>
      </c>
      <c r="L10158" s="1" t="s">
        <v>298</v>
      </c>
      <c r="N10158" s="1" t="s">
        <v>1579</v>
      </c>
      <c r="P10158" s="1" t="s">
        <v>8563</v>
      </c>
      <c r="Q10158" s="30" t="s">
        <v>2818</v>
      </c>
      <c r="R10158" s="33" t="s">
        <v>3472</v>
      </c>
      <c r="S10158">
        <v>36</v>
      </c>
      <c r="T10158" s="1" t="s">
        <v>8474</v>
      </c>
      <c r="U10158" s="1" t="str">
        <f>HYPERLINK("http://ictvonline.org/taxonomy/p/taxonomy-history?taxnode_id=202109462","ICTVonline=202109462")</f>
        <v>ICTVonline=202109462</v>
      </c>
    </row>
    <row r="10159" spans="1:21" x14ac:dyDescent="0.2">
      <c r="A10159" s="3">
        <v>10158</v>
      </c>
      <c r="L10159" s="1" t="s">
        <v>298</v>
      </c>
      <c r="N10159" s="1" t="s">
        <v>1579</v>
      </c>
      <c r="P10159" s="1" t="s">
        <v>8564</v>
      </c>
      <c r="Q10159" s="30" t="s">
        <v>2818</v>
      </c>
      <c r="R10159" s="33" t="s">
        <v>3472</v>
      </c>
      <c r="S10159">
        <v>36</v>
      </c>
      <c r="T10159" s="1" t="s">
        <v>8474</v>
      </c>
      <c r="U10159" s="1" t="str">
        <f>HYPERLINK("http://ictvonline.org/taxonomy/p/taxonomy-history?taxnode_id=202109463","ICTVonline=202109463")</f>
        <v>ICTVonline=202109463</v>
      </c>
    </row>
    <row r="10160" spans="1:21" x14ac:dyDescent="0.2">
      <c r="A10160" s="3">
        <v>10159</v>
      </c>
      <c r="L10160" s="1" t="s">
        <v>298</v>
      </c>
      <c r="N10160" s="1" t="s">
        <v>1579</v>
      </c>
      <c r="P10160" s="1" t="s">
        <v>8565</v>
      </c>
      <c r="Q10160" s="30" t="s">
        <v>2818</v>
      </c>
      <c r="R10160" s="33" t="s">
        <v>3472</v>
      </c>
      <c r="S10160">
        <v>36</v>
      </c>
      <c r="T10160" s="1" t="s">
        <v>8474</v>
      </c>
      <c r="U10160" s="1" t="str">
        <f>HYPERLINK("http://ictvonline.org/taxonomy/p/taxonomy-history?taxnode_id=202109464","ICTVonline=202109464")</f>
        <v>ICTVonline=202109464</v>
      </c>
    </row>
    <row r="10161" spans="1:21" x14ac:dyDescent="0.2">
      <c r="A10161" s="3">
        <v>10160</v>
      </c>
      <c r="L10161" s="1" t="s">
        <v>298</v>
      </c>
      <c r="N10161" s="1" t="s">
        <v>1579</v>
      </c>
      <c r="P10161" s="1" t="s">
        <v>8566</v>
      </c>
      <c r="Q10161" s="30" t="s">
        <v>2818</v>
      </c>
      <c r="R10161" s="33" t="s">
        <v>3472</v>
      </c>
      <c r="S10161">
        <v>36</v>
      </c>
      <c r="T10161" s="1" t="s">
        <v>8474</v>
      </c>
      <c r="U10161" s="1" t="str">
        <f>HYPERLINK("http://ictvonline.org/taxonomy/p/taxonomy-history?taxnode_id=202109465","ICTVonline=202109465")</f>
        <v>ICTVonline=202109465</v>
      </c>
    </row>
    <row r="10162" spans="1:21" x14ac:dyDescent="0.2">
      <c r="A10162" s="3">
        <v>10161</v>
      </c>
      <c r="L10162" s="1" t="s">
        <v>298</v>
      </c>
      <c r="N10162" s="1" t="s">
        <v>1579</v>
      </c>
      <c r="P10162" s="1" t="s">
        <v>8567</v>
      </c>
      <c r="Q10162" s="30" t="s">
        <v>2818</v>
      </c>
      <c r="R10162" s="33" t="s">
        <v>3472</v>
      </c>
      <c r="S10162">
        <v>36</v>
      </c>
      <c r="T10162" s="1" t="s">
        <v>8474</v>
      </c>
      <c r="U10162" s="1" t="str">
        <f>HYPERLINK("http://ictvonline.org/taxonomy/p/taxonomy-history?taxnode_id=202109466","ICTVonline=202109466")</f>
        <v>ICTVonline=202109466</v>
      </c>
    </row>
    <row r="10163" spans="1:21" x14ac:dyDescent="0.2">
      <c r="A10163" s="3">
        <v>10162</v>
      </c>
      <c r="L10163" s="1" t="s">
        <v>298</v>
      </c>
      <c r="N10163" s="1" t="s">
        <v>1579</v>
      </c>
      <c r="P10163" s="1" t="s">
        <v>8568</v>
      </c>
      <c r="Q10163" s="30" t="s">
        <v>2818</v>
      </c>
      <c r="R10163" s="33" t="s">
        <v>3472</v>
      </c>
      <c r="S10163">
        <v>36</v>
      </c>
      <c r="T10163" s="1" t="s">
        <v>8474</v>
      </c>
      <c r="U10163" s="1" t="str">
        <f>HYPERLINK("http://ictvonline.org/taxonomy/p/taxonomy-history?taxnode_id=202109467","ICTVonline=202109467")</f>
        <v>ICTVonline=202109467</v>
      </c>
    </row>
    <row r="10164" spans="1:21" x14ac:dyDescent="0.2">
      <c r="A10164" s="3">
        <v>10163</v>
      </c>
      <c r="L10164" s="1" t="s">
        <v>298</v>
      </c>
      <c r="N10164" s="1" t="s">
        <v>8569</v>
      </c>
      <c r="P10164" s="1" t="s">
        <v>8570</v>
      </c>
      <c r="Q10164" s="30" t="s">
        <v>2818</v>
      </c>
      <c r="R10164" s="33" t="s">
        <v>3472</v>
      </c>
      <c r="S10164">
        <v>36</v>
      </c>
      <c r="T10164" s="1" t="s">
        <v>8474</v>
      </c>
      <c r="U10164" s="1" t="str">
        <f>HYPERLINK("http://ictvonline.org/taxonomy/p/taxonomy-history?taxnode_id=202109469","ICTVonline=202109469")</f>
        <v>ICTVonline=202109469</v>
      </c>
    </row>
    <row r="10165" spans="1:21" x14ac:dyDescent="0.2">
      <c r="A10165" s="3">
        <v>10164</v>
      </c>
      <c r="L10165" s="1" t="s">
        <v>298</v>
      </c>
      <c r="N10165" s="1" t="s">
        <v>8569</v>
      </c>
      <c r="P10165" s="1" t="s">
        <v>8571</v>
      </c>
      <c r="Q10165" s="30" t="s">
        <v>2818</v>
      </c>
      <c r="R10165" s="33" t="s">
        <v>3472</v>
      </c>
      <c r="S10165">
        <v>36</v>
      </c>
      <c r="T10165" s="1" t="s">
        <v>8474</v>
      </c>
      <c r="U10165" s="1" t="str">
        <f>HYPERLINK("http://ictvonline.org/taxonomy/p/taxonomy-history?taxnode_id=202109470","ICTVonline=202109470")</f>
        <v>ICTVonline=202109470</v>
      </c>
    </row>
    <row r="10166" spans="1:21" x14ac:dyDescent="0.2">
      <c r="A10166" s="3">
        <v>10165</v>
      </c>
      <c r="L10166" s="1" t="s">
        <v>298</v>
      </c>
      <c r="N10166" s="1" t="s">
        <v>8569</v>
      </c>
      <c r="P10166" s="1" t="s">
        <v>8572</v>
      </c>
      <c r="Q10166" s="30" t="s">
        <v>2818</v>
      </c>
      <c r="R10166" s="33" t="s">
        <v>3472</v>
      </c>
      <c r="S10166">
        <v>36</v>
      </c>
      <c r="T10166" s="1" t="s">
        <v>8474</v>
      </c>
      <c r="U10166" s="1" t="str">
        <f>HYPERLINK("http://ictvonline.org/taxonomy/p/taxonomy-history?taxnode_id=202109471","ICTVonline=202109471")</f>
        <v>ICTVonline=202109471</v>
      </c>
    </row>
    <row r="10167" spans="1:21" x14ac:dyDescent="0.2">
      <c r="A10167" s="3">
        <v>10166</v>
      </c>
      <c r="L10167" s="1" t="s">
        <v>298</v>
      </c>
      <c r="N10167" s="1" t="s">
        <v>8569</v>
      </c>
      <c r="P10167" s="1" t="s">
        <v>8573</v>
      </c>
      <c r="Q10167" s="30" t="s">
        <v>2818</v>
      </c>
      <c r="R10167" s="33" t="s">
        <v>3472</v>
      </c>
      <c r="S10167">
        <v>36</v>
      </c>
      <c r="T10167" s="1" t="s">
        <v>8474</v>
      </c>
      <c r="U10167" s="1" t="str">
        <f>HYPERLINK("http://ictvonline.org/taxonomy/p/taxonomy-history?taxnode_id=202109472","ICTVonline=202109472")</f>
        <v>ICTVonline=202109472</v>
      </c>
    </row>
    <row r="10168" spans="1:21" x14ac:dyDescent="0.2">
      <c r="A10168" s="3">
        <v>10167</v>
      </c>
      <c r="L10168" s="1" t="s">
        <v>298</v>
      </c>
      <c r="N10168" s="1" t="s">
        <v>8569</v>
      </c>
      <c r="P10168" s="1" t="s">
        <v>8574</v>
      </c>
      <c r="Q10168" s="30" t="s">
        <v>2818</v>
      </c>
      <c r="R10168" s="33" t="s">
        <v>3472</v>
      </c>
      <c r="S10168">
        <v>36</v>
      </c>
      <c r="T10168" s="1" t="s">
        <v>8474</v>
      </c>
      <c r="U10168" s="1" t="str">
        <f>HYPERLINK("http://ictvonline.org/taxonomy/p/taxonomy-history?taxnode_id=202109473","ICTVonline=202109473")</f>
        <v>ICTVonline=202109473</v>
      </c>
    </row>
    <row r="10169" spans="1:21" x14ac:dyDescent="0.2">
      <c r="A10169" s="3">
        <v>10168</v>
      </c>
      <c r="L10169" s="1" t="s">
        <v>298</v>
      </c>
      <c r="N10169" s="1" t="s">
        <v>8569</v>
      </c>
      <c r="P10169" s="1" t="s">
        <v>8575</v>
      </c>
      <c r="Q10169" s="30" t="s">
        <v>2818</v>
      </c>
      <c r="R10169" s="33" t="s">
        <v>3472</v>
      </c>
      <c r="S10169">
        <v>36</v>
      </c>
      <c r="T10169" s="1" t="s">
        <v>8474</v>
      </c>
      <c r="U10169" s="1" t="str">
        <f>HYPERLINK("http://ictvonline.org/taxonomy/p/taxonomy-history?taxnode_id=202109474","ICTVonline=202109474")</f>
        <v>ICTVonline=202109474</v>
      </c>
    </row>
    <row r="10170" spans="1:21" x14ac:dyDescent="0.2">
      <c r="A10170" s="3">
        <v>10169</v>
      </c>
      <c r="L10170" s="1" t="s">
        <v>298</v>
      </c>
      <c r="N10170" s="1" t="s">
        <v>8569</v>
      </c>
      <c r="P10170" s="1" t="s">
        <v>8576</v>
      </c>
      <c r="Q10170" s="30" t="s">
        <v>2818</v>
      </c>
      <c r="R10170" s="33" t="s">
        <v>3472</v>
      </c>
      <c r="S10170">
        <v>36</v>
      </c>
      <c r="T10170" s="1" t="s">
        <v>8474</v>
      </c>
      <c r="U10170" s="1" t="str">
        <f>HYPERLINK("http://ictvonline.org/taxonomy/p/taxonomy-history?taxnode_id=202109475","ICTVonline=202109475")</f>
        <v>ICTVonline=202109475</v>
      </c>
    </row>
    <row r="10171" spans="1:21" x14ac:dyDescent="0.2">
      <c r="A10171" s="3">
        <v>10170</v>
      </c>
      <c r="L10171" s="1" t="s">
        <v>298</v>
      </c>
      <c r="N10171" s="1" t="s">
        <v>8577</v>
      </c>
      <c r="P10171" s="1" t="s">
        <v>8578</v>
      </c>
      <c r="Q10171" s="30" t="s">
        <v>2818</v>
      </c>
      <c r="R10171" s="33" t="s">
        <v>3472</v>
      </c>
      <c r="S10171">
        <v>36</v>
      </c>
      <c r="T10171" s="1" t="s">
        <v>8474</v>
      </c>
      <c r="U10171" s="1" t="str">
        <f>HYPERLINK("http://ictvonline.org/taxonomy/p/taxonomy-history?taxnode_id=202109477","ICTVonline=202109477")</f>
        <v>ICTVonline=202109477</v>
      </c>
    </row>
    <row r="10172" spans="1:21" x14ac:dyDescent="0.2">
      <c r="A10172" s="3">
        <v>10171</v>
      </c>
      <c r="L10172" s="1" t="s">
        <v>298</v>
      </c>
      <c r="N10172" s="1" t="s">
        <v>8577</v>
      </c>
      <c r="P10172" s="1" t="s">
        <v>8579</v>
      </c>
      <c r="Q10172" s="30" t="s">
        <v>2818</v>
      </c>
      <c r="R10172" s="33" t="s">
        <v>3472</v>
      </c>
      <c r="S10172">
        <v>36</v>
      </c>
      <c r="T10172" s="1" t="s">
        <v>8474</v>
      </c>
      <c r="U10172" s="1" t="str">
        <f>HYPERLINK("http://ictvonline.org/taxonomy/p/taxonomy-history?taxnode_id=202109478","ICTVonline=202109478")</f>
        <v>ICTVonline=202109478</v>
      </c>
    </row>
    <row r="10173" spans="1:21" x14ac:dyDescent="0.2">
      <c r="A10173" s="3">
        <v>10172</v>
      </c>
      <c r="L10173" s="1" t="s">
        <v>298</v>
      </c>
      <c r="N10173" s="1" t="s">
        <v>8577</v>
      </c>
      <c r="P10173" s="1" t="s">
        <v>8580</v>
      </c>
      <c r="Q10173" s="30" t="s">
        <v>2818</v>
      </c>
      <c r="R10173" s="33" t="s">
        <v>3472</v>
      </c>
      <c r="S10173">
        <v>36</v>
      </c>
      <c r="T10173" s="1" t="s">
        <v>8474</v>
      </c>
      <c r="U10173" s="1" t="str">
        <f>HYPERLINK("http://ictvonline.org/taxonomy/p/taxonomy-history?taxnode_id=202109479","ICTVonline=202109479")</f>
        <v>ICTVonline=202109479</v>
      </c>
    </row>
    <row r="10174" spans="1:21" x14ac:dyDescent="0.2">
      <c r="A10174" s="3">
        <v>10173</v>
      </c>
      <c r="L10174" s="1" t="s">
        <v>298</v>
      </c>
      <c r="N10174" s="1" t="s">
        <v>8577</v>
      </c>
      <c r="P10174" s="1" t="s">
        <v>8581</v>
      </c>
      <c r="Q10174" s="30" t="s">
        <v>2818</v>
      </c>
      <c r="R10174" s="33" t="s">
        <v>3472</v>
      </c>
      <c r="S10174">
        <v>36</v>
      </c>
      <c r="T10174" s="1" t="s">
        <v>8474</v>
      </c>
      <c r="U10174" s="1" t="str">
        <f>HYPERLINK("http://ictvonline.org/taxonomy/p/taxonomy-history?taxnode_id=202109480","ICTVonline=202109480")</f>
        <v>ICTVonline=202109480</v>
      </c>
    </row>
    <row r="10175" spans="1:21" x14ac:dyDescent="0.2">
      <c r="A10175" s="3">
        <v>10174</v>
      </c>
      <c r="L10175" s="1" t="s">
        <v>298</v>
      </c>
      <c r="N10175" s="1" t="s">
        <v>8577</v>
      </c>
      <c r="P10175" s="1" t="s">
        <v>8582</v>
      </c>
      <c r="Q10175" s="30" t="s">
        <v>2818</v>
      </c>
      <c r="R10175" s="33" t="s">
        <v>3472</v>
      </c>
      <c r="S10175">
        <v>36</v>
      </c>
      <c r="T10175" s="1" t="s">
        <v>8474</v>
      </c>
      <c r="U10175" s="1" t="str">
        <f>HYPERLINK("http://ictvonline.org/taxonomy/p/taxonomy-history?taxnode_id=202109481","ICTVonline=202109481")</f>
        <v>ICTVonline=202109481</v>
      </c>
    </row>
    <row r="10176" spans="1:21" x14ac:dyDescent="0.2">
      <c r="A10176" s="3">
        <v>10175</v>
      </c>
      <c r="L10176" s="1" t="s">
        <v>298</v>
      </c>
      <c r="N10176" s="1" t="s">
        <v>8577</v>
      </c>
      <c r="P10176" s="1" t="s">
        <v>8583</v>
      </c>
      <c r="Q10176" s="30" t="s">
        <v>2818</v>
      </c>
      <c r="R10176" s="33" t="s">
        <v>3472</v>
      </c>
      <c r="S10176">
        <v>36</v>
      </c>
      <c r="T10176" s="1" t="s">
        <v>8474</v>
      </c>
      <c r="U10176" s="1" t="str">
        <f>HYPERLINK("http://ictvonline.org/taxonomy/p/taxonomy-history?taxnode_id=202109482","ICTVonline=202109482")</f>
        <v>ICTVonline=202109482</v>
      </c>
    </row>
    <row r="10177" spans="1:21" x14ac:dyDescent="0.2">
      <c r="A10177" s="3">
        <v>10176</v>
      </c>
      <c r="L10177" s="1" t="s">
        <v>298</v>
      </c>
      <c r="N10177" s="1" t="s">
        <v>8584</v>
      </c>
      <c r="P10177" s="1" t="s">
        <v>8585</v>
      </c>
      <c r="Q10177" s="30" t="s">
        <v>2818</v>
      </c>
      <c r="R10177" s="33" t="s">
        <v>3472</v>
      </c>
      <c r="S10177">
        <v>36</v>
      </c>
      <c r="T10177" s="1" t="s">
        <v>8474</v>
      </c>
      <c r="U10177" s="1" t="str">
        <f>HYPERLINK("http://ictvonline.org/taxonomy/p/taxonomy-history?taxnode_id=202109484","ICTVonline=202109484")</f>
        <v>ICTVonline=202109484</v>
      </c>
    </row>
    <row r="10178" spans="1:21" x14ac:dyDescent="0.2">
      <c r="A10178" s="3">
        <v>10177</v>
      </c>
      <c r="L10178" s="1" t="s">
        <v>298</v>
      </c>
      <c r="N10178" s="1" t="s">
        <v>8584</v>
      </c>
      <c r="P10178" s="1" t="s">
        <v>8586</v>
      </c>
      <c r="Q10178" s="30" t="s">
        <v>2818</v>
      </c>
      <c r="R10178" s="33" t="s">
        <v>3472</v>
      </c>
      <c r="S10178">
        <v>36</v>
      </c>
      <c r="T10178" s="1" t="s">
        <v>8474</v>
      </c>
      <c r="U10178" s="1" t="str">
        <f>HYPERLINK("http://ictvonline.org/taxonomy/p/taxonomy-history?taxnode_id=202109485","ICTVonline=202109485")</f>
        <v>ICTVonline=202109485</v>
      </c>
    </row>
    <row r="10179" spans="1:21" x14ac:dyDescent="0.2">
      <c r="A10179" s="3">
        <v>10178</v>
      </c>
      <c r="L10179" s="1" t="s">
        <v>298</v>
      </c>
      <c r="N10179" s="1" t="s">
        <v>8587</v>
      </c>
      <c r="P10179" s="1" t="s">
        <v>8588</v>
      </c>
      <c r="Q10179" s="30" t="s">
        <v>2818</v>
      </c>
      <c r="R10179" s="33" t="s">
        <v>3472</v>
      </c>
      <c r="S10179">
        <v>36</v>
      </c>
      <c r="T10179" s="1" t="s">
        <v>8474</v>
      </c>
      <c r="U10179" s="1" t="str">
        <f>HYPERLINK("http://ictvonline.org/taxonomy/p/taxonomy-history?taxnode_id=202109487","ICTVonline=202109487")</f>
        <v>ICTVonline=202109487</v>
      </c>
    </row>
    <row r="10180" spans="1:21" x14ac:dyDescent="0.2">
      <c r="A10180" s="3">
        <v>10179</v>
      </c>
      <c r="L10180" s="1" t="s">
        <v>298</v>
      </c>
      <c r="N10180" s="1" t="s">
        <v>8587</v>
      </c>
      <c r="P10180" s="1" t="s">
        <v>8589</v>
      </c>
      <c r="Q10180" s="30" t="s">
        <v>2818</v>
      </c>
      <c r="R10180" s="33" t="s">
        <v>3472</v>
      </c>
      <c r="S10180">
        <v>36</v>
      </c>
      <c r="T10180" s="1" t="s">
        <v>8474</v>
      </c>
      <c r="U10180" s="1" t="str">
        <f>HYPERLINK("http://ictvonline.org/taxonomy/p/taxonomy-history?taxnode_id=202109488","ICTVonline=202109488")</f>
        <v>ICTVonline=202109488</v>
      </c>
    </row>
    <row r="10181" spans="1:21" x14ac:dyDescent="0.2">
      <c r="A10181" s="3">
        <v>10180</v>
      </c>
      <c r="L10181" s="1" t="s">
        <v>298</v>
      </c>
      <c r="N10181" s="1" t="s">
        <v>1577</v>
      </c>
      <c r="P10181" s="1" t="s">
        <v>469</v>
      </c>
      <c r="Q10181" s="30" t="s">
        <v>2818</v>
      </c>
      <c r="R10181" s="33" t="s">
        <v>8665</v>
      </c>
      <c r="S10181">
        <v>36</v>
      </c>
      <c r="T10181" s="1" t="s">
        <v>8661</v>
      </c>
      <c r="U10181" s="1" t="str">
        <f>HYPERLINK("http://ictvonline.org/taxonomy/p/taxonomy-history?taxnode_id=202102566","ICTVonline=202102566")</f>
        <v>ICTVonline=202102566</v>
      </c>
    </row>
    <row r="10182" spans="1:21" x14ac:dyDescent="0.2">
      <c r="A10182" s="3">
        <v>10181</v>
      </c>
      <c r="L10182" s="1" t="s">
        <v>531</v>
      </c>
      <c r="N10182" s="1" t="s">
        <v>532</v>
      </c>
      <c r="P10182" s="1" t="s">
        <v>533</v>
      </c>
      <c r="Q10182" s="30" t="s">
        <v>4207</v>
      </c>
      <c r="R10182" s="33" t="s">
        <v>8665</v>
      </c>
      <c r="S10182">
        <v>36</v>
      </c>
      <c r="T10182" s="1" t="s">
        <v>8661</v>
      </c>
      <c r="U10182" s="1" t="str">
        <f>HYPERLINK("http://ictvonline.org/taxonomy/p/taxonomy-history?taxnode_id=202102648","ICTVonline=202102648")</f>
        <v>ICTVonline=202102648</v>
      </c>
    </row>
    <row r="10183" spans="1:21" x14ac:dyDescent="0.2">
      <c r="A10183" s="3">
        <v>10182</v>
      </c>
      <c r="L10183" s="1" t="s">
        <v>531</v>
      </c>
      <c r="N10183" s="1" t="s">
        <v>534</v>
      </c>
      <c r="P10183" s="1" t="s">
        <v>535</v>
      </c>
      <c r="Q10183" s="30" t="s">
        <v>4207</v>
      </c>
      <c r="R10183" s="33" t="s">
        <v>8665</v>
      </c>
      <c r="S10183">
        <v>36</v>
      </c>
      <c r="T10183" s="1" t="s">
        <v>8661</v>
      </c>
      <c r="U10183" s="1" t="str">
        <f>HYPERLINK("http://ictvonline.org/taxonomy/p/taxonomy-history?taxnode_id=202102650","ICTVonline=202102650")</f>
        <v>ICTVonline=202102650</v>
      </c>
    </row>
    <row r="10184" spans="1:21" x14ac:dyDescent="0.2">
      <c r="A10184" s="3">
        <v>10183</v>
      </c>
      <c r="L10184" s="1" t="s">
        <v>531</v>
      </c>
      <c r="N10184" s="1" t="s">
        <v>536</v>
      </c>
      <c r="P10184" s="1" t="s">
        <v>5876</v>
      </c>
      <c r="Q10184" s="30" t="s">
        <v>4207</v>
      </c>
      <c r="R10184" s="33" t="s">
        <v>3472</v>
      </c>
      <c r="S10184">
        <v>35</v>
      </c>
      <c r="T10184" s="1" t="s">
        <v>5877</v>
      </c>
      <c r="U10184" s="1" t="str">
        <f>HYPERLINK("http://ictvonline.org/taxonomy/p/taxonomy-history?taxnode_id=202107651","ICTVonline=202107651")</f>
        <v>ICTVonline=202107651</v>
      </c>
    </row>
    <row r="10185" spans="1:21" x14ac:dyDescent="0.2">
      <c r="A10185" s="3">
        <v>10184</v>
      </c>
      <c r="L10185" s="1" t="s">
        <v>531</v>
      </c>
      <c r="N10185" s="1" t="s">
        <v>536</v>
      </c>
      <c r="P10185" s="1" t="s">
        <v>537</v>
      </c>
      <c r="Q10185" s="30" t="s">
        <v>4207</v>
      </c>
      <c r="R10185" s="33" t="s">
        <v>3474</v>
      </c>
      <c r="S10185">
        <v>35</v>
      </c>
      <c r="T10185" s="1" t="s">
        <v>5875</v>
      </c>
      <c r="U10185" s="1" t="str">
        <f>HYPERLINK("http://ictvonline.org/taxonomy/p/taxonomy-history?taxnode_id=202102652","ICTVonline=202102652")</f>
        <v>ICTVonline=202102652</v>
      </c>
    </row>
    <row r="10186" spans="1:21" x14ac:dyDescent="0.2">
      <c r="A10186" s="3">
        <v>10185</v>
      </c>
      <c r="L10186" s="1" t="s">
        <v>531</v>
      </c>
      <c r="N10186" s="1" t="s">
        <v>536</v>
      </c>
      <c r="P10186" s="1" t="s">
        <v>1608</v>
      </c>
      <c r="Q10186" s="30" t="s">
        <v>4207</v>
      </c>
      <c r="R10186" s="33" t="s">
        <v>8665</v>
      </c>
      <c r="S10186">
        <v>36</v>
      </c>
      <c r="T10186" s="1" t="s">
        <v>8661</v>
      </c>
      <c r="U10186" s="1" t="str">
        <f>HYPERLINK("http://ictvonline.org/taxonomy/p/taxonomy-history?taxnode_id=202102653","ICTVonline=202102653")</f>
        <v>ICTVonline=202102653</v>
      </c>
    </row>
    <row r="10187" spans="1:21" x14ac:dyDescent="0.2">
      <c r="A10187" s="3">
        <v>10186</v>
      </c>
      <c r="L10187" s="1" t="s">
        <v>613</v>
      </c>
      <c r="N10187" s="1" t="s">
        <v>614</v>
      </c>
      <c r="P10187" s="1" t="s">
        <v>615</v>
      </c>
      <c r="Q10187" s="30" t="s">
        <v>2565</v>
      </c>
      <c r="R10187" s="33" t="s">
        <v>8665</v>
      </c>
      <c r="S10187">
        <v>36</v>
      </c>
      <c r="T10187" s="1" t="s">
        <v>8661</v>
      </c>
      <c r="U10187" s="1" t="str">
        <f>HYPERLINK("http://ictvonline.org/taxonomy/p/taxonomy-history?taxnode_id=202102740","ICTVonline=202102740")</f>
        <v>ICTVonline=202102740</v>
      </c>
    </row>
    <row r="10188" spans="1:21" x14ac:dyDescent="0.2">
      <c r="A10188" s="3">
        <v>10187</v>
      </c>
      <c r="L10188" s="1" t="s">
        <v>86</v>
      </c>
      <c r="N10188" s="1" t="s">
        <v>87</v>
      </c>
      <c r="P10188" s="1" t="s">
        <v>88</v>
      </c>
      <c r="Q10188" s="30" t="s">
        <v>2565</v>
      </c>
      <c r="R10188" s="33" t="s">
        <v>8665</v>
      </c>
      <c r="S10188">
        <v>36</v>
      </c>
      <c r="T10188" s="1" t="s">
        <v>8661</v>
      </c>
      <c r="U10188" s="1" t="str">
        <f>HYPERLINK("http://ictvonline.org/taxonomy/p/taxonomy-history?taxnode_id=202102977","ICTVonline=202102977")</f>
        <v>ICTVonline=202102977</v>
      </c>
    </row>
    <row r="10189" spans="1:21" x14ac:dyDescent="0.2">
      <c r="A10189" s="3">
        <v>10188</v>
      </c>
      <c r="L10189" s="1" t="s">
        <v>5887</v>
      </c>
      <c r="N10189" s="1" t="s">
        <v>5888</v>
      </c>
      <c r="P10189" s="1" t="s">
        <v>13804</v>
      </c>
      <c r="Q10189" s="30" t="s">
        <v>2568</v>
      </c>
      <c r="R10189" s="33" t="s">
        <v>3475</v>
      </c>
      <c r="S10189">
        <v>37</v>
      </c>
      <c r="T10189" s="1" t="s">
        <v>13878</v>
      </c>
      <c r="U10189" s="1" t="str">
        <f>HYPERLINK("http://ictvonline.org/taxonomy/p/taxonomy-history?taxnode_id=202107848","ICTVonline=202107848")</f>
        <v>ICTVonline=202107848</v>
      </c>
    </row>
    <row r="10190" spans="1:21" x14ac:dyDescent="0.2">
      <c r="A10190" s="3">
        <v>10189</v>
      </c>
      <c r="L10190" s="1" t="s">
        <v>1953</v>
      </c>
      <c r="N10190" s="1" t="s">
        <v>2082</v>
      </c>
      <c r="P10190" s="1" t="s">
        <v>1954</v>
      </c>
      <c r="Q10190" s="30" t="s">
        <v>2565</v>
      </c>
      <c r="R10190" s="33" t="s">
        <v>8665</v>
      </c>
      <c r="S10190">
        <v>36</v>
      </c>
      <c r="T10190" s="1" t="s">
        <v>8661</v>
      </c>
      <c r="U10190" s="1" t="str">
        <f>HYPERLINK("http://ictvonline.org/taxonomy/p/taxonomy-history?taxnode_id=202103159","ICTVonline=202103159")</f>
        <v>ICTVonline=202103159</v>
      </c>
    </row>
    <row r="10191" spans="1:21" x14ac:dyDescent="0.2">
      <c r="A10191" s="3">
        <v>10190</v>
      </c>
      <c r="L10191" s="1" t="s">
        <v>1953</v>
      </c>
      <c r="N10191" s="1" t="s">
        <v>2082</v>
      </c>
      <c r="P10191" s="1" t="s">
        <v>2083</v>
      </c>
      <c r="Q10191" s="30" t="s">
        <v>2565</v>
      </c>
      <c r="R10191" s="33" t="s">
        <v>3472</v>
      </c>
      <c r="S10191">
        <v>27</v>
      </c>
      <c r="T10191" s="1" t="s">
        <v>3801</v>
      </c>
      <c r="U10191" s="1" t="str">
        <f>HYPERLINK("http://ictvonline.org/taxonomy/p/taxonomy-history?taxnode_id=202103160","ICTVonline=202103160")</f>
        <v>ICTVonline=202103160</v>
      </c>
    </row>
    <row r="10192" spans="1:21" x14ac:dyDescent="0.2">
      <c r="A10192" s="3">
        <v>10191</v>
      </c>
      <c r="L10192" s="1" t="s">
        <v>1953</v>
      </c>
      <c r="N10192" s="1" t="s">
        <v>2082</v>
      </c>
      <c r="P10192" s="1" t="s">
        <v>2084</v>
      </c>
      <c r="Q10192" s="30" t="s">
        <v>2565</v>
      </c>
      <c r="R10192" s="33" t="s">
        <v>3472</v>
      </c>
      <c r="S10192">
        <v>27</v>
      </c>
      <c r="T10192" s="1" t="s">
        <v>3801</v>
      </c>
      <c r="U10192" s="1" t="str">
        <f>HYPERLINK("http://ictvonline.org/taxonomy/p/taxonomy-history?taxnode_id=202103161","ICTVonline=202103161")</f>
        <v>ICTVonline=202103161</v>
      </c>
    </row>
    <row r="10193" spans="1:21" x14ac:dyDescent="0.2">
      <c r="A10193" s="3">
        <v>10192</v>
      </c>
      <c r="L10193" s="1" t="s">
        <v>1953</v>
      </c>
      <c r="N10193" s="1" t="s">
        <v>2082</v>
      </c>
      <c r="P10193" s="1" t="s">
        <v>2085</v>
      </c>
      <c r="Q10193" s="30" t="s">
        <v>2565</v>
      </c>
      <c r="R10193" s="33" t="s">
        <v>3472</v>
      </c>
      <c r="S10193">
        <v>27</v>
      </c>
      <c r="T10193" s="1" t="s">
        <v>3801</v>
      </c>
      <c r="U10193" s="1" t="str">
        <f>HYPERLINK("http://ictvonline.org/taxonomy/p/taxonomy-history?taxnode_id=202103162","ICTVonline=202103162")</f>
        <v>ICTVonline=202103162</v>
      </c>
    </row>
    <row r="10194" spans="1:21" x14ac:dyDescent="0.2">
      <c r="A10194" s="3">
        <v>10193</v>
      </c>
      <c r="L10194" s="1" t="s">
        <v>1953</v>
      </c>
      <c r="N10194" s="1" t="s">
        <v>2082</v>
      </c>
      <c r="P10194" s="1" t="s">
        <v>2086</v>
      </c>
      <c r="Q10194" s="30" t="s">
        <v>2565</v>
      </c>
      <c r="R10194" s="33" t="s">
        <v>3472</v>
      </c>
      <c r="S10194">
        <v>27</v>
      </c>
      <c r="T10194" s="1" t="s">
        <v>3801</v>
      </c>
      <c r="U10194" s="1" t="str">
        <f>HYPERLINK("http://ictvonline.org/taxonomy/p/taxonomy-history?taxnode_id=202103163","ICTVonline=202103163")</f>
        <v>ICTVonline=202103163</v>
      </c>
    </row>
    <row r="10195" spans="1:21" x14ac:dyDescent="0.2">
      <c r="A10195" s="3">
        <v>10194</v>
      </c>
      <c r="L10195" s="1" t="s">
        <v>1953</v>
      </c>
      <c r="N10195" s="1" t="s">
        <v>2082</v>
      </c>
      <c r="P10195" s="1" t="s">
        <v>2087</v>
      </c>
      <c r="Q10195" s="30" t="s">
        <v>2565</v>
      </c>
      <c r="R10195" s="33" t="s">
        <v>3472</v>
      </c>
      <c r="S10195">
        <v>27</v>
      </c>
      <c r="T10195" s="1" t="s">
        <v>3801</v>
      </c>
      <c r="U10195" s="1" t="str">
        <f>HYPERLINK("http://ictvonline.org/taxonomy/p/taxonomy-history?taxnode_id=202103164","ICTVonline=202103164")</f>
        <v>ICTVonline=202103164</v>
      </c>
    </row>
    <row r="10196" spans="1:21" x14ac:dyDescent="0.2">
      <c r="A10196" s="3">
        <v>10195</v>
      </c>
      <c r="L10196" s="1" t="s">
        <v>1953</v>
      </c>
      <c r="N10196" s="1" t="s">
        <v>2082</v>
      </c>
      <c r="P10196" s="1" t="s">
        <v>2088</v>
      </c>
      <c r="Q10196" s="30" t="s">
        <v>2565</v>
      </c>
      <c r="R10196" s="33" t="s">
        <v>3472</v>
      </c>
      <c r="S10196">
        <v>27</v>
      </c>
      <c r="T10196" s="1" t="s">
        <v>3801</v>
      </c>
      <c r="U10196" s="1" t="str">
        <f>HYPERLINK("http://ictvonline.org/taxonomy/p/taxonomy-history?taxnode_id=202103165","ICTVonline=202103165")</f>
        <v>ICTVonline=202103165</v>
      </c>
    </row>
    <row r="10197" spans="1:21" x14ac:dyDescent="0.2">
      <c r="A10197" s="3">
        <v>10196</v>
      </c>
      <c r="L10197" s="1" t="s">
        <v>1953</v>
      </c>
      <c r="N10197" s="1" t="s">
        <v>2089</v>
      </c>
      <c r="P10197" s="1" t="s">
        <v>2090</v>
      </c>
      <c r="Q10197" s="30" t="s">
        <v>2565</v>
      </c>
      <c r="R10197" s="33" t="s">
        <v>3472</v>
      </c>
      <c r="S10197">
        <v>27</v>
      </c>
      <c r="T10197" s="1" t="s">
        <v>3801</v>
      </c>
      <c r="U10197" s="1" t="str">
        <f>HYPERLINK("http://ictvonline.org/taxonomy/p/taxonomy-history?taxnode_id=202103167","ICTVonline=202103167")</f>
        <v>ICTVonline=202103167</v>
      </c>
    </row>
    <row r="10198" spans="1:21" x14ac:dyDescent="0.2">
      <c r="A10198" s="3">
        <v>10197</v>
      </c>
      <c r="L10198" s="1" t="s">
        <v>1953</v>
      </c>
      <c r="N10198" s="1" t="s">
        <v>2089</v>
      </c>
      <c r="P10198" s="1" t="s">
        <v>2091</v>
      </c>
      <c r="Q10198" s="30" t="s">
        <v>2565</v>
      </c>
      <c r="R10198" s="33" t="s">
        <v>8665</v>
      </c>
      <c r="S10198">
        <v>36</v>
      </c>
      <c r="T10198" s="1" t="s">
        <v>8661</v>
      </c>
      <c r="U10198" s="1" t="str">
        <f>HYPERLINK("http://ictvonline.org/taxonomy/p/taxonomy-history?taxnode_id=202103168","ICTVonline=202103168")</f>
        <v>ICTVonline=202103168</v>
      </c>
    </row>
    <row r="10199" spans="1:21" x14ac:dyDescent="0.2">
      <c r="A10199" s="3">
        <v>10198</v>
      </c>
      <c r="L10199" s="1" t="s">
        <v>363</v>
      </c>
      <c r="N10199" s="1" t="s">
        <v>8590</v>
      </c>
      <c r="P10199" s="1" t="s">
        <v>8591</v>
      </c>
      <c r="Q10199" s="30" t="s">
        <v>2565</v>
      </c>
      <c r="R10199" s="33" t="s">
        <v>8662</v>
      </c>
      <c r="S10199">
        <v>36</v>
      </c>
      <c r="T10199" s="1" t="s">
        <v>8680</v>
      </c>
      <c r="U10199" s="1" t="str">
        <f>HYPERLINK("http://ictvonline.org/taxonomy/p/taxonomy-history?taxnode_id=202103637","ICTVonline=202103637")</f>
        <v>ICTVonline=202103637</v>
      </c>
    </row>
    <row r="10200" spans="1:21" x14ac:dyDescent="0.2">
      <c r="A10200" s="3">
        <v>10199</v>
      </c>
      <c r="L10200" s="1" t="s">
        <v>363</v>
      </c>
      <c r="N10200" s="1" t="s">
        <v>8590</v>
      </c>
      <c r="P10200" s="1" t="s">
        <v>8593</v>
      </c>
      <c r="Q10200" s="30" t="s">
        <v>2565</v>
      </c>
      <c r="R10200" s="33" t="s">
        <v>3472</v>
      </c>
      <c r="S10200">
        <v>36</v>
      </c>
      <c r="T10200" s="1" t="s">
        <v>8592</v>
      </c>
      <c r="U10200" s="1" t="str">
        <f>HYPERLINK("http://ictvonline.org/taxonomy/p/taxonomy-history?taxnode_id=202110043","ICTVonline=202110043")</f>
        <v>ICTVonline=202110043</v>
      </c>
    </row>
    <row r="10201" spans="1:21" x14ac:dyDescent="0.2">
      <c r="A10201" s="3">
        <v>10200</v>
      </c>
      <c r="L10201" s="1" t="s">
        <v>363</v>
      </c>
      <c r="N10201" s="1" t="s">
        <v>8590</v>
      </c>
      <c r="P10201" s="1" t="s">
        <v>8594</v>
      </c>
      <c r="Q10201" s="30" t="s">
        <v>2565</v>
      </c>
      <c r="R10201" s="33" t="s">
        <v>3472</v>
      </c>
      <c r="S10201">
        <v>36</v>
      </c>
      <c r="T10201" s="1" t="s">
        <v>8592</v>
      </c>
      <c r="U10201" s="1" t="str">
        <f>HYPERLINK("http://ictvonline.org/taxonomy/p/taxonomy-history?taxnode_id=202110044","ICTVonline=202110044")</f>
        <v>ICTVonline=202110044</v>
      </c>
    </row>
    <row r="10202" spans="1:21" x14ac:dyDescent="0.2">
      <c r="A10202" s="3">
        <v>10201</v>
      </c>
      <c r="L10202" s="1" t="s">
        <v>363</v>
      </c>
      <c r="N10202" s="1" t="s">
        <v>8590</v>
      </c>
      <c r="P10202" s="1" t="s">
        <v>8595</v>
      </c>
      <c r="Q10202" s="30" t="s">
        <v>2565</v>
      </c>
      <c r="R10202" s="33" t="s">
        <v>3473</v>
      </c>
      <c r="S10202">
        <v>36</v>
      </c>
      <c r="T10202" s="1" t="s">
        <v>8592</v>
      </c>
      <c r="U10202" s="1" t="str">
        <f>HYPERLINK("http://ictvonline.org/taxonomy/p/taxonomy-history?taxnode_id=202103638","ICTVonline=202103638")</f>
        <v>ICTVonline=202103638</v>
      </c>
    </row>
    <row r="10203" spans="1:21" x14ac:dyDescent="0.2">
      <c r="A10203" s="3">
        <v>10202</v>
      </c>
      <c r="L10203" s="1" t="s">
        <v>1354</v>
      </c>
      <c r="N10203" s="1" t="s">
        <v>2114</v>
      </c>
      <c r="P10203" s="1" t="s">
        <v>2115</v>
      </c>
      <c r="Q10203" s="30" t="s">
        <v>2565</v>
      </c>
      <c r="R10203" s="33" t="s">
        <v>8665</v>
      </c>
      <c r="S10203">
        <v>36</v>
      </c>
      <c r="T10203" s="1" t="s">
        <v>8661</v>
      </c>
      <c r="U10203" s="1" t="str">
        <f>HYPERLINK("http://ictvonline.org/taxonomy/p/taxonomy-history?taxnode_id=202103644","ICTVonline=202103644")</f>
        <v>ICTVonline=202103644</v>
      </c>
    </row>
    <row r="10204" spans="1:21" x14ac:dyDescent="0.2">
      <c r="A10204" s="3">
        <v>10203</v>
      </c>
      <c r="L10204" s="1" t="s">
        <v>5889</v>
      </c>
      <c r="N10204" s="1" t="s">
        <v>923</v>
      </c>
      <c r="P10204" s="1" t="s">
        <v>5890</v>
      </c>
      <c r="Q10204" s="30" t="s">
        <v>2565</v>
      </c>
      <c r="R10204" s="33" t="s">
        <v>8665</v>
      </c>
      <c r="S10204">
        <v>36</v>
      </c>
      <c r="T10204" s="1" t="s">
        <v>8661</v>
      </c>
      <c r="U10204" s="1" t="str">
        <f>HYPERLINK("http://ictvonline.org/taxonomy/p/taxonomy-history?taxnode_id=202105366","ICTVonline=202105366")</f>
        <v>ICTVonline=202105366</v>
      </c>
    </row>
    <row r="10205" spans="1:21" x14ac:dyDescent="0.2">
      <c r="A10205" s="3">
        <v>10204</v>
      </c>
      <c r="L10205" s="1" t="s">
        <v>4869</v>
      </c>
      <c r="N10205" s="1" t="s">
        <v>4870</v>
      </c>
      <c r="P10205" s="1" t="s">
        <v>4871</v>
      </c>
      <c r="Q10205" s="30" t="s">
        <v>2565</v>
      </c>
      <c r="R10205" s="33" t="s">
        <v>8665</v>
      </c>
      <c r="S10205">
        <v>36</v>
      </c>
      <c r="T10205" s="1" t="s">
        <v>8661</v>
      </c>
      <c r="U10205" s="1" t="str">
        <f>HYPERLINK("http://ictvonline.org/taxonomy/p/taxonomy-history?taxnode_id=202106901","ICTVonline=202106901")</f>
        <v>ICTVonline=202106901</v>
      </c>
    </row>
    <row r="10206" spans="1:21" x14ac:dyDescent="0.2">
      <c r="A10206" s="3">
        <v>10205</v>
      </c>
      <c r="L10206" s="1" t="s">
        <v>888</v>
      </c>
      <c r="N10206" s="1" t="s">
        <v>889</v>
      </c>
      <c r="P10206" s="1" t="s">
        <v>13805</v>
      </c>
      <c r="Q10206" s="30" t="s">
        <v>2565</v>
      </c>
      <c r="R10206" s="33" t="s">
        <v>3475</v>
      </c>
      <c r="S10206">
        <v>37</v>
      </c>
      <c r="T10206" s="1" t="s">
        <v>13878</v>
      </c>
      <c r="U10206" s="1" t="str">
        <f>HYPERLINK("http://ictvonline.org/taxonomy/p/taxonomy-history?taxnode_id=202104339","ICTVonline=202104339")</f>
        <v>ICTVonline=202104339</v>
      </c>
    </row>
    <row r="10207" spans="1:21" x14ac:dyDescent="0.2">
      <c r="A10207" s="3">
        <v>10206</v>
      </c>
      <c r="L10207" s="1" t="s">
        <v>13806</v>
      </c>
      <c r="N10207" s="1" t="s">
        <v>13807</v>
      </c>
      <c r="P10207" s="1" t="s">
        <v>13808</v>
      </c>
      <c r="Q10207" s="30" t="s">
        <v>2565</v>
      </c>
      <c r="R10207" s="33" t="s">
        <v>3473</v>
      </c>
      <c r="S10207">
        <v>37</v>
      </c>
      <c r="T10207" s="1" t="s">
        <v>14076</v>
      </c>
      <c r="U10207" s="1" t="str">
        <f>HYPERLINK("http://ictvonline.org/taxonomy/p/taxonomy-history?taxnode_id=202104360","ICTVonline=202104360")</f>
        <v>ICTVonline=202104360</v>
      </c>
    </row>
    <row r="10208" spans="1:21" x14ac:dyDescent="0.2">
      <c r="A10208" s="3">
        <v>10207</v>
      </c>
      <c r="L10208" s="1" t="s">
        <v>13806</v>
      </c>
      <c r="N10208" s="1" t="s">
        <v>13807</v>
      </c>
      <c r="P10208" s="1" t="s">
        <v>13809</v>
      </c>
      <c r="Q10208" s="30" t="s">
        <v>2565</v>
      </c>
      <c r="R10208" s="33" t="s">
        <v>3473</v>
      </c>
      <c r="S10208">
        <v>37</v>
      </c>
      <c r="T10208" s="1" t="s">
        <v>14076</v>
      </c>
      <c r="U10208" s="1" t="str">
        <f>HYPERLINK("http://ictvonline.org/taxonomy/p/taxonomy-history?taxnode_id=202104357","ICTVonline=202104357")</f>
        <v>ICTVonline=202104357</v>
      </c>
    </row>
    <row r="10209" spans="1:21" x14ac:dyDescent="0.2">
      <c r="A10209" s="3">
        <v>10208</v>
      </c>
      <c r="L10209" s="1" t="s">
        <v>13806</v>
      </c>
      <c r="N10209" s="1" t="s">
        <v>13807</v>
      </c>
      <c r="P10209" s="1" t="s">
        <v>13810</v>
      </c>
      <c r="Q10209" s="30" t="s">
        <v>2565</v>
      </c>
      <c r="R10209" s="33" t="s">
        <v>3473</v>
      </c>
      <c r="S10209">
        <v>37</v>
      </c>
      <c r="T10209" s="1" t="s">
        <v>14076</v>
      </c>
      <c r="U10209" s="1" t="str">
        <f>HYPERLINK("http://ictvonline.org/taxonomy/p/taxonomy-history?taxnode_id=202104361","ICTVonline=202104361")</f>
        <v>ICTVonline=202104361</v>
      </c>
    </row>
    <row r="10210" spans="1:21" x14ac:dyDescent="0.2">
      <c r="A10210" s="3">
        <v>10209</v>
      </c>
      <c r="L10210" s="1" t="s">
        <v>13806</v>
      </c>
      <c r="N10210" s="1" t="s">
        <v>13807</v>
      </c>
      <c r="P10210" s="1" t="s">
        <v>13811</v>
      </c>
      <c r="Q10210" s="30" t="s">
        <v>2565</v>
      </c>
      <c r="R10210" s="33" t="s">
        <v>3473</v>
      </c>
      <c r="S10210">
        <v>37</v>
      </c>
      <c r="T10210" s="1" t="s">
        <v>14076</v>
      </c>
      <c r="U10210" s="1" t="str">
        <f>HYPERLINK("http://ictvonline.org/taxonomy/p/taxonomy-history?taxnode_id=202104379","ICTVonline=202104379")</f>
        <v>ICTVonline=202104379</v>
      </c>
    </row>
    <row r="10211" spans="1:21" x14ac:dyDescent="0.2">
      <c r="A10211" s="3">
        <v>10210</v>
      </c>
      <c r="L10211" s="1" t="s">
        <v>13806</v>
      </c>
      <c r="N10211" s="1" t="s">
        <v>13807</v>
      </c>
      <c r="P10211" s="1" t="s">
        <v>13812</v>
      </c>
      <c r="Q10211" s="30" t="s">
        <v>2565</v>
      </c>
      <c r="R10211" s="33" t="s">
        <v>3473</v>
      </c>
      <c r="S10211">
        <v>37</v>
      </c>
      <c r="T10211" s="1" t="s">
        <v>14076</v>
      </c>
      <c r="U10211" s="1" t="str">
        <f>HYPERLINK("http://ictvonline.org/taxonomy/p/taxonomy-history?taxnode_id=202104366","ICTVonline=202104366")</f>
        <v>ICTVonline=202104366</v>
      </c>
    </row>
    <row r="10212" spans="1:21" x14ac:dyDescent="0.2">
      <c r="A10212" s="3">
        <v>10211</v>
      </c>
      <c r="L10212" s="1" t="s">
        <v>13806</v>
      </c>
      <c r="N10212" s="1" t="s">
        <v>13807</v>
      </c>
      <c r="P10212" s="1" t="s">
        <v>13813</v>
      </c>
      <c r="Q10212" s="30" t="s">
        <v>2565</v>
      </c>
      <c r="R10212" s="33" t="s">
        <v>3473</v>
      </c>
      <c r="S10212">
        <v>37</v>
      </c>
      <c r="T10212" s="1" t="s">
        <v>14076</v>
      </c>
      <c r="U10212" s="1" t="str">
        <f>HYPERLINK("http://ictvonline.org/taxonomy/p/taxonomy-history?taxnode_id=202104355","ICTVonline=202104355")</f>
        <v>ICTVonline=202104355</v>
      </c>
    </row>
    <row r="10213" spans="1:21" x14ac:dyDescent="0.2">
      <c r="A10213" s="3">
        <v>10212</v>
      </c>
      <c r="L10213" s="1" t="s">
        <v>13806</v>
      </c>
      <c r="N10213" s="1" t="s">
        <v>13807</v>
      </c>
      <c r="P10213" s="1" t="s">
        <v>13814</v>
      </c>
      <c r="Q10213" s="30" t="s">
        <v>2565</v>
      </c>
      <c r="R10213" s="33" t="s">
        <v>3473</v>
      </c>
      <c r="S10213">
        <v>37</v>
      </c>
      <c r="T10213" s="1" t="s">
        <v>14076</v>
      </c>
      <c r="U10213" s="1" t="str">
        <f>HYPERLINK("http://ictvonline.org/taxonomy/p/taxonomy-history?taxnode_id=202104381","ICTVonline=202104381")</f>
        <v>ICTVonline=202104381</v>
      </c>
    </row>
    <row r="10214" spans="1:21" x14ac:dyDescent="0.2">
      <c r="A10214" s="3">
        <v>10213</v>
      </c>
      <c r="L10214" s="1" t="s">
        <v>13806</v>
      </c>
      <c r="N10214" s="1" t="s">
        <v>13807</v>
      </c>
      <c r="P10214" s="1" t="s">
        <v>13815</v>
      </c>
      <c r="Q10214" s="30" t="s">
        <v>2565</v>
      </c>
      <c r="R10214" s="33" t="s">
        <v>3473</v>
      </c>
      <c r="S10214">
        <v>37</v>
      </c>
      <c r="T10214" s="1" t="s">
        <v>14076</v>
      </c>
      <c r="U10214" s="1" t="str">
        <f>HYPERLINK("http://ictvonline.org/taxonomy/p/taxonomy-history?taxnode_id=202104364","ICTVonline=202104364")</f>
        <v>ICTVonline=202104364</v>
      </c>
    </row>
    <row r="10215" spans="1:21" x14ac:dyDescent="0.2">
      <c r="A10215" s="3">
        <v>10214</v>
      </c>
      <c r="L10215" s="1" t="s">
        <v>13806</v>
      </c>
      <c r="N10215" s="1" t="s">
        <v>13807</v>
      </c>
      <c r="P10215" s="1" t="s">
        <v>13816</v>
      </c>
      <c r="Q10215" s="30" t="s">
        <v>2565</v>
      </c>
      <c r="R10215" s="33" t="s">
        <v>3473</v>
      </c>
      <c r="S10215">
        <v>37</v>
      </c>
      <c r="T10215" s="1" t="s">
        <v>14076</v>
      </c>
      <c r="U10215" s="1" t="str">
        <f>HYPERLINK("http://ictvonline.org/taxonomy/p/taxonomy-history?taxnode_id=202104382","ICTVonline=202104382")</f>
        <v>ICTVonline=202104382</v>
      </c>
    </row>
    <row r="10216" spans="1:21" x14ac:dyDescent="0.2">
      <c r="A10216" s="3">
        <v>10215</v>
      </c>
      <c r="L10216" s="1" t="s">
        <v>13806</v>
      </c>
      <c r="N10216" s="1" t="s">
        <v>13807</v>
      </c>
      <c r="P10216" s="1" t="s">
        <v>13817</v>
      </c>
      <c r="Q10216" s="30" t="s">
        <v>2565</v>
      </c>
      <c r="R10216" s="33" t="s">
        <v>3473</v>
      </c>
      <c r="S10216">
        <v>37</v>
      </c>
      <c r="T10216" s="1" t="s">
        <v>14076</v>
      </c>
      <c r="U10216" s="1" t="str">
        <f>HYPERLINK("http://ictvonline.org/taxonomy/p/taxonomy-history?taxnode_id=202104380","ICTVonline=202104380")</f>
        <v>ICTVonline=202104380</v>
      </c>
    </row>
    <row r="10217" spans="1:21" x14ac:dyDescent="0.2">
      <c r="A10217" s="3">
        <v>10216</v>
      </c>
      <c r="L10217" s="1" t="s">
        <v>13806</v>
      </c>
      <c r="N10217" s="1" t="s">
        <v>13807</v>
      </c>
      <c r="P10217" s="1" t="s">
        <v>13818</v>
      </c>
      <c r="Q10217" s="30" t="s">
        <v>2565</v>
      </c>
      <c r="R10217" s="33" t="s">
        <v>3473</v>
      </c>
      <c r="S10217">
        <v>37</v>
      </c>
      <c r="T10217" s="1" t="s">
        <v>14076</v>
      </c>
      <c r="U10217" s="1" t="str">
        <f>HYPERLINK("http://ictvonline.org/taxonomy/p/taxonomy-history?taxnode_id=202104375","ICTVonline=202104375")</f>
        <v>ICTVonline=202104375</v>
      </c>
    </row>
    <row r="10218" spans="1:21" x14ac:dyDescent="0.2">
      <c r="A10218" s="3">
        <v>10217</v>
      </c>
      <c r="L10218" s="1" t="s">
        <v>13806</v>
      </c>
      <c r="N10218" s="1" t="s">
        <v>13807</v>
      </c>
      <c r="P10218" s="1" t="s">
        <v>13819</v>
      </c>
      <c r="Q10218" s="30" t="s">
        <v>2565</v>
      </c>
      <c r="R10218" s="33" t="s">
        <v>3473</v>
      </c>
      <c r="S10218">
        <v>37</v>
      </c>
      <c r="T10218" s="1" t="s">
        <v>14076</v>
      </c>
      <c r="U10218" s="1" t="str">
        <f>HYPERLINK("http://ictvonline.org/taxonomy/p/taxonomy-history?taxnode_id=202104376","ICTVonline=202104376")</f>
        <v>ICTVonline=202104376</v>
      </c>
    </row>
    <row r="10219" spans="1:21" x14ac:dyDescent="0.2">
      <c r="A10219" s="3">
        <v>10218</v>
      </c>
      <c r="L10219" s="1" t="s">
        <v>13806</v>
      </c>
      <c r="N10219" s="1" t="s">
        <v>13807</v>
      </c>
      <c r="P10219" s="1" t="s">
        <v>13820</v>
      </c>
      <c r="Q10219" s="30" t="s">
        <v>2565</v>
      </c>
      <c r="R10219" s="33" t="s">
        <v>3473</v>
      </c>
      <c r="S10219">
        <v>37</v>
      </c>
      <c r="T10219" s="1" t="s">
        <v>14076</v>
      </c>
      <c r="U10219" s="1" t="str">
        <f>HYPERLINK("http://ictvonline.org/taxonomy/p/taxonomy-history?taxnode_id=202104367","ICTVonline=202104367")</f>
        <v>ICTVonline=202104367</v>
      </c>
    </row>
    <row r="10220" spans="1:21" x14ac:dyDescent="0.2">
      <c r="A10220" s="3">
        <v>10219</v>
      </c>
      <c r="L10220" s="1" t="s">
        <v>13806</v>
      </c>
      <c r="N10220" s="1" t="s">
        <v>13807</v>
      </c>
      <c r="P10220" s="1" t="s">
        <v>13821</v>
      </c>
      <c r="Q10220" s="30" t="s">
        <v>2565</v>
      </c>
      <c r="R10220" s="33" t="s">
        <v>3473</v>
      </c>
      <c r="S10220">
        <v>37</v>
      </c>
      <c r="T10220" s="1" t="s">
        <v>14076</v>
      </c>
      <c r="U10220" s="1" t="str">
        <f>HYPERLINK("http://ictvonline.org/taxonomy/p/taxonomy-history?taxnode_id=202104383","ICTVonline=202104383")</f>
        <v>ICTVonline=202104383</v>
      </c>
    </row>
    <row r="10221" spans="1:21" x14ac:dyDescent="0.2">
      <c r="A10221" s="3">
        <v>10220</v>
      </c>
      <c r="L10221" s="1" t="s">
        <v>13806</v>
      </c>
      <c r="N10221" s="1" t="s">
        <v>13807</v>
      </c>
      <c r="P10221" s="1" t="s">
        <v>13822</v>
      </c>
      <c r="Q10221" s="30" t="s">
        <v>2565</v>
      </c>
      <c r="R10221" s="33" t="s">
        <v>3473</v>
      </c>
      <c r="S10221">
        <v>37</v>
      </c>
      <c r="T10221" s="1" t="s">
        <v>14076</v>
      </c>
      <c r="U10221" s="1" t="str">
        <f>HYPERLINK("http://ictvonline.org/taxonomy/p/taxonomy-history?taxnode_id=202104356","ICTVonline=202104356")</f>
        <v>ICTVonline=202104356</v>
      </c>
    </row>
    <row r="10222" spans="1:21" x14ac:dyDescent="0.2">
      <c r="A10222" s="3">
        <v>10221</v>
      </c>
      <c r="L10222" s="1" t="s">
        <v>13806</v>
      </c>
      <c r="N10222" s="1" t="s">
        <v>13807</v>
      </c>
      <c r="P10222" s="1" t="s">
        <v>13823</v>
      </c>
      <c r="Q10222" s="30" t="s">
        <v>2565</v>
      </c>
      <c r="R10222" s="33" t="s">
        <v>3473</v>
      </c>
      <c r="S10222">
        <v>37</v>
      </c>
      <c r="T10222" s="1" t="s">
        <v>14076</v>
      </c>
      <c r="U10222" s="1" t="str">
        <f>HYPERLINK("http://ictvonline.org/taxonomy/p/taxonomy-history?taxnode_id=202104368","ICTVonline=202104368")</f>
        <v>ICTVonline=202104368</v>
      </c>
    </row>
    <row r="10223" spans="1:21" x14ac:dyDescent="0.2">
      <c r="A10223" s="3">
        <v>10222</v>
      </c>
      <c r="L10223" s="1" t="s">
        <v>13806</v>
      </c>
      <c r="N10223" s="1" t="s">
        <v>13807</v>
      </c>
      <c r="P10223" s="1" t="s">
        <v>13824</v>
      </c>
      <c r="Q10223" s="30" t="s">
        <v>2565</v>
      </c>
      <c r="R10223" s="33" t="s">
        <v>3473</v>
      </c>
      <c r="S10223">
        <v>37</v>
      </c>
      <c r="T10223" s="1" t="s">
        <v>14076</v>
      </c>
      <c r="U10223" s="1" t="str">
        <f>HYPERLINK("http://ictvonline.org/taxonomy/p/taxonomy-history?taxnode_id=202104369","ICTVonline=202104369")</f>
        <v>ICTVonline=202104369</v>
      </c>
    </row>
    <row r="10224" spans="1:21" x14ac:dyDescent="0.2">
      <c r="A10224" s="3">
        <v>10223</v>
      </c>
      <c r="L10224" s="1" t="s">
        <v>13806</v>
      </c>
      <c r="N10224" s="1" t="s">
        <v>13807</v>
      </c>
      <c r="P10224" s="1" t="s">
        <v>13825</v>
      </c>
      <c r="Q10224" s="30" t="s">
        <v>2565</v>
      </c>
      <c r="R10224" s="33" t="s">
        <v>3473</v>
      </c>
      <c r="S10224">
        <v>37</v>
      </c>
      <c r="T10224" s="1" t="s">
        <v>14076</v>
      </c>
      <c r="U10224" s="1" t="str">
        <f>HYPERLINK("http://ictvonline.org/taxonomy/p/taxonomy-history?taxnode_id=202104362","ICTVonline=202104362")</f>
        <v>ICTVonline=202104362</v>
      </c>
    </row>
    <row r="10225" spans="1:21" x14ac:dyDescent="0.2">
      <c r="A10225" s="3">
        <v>10224</v>
      </c>
      <c r="L10225" s="1" t="s">
        <v>13806</v>
      </c>
      <c r="N10225" s="1" t="s">
        <v>13807</v>
      </c>
      <c r="P10225" s="1" t="s">
        <v>13826</v>
      </c>
      <c r="Q10225" s="30" t="s">
        <v>2565</v>
      </c>
      <c r="R10225" s="33" t="s">
        <v>3473</v>
      </c>
      <c r="S10225">
        <v>37</v>
      </c>
      <c r="T10225" s="1" t="s">
        <v>14076</v>
      </c>
      <c r="U10225" s="1" t="str">
        <f>HYPERLINK("http://ictvonline.org/taxonomy/p/taxonomy-history?taxnode_id=202104377","ICTVonline=202104377")</f>
        <v>ICTVonline=202104377</v>
      </c>
    </row>
    <row r="10226" spans="1:21" x14ac:dyDescent="0.2">
      <c r="A10226" s="3">
        <v>10225</v>
      </c>
      <c r="L10226" s="1" t="s">
        <v>13806</v>
      </c>
      <c r="N10226" s="1" t="s">
        <v>13807</v>
      </c>
      <c r="P10226" s="1" t="s">
        <v>13827</v>
      </c>
      <c r="Q10226" s="30" t="s">
        <v>2565</v>
      </c>
      <c r="R10226" s="33" t="s">
        <v>3473</v>
      </c>
      <c r="S10226">
        <v>37</v>
      </c>
      <c r="T10226" s="1" t="s">
        <v>14076</v>
      </c>
      <c r="U10226" s="1" t="str">
        <f>HYPERLINK("http://ictvonline.org/taxonomy/p/taxonomy-history?taxnode_id=202104363","ICTVonline=202104363")</f>
        <v>ICTVonline=202104363</v>
      </c>
    </row>
    <row r="10227" spans="1:21" x14ac:dyDescent="0.2">
      <c r="A10227" s="3">
        <v>10226</v>
      </c>
      <c r="L10227" s="1" t="s">
        <v>13806</v>
      </c>
      <c r="N10227" s="1" t="s">
        <v>13807</v>
      </c>
      <c r="P10227" s="1" t="s">
        <v>13828</v>
      </c>
      <c r="Q10227" s="30" t="s">
        <v>2565</v>
      </c>
      <c r="R10227" s="33" t="s">
        <v>3473</v>
      </c>
      <c r="S10227">
        <v>37</v>
      </c>
      <c r="T10227" s="1" t="s">
        <v>14076</v>
      </c>
      <c r="U10227" s="1" t="str">
        <f>HYPERLINK("http://ictvonline.org/taxonomy/p/taxonomy-history?taxnode_id=202104370","ICTVonline=202104370")</f>
        <v>ICTVonline=202104370</v>
      </c>
    </row>
    <row r="10228" spans="1:21" x14ac:dyDescent="0.2">
      <c r="A10228" s="3">
        <v>10227</v>
      </c>
      <c r="L10228" s="1" t="s">
        <v>13806</v>
      </c>
      <c r="N10228" s="1" t="s">
        <v>13807</v>
      </c>
      <c r="P10228" s="1" t="s">
        <v>13829</v>
      </c>
      <c r="Q10228" s="30" t="s">
        <v>2565</v>
      </c>
      <c r="R10228" s="33" t="s">
        <v>3473</v>
      </c>
      <c r="S10228">
        <v>37</v>
      </c>
      <c r="T10228" s="1" t="s">
        <v>14076</v>
      </c>
      <c r="U10228" s="1" t="str">
        <f>HYPERLINK("http://ictvonline.org/taxonomy/p/taxonomy-history?taxnode_id=202104378","ICTVonline=202104378")</f>
        <v>ICTVonline=202104378</v>
      </c>
    </row>
    <row r="10229" spans="1:21" x14ac:dyDescent="0.2">
      <c r="A10229" s="3">
        <v>10228</v>
      </c>
      <c r="L10229" s="1" t="s">
        <v>13806</v>
      </c>
      <c r="N10229" s="1" t="s">
        <v>13807</v>
      </c>
      <c r="P10229" s="1" t="s">
        <v>13830</v>
      </c>
      <c r="Q10229" s="30" t="s">
        <v>2565</v>
      </c>
      <c r="R10229" s="33" t="s">
        <v>3473</v>
      </c>
      <c r="S10229">
        <v>37</v>
      </c>
      <c r="T10229" s="1" t="s">
        <v>14076</v>
      </c>
      <c r="U10229" s="1" t="str">
        <f>HYPERLINK("http://ictvonline.org/taxonomy/p/taxonomy-history?taxnode_id=202104371","ICTVonline=202104371")</f>
        <v>ICTVonline=202104371</v>
      </c>
    </row>
    <row r="10230" spans="1:21" x14ac:dyDescent="0.2">
      <c r="A10230" s="3">
        <v>10229</v>
      </c>
      <c r="L10230" s="1" t="s">
        <v>13806</v>
      </c>
      <c r="N10230" s="1" t="s">
        <v>13807</v>
      </c>
      <c r="P10230" s="1" t="s">
        <v>13831</v>
      </c>
      <c r="Q10230" s="30" t="s">
        <v>2565</v>
      </c>
      <c r="R10230" s="33" t="s">
        <v>3473</v>
      </c>
      <c r="S10230">
        <v>37</v>
      </c>
      <c r="T10230" s="1" t="s">
        <v>14076</v>
      </c>
      <c r="U10230" s="1" t="str">
        <f>HYPERLINK("http://ictvonline.org/taxonomy/p/taxonomy-history?taxnode_id=202104372","ICTVonline=202104372")</f>
        <v>ICTVonline=202104372</v>
      </c>
    </row>
    <row r="10231" spans="1:21" x14ac:dyDescent="0.2">
      <c r="A10231" s="3">
        <v>10230</v>
      </c>
      <c r="L10231" s="1" t="s">
        <v>13806</v>
      </c>
      <c r="N10231" s="1" t="s">
        <v>13807</v>
      </c>
      <c r="P10231" s="1" t="s">
        <v>13832</v>
      </c>
      <c r="Q10231" s="30" t="s">
        <v>2565</v>
      </c>
      <c r="R10231" s="33" t="s">
        <v>3473</v>
      </c>
      <c r="S10231">
        <v>37</v>
      </c>
      <c r="T10231" s="1" t="s">
        <v>14076</v>
      </c>
      <c r="U10231" s="1" t="str">
        <f>HYPERLINK("http://ictvonline.org/taxonomy/p/taxonomy-history?taxnode_id=202104359","ICTVonline=202104359")</f>
        <v>ICTVonline=202104359</v>
      </c>
    </row>
    <row r="10232" spans="1:21" x14ac:dyDescent="0.2">
      <c r="A10232" s="3">
        <v>10231</v>
      </c>
      <c r="L10232" s="1" t="s">
        <v>13806</v>
      </c>
      <c r="N10232" s="1" t="s">
        <v>13807</v>
      </c>
      <c r="P10232" s="1" t="s">
        <v>13833</v>
      </c>
      <c r="Q10232" s="30" t="s">
        <v>2565</v>
      </c>
      <c r="R10232" s="33" t="s">
        <v>3473</v>
      </c>
      <c r="S10232">
        <v>37</v>
      </c>
      <c r="T10232" s="1" t="s">
        <v>14076</v>
      </c>
      <c r="U10232" s="1" t="str">
        <f>HYPERLINK("http://ictvonline.org/taxonomy/p/taxonomy-history?taxnode_id=202104384","ICTVonline=202104384")</f>
        <v>ICTVonline=202104384</v>
      </c>
    </row>
    <row r="10233" spans="1:21" x14ac:dyDescent="0.2">
      <c r="A10233" s="3">
        <v>10232</v>
      </c>
      <c r="L10233" s="1" t="s">
        <v>13806</v>
      </c>
      <c r="N10233" s="1" t="s">
        <v>13807</v>
      </c>
      <c r="P10233" s="1" t="s">
        <v>13834</v>
      </c>
      <c r="Q10233" s="30" t="s">
        <v>2565</v>
      </c>
      <c r="R10233" s="33" t="s">
        <v>3473</v>
      </c>
      <c r="S10233">
        <v>37</v>
      </c>
      <c r="T10233" s="1" t="s">
        <v>14076</v>
      </c>
      <c r="U10233" s="1" t="str">
        <f>HYPERLINK("http://ictvonline.org/taxonomy/p/taxonomy-history?taxnode_id=202104385","ICTVonline=202104385")</f>
        <v>ICTVonline=202104385</v>
      </c>
    </row>
    <row r="10234" spans="1:21" x14ac:dyDescent="0.2">
      <c r="A10234" s="3">
        <v>10233</v>
      </c>
      <c r="L10234" s="1" t="s">
        <v>13806</v>
      </c>
      <c r="N10234" s="1" t="s">
        <v>13807</v>
      </c>
      <c r="P10234" s="1" t="s">
        <v>13835</v>
      </c>
      <c r="Q10234" s="30" t="s">
        <v>2565</v>
      </c>
      <c r="R10234" s="33" t="s">
        <v>3473</v>
      </c>
      <c r="S10234">
        <v>37</v>
      </c>
      <c r="T10234" s="1" t="s">
        <v>14076</v>
      </c>
      <c r="U10234" s="1" t="str">
        <f>HYPERLINK("http://ictvonline.org/taxonomy/p/taxonomy-history?taxnode_id=202104358","ICTVonline=202104358")</f>
        <v>ICTVonline=202104358</v>
      </c>
    </row>
    <row r="10235" spans="1:21" x14ac:dyDescent="0.2">
      <c r="A10235" s="3">
        <v>10234</v>
      </c>
      <c r="L10235" s="1" t="s">
        <v>13806</v>
      </c>
      <c r="N10235" s="1" t="s">
        <v>13807</v>
      </c>
      <c r="P10235" s="1" t="s">
        <v>13836</v>
      </c>
      <c r="Q10235" s="30" t="s">
        <v>2565</v>
      </c>
      <c r="R10235" s="33" t="s">
        <v>3473</v>
      </c>
      <c r="S10235">
        <v>37</v>
      </c>
      <c r="T10235" s="1" t="s">
        <v>14076</v>
      </c>
      <c r="U10235" s="1" t="str">
        <f>HYPERLINK("http://ictvonline.org/taxonomy/p/taxonomy-history?taxnode_id=202104373","ICTVonline=202104373")</f>
        <v>ICTVonline=202104373</v>
      </c>
    </row>
    <row r="10236" spans="1:21" x14ac:dyDescent="0.2">
      <c r="A10236" s="3">
        <v>10235</v>
      </c>
      <c r="L10236" s="1" t="s">
        <v>13806</v>
      </c>
      <c r="N10236" s="1" t="s">
        <v>13807</v>
      </c>
      <c r="P10236" s="1" t="s">
        <v>13837</v>
      </c>
      <c r="Q10236" s="30" t="s">
        <v>2565</v>
      </c>
      <c r="R10236" s="33" t="s">
        <v>3473</v>
      </c>
      <c r="S10236">
        <v>37</v>
      </c>
      <c r="T10236" s="1" t="s">
        <v>14076</v>
      </c>
      <c r="U10236" s="1" t="str">
        <f>HYPERLINK("http://ictvonline.org/taxonomy/p/taxonomy-history?taxnode_id=202104374","ICTVonline=202104374")</f>
        <v>ICTVonline=202104374</v>
      </c>
    </row>
    <row r="10237" spans="1:21" x14ac:dyDescent="0.2">
      <c r="A10237" s="3">
        <v>10236</v>
      </c>
      <c r="L10237" s="1" t="s">
        <v>13806</v>
      </c>
      <c r="N10237" s="1" t="s">
        <v>13807</v>
      </c>
      <c r="P10237" s="1" t="s">
        <v>13838</v>
      </c>
      <c r="Q10237" s="30" t="s">
        <v>2565</v>
      </c>
      <c r="R10237" s="33" t="s">
        <v>3473</v>
      </c>
      <c r="S10237">
        <v>37</v>
      </c>
      <c r="T10237" s="1" t="s">
        <v>14076</v>
      </c>
      <c r="U10237" s="1" t="str">
        <f>HYPERLINK("http://ictvonline.org/taxonomy/p/taxonomy-history?taxnode_id=202104365","ICTVonline=202104365")</f>
        <v>ICTVonline=202104365</v>
      </c>
    </row>
    <row r="10238" spans="1:21" x14ac:dyDescent="0.2">
      <c r="A10238" s="3">
        <v>10237</v>
      </c>
      <c r="L10238" s="1" t="s">
        <v>13806</v>
      </c>
      <c r="N10238" s="1" t="s">
        <v>13839</v>
      </c>
      <c r="P10238" s="1" t="s">
        <v>13840</v>
      </c>
      <c r="Q10238" s="30" t="s">
        <v>2565</v>
      </c>
      <c r="R10238" s="33" t="s">
        <v>3473</v>
      </c>
      <c r="S10238">
        <v>37</v>
      </c>
      <c r="T10238" s="1" t="s">
        <v>14076</v>
      </c>
      <c r="U10238" s="1" t="str">
        <f>HYPERLINK("http://ictvonline.org/taxonomy/p/taxonomy-history?taxnode_id=202104394","ICTVonline=202104394")</f>
        <v>ICTVonline=202104394</v>
      </c>
    </row>
    <row r="10239" spans="1:21" x14ac:dyDescent="0.2">
      <c r="A10239" s="3">
        <v>10238</v>
      </c>
      <c r="L10239" s="1" t="s">
        <v>13806</v>
      </c>
      <c r="N10239" s="1" t="s">
        <v>13839</v>
      </c>
      <c r="P10239" s="1" t="s">
        <v>13841</v>
      </c>
      <c r="Q10239" s="30" t="s">
        <v>2565</v>
      </c>
      <c r="R10239" s="33" t="s">
        <v>3473</v>
      </c>
      <c r="S10239">
        <v>37</v>
      </c>
      <c r="T10239" s="1" t="s">
        <v>14076</v>
      </c>
      <c r="U10239" s="1" t="str">
        <f>HYPERLINK("http://ictvonline.org/taxonomy/p/taxonomy-history?taxnode_id=202104400","ICTVonline=202104400")</f>
        <v>ICTVonline=202104400</v>
      </c>
    </row>
    <row r="10240" spans="1:21" x14ac:dyDescent="0.2">
      <c r="A10240" s="3">
        <v>10239</v>
      </c>
      <c r="L10240" s="1" t="s">
        <v>13806</v>
      </c>
      <c r="N10240" s="1" t="s">
        <v>13839</v>
      </c>
      <c r="P10240" s="1" t="s">
        <v>13842</v>
      </c>
      <c r="Q10240" s="30" t="s">
        <v>2565</v>
      </c>
      <c r="R10240" s="33" t="s">
        <v>3473</v>
      </c>
      <c r="S10240">
        <v>37</v>
      </c>
      <c r="T10240" s="1" t="s">
        <v>14076</v>
      </c>
      <c r="U10240" s="1" t="str">
        <f>HYPERLINK("http://ictvonline.org/taxonomy/p/taxonomy-history?taxnode_id=202104388","ICTVonline=202104388")</f>
        <v>ICTVonline=202104388</v>
      </c>
    </row>
    <row r="10241" spans="1:21" x14ac:dyDescent="0.2">
      <c r="A10241" s="3">
        <v>10240</v>
      </c>
      <c r="L10241" s="1" t="s">
        <v>13806</v>
      </c>
      <c r="N10241" s="1" t="s">
        <v>13839</v>
      </c>
      <c r="P10241" s="1" t="s">
        <v>13843</v>
      </c>
      <c r="Q10241" s="30" t="s">
        <v>2565</v>
      </c>
      <c r="R10241" s="33" t="s">
        <v>3473</v>
      </c>
      <c r="S10241">
        <v>37</v>
      </c>
      <c r="T10241" s="1" t="s">
        <v>14076</v>
      </c>
      <c r="U10241" s="1" t="str">
        <f>HYPERLINK("http://ictvonline.org/taxonomy/p/taxonomy-history?taxnode_id=202104391","ICTVonline=202104391")</f>
        <v>ICTVonline=202104391</v>
      </c>
    </row>
    <row r="10242" spans="1:21" x14ac:dyDescent="0.2">
      <c r="A10242" s="3">
        <v>10241</v>
      </c>
      <c r="L10242" s="1" t="s">
        <v>13806</v>
      </c>
      <c r="N10242" s="1" t="s">
        <v>13839</v>
      </c>
      <c r="P10242" s="1" t="s">
        <v>13844</v>
      </c>
      <c r="Q10242" s="30" t="s">
        <v>2565</v>
      </c>
      <c r="R10242" s="33" t="s">
        <v>3473</v>
      </c>
      <c r="S10242">
        <v>37</v>
      </c>
      <c r="T10242" s="1" t="s">
        <v>14076</v>
      </c>
      <c r="U10242" s="1" t="str">
        <f>HYPERLINK("http://ictvonline.org/taxonomy/p/taxonomy-history?taxnode_id=202104406","ICTVonline=202104406")</f>
        <v>ICTVonline=202104406</v>
      </c>
    </row>
    <row r="10243" spans="1:21" x14ac:dyDescent="0.2">
      <c r="A10243" s="3">
        <v>10242</v>
      </c>
      <c r="L10243" s="1" t="s">
        <v>13806</v>
      </c>
      <c r="N10243" s="1" t="s">
        <v>13839</v>
      </c>
      <c r="P10243" s="1" t="s">
        <v>13845</v>
      </c>
      <c r="Q10243" s="30" t="s">
        <v>2565</v>
      </c>
      <c r="R10243" s="33" t="s">
        <v>3473</v>
      </c>
      <c r="S10243">
        <v>37</v>
      </c>
      <c r="T10243" s="1" t="s">
        <v>14076</v>
      </c>
      <c r="U10243" s="1" t="str">
        <f>HYPERLINK("http://ictvonline.org/taxonomy/p/taxonomy-history?taxnode_id=202104398","ICTVonline=202104398")</f>
        <v>ICTVonline=202104398</v>
      </c>
    </row>
    <row r="10244" spans="1:21" x14ac:dyDescent="0.2">
      <c r="A10244" s="3">
        <v>10243</v>
      </c>
      <c r="L10244" s="1" t="s">
        <v>13806</v>
      </c>
      <c r="N10244" s="1" t="s">
        <v>13839</v>
      </c>
      <c r="P10244" s="1" t="s">
        <v>13846</v>
      </c>
      <c r="Q10244" s="30" t="s">
        <v>2565</v>
      </c>
      <c r="R10244" s="33" t="s">
        <v>3473</v>
      </c>
      <c r="S10244">
        <v>37</v>
      </c>
      <c r="T10244" s="1" t="s">
        <v>14076</v>
      </c>
      <c r="U10244" s="1" t="str">
        <f>HYPERLINK("http://ictvonline.org/taxonomy/p/taxonomy-history?taxnode_id=202104401","ICTVonline=202104401")</f>
        <v>ICTVonline=202104401</v>
      </c>
    </row>
    <row r="10245" spans="1:21" x14ac:dyDescent="0.2">
      <c r="A10245" s="3">
        <v>10244</v>
      </c>
      <c r="L10245" s="1" t="s">
        <v>13806</v>
      </c>
      <c r="N10245" s="1" t="s">
        <v>13839</v>
      </c>
      <c r="P10245" s="1" t="s">
        <v>13847</v>
      </c>
      <c r="Q10245" s="30" t="s">
        <v>2565</v>
      </c>
      <c r="R10245" s="33" t="s">
        <v>3473</v>
      </c>
      <c r="S10245">
        <v>37</v>
      </c>
      <c r="T10245" s="1" t="s">
        <v>14076</v>
      </c>
      <c r="U10245" s="1" t="str">
        <f>HYPERLINK("http://ictvonline.org/taxonomy/p/taxonomy-history?taxnode_id=202104389","ICTVonline=202104389")</f>
        <v>ICTVonline=202104389</v>
      </c>
    </row>
    <row r="10246" spans="1:21" x14ac:dyDescent="0.2">
      <c r="A10246" s="3">
        <v>10245</v>
      </c>
      <c r="L10246" s="1" t="s">
        <v>13806</v>
      </c>
      <c r="N10246" s="1" t="s">
        <v>13839</v>
      </c>
      <c r="P10246" s="1" t="s">
        <v>13848</v>
      </c>
      <c r="Q10246" s="30" t="s">
        <v>2565</v>
      </c>
      <c r="R10246" s="33" t="s">
        <v>3473</v>
      </c>
      <c r="S10246">
        <v>37</v>
      </c>
      <c r="T10246" s="1" t="s">
        <v>14076</v>
      </c>
      <c r="U10246" s="1" t="str">
        <f>HYPERLINK("http://ictvonline.org/taxonomy/p/taxonomy-history?taxnode_id=202104392","ICTVonline=202104392")</f>
        <v>ICTVonline=202104392</v>
      </c>
    </row>
    <row r="10247" spans="1:21" x14ac:dyDescent="0.2">
      <c r="A10247" s="3">
        <v>10246</v>
      </c>
      <c r="L10247" s="1" t="s">
        <v>13806</v>
      </c>
      <c r="N10247" s="1" t="s">
        <v>13839</v>
      </c>
      <c r="P10247" s="1" t="s">
        <v>13849</v>
      </c>
      <c r="Q10247" s="30" t="s">
        <v>2565</v>
      </c>
      <c r="R10247" s="33" t="s">
        <v>3473</v>
      </c>
      <c r="S10247">
        <v>37</v>
      </c>
      <c r="T10247" s="1" t="s">
        <v>14076</v>
      </c>
      <c r="U10247" s="1" t="str">
        <f>HYPERLINK("http://ictvonline.org/taxonomy/p/taxonomy-history?taxnode_id=202104402","ICTVonline=202104402")</f>
        <v>ICTVonline=202104402</v>
      </c>
    </row>
    <row r="10248" spans="1:21" x14ac:dyDescent="0.2">
      <c r="A10248" s="3">
        <v>10247</v>
      </c>
      <c r="L10248" s="1" t="s">
        <v>13806</v>
      </c>
      <c r="N10248" s="1" t="s">
        <v>13839</v>
      </c>
      <c r="P10248" s="1" t="s">
        <v>13850</v>
      </c>
      <c r="Q10248" s="30" t="s">
        <v>2565</v>
      </c>
      <c r="R10248" s="33" t="s">
        <v>3473</v>
      </c>
      <c r="S10248">
        <v>37</v>
      </c>
      <c r="T10248" s="1" t="s">
        <v>14076</v>
      </c>
      <c r="U10248" s="1" t="str">
        <f>HYPERLINK("http://ictvonline.org/taxonomy/p/taxonomy-history?taxnode_id=202104399","ICTVonline=202104399")</f>
        <v>ICTVonline=202104399</v>
      </c>
    </row>
    <row r="10249" spans="1:21" x14ac:dyDescent="0.2">
      <c r="A10249" s="3">
        <v>10248</v>
      </c>
      <c r="L10249" s="1" t="s">
        <v>13806</v>
      </c>
      <c r="N10249" s="1" t="s">
        <v>13839</v>
      </c>
      <c r="P10249" s="1" t="s">
        <v>13851</v>
      </c>
      <c r="Q10249" s="30" t="s">
        <v>2565</v>
      </c>
      <c r="R10249" s="33" t="s">
        <v>3473</v>
      </c>
      <c r="S10249">
        <v>37</v>
      </c>
      <c r="T10249" s="1" t="s">
        <v>14076</v>
      </c>
      <c r="U10249" s="1" t="str">
        <f>HYPERLINK("http://ictvonline.org/taxonomy/p/taxonomy-history?taxnode_id=202104407","ICTVonline=202104407")</f>
        <v>ICTVonline=202104407</v>
      </c>
    </row>
    <row r="10250" spans="1:21" x14ac:dyDescent="0.2">
      <c r="A10250" s="3">
        <v>10249</v>
      </c>
      <c r="L10250" s="1" t="s">
        <v>13806</v>
      </c>
      <c r="N10250" s="1" t="s">
        <v>13839</v>
      </c>
      <c r="P10250" s="1" t="s">
        <v>13852</v>
      </c>
      <c r="Q10250" s="30" t="s">
        <v>2565</v>
      </c>
      <c r="R10250" s="33" t="s">
        <v>3473</v>
      </c>
      <c r="S10250">
        <v>37</v>
      </c>
      <c r="T10250" s="1" t="s">
        <v>14076</v>
      </c>
      <c r="U10250" s="1" t="str">
        <f>HYPERLINK("http://ictvonline.org/taxonomy/p/taxonomy-history?taxnode_id=202104393","ICTVonline=202104393")</f>
        <v>ICTVonline=202104393</v>
      </c>
    </row>
    <row r="10251" spans="1:21" x14ac:dyDescent="0.2">
      <c r="A10251" s="3">
        <v>10250</v>
      </c>
      <c r="L10251" s="1" t="s">
        <v>13806</v>
      </c>
      <c r="N10251" s="1" t="s">
        <v>13839</v>
      </c>
      <c r="P10251" s="1" t="s">
        <v>13853</v>
      </c>
      <c r="Q10251" s="30" t="s">
        <v>2565</v>
      </c>
      <c r="R10251" s="33" t="s">
        <v>3473</v>
      </c>
      <c r="S10251">
        <v>37</v>
      </c>
      <c r="T10251" s="1" t="s">
        <v>14076</v>
      </c>
      <c r="U10251" s="1" t="str">
        <f>HYPERLINK("http://ictvonline.org/taxonomy/p/taxonomy-history?taxnode_id=202104395","ICTVonline=202104395")</f>
        <v>ICTVonline=202104395</v>
      </c>
    </row>
    <row r="10252" spans="1:21" x14ac:dyDescent="0.2">
      <c r="A10252" s="3">
        <v>10251</v>
      </c>
      <c r="L10252" s="1" t="s">
        <v>13806</v>
      </c>
      <c r="N10252" s="1" t="s">
        <v>13839</v>
      </c>
      <c r="P10252" s="1" t="s">
        <v>13854</v>
      </c>
      <c r="Q10252" s="30" t="s">
        <v>2565</v>
      </c>
      <c r="R10252" s="33" t="s">
        <v>3473</v>
      </c>
      <c r="S10252">
        <v>37</v>
      </c>
      <c r="T10252" s="1" t="s">
        <v>14076</v>
      </c>
      <c r="U10252" s="1" t="str">
        <f>HYPERLINK("http://ictvonline.org/taxonomy/p/taxonomy-history?taxnode_id=202104403","ICTVonline=202104403")</f>
        <v>ICTVonline=202104403</v>
      </c>
    </row>
    <row r="10253" spans="1:21" x14ac:dyDescent="0.2">
      <c r="A10253" s="3">
        <v>10252</v>
      </c>
      <c r="L10253" s="1" t="s">
        <v>13806</v>
      </c>
      <c r="N10253" s="1" t="s">
        <v>13839</v>
      </c>
      <c r="P10253" s="1" t="s">
        <v>13855</v>
      </c>
      <c r="Q10253" s="30" t="s">
        <v>2565</v>
      </c>
      <c r="R10253" s="33" t="s">
        <v>3473</v>
      </c>
      <c r="S10253">
        <v>37</v>
      </c>
      <c r="T10253" s="1" t="s">
        <v>14076</v>
      </c>
      <c r="U10253" s="1" t="str">
        <f>HYPERLINK("http://ictvonline.org/taxonomy/p/taxonomy-history?taxnode_id=202104397","ICTVonline=202104397")</f>
        <v>ICTVonline=202104397</v>
      </c>
    </row>
    <row r="10254" spans="1:21" x14ac:dyDescent="0.2">
      <c r="A10254" s="3">
        <v>10253</v>
      </c>
      <c r="L10254" s="1" t="s">
        <v>13806</v>
      </c>
      <c r="N10254" s="1" t="s">
        <v>13839</v>
      </c>
      <c r="P10254" s="1" t="s">
        <v>13856</v>
      </c>
      <c r="Q10254" s="30" t="s">
        <v>2565</v>
      </c>
      <c r="R10254" s="33" t="s">
        <v>3473</v>
      </c>
      <c r="S10254">
        <v>37</v>
      </c>
      <c r="T10254" s="1" t="s">
        <v>14076</v>
      </c>
      <c r="U10254" s="1" t="str">
        <f>HYPERLINK("http://ictvonline.org/taxonomy/p/taxonomy-history?taxnode_id=202104404","ICTVonline=202104404")</f>
        <v>ICTVonline=202104404</v>
      </c>
    </row>
    <row r="10255" spans="1:21" x14ac:dyDescent="0.2">
      <c r="A10255" s="3">
        <v>10254</v>
      </c>
      <c r="L10255" s="1" t="s">
        <v>13806</v>
      </c>
      <c r="N10255" s="1" t="s">
        <v>13839</v>
      </c>
      <c r="P10255" s="1" t="s">
        <v>13857</v>
      </c>
      <c r="Q10255" s="30" t="s">
        <v>2565</v>
      </c>
      <c r="R10255" s="33" t="s">
        <v>3473</v>
      </c>
      <c r="S10255">
        <v>37</v>
      </c>
      <c r="T10255" s="1" t="s">
        <v>14076</v>
      </c>
      <c r="U10255" s="1" t="str">
        <f>HYPERLINK("http://ictvonline.org/taxonomy/p/taxonomy-history?taxnode_id=202104405","ICTVonline=202104405")</f>
        <v>ICTVonline=202104405</v>
      </c>
    </row>
    <row r="10256" spans="1:21" x14ac:dyDescent="0.2">
      <c r="A10256" s="3">
        <v>10255</v>
      </c>
      <c r="L10256" s="1" t="s">
        <v>13806</v>
      </c>
      <c r="N10256" s="1" t="s">
        <v>13839</v>
      </c>
      <c r="P10256" s="1" t="s">
        <v>13858</v>
      </c>
      <c r="Q10256" s="30" t="s">
        <v>2565</v>
      </c>
      <c r="R10256" s="33" t="s">
        <v>3473</v>
      </c>
      <c r="S10256">
        <v>37</v>
      </c>
      <c r="T10256" s="1" t="s">
        <v>14076</v>
      </c>
      <c r="U10256" s="1" t="str">
        <f>HYPERLINK("http://ictvonline.org/taxonomy/p/taxonomy-history?taxnode_id=202104386","ICTVonline=202104386")</f>
        <v>ICTVonline=202104386</v>
      </c>
    </row>
    <row r="10257" spans="1:21" x14ac:dyDescent="0.2">
      <c r="A10257" s="3">
        <v>10256</v>
      </c>
      <c r="L10257" s="1" t="s">
        <v>13806</v>
      </c>
      <c r="N10257" s="1" t="s">
        <v>13839</v>
      </c>
      <c r="P10257" s="1" t="s">
        <v>13859</v>
      </c>
      <c r="Q10257" s="30" t="s">
        <v>2565</v>
      </c>
      <c r="R10257" s="33" t="s">
        <v>3473</v>
      </c>
      <c r="S10257">
        <v>37</v>
      </c>
      <c r="T10257" s="1" t="s">
        <v>14076</v>
      </c>
      <c r="U10257" s="1" t="str">
        <f>HYPERLINK("http://ictvonline.org/taxonomy/p/taxonomy-history?taxnode_id=202104390","ICTVonline=202104390")</f>
        <v>ICTVonline=202104390</v>
      </c>
    </row>
    <row r="10258" spans="1:21" x14ac:dyDescent="0.2">
      <c r="A10258" s="3">
        <v>10257</v>
      </c>
      <c r="L10258" s="1" t="s">
        <v>13806</v>
      </c>
      <c r="N10258" s="1" t="s">
        <v>13839</v>
      </c>
      <c r="P10258" s="1" t="s">
        <v>13860</v>
      </c>
      <c r="Q10258" s="30" t="s">
        <v>2565</v>
      </c>
      <c r="R10258" s="33" t="s">
        <v>3473</v>
      </c>
      <c r="S10258">
        <v>37</v>
      </c>
      <c r="T10258" s="1" t="s">
        <v>14076</v>
      </c>
      <c r="U10258" s="1" t="str">
        <f>HYPERLINK("http://ictvonline.org/taxonomy/p/taxonomy-history?taxnode_id=202104408","ICTVonline=202104408")</f>
        <v>ICTVonline=202104408</v>
      </c>
    </row>
    <row r="10259" spans="1:21" x14ac:dyDescent="0.2">
      <c r="A10259" s="3">
        <v>10258</v>
      </c>
      <c r="L10259" s="1" t="s">
        <v>13806</v>
      </c>
      <c r="N10259" s="1" t="s">
        <v>13839</v>
      </c>
      <c r="P10259" s="1" t="s">
        <v>13861</v>
      </c>
      <c r="Q10259" s="30" t="s">
        <v>2565</v>
      </c>
      <c r="R10259" s="33" t="s">
        <v>3473</v>
      </c>
      <c r="S10259">
        <v>37</v>
      </c>
      <c r="T10259" s="1" t="s">
        <v>14076</v>
      </c>
      <c r="U10259" s="1" t="str">
        <f>HYPERLINK("http://ictvonline.org/taxonomy/p/taxonomy-history?taxnode_id=202104396","ICTVonline=202104396")</f>
        <v>ICTVonline=202104396</v>
      </c>
    </row>
    <row r="10260" spans="1:21" x14ac:dyDescent="0.2">
      <c r="A10260" s="3">
        <v>10259</v>
      </c>
      <c r="L10260" s="1" t="s">
        <v>3937</v>
      </c>
      <c r="N10260" s="1" t="s">
        <v>3938</v>
      </c>
      <c r="P10260" s="1" t="s">
        <v>5893</v>
      </c>
      <c r="Q10260" s="30" t="s">
        <v>2565</v>
      </c>
      <c r="R10260" s="33" t="s">
        <v>3472</v>
      </c>
      <c r="S10260">
        <v>35</v>
      </c>
      <c r="T10260" s="1" t="s">
        <v>5894</v>
      </c>
      <c r="U10260" s="1" t="str">
        <f>HYPERLINK("http://ictvonline.org/taxonomy/p/taxonomy-history?taxnode_id=202108646","ICTVonline=202108646")</f>
        <v>ICTVonline=202108646</v>
      </c>
    </row>
    <row r="10261" spans="1:21" x14ac:dyDescent="0.2">
      <c r="A10261" s="3">
        <v>10260</v>
      </c>
      <c r="L10261" s="1" t="s">
        <v>3937</v>
      </c>
      <c r="N10261" s="1" t="s">
        <v>3938</v>
      </c>
      <c r="P10261" s="1" t="s">
        <v>3939</v>
      </c>
      <c r="Q10261" s="30" t="s">
        <v>2565</v>
      </c>
      <c r="R10261" s="33" t="s">
        <v>8665</v>
      </c>
      <c r="S10261">
        <v>36</v>
      </c>
      <c r="T10261" s="1" t="s">
        <v>8661</v>
      </c>
      <c r="U10261" s="1" t="str">
        <f>HYPERLINK("http://ictvonline.org/taxonomy/p/taxonomy-history?taxnode_id=202105912","ICTVonline=202105912")</f>
        <v>ICTVonline=202105912</v>
      </c>
    </row>
    <row r="10262" spans="1:21" x14ac:dyDescent="0.2">
      <c r="A10262" s="3">
        <v>10261</v>
      </c>
      <c r="L10262" s="1" t="s">
        <v>1906</v>
      </c>
      <c r="N10262" s="1" t="s">
        <v>1907</v>
      </c>
      <c r="P10262" s="1" t="s">
        <v>1908</v>
      </c>
      <c r="Q10262" s="30" t="s">
        <v>4207</v>
      </c>
      <c r="R10262" s="33" t="s">
        <v>3474</v>
      </c>
      <c r="S10262">
        <v>35</v>
      </c>
      <c r="T10262" s="1" t="s">
        <v>5875</v>
      </c>
      <c r="U10262" s="1" t="str">
        <f>HYPERLINK("http://ictvonline.org/taxonomy/p/taxonomy-history?taxnode_id=202104499","ICTVonline=202104499")</f>
        <v>ICTVonline=202104499</v>
      </c>
    </row>
    <row r="10263" spans="1:21" x14ac:dyDescent="0.2">
      <c r="A10263" s="3">
        <v>10262</v>
      </c>
      <c r="L10263" s="1" t="s">
        <v>1906</v>
      </c>
      <c r="N10263" s="1" t="s">
        <v>1907</v>
      </c>
      <c r="P10263" s="1" t="s">
        <v>1909</v>
      </c>
      <c r="Q10263" s="30" t="s">
        <v>4207</v>
      </c>
      <c r="R10263" s="33" t="s">
        <v>8665</v>
      </c>
      <c r="S10263">
        <v>36</v>
      </c>
      <c r="T10263" s="1" t="s">
        <v>8661</v>
      </c>
      <c r="U10263" s="1" t="str">
        <f>HYPERLINK("http://ictvonline.org/taxonomy/p/taxonomy-history?taxnode_id=202104500","ICTVonline=202104500")</f>
        <v>ICTVonline=202104500</v>
      </c>
    </row>
    <row r="10264" spans="1:21" x14ac:dyDescent="0.2">
      <c r="A10264" s="3">
        <v>10263</v>
      </c>
      <c r="L10264" s="1" t="s">
        <v>1906</v>
      </c>
      <c r="N10264" s="1" t="s">
        <v>1907</v>
      </c>
      <c r="P10264" s="1" t="s">
        <v>13862</v>
      </c>
      <c r="Q10264" s="30" t="s">
        <v>4207</v>
      </c>
      <c r="R10264" s="33" t="s">
        <v>3472</v>
      </c>
      <c r="S10264">
        <v>37</v>
      </c>
      <c r="T10264" s="1" t="s">
        <v>14077</v>
      </c>
      <c r="U10264" s="1" t="str">
        <f>HYPERLINK("http://ictvonline.org/taxonomy/p/taxonomy-history?taxnode_id=202113867","ICTVonline=202113867")</f>
        <v>ICTVonline=202113867</v>
      </c>
    </row>
    <row r="10265" spans="1:21" x14ac:dyDescent="0.2">
      <c r="A10265" s="3">
        <v>10264</v>
      </c>
      <c r="L10265" s="1" t="s">
        <v>1906</v>
      </c>
      <c r="N10265" s="1" t="s">
        <v>1907</v>
      </c>
      <c r="P10265" s="1" t="s">
        <v>13863</v>
      </c>
      <c r="Q10265" s="30" t="s">
        <v>4207</v>
      </c>
      <c r="R10265" s="33" t="s">
        <v>3472</v>
      </c>
      <c r="S10265">
        <v>37</v>
      </c>
      <c r="T10265" s="1" t="s">
        <v>14077</v>
      </c>
      <c r="U10265" s="1" t="str">
        <f>HYPERLINK("http://ictvonline.org/taxonomy/p/taxonomy-history?taxnode_id=202113868","ICTVonline=202113868")</f>
        <v>ICTVonline=202113868</v>
      </c>
    </row>
    <row r="10266" spans="1:21" x14ac:dyDescent="0.2">
      <c r="A10266" s="3">
        <v>10265</v>
      </c>
      <c r="L10266" s="1" t="s">
        <v>1906</v>
      </c>
      <c r="N10266" s="1" t="s">
        <v>1907</v>
      </c>
      <c r="P10266" s="1" t="s">
        <v>13864</v>
      </c>
      <c r="Q10266" s="30" t="s">
        <v>4207</v>
      </c>
      <c r="R10266" s="33" t="s">
        <v>3472</v>
      </c>
      <c r="S10266">
        <v>37</v>
      </c>
      <c r="T10266" s="1" t="s">
        <v>14077</v>
      </c>
      <c r="U10266" s="1" t="str">
        <f>HYPERLINK("http://ictvonline.org/taxonomy/p/taxonomy-history?taxnode_id=202113869","ICTVonline=202113869")</f>
        <v>ICTVonline=202113869</v>
      </c>
    </row>
    <row r="10267" spans="1:21" x14ac:dyDescent="0.2">
      <c r="A10267" s="3">
        <v>10266</v>
      </c>
      <c r="L10267" s="1" t="s">
        <v>1906</v>
      </c>
      <c r="N10267" s="1" t="s">
        <v>1907</v>
      </c>
      <c r="P10267" s="1" t="s">
        <v>13865</v>
      </c>
      <c r="Q10267" s="30" t="s">
        <v>4207</v>
      </c>
      <c r="R10267" s="33" t="s">
        <v>3472</v>
      </c>
      <c r="S10267">
        <v>37</v>
      </c>
      <c r="T10267" s="1" t="s">
        <v>14077</v>
      </c>
      <c r="U10267" s="1" t="str">
        <f>HYPERLINK("http://ictvonline.org/taxonomy/p/taxonomy-history?taxnode_id=202113870","ICTVonline=202113870")</f>
        <v>ICTVonline=202113870</v>
      </c>
    </row>
    <row r="10268" spans="1:21" x14ac:dyDescent="0.2">
      <c r="A10268" s="3">
        <v>10267</v>
      </c>
      <c r="L10268" s="1" t="s">
        <v>1906</v>
      </c>
      <c r="N10268" s="1" t="s">
        <v>1907</v>
      </c>
      <c r="P10268" s="1" t="s">
        <v>13866</v>
      </c>
      <c r="Q10268" s="30" t="s">
        <v>4207</v>
      </c>
      <c r="R10268" s="33" t="s">
        <v>3472</v>
      </c>
      <c r="S10268">
        <v>37</v>
      </c>
      <c r="T10268" s="1" t="s">
        <v>14077</v>
      </c>
      <c r="U10268" s="1" t="str">
        <f>HYPERLINK("http://ictvonline.org/taxonomy/p/taxonomy-history?taxnode_id=202113871","ICTVonline=202113871")</f>
        <v>ICTVonline=202113871</v>
      </c>
    </row>
    <row r="10269" spans="1:21" x14ac:dyDescent="0.2">
      <c r="A10269" s="3">
        <v>10268</v>
      </c>
      <c r="L10269" s="1" t="s">
        <v>1906</v>
      </c>
      <c r="N10269" s="1" t="s">
        <v>1907</v>
      </c>
      <c r="P10269" s="1" t="s">
        <v>13867</v>
      </c>
      <c r="Q10269" s="30" t="s">
        <v>4207</v>
      </c>
      <c r="R10269" s="33" t="s">
        <v>3472</v>
      </c>
      <c r="S10269">
        <v>37</v>
      </c>
      <c r="T10269" s="1" t="s">
        <v>14077</v>
      </c>
      <c r="U10269" s="1" t="str">
        <f>HYPERLINK("http://ictvonline.org/taxonomy/p/taxonomy-history?taxnode_id=202113874","ICTVonline=202113874")</f>
        <v>ICTVonline=202113874</v>
      </c>
    </row>
    <row r="10270" spans="1:21" x14ac:dyDescent="0.2">
      <c r="A10270" s="3">
        <v>10269</v>
      </c>
      <c r="L10270" s="1" t="s">
        <v>1906</v>
      </c>
      <c r="N10270" s="1" t="s">
        <v>1907</v>
      </c>
      <c r="P10270" s="1" t="s">
        <v>13868</v>
      </c>
      <c r="Q10270" s="30" t="s">
        <v>4207</v>
      </c>
      <c r="R10270" s="33" t="s">
        <v>3472</v>
      </c>
      <c r="S10270">
        <v>37</v>
      </c>
      <c r="T10270" s="1" t="s">
        <v>14077</v>
      </c>
      <c r="U10270" s="1" t="str">
        <f>HYPERLINK("http://ictvonline.org/taxonomy/p/taxonomy-history?taxnode_id=202113872","ICTVonline=202113872")</f>
        <v>ICTVonline=202113872</v>
      </c>
    </row>
    <row r="10271" spans="1:21" x14ac:dyDescent="0.2">
      <c r="A10271" s="3">
        <v>10270</v>
      </c>
      <c r="L10271" s="1" t="s">
        <v>1906</v>
      </c>
      <c r="N10271" s="1" t="s">
        <v>1907</v>
      </c>
      <c r="P10271" s="1" t="s">
        <v>13869</v>
      </c>
      <c r="Q10271" s="30" t="s">
        <v>4207</v>
      </c>
      <c r="R10271" s="33" t="s">
        <v>3472</v>
      </c>
      <c r="S10271">
        <v>37</v>
      </c>
      <c r="T10271" s="1" t="s">
        <v>14077</v>
      </c>
      <c r="U10271" s="1" t="str">
        <f>HYPERLINK("http://ictvonline.org/taxonomy/p/taxonomy-history?taxnode_id=202113873","ICTVonline=202113873")</f>
        <v>ICTVonline=202113873</v>
      </c>
    </row>
    <row r="10272" spans="1:21" x14ac:dyDescent="0.2">
      <c r="A10272" s="3">
        <v>10271</v>
      </c>
      <c r="L10272" s="1" t="s">
        <v>1906</v>
      </c>
      <c r="N10272" s="1" t="s">
        <v>1907</v>
      </c>
      <c r="P10272" s="1" t="s">
        <v>1910</v>
      </c>
      <c r="Q10272" s="30" t="s">
        <v>4207</v>
      </c>
      <c r="R10272" s="33" t="s">
        <v>3474</v>
      </c>
      <c r="S10272">
        <v>35</v>
      </c>
      <c r="T10272" s="1" t="s">
        <v>5875</v>
      </c>
      <c r="U10272" s="1" t="str">
        <f>HYPERLINK("http://ictvonline.org/taxonomy/p/taxonomy-history?taxnode_id=202104501","ICTVonline=202104501")</f>
        <v>ICTVonline=202104501</v>
      </c>
    </row>
    <row r="10273" spans="1:21" x14ac:dyDescent="0.2">
      <c r="A10273" s="3">
        <v>10272</v>
      </c>
      <c r="L10273" s="1" t="s">
        <v>1906</v>
      </c>
      <c r="N10273" s="1" t="s">
        <v>1907</v>
      </c>
      <c r="P10273" s="1" t="s">
        <v>1911</v>
      </c>
      <c r="Q10273" s="30" t="s">
        <v>4207</v>
      </c>
      <c r="R10273" s="33" t="s">
        <v>3474</v>
      </c>
      <c r="S10273">
        <v>35</v>
      </c>
      <c r="T10273" s="1" t="s">
        <v>5875</v>
      </c>
      <c r="U10273" s="1" t="str">
        <f>HYPERLINK("http://ictvonline.org/taxonomy/p/taxonomy-history?taxnode_id=202104502","ICTVonline=202104502")</f>
        <v>ICTVonline=202104502</v>
      </c>
    </row>
    <row r="10274" spans="1:21" x14ac:dyDescent="0.2">
      <c r="A10274" s="3">
        <v>10273</v>
      </c>
      <c r="L10274" s="1" t="s">
        <v>1906</v>
      </c>
      <c r="N10274" s="1" t="s">
        <v>1907</v>
      </c>
      <c r="P10274" s="1" t="s">
        <v>1912</v>
      </c>
      <c r="Q10274" s="30" t="s">
        <v>4207</v>
      </c>
      <c r="R10274" s="33" t="s">
        <v>3474</v>
      </c>
      <c r="S10274">
        <v>35</v>
      </c>
      <c r="T10274" s="1" t="s">
        <v>5875</v>
      </c>
      <c r="U10274" s="1" t="str">
        <f>HYPERLINK("http://ictvonline.org/taxonomy/p/taxonomy-history?taxnode_id=202104503","ICTVonline=202104503")</f>
        <v>ICTVonline=202104503</v>
      </c>
    </row>
    <row r="10275" spans="1:21" x14ac:dyDescent="0.2">
      <c r="A10275" s="3">
        <v>10274</v>
      </c>
      <c r="L10275" s="1" t="s">
        <v>1906</v>
      </c>
      <c r="N10275" s="1" t="s">
        <v>1907</v>
      </c>
      <c r="P10275" s="1" t="s">
        <v>2010</v>
      </c>
      <c r="Q10275" s="30" t="s">
        <v>4207</v>
      </c>
      <c r="R10275" s="33" t="s">
        <v>3474</v>
      </c>
      <c r="S10275">
        <v>35</v>
      </c>
      <c r="T10275" s="1" t="s">
        <v>5875</v>
      </c>
      <c r="U10275" s="1" t="str">
        <f>HYPERLINK("http://ictvonline.org/taxonomy/p/taxonomy-history?taxnode_id=202104504","ICTVonline=202104504")</f>
        <v>ICTVonline=202104504</v>
      </c>
    </row>
    <row r="10276" spans="1:21" x14ac:dyDescent="0.2">
      <c r="A10276" s="3">
        <v>10275</v>
      </c>
      <c r="L10276" s="1" t="s">
        <v>1906</v>
      </c>
      <c r="N10276" s="1" t="s">
        <v>1907</v>
      </c>
      <c r="P10276" s="1" t="s">
        <v>2011</v>
      </c>
      <c r="Q10276" s="30" t="s">
        <v>4207</v>
      </c>
      <c r="R10276" s="33" t="s">
        <v>3474</v>
      </c>
      <c r="S10276">
        <v>35</v>
      </c>
      <c r="T10276" s="1" t="s">
        <v>5875</v>
      </c>
      <c r="U10276" s="1" t="str">
        <f>HYPERLINK("http://ictvonline.org/taxonomy/p/taxonomy-history?taxnode_id=202104505","ICTVonline=202104505")</f>
        <v>ICTVonline=202104505</v>
      </c>
    </row>
    <row r="10277" spans="1:21" x14ac:dyDescent="0.2">
      <c r="A10277" s="3">
        <v>10276</v>
      </c>
      <c r="L10277" s="1" t="s">
        <v>1906</v>
      </c>
      <c r="N10277" s="1" t="s">
        <v>1907</v>
      </c>
      <c r="P10277" s="1" t="s">
        <v>1913</v>
      </c>
      <c r="Q10277" s="30" t="s">
        <v>4207</v>
      </c>
      <c r="R10277" s="33" t="s">
        <v>3474</v>
      </c>
      <c r="S10277">
        <v>35</v>
      </c>
      <c r="T10277" s="1" t="s">
        <v>5875</v>
      </c>
      <c r="U10277" s="1" t="str">
        <f>HYPERLINK("http://ictvonline.org/taxonomy/p/taxonomy-history?taxnode_id=202104506","ICTVonline=202104506")</f>
        <v>ICTVonline=202104506</v>
      </c>
    </row>
    <row r="10278" spans="1:21" x14ac:dyDescent="0.2">
      <c r="A10278" s="3">
        <v>10277</v>
      </c>
      <c r="L10278" s="1" t="s">
        <v>1906</v>
      </c>
      <c r="N10278" s="1" t="s">
        <v>1907</v>
      </c>
      <c r="P10278" s="1" t="s">
        <v>1914</v>
      </c>
      <c r="Q10278" s="30" t="s">
        <v>4207</v>
      </c>
      <c r="R10278" s="33" t="s">
        <v>3474</v>
      </c>
      <c r="S10278">
        <v>35</v>
      </c>
      <c r="T10278" s="1" t="s">
        <v>5875</v>
      </c>
      <c r="U10278" s="1" t="str">
        <f>HYPERLINK("http://ictvonline.org/taxonomy/p/taxonomy-history?taxnode_id=202104507","ICTVonline=202104507")</f>
        <v>ICTVonline=202104507</v>
      </c>
    </row>
    <row r="10279" spans="1:21" x14ac:dyDescent="0.2">
      <c r="A10279" s="3">
        <v>10278</v>
      </c>
      <c r="L10279" s="1" t="s">
        <v>1906</v>
      </c>
      <c r="N10279" s="1" t="s">
        <v>1907</v>
      </c>
      <c r="P10279" s="1" t="s">
        <v>1915</v>
      </c>
      <c r="Q10279" s="30" t="s">
        <v>4207</v>
      </c>
      <c r="R10279" s="33" t="s">
        <v>3474</v>
      </c>
      <c r="S10279">
        <v>35</v>
      </c>
      <c r="T10279" s="1" t="s">
        <v>5875</v>
      </c>
      <c r="U10279" s="1" t="str">
        <f>HYPERLINK("http://ictvonline.org/taxonomy/p/taxonomy-history?taxnode_id=202104508","ICTVonline=202104508")</f>
        <v>ICTVonline=202104508</v>
      </c>
    </row>
    <row r="10280" spans="1:21" x14ac:dyDescent="0.2">
      <c r="A10280" s="3">
        <v>10279</v>
      </c>
      <c r="L10280" s="1" t="s">
        <v>1906</v>
      </c>
      <c r="N10280" s="1" t="s">
        <v>1916</v>
      </c>
      <c r="P10280" s="1" t="s">
        <v>1917</v>
      </c>
      <c r="Q10280" s="30" t="s">
        <v>4207</v>
      </c>
      <c r="R10280" s="33" t="s">
        <v>3474</v>
      </c>
      <c r="S10280">
        <v>35</v>
      </c>
      <c r="T10280" s="1" t="s">
        <v>5875</v>
      </c>
      <c r="U10280" s="1" t="str">
        <f>HYPERLINK("http://ictvonline.org/taxonomy/p/taxonomy-history?taxnode_id=202104510","ICTVonline=202104510")</f>
        <v>ICTVonline=202104510</v>
      </c>
    </row>
    <row r="10281" spans="1:21" x14ac:dyDescent="0.2">
      <c r="A10281" s="3">
        <v>10280</v>
      </c>
      <c r="L10281" s="1" t="s">
        <v>1906</v>
      </c>
      <c r="N10281" s="1" t="s">
        <v>1916</v>
      </c>
      <c r="P10281" s="1" t="s">
        <v>1918</v>
      </c>
      <c r="Q10281" s="30" t="s">
        <v>4207</v>
      </c>
      <c r="R10281" s="33" t="s">
        <v>8665</v>
      </c>
      <c r="S10281">
        <v>36</v>
      </c>
      <c r="T10281" s="1" t="s">
        <v>8661</v>
      </c>
      <c r="U10281" s="1" t="str">
        <f>HYPERLINK("http://ictvonline.org/taxonomy/p/taxonomy-history?taxnode_id=202104511","ICTVonline=202104511")</f>
        <v>ICTVonline=202104511</v>
      </c>
    </row>
    <row r="10282" spans="1:21" x14ac:dyDescent="0.2">
      <c r="A10282" s="3">
        <v>10281</v>
      </c>
      <c r="L10282" s="1" t="s">
        <v>1906</v>
      </c>
      <c r="N10282" s="1" t="s">
        <v>1916</v>
      </c>
      <c r="P10282" s="1" t="s">
        <v>1919</v>
      </c>
      <c r="Q10282" s="30" t="s">
        <v>4207</v>
      </c>
      <c r="R10282" s="33" t="s">
        <v>3474</v>
      </c>
      <c r="S10282">
        <v>35</v>
      </c>
      <c r="T10282" s="1" t="s">
        <v>5875</v>
      </c>
      <c r="U10282" s="1" t="str">
        <f>HYPERLINK("http://ictvonline.org/taxonomy/p/taxonomy-history?taxnode_id=202104512","ICTVonline=202104512")</f>
        <v>ICTVonline=202104512</v>
      </c>
    </row>
    <row r="10283" spans="1:21" x14ac:dyDescent="0.2">
      <c r="A10283" s="3">
        <v>10282</v>
      </c>
      <c r="L10283" s="1" t="s">
        <v>1906</v>
      </c>
      <c r="N10283" s="1" t="s">
        <v>1916</v>
      </c>
      <c r="P10283" s="1" t="s">
        <v>1920</v>
      </c>
      <c r="Q10283" s="30" t="s">
        <v>4207</v>
      </c>
      <c r="R10283" s="33" t="s">
        <v>3474</v>
      </c>
      <c r="S10283">
        <v>35</v>
      </c>
      <c r="T10283" s="1" t="s">
        <v>5875</v>
      </c>
      <c r="U10283" s="1" t="str">
        <f>HYPERLINK("http://ictvonline.org/taxonomy/p/taxonomy-history?taxnode_id=202104513","ICTVonline=202104513")</f>
        <v>ICTVonline=202104513</v>
      </c>
    </row>
    <row r="10284" spans="1:21" x14ac:dyDescent="0.2">
      <c r="A10284" s="3">
        <v>10283</v>
      </c>
      <c r="L10284" s="1" t="s">
        <v>1906</v>
      </c>
      <c r="N10284" s="1" t="s">
        <v>445</v>
      </c>
      <c r="P10284" s="1" t="s">
        <v>446</v>
      </c>
      <c r="Q10284" s="30" t="s">
        <v>4207</v>
      </c>
      <c r="R10284" s="33" t="s">
        <v>8665</v>
      </c>
      <c r="S10284">
        <v>36</v>
      </c>
      <c r="T10284" s="1" t="s">
        <v>8661</v>
      </c>
      <c r="U10284" s="1" t="str">
        <f>HYPERLINK("http://ictvonline.org/taxonomy/p/taxonomy-history?taxnode_id=202104515","ICTVonline=202104515")</f>
        <v>ICTVonline=202104515</v>
      </c>
    </row>
    <row r="10285" spans="1:21" x14ac:dyDescent="0.2">
      <c r="A10285" s="3">
        <v>10284</v>
      </c>
      <c r="L10285" s="1" t="s">
        <v>1906</v>
      </c>
      <c r="N10285" s="1" t="s">
        <v>445</v>
      </c>
      <c r="P10285" s="1" t="s">
        <v>447</v>
      </c>
      <c r="Q10285" s="30" t="s">
        <v>4207</v>
      </c>
      <c r="R10285" s="33" t="s">
        <v>3474</v>
      </c>
      <c r="S10285">
        <v>35</v>
      </c>
      <c r="T10285" s="1" t="s">
        <v>5875</v>
      </c>
      <c r="U10285" s="1" t="str">
        <f>HYPERLINK("http://ictvonline.org/taxonomy/p/taxonomy-history?taxnode_id=202104516","ICTVonline=202104516")</f>
        <v>ICTVonline=202104516</v>
      </c>
    </row>
    <row r="10286" spans="1:21" x14ac:dyDescent="0.2">
      <c r="A10286" s="3">
        <v>10285</v>
      </c>
      <c r="L10286" s="1" t="s">
        <v>1906</v>
      </c>
      <c r="N10286" s="1" t="s">
        <v>445</v>
      </c>
      <c r="P10286" s="1" t="s">
        <v>448</v>
      </c>
      <c r="Q10286" s="30" t="s">
        <v>4207</v>
      </c>
      <c r="R10286" s="33" t="s">
        <v>3474</v>
      </c>
      <c r="S10286">
        <v>35</v>
      </c>
      <c r="T10286" s="1" t="s">
        <v>5875</v>
      </c>
      <c r="U10286" s="1" t="str">
        <f>HYPERLINK("http://ictvonline.org/taxonomy/p/taxonomy-history?taxnode_id=202104517","ICTVonline=202104517")</f>
        <v>ICTVonline=202104517</v>
      </c>
    </row>
    <row r="10287" spans="1:21" x14ac:dyDescent="0.2">
      <c r="A10287" s="3">
        <v>10286</v>
      </c>
      <c r="L10287" s="1" t="s">
        <v>1906</v>
      </c>
      <c r="N10287" s="1" t="s">
        <v>445</v>
      </c>
      <c r="P10287" s="1" t="s">
        <v>13870</v>
      </c>
      <c r="Q10287" s="30" t="s">
        <v>4207</v>
      </c>
      <c r="R10287" s="33" t="s">
        <v>3472</v>
      </c>
      <c r="S10287">
        <v>37</v>
      </c>
      <c r="T10287" s="1" t="s">
        <v>14077</v>
      </c>
      <c r="U10287" s="1" t="str">
        <f>HYPERLINK("http://ictvonline.org/taxonomy/p/taxonomy-history?taxnode_id=202113875","ICTVonline=202113875")</f>
        <v>ICTVonline=202113875</v>
      </c>
    </row>
    <row r="10288" spans="1:21" x14ac:dyDescent="0.2">
      <c r="A10288" s="3">
        <v>10287</v>
      </c>
      <c r="L10288" s="1" t="s">
        <v>1906</v>
      </c>
      <c r="N10288" s="1" t="s">
        <v>445</v>
      </c>
      <c r="P10288" s="1" t="s">
        <v>13871</v>
      </c>
      <c r="Q10288" s="30" t="s">
        <v>4207</v>
      </c>
      <c r="R10288" s="33" t="s">
        <v>3472</v>
      </c>
      <c r="S10288">
        <v>37</v>
      </c>
      <c r="T10288" s="1" t="s">
        <v>14077</v>
      </c>
      <c r="U10288" s="1" t="str">
        <f>HYPERLINK("http://ictvonline.org/taxonomy/p/taxonomy-history?taxnode_id=202113876","ICTVonline=202113876")</f>
        <v>ICTVonline=202113876</v>
      </c>
    </row>
    <row r="10289" spans="1:21" x14ac:dyDescent="0.2">
      <c r="A10289" s="3">
        <v>10288</v>
      </c>
      <c r="L10289" s="1" t="s">
        <v>1906</v>
      </c>
      <c r="N10289" s="1" t="s">
        <v>449</v>
      </c>
      <c r="P10289" s="1" t="s">
        <v>2520</v>
      </c>
      <c r="Q10289" s="30" t="s">
        <v>4207</v>
      </c>
      <c r="R10289" s="33" t="s">
        <v>3474</v>
      </c>
      <c r="S10289">
        <v>35</v>
      </c>
      <c r="T10289" s="1" t="s">
        <v>5875</v>
      </c>
      <c r="U10289" s="1" t="str">
        <f>HYPERLINK("http://ictvonline.org/taxonomy/p/taxonomy-history?taxnode_id=202104519","ICTVonline=202104519")</f>
        <v>ICTVonline=202104519</v>
      </c>
    </row>
    <row r="10290" spans="1:21" x14ac:dyDescent="0.2">
      <c r="A10290" s="3">
        <v>10289</v>
      </c>
      <c r="L10290" s="1" t="s">
        <v>1906</v>
      </c>
      <c r="N10290" s="1" t="s">
        <v>449</v>
      </c>
      <c r="P10290" s="1" t="s">
        <v>450</v>
      </c>
      <c r="Q10290" s="30" t="s">
        <v>4207</v>
      </c>
      <c r="R10290" s="33" t="s">
        <v>8665</v>
      </c>
      <c r="S10290">
        <v>36</v>
      </c>
      <c r="T10290" s="1" t="s">
        <v>8661</v>
      </c>
      <c r="U10290" s="1" t="str">
        <f>HYPERLINK("http://ictvonline.org/taxonomy/p/taxonomy-history?taxnode_id=202104520","ICTVonline=202104520")</f>
        <v>ICTVonline=202104520</v>
      </c>
    </row>
    <row r="10291" spans="1:21" x14ac:dyDescent="0.2">
      <c r="A10291" s="3">
        <v>10290</v>
      </c>
      <c r="L10291" s="1" t="s">
        <v>1906</v>
      </c>
      <c r="N10291" s="1" t="s">
        <v>451</v>
      </c>
      <c r="P10291" s="1" t="s">
        <v>452</v>
      </c>
      <c r="Q10291" s="30" t="s">
        <v>4207</v>
      </c>
      <c r="R10291" s="33" t="s">
        <v>3474</v>
      </c>
      <c r="S10291">
        <v>35</v>
      </c>
      <c r="T10291" s="1" t="s">
        <v>5875</v>
      </c>
      <c r="U10291" s="1" t="str">
        <f>HYPERLINK("http://ictvonline.org/taxonomy/p/taxonomy-history?taxnode_id=202104522","ICTVonline=202104522")</f>
        <v>ICTVonline=202104522</v>
      </c>
    </row>
    <row r="10292" spans="1:21" x14ac:dyDescent="0.2">
      <c r="A10292" s="3">
        <v>10291</v>
      </c>
      <c r="L10292" s="1" t="s">
        <v>1906</v>
      </c>
      <c r="N10292" s="1" t="s">
        <v>451</v>
      </c>
      <c r="P10292" s="1" t="s">
        <v>453</v>
      </c>
      <c r="Q10292" s="30" t="s">
        <v>4207</v>
      </c>
      <c r="R10292" s="33" t="s">
        <v>3474</v>
      </c>
      <c r="S10292">
        <v>35</v>
      </c>
      <c r="T10292" s="1" t="s">
        <v>5875</v>
      </c>
      <c r="U10292" s="1" t="str">
        <f>HYPERLINK("http://ictvonline.org/taxonomy/p/taxonomy-history?taxnode_id=202104523","ICTVonline=202104523")</f>
        <v>ICTVonline=202104523</v>
      </c>
    </row>
    <row r="10293" spans="1:21" x14ac:dyDescent="0.2">
      <c r="A10293" s="3">
        <v>10292</v>
      </c>
      <c r="L10293" s="1" t="s">
        <v>1906</v>
      </c>
      <c r="N10293" s="1" t="s">
        <v>451</v>
      </c>
      <c r="P10293" s="1" t="s">
        <v>454</v>
      </c>
      <c r="Q10293" s="30" t="s">
        <v>4207</v>
      </c>
      <c r="R10293" s="33" t="s">
        <v>3474</v>
      </c>
      <c r="S10293">
        <v>35</v>
      </c>
      <c r="T10293" s="1" t="s">
        <v>5875</v>
      </c>
      <c r="U10293" s="1" t="str">
        <f>HYPERLINK("http://ictvonline.org/taxonomy/p/taxonomy-history?taxnode_id=202104524","ICTVonline=202104524")</f>
        <v>ICTVonline=202104524</v>
      </c>
    </row>
    <row r="10294" spans="1:21" x14ac:dyDescent="0.2">
      <c r="A10294" s="3">
        <v>10293</v>
      </c>
      <c r="L10294" s="1" t="s">
        <v>1906</v>
      </c>
      <c r="N10294" s="1" t="s">
        <v>451</v>
      </c>
      <c r="P10294" s="1" t="s">
        <v>455</v>
      </c>
      <c r="Q10294" s="30" t="s">
        <v>4207</v>
      </c>
      <c r="R10294" s="33" t="s">
        <v>3474</v>
      </c>
      <c r="S10294">
        <v>35</v>
      </c>
      <c r="T10294" s="1" t="s">
        <v>5875</v>
      </c>
      <c r="U10294" s="1" t="str">
        <f>HYPERLINK("http://ictvonline.org/taxonomy/p/taxonomy-history?taxnode_id=202104525","ICTVonline=202104525")</f>
        <v>ICTVonline=202104525</v>
      </c>
    </row>
    <row r="10295" spans="1:21" x14ac:dyDescent="0.2">
      <c r="A10295" s="3">
        <v>10294</v>
      </c>
      <c r="L10295" s="1" t="s">
        <v>1906</v>
      </c>
      <c r="N10295" s="1" t="s">
        <v>451</v>
      </c>
      <c r="P10295" s="1" t="s">
        <v>188</v>
      </c>
      <c r="Q10295" s="30" t="s">
        <v>4207</v>
      </c>
      <c r="R10295" s="33" t="s">
        <v>3474</v>
      </c>
      <c r="S10295">
        <v>35</v>
      </c>
      <c r="T10295" s="1" t="s">
        <v>5875</v>
      </c>
      <c r="U10295" s="1" t="str">
        <f>HYPERLINK("http://ictvonline.org/taxonomy/p/taxonomy-history?taxnode_id=202104526","ICTVonline=202104526")</f>
        <v>ICTVonline=202104526</v>
      </c>
    </row>
    <row r="10296" spans="1:21" x14ac:dyDescent="0.2">
      <c r="A10296" s="3">
        <v>10295</v>
      </c>
      <c r="L10296" s="1" t="s">
        <v>1906</v>
      </c>
      <c r="N10296" s="1" t="s">
        <v>451</v>
      </c>
      <c r="P10296" s="1" t="s">
        <v>13872</v>
      </c>
      <c r="Q10296" s="30" t="s">
        <v>4207</v>
      </c>
      <c r="R10296" s="33" t="s">
        <v>3472</v>
      </c>
      <c r="S10296">
        <v>37</v>
      </c>
      <c r="T10296" s="1" t="s">
        <v>14077</v>
      </c>
      <c r="U10296" s="1" t="str">
        <f>HYPERLINK("http://ictvonline.org/taxonomy/p/taxonomy-history?taxnode_id=202113877","ICTVonline=202113877")</f>
        <v>ICTVonline=202113877</v>
      </c>
    </row>
    <row r="10297" spans="1:21" x14ac:dyDescent="0.2">
      <c r="A10297" s="3">
        <v>10296</v>
      </c>
      <c r="L10297" s="1" t="s">
        <v>1906</v>
      </c>
      <c r="N10297" s="1" t="s">
        <v>451</v>
      </c>
      <c r="P10297" s="1" t="s">
        <v>456</v>
      </c>
      <c r="Q10297" s="30" t="s">
        <v>4207</v>
      </c>
      <c r="R10297" s="33" t="s">
        <v>8665</v>
      </c>
      <c r="S10297">
        <v>36</v>
      </c>
      <c r="T10297" s="1" t="s">
        <v>8661</v>
      </c>
      <c r="U10297" s="1" t="str">
        <f>HYPERLINK("http://ictvonline.org/taxonomy/p/taxonomy-history?taxnode_id=202104527","ICTVonline=202104527")</f>
        <v>ICTVonline=202104527</v>
      </c>
    </row>
    <row r="10298" spans="1:21" x14ac:dyDescent="0.2">
      <c r="A10298" s="3">
        <v>10297</v>
      </c>
      <c r="L10298" s="1" t="s">
        <v>1906</v>
      </c>
      <c r="N10298" s="1" t="s">
        <v>451</v>
      </c>
      <c r="P10298" s="1" t="s">
        <v>457</v>
      </c>
      <c r="Q10298" s="30" t="s">
        <v>4207</v>
      </c>
      <c r="R10298" s="33" t="s">
        <v>3474</v>
      </c>
      <c r="S10298">
        <v>35</v>
      </c>
      <c r="T10298" s="1" t="s">
        <v>5875</v>
      </c>
      <c r="U10298" s="1" t="str">
        <f>HYPERLINK("http://ictvonline.org/taxonomy/p/taxonomy-history?taxnode_id=202104528","ICTVonline=202104528")</f>
        <v>ICTVonline=202104528</v>
      </c>
    </row>
    <row r="10299" spans="1:21" x14ac:dyDescent="0.2">
      <c r="A10299" s="3">
        <v>10298</v>
      </c>
      <c r="L10299" s="1" t="s">
        <v>1906</v>
      </c>
      <c r="N10299" s="1" t="s">
        <v>451</v>
      </c>
      <c r="P10299" s="1" t="s">
        <v>458</v>
      </c>
      <c r="Q10299" s="30" t="s">
        <v>4207</v>
      </c>
      <c r="R10299" s="33" t="s">
        <v>3474</v>
      </c>
      <c r="S10299">
        <v>35</v>
      </c>
      <c r="T10299" s="1" t="s">
        <v>5875</v>
      </c>
      <c r="U10299" s="1" t="str">
        <f>HYPERLINK("http://ictvonline.org/taxonomy/p/taxonomy-history?taxnode_id=202104529","ICTVonline=202104529")</f>
        <v>ICTVonline=202104529</v>
      </c>
    </row>
    <row r="10300" spans="1:21" x14ac:dyDescent="0.2">
      <c r="A10300" s="3">
        <v>10299</v>
      </c>
      <c r="L10300" s="1" t="s">
        <v>1906</v>
      </c>
      <c r="N10300" s="1" t="s">
        <v>451</v>
      </c>
      <c r="P10300" s="1" t="s">
        <v>459</v>
      </c>
      <c r="Q10300" s="30" t="s">
        <v>4207</v>
      </c>
      <c r="R10300" s="33" t="s">
        <v>3474</v>
      </c>
      <c r="S10300">
        <v>35</v>
      </c>
      <c r="T10300" s="1" t="s">
        <v>5875</v>
      </c>
      <c r="U10300" s="1" t="str">
        <f>HYPERLINK("http://ictvonline.org/taxonomy/p/taxonomy-history?taxnode_id=202104530","ICTVonline=202104530")</f>
        <v>ICTVonline=202104530</v>
      </c>
    </row>
    <row r="10301" spans="1:21" x14ac:dyDescent="0.2">
      <c r="A10301" s="3">
        <v>10300</v>
      </c>
      <c r="L10301" s="1" t="s">
        <v>2435</v>
      </c>
      <c r="N10301" s="1" t="s">
        <v>2436</v>
      </c>
      <c r="P10301" s="1" t="s">
        <v>2437</v>
      </c>
      <c r="Q10301" s="30" t="s">
        <v>2969</v>
      </c>
      <c r="R10301" s="33" t="s">
        <v>8665</v>
      </c>
      <c r="S10301">
        <v>36</v>
      </c>
      <c r="T10301" s="1" t="s">
        <v>8661</v>
      </c>
      <c r="U10301" s="1" t="str">
        <f>HYPERLINK("http://ictvonline.org/taxonomy/p/taxonomy-history?taxnode_id=202105069","ICTVonline=202105069")</f>
        <v>ICTVonline=202105069</v>
      </c>
    </row>
    <row r="10302" spans="1:21" x14ac:dyDescent="0.2">
      <c r="A10302" s="3">
        <v>10301</v>
      </c>
      <c r="L10302" s="1" t="s">
        <v>5895</v>
      </c>
      <c r="N10302" s="1" t="s">
        <v>5896</v>
      </c>
      <c r="P10302" s="1" t="s">
        <v>5897</v>
      </c>
      <c r="Q10302" s="30" t="s">
        <v>2565</v>
      </c>
      <c r="R10302" s="33" t="s">
        <v>8665</v>
      </c>
      <c r="S10302">
        <v>36</v>
      </c>
      <c r="T10302" s="1" t="s">
        <v>8661</v>
      </c>
      <c r="U10302" s="1" t="str">
        <f>HYPERLINK("http://ictvonline.org/taxonomy/p/taxonomy-history?taxnode_id=202108059","ICTVonline=202108059")</f>
        <v>ICTVonline=202108059</v>
      </c>
    </row>
    <row r="10303" spans="1:21" x14ac:dyDescent="0.2">
      <c r="A10303" s="3">
        <v>10302</v>
      </c>
      <c r="L10303" s="1" t="s">
        <v>3392</v>
      </c>
      <c r="N10303" s="1" t="s">
        <v>3393</v>
      </c>
      <c r="P10303" s="1" t="s">
        <v>3394</v>
      </c>
      <c r="Q10303" s="30" t="s">
        <v>2568</v>
      </c>
      <c r="R10303" s="33" t="s">
        <v>3472</v>
      </c>
      <c r="S10303">
        <v>31</v>
      </c>
      <c r="T10303" s="1" t="s">
        <v>3967</v>
      </c>
      <c r="U10303" s="1" t="str">
        <f>HYPERLINK("http://ictvonline.org/taxonomy/p/taxonomy-history?taxnode_id=202105119","ICTVonline=202105119")</f>
        <v>ICTVonline=202105119</v>
      </c>
    </row>
    <row r="10304" spans="1:21" x14ac:dyDescent="0.2">
      <c r="A10304" s="3">
        <v>10303</v>
      </c>
      <c r="L10304" s="1" t="s">
        <v>3392</v>
      </c>
      <c r="N10304" s="1" t="s">
        <v>3393</v>
      </c>
      <c r="P10304" s="1" t="s">
        <v>3395</v>
      </c>
      <c r="Q10304" s="30" t="s">
        <v>2568</v>
      </c>
      <c r="R10304" s="33" t="s">
        <v>3472</v>
      </c>
      <c r="S10304">
        <v>31</v>
      </c>
      <c r="T10304" s="1" t="s">
        <v>3967</v>
      </c>
      <c r="U10304" s="1" t="str">
        <f>HYPERLINK("http://ictvonline.org/taxonomy/p/taxonomy-history?taxnode_id=202105120","ICTVonline=202105120")</f>
        <v>ICTVonline=202105120</v>
      </c>
    </row>
    <row r="10305" spans="1:21" x14ac:dyDescent="0.2">
      <c r="A10305" s="3">
        <v>10304</v>
      </c>
      <c r="L10305" s="1" t="s">
        <v>3392</v>
      </c>
      <c r="N10305" s="1" t="s">
        <v>3393</v>
      </c>
      <c r="P10305" s="1" t="s">
        <v>3396</v>
      </c>
      <c r="Q10305" s="30" t="s">
        <v>2568</v>
      </c>
      <c r="R10305" s="33" t="s">
        <v>3472</v>
      </c>
      <c r="S10305">
        <v>31</v>
      </c>
      <c r="T10305" s="1" t="s">
        <v>3967</v>
      </c>
      <c r="U10305" s="1" t="str">
        <f>HYPERLINK("http://ictvonline.org/taxonomy/p/taxonomy-history?taxnode_id=202105121","ICTVonline=202105121")</f>
        <v>ICTVonline=202105121</v>
      </c>
    </row>
    <row r="10306" spans="1:21" x14ac:dyDescent="0.2">
      <c r="A10306" s="3">
        <v>10305</v>
      </c>
      <c r="L10306" s="1" t="s">
        <v>3392</v>
      </c>
      <c r="N10306" s="1" t="s">
        <v>3393</v>
      </c>
      <c r="P10306" s="1" t="s">
        <v>3397</v>
      </c>
      <c r="Q10306" s="30" t="s">
        <v>2568</v>
      </c>
      <c r="R10306" s="33" t="s">
        <v>8665</v>
      </c>
      <c r="S10306">
        <v>36</v>
      </c>
      <c r="T10306" s="1" t="s">
        <v>8661</v>
      </c>
      <c r="U10306" s="1" t="str">
        <f>HYPERLINK("http://ictvonline.org/taxonomy/p/taxonomy-history?taxnode_id=202105122","ICTVonline=202105122")</f>
        <v>ICTVonline=202105122</v>
      </c>
    </row>
    <row r="10307" spans="1:21" x14ac:dyDescent="0.2">
      <c r="A10307" s="3">
        <v>10306</v>
      </c>
      <c r="L10307" s="1" t="s">
        <v>3392</v>
      </c>
      <c r="N10307" s="1" t="s">
        <v>3393</v>
      </c>
      <c r="P10307" s="1" t="s">
        <v>8596</v>
      </c>
      <c r="Q10307" s="30" t="s">
        <v>2969</v>
      </c>
      <c r="R10307" s="33" t="s">
        <v>3472</v>
      </c>
      <c r="S10307">
        <v>36</v>
      </c>
      <c r="T10307" s="1" t="s">
        <v>8597</v>
      </c>
      <c r="U10307" s="1" t="str">
        <f>HYPERLINK("http://ictvonline.org/taxonomy/p/taxonomy-history?taxnode_id=202109187","ICTVonline=202109187")</f>
        <v>ICTVonline=202109187</v>
      </c>
    </row>
    <row r="10308" spans="1:21" x14ac:dyDescent="0.2">
      <c r="A10308" s="3">
        <v>10307</v>
      </c>
      <c r="L10308" s="1" t="s">
        <v>3392</v>
      </c>
      <c r="N10308" s="1" t="s">
        <v>3393</v>
      </c>
      <c r="P10308" s="1" t="s">
        <v>3398</v>
      </c>
      <c r="Q10308" s="30" t="s">
        <v>2568</v>
      </c>
      <c r="R10308" s="33" t="s">
        <v>3472</v>
      </c>
      <c r="S10308">
        <v>31</v>
      </c>
      <c r="T10308" s="1" t="s">
        <v>3967</v>
      </c>
      <c r="U10308" s="1" t="str">
        <f>HYPERLINK("http://ictvonline.org/taxonomy/p/taxonomy-history?taxnode_id=202105124","ICTVonline=202105124")</f>
        <v>ICTVonline=202105124</v>
      </c>
    </row>
    <row r="10309" spans="1:21" x14ac:dyDescent="0.2">
      <c r="A10309" s="3">
        <v>10308</v>
      </c>
      <c r="L10309" s="1" t="s">
        <v>3392</v>
      </c>
      <c r="N10309" s="1" t="s">
        <v>3393</v>
      </c>
      <c r="P10309" s="1" t="s">
        <v>3399</v>
      </c>
      <c r="Q10309" s="30" t="s">
        <v>2568</v>
      </c>
      <c r="R10309" s="33" t="s">
        <v>3472</v>
      </c>
      <c r="S10309">
        <v>31</v>
      </c>
      <c r="T10309" s="1" t="s">
        <v>3967</v>
      </c>
      <c r="U10309" s="1" t="str">
        <f>HYPERLINK("http://ictvonline.org/taxonomy/p/taxonomy-history?taxnode_id=202105125","ICTVonline=202105125")</f>
        <v>ICTVonline=202105125</v>
      </c>
    </row>
    <row r="10310" spans="1:21" x14ac:dyDescent="0.2">
      <c r="A10310" s="3">
        <v>10309</v>
      </c>
      <c r="L10310" s="1" t="s">
        <v>3392</v>
      </c>
      <c r="N10310" s="1" t="s">
        <v>3393</v>
      </c>
      <c r="P10310" s="1" t="s">
        <v>3400</v>
      </c>
      <c r="Q10310" s="30" t="s">
        <v>2568</v>
      </c>
      <c r="R10310" s="33" t="s">
        <v>3472</v>
      </c>
      <c r="S10310">
        <v>31</v>
      </c>
      <c r="T10310" s="1" t="s">
        <v>3967</v>
      </c>
      <c r="U10310" s="1" t="str">
        <f>HYPERLINK("http://ictvonline.org/taxonomy/p/taxonomy-history?taxnode_id=202105126","ICTVonline=202105126")</f>
        <v>ICTVonline=202105126</v>
      </c>
    </row>
    <row r="10311" spans="1:21" x14ac:dyDescent="0.2">
      <c r="A10311" s="3">
        <v>10310</v>
      </c>
      <c r="L10311" s="1" t="s">
        <v>3392</v>
      </c>
      <c r="N10311" s="1" t="s">
        <v>3393</v>
      </c>
      <c r="P10311" s="1" t="s">
        <v>3401</v>
      </c>
      <c r="Q10311" s="30" t="s">
        <v>2568</v>
      </c>
      <c r="R10311" s="33" t="s">
        <v>3472</v>
      </c>
      <c r="S10311">
        <v>31</v>
      </c>
      <c r="T10311" s="1" t="s">
        <v>3967</v>
      </c>
      <c r="U10311" s="1" t="str">
        <f>HYPERLINK("http://ictvonline.org/taxonomy/p/taxonomy-history?taxnode_id=202105127","ICTVonline=202105127")</f>
        <v>ICTVonline=202105127</v>
      </c>
    </row>
    <row r="10312" spans="1:21" x14ac:dyDescent="0.2">
      <c r="A10312" s="3">
        <v>10311</v>
      </c>
      <c r="L10312" s="1" t="s">
        <v>3392</v>
      </c>
      <c r="N10312" s="1" t="s">
        <v>3393</v>
      </c>
      <c r="P10312" s="1" t="s">
        <v>3402</v>
      </c>
      <c r="Q10312" s="30" t="s">
        <v>2568</v>
      </c>
      <c r="R10312" s="33" t="s">
        <v>3472</v>
      </c>
      <c r="S10312">
        <v>31</v>
      </c>
      <c r="T10312" s="1" t="s">
        <v>3967</v>
      </c>
      <c r="U10312" s="1" t="str">
        <f>HYPERLINK("http://ictvonline.org/taxonomy/p/taxonomy-history?taxnode_id=202105128","ICTVonline=202105128")</f>
        <v>ICTVonline=202105128</v>
      </c>
    </row>
    <row r="10313" spans="1:21" x14ac:dyDescent="0.2">
      <c r="A10313" s="3">
        <v>10312</v>
      </c>
      <c r="L10313" s="1" t="s">
        <v>3392</v>
      </c>
      <c r="N10313" s="1" t="s">
        <v>3393</v>
      </c>
      <c r="P10313" s="1" t="s">
        <v>3403</v>
      </c>
      <c r="Q10313" s="30" t="s">
        <v>2568</v>
      </c>
      <c r="R10313" s="33" t="s">
        <v>3472</v>
      </c>
      <c r="S10313">
        <v>31</v>
      </c>
      <c r="T10313" s="1" t="s">
        <v>3967</v>
      </c>
      <c r="U10313" s="1" t="str">
        <f>HYPERLINK("http://ictvonline.org/taxonomy/p/taxonomy-history?taxnode_id=202105129","ICTVonline=202105129")</f>
        <v>ICTVonline=202105129</v>
      </c>
    </row>
    <row r="10314" spans="1:21" x14ac:dyDescent="0.2">
      <c r="A10314" s="3">
        <v>10313</v>
      </c>
      <c r="L10314" s="1" t="s">
        <v>3392</v>
      </c>
      <c r="N10314" s="1" t="s">
        <v>3393</v>
      </c>
      <c r="P10314" s="1" t="s">
        <v>3404</v>
      </c>
      <c r="Q10314" s="30" t="s">
        <v>2568</v>
      </c>
      <c r="R10314" s="33" t="s">
        <v>3472</v>
      </c>
      <c r="S10314">
        <v>31</v>
      </c>
      <c r="T10314" s="1" t="s">
        <v>3967</v>
      </c>
      <c r="U10314" s="1" t="str">
        <f>HYPERLINK("http://ictvonline.org/taxonomy/p/taxonomy-history?taxnode_id=202105130","ICTVonline=202105130")</f>
        <v>ICTVonline=202105130</v>
      </c>
    </row>
    <row r="10315" spans="1:21" x14ac:dyDescent="0.2">
      <c r="A10315" s="3">
        <v>10314</v>
      </c>
      <c r="L10315" s="1" t="s">
        <v>3392</v>
      </c>
      <c r="N10315" s="1" t="s">
        <v>3393</v>
      </c>
      <c r="P10315" s="1" t="s">
        <v>3405</v>
      </c>
      <c r="Q10315" s="30" t="s">
        <v>2568</v>
      </c>
      <c r="R10315" s="33" t="s">
        <v>3472</v>
      </c>
      <c r="S10315">
        <v>31</v>
      </c>
      <c r="T10315" s="1" t="s">
        <v>3967</v>
      </c>
      <c r="U10315" s="1" t="str">
        <f>HYPERLINK("http://ictvonline.org/taxonomy/p/taxonomy-history?taxnode_id=202105131","ICTVonline=202105131")</f>
        <v>ICTVonline=202105131</v>
      </c>
    </row>
    <row r="10316" spans="1:21" x14ac:dyDescent="0.2">
      <c r="A10316" s="3">
        <v>10315</v>
      </c>
      <c r="L10316" s="1" t="s">
        <v>3392</v>
      </c>
      <c r="N10316" s="1" t="s">
        <v>3393</v>
      </c>
      <c r="P10316" s="1" t="s">
        <v>8598</v>
      </c>
      <c r="Q10316" s="30" t="s">
        <v>2969</v>
      </c>
      <c r="R10316" s="33" t="s">
        <v>3472</v>
      </c>
      <c r="S10316">
        <v>36</v>
      </c>
      <c r="T10316" s="1" t="s">
        <v>8597</v>
      </c>
      <c r="U10316" s="1" t="str">
        <f>HYPERLINK("http://ictvonline.org/taxonomy/p/taxonomy-history?taxnode_id=202109188","ICTVonline=202109188")</f>
        <v>ICTVonline=202109188</v>
      </c>
    </row>
    <row r="10317" spans="1:21" x14ac:dyDescent="0.2">
      <c r="A10317" s="3">
        <v>10316</v>
      </c>
      <c r="L10317" s="1" t="s">
        <v>3392</v>
      </c>
      <c r="N10317" s="1" t="s">
        <v>3393</v>
      </c>
      <c r="P10317" s="1" t="s">
        <v>8599</v>
      </c>
      <c r="Q10317" s="30" t="s">
        <v>2969</v>
      </c>
      <c r="R10317" s="33" t="s">
        <v>3472</v>
      </c>
      <c r="S10317">
        <v>36</v>
      </c>
      <c r="T10317" s="1" t="s">
        <v>8597</v>
      </c>
      <c r="U10317" s="1" t="str">
        <f>HYPERLINK("http://ictvonline.org/taxonomy/p/taxonomy-history?taxnode_id=202109189","ICTVonline=202109189")</f>
        <v>ICTVonline=202109189</v>
      </c>
    </row>
    <row r="10318" spans="1:21" x14ac:dyDescent="0.2">
      <c r="A10318" s="3">
        <v>10317</v>
      </c>
      <c r="L10318" s="1" t="s">
        <v>3392</v>
      </c>
      <c r="N10318" s="1" t="s">
        <v>3393</v>
      </c>
      <c r="P10318" s="1" t="s">
        <v>8600</v>
      </c>
      <c r="Q10318" s="30" t="s">
        <v>2969</v>
      </c>
      <c r="R10318" s="33" t="s">
        <v>3472</v>
      </c>
      <c r="S10318">
        <v>36</v>
      </c>
      <c r="T10318" s="1" t="s">
        <v>8597</v>
      </c>
      <c r="U10318" s="1" t="str">
        <f>HYPERLINK("http://ictvonline.org/taxonomy/p/taxonomy-history?taxnode_id=202109190","ICTVonline=202109190")</f>
        <v>ICTVonline=202109190</v>
      </c>
    </row>
    <row r="10319" spans="1:21" x14ac:dyDescent="0.2">
      <c r="A10319" s="3">
        <v>10318</v>
      </c>
      <c r="L10319" s="1" t="s">
        <v>3392</v>
      </c>
      <c r="N10319" s="1" t="s">
        <v>3393</v>
      </c>
      <c r="P10319" s="1" t="s">
        <v>8601</v>
      </c>
      <c r="Q10319" s="30" t="s">
        <v>2969</v>
      </c>
      <c r="R10319" s="33" t="s">
        <v>3472</v>
      </c>
      <c r="S10319">
        <v>36</v>
      </c>
      <c r="T10319" s="1" t="s">
        <v>8597</v>
      </c>
      <c r="U10319" s="1" t="str">
        <f>HYPERLINK("http://ictvonline.org/taxonomy/p/taxonomy-history?taxnode_id=202109191","ICTVonline=202109191")</f>
        <v>ICTVonline=202109191</v>
      </c>
    </row>
    <row r="10320" spans="1:21" x14ac:dyDescent="0.2">
      <c r="A10320" s="3">
        <v>10319</v>
      </c>
      <c r="L10320" s="1" t="s">
        <v>3392</v>
      </c>
      <c r="N10320" s="1" t="s">
        <v>3393</v>
      </c>
      <c r="P10320" s="1" t="s">
        <v>8602</v>
      </c>
      <c r="Q10320" s="30" t="s">
        <v>2969</v>
      </c>
      <c r="R10320" s="33" t="s">
        <v>3472</v>
      </c>
      <c r="S10320">
        <v>36</v>
      </c>
      <c r="T10320" s="1" t="s">
        <v>8597</v>
      </c>
      <c r="U10320" s="1" t="str">
        <f>HYPERLINK("http://ictvonline.org/taxonomy/p/taxonomy-history?taxnode_id=202109192","ICTVonline=202109192")</f>
        <v>ICTVonline=202109192</v>
      </c>
    </row>
    <row r="10321" spans="1:21" x14ac:dyDescent="0.2">
      <c r="A10321" s="3">
        <v>10320</v>
      </c>
      <c r="L10321" s="1" t="s">
        <v>3392</v>
      </c>
      <c r="N10321" s="1" t="s">
        <v>3393</v>
      </c>
      <c r="P10321" s="1" t="s">
        <v>8603</v>
      </c>
      <c r="Q10321" s="30" t="s">
        <v>2969</v>
      </c>
      <c r="R10321" s="33" t="s">
        <v>3472</v>
      </c>
      <c r="S10321">
        <v>36</v>
      </c>
      <c r="T10321" s="1" t="s">
        <v>8597</v>
      </c>
      <c r="U10321" s="1" t="str">
        <f>HYPERLINK("http://ictvonline.org/taxonomy/p/taxonomy-history?taxnode_id=202109193","ICTVonline=202109193")</f>
        <v>ICTVonline=202109193</v>
      </c>
    </row>
    <row r="10322" spans="1:21" x14ac:dyDescent="0.2">
      <c r="A10322" s="3">
        <v>10321</v>
      </c>
      <c r="L10322" s="1" t="s">
        <v>3392</v>
      </c>
      <c r="N10322" s="1" t="s">
        <v>3393</v>
      </c>
      <c r="P10322" s="1" t="s">
        <v>8604</v>
      </c>
      <c r="Q10322" s="30" t="s">
        <v>2969</v>
      </c>
      <c r="R10322" s="33" t="s">
        <v>3472</v>
      </c>
      <c r="S10322">
        <v>36</v>
      </c>
      <c r="T10322" s="1" t="s">
        <v>8597</v>
      </c>
      <c r="U10322" s="1" t="str">
        <f>HYPERLINK("http://ictvonline.org/taxonomy/p/taxonomy-history?taxnode_id=202109194","ICTVonline=202109194")</f>
        <v>ICTVonline=202109194</v>
      </c>
    </row>
    <row r="10323" spans="1:21" x14ac:dyDescent="0.2">
      <c r="A10323" s="3">
        <v>10322</v>
      </c>
      <c r="L10323" s="1" t="s">
        <v>3392</v>
      </c>
      <c r="N10323" s="1" t="s">
        <v>3393</v>
      </c>
      <c r="P10323" s="1" t="s">
        <v>3406</v>
      </c>
      <c r="Q10323" s="30" t="s">
        <v>2568</v>
      </c>
      <c r="R10323" s="33" t="s">
        <v>3472</v>
      </c>
      <c r="S10323">
        <v>31</v>
      </c>
      <c r="T10323" s="1" t="s">
        <v>3967</v>
      </c>
      <c r="U10323" s="1" t="str">
        <f>HYPERLINK("http://ictvonline.org/taxonomy/p/taxonomy-history?taxnode_id=202105132","ICTVonline=202105132")</f>
        <v>ICTVonline=202105132</v>
      </c>
    </row>
    <row r="10324" spans="1:21" x14ac:dyDescent="0.2">
      <c r="A10324" s="3">
        <v>10323</v>
      </c>
      <c r="L10324" s="1" t="s">
        <v>3392</v>
      </c>
      <c r="N10324" s="1" t="s">
        <v>3393</v>
      </c>
      <c r="P10324" s="1" t="s">
        <v>8605</v>
      </c>
      <c r="Q10324" s="30" t="s">
        <v>2969</v>
      </c>
      <c r="R10324" s="33" t="s">
        <v>3472</v>
      </c>
      <c r="S10324">
        <v>36</v>
      </c>
      <c r="T10324" s="1" t="s">
        <v>8597</v>
      </c>
      <c r="U10324" s="1" t="str">
        <f>HYPERLINK("http://ictvonline.org/taxonomy/p/taxonomy-history?taxnode_id=202109195","ICTVonline=202109195")</f>
        <v>ICTVonline=202109195</v>
      </c>
    </row>
    <row r="10325" spans="1:21" x14ac:dyDescent="0.2">
      <c r="A10325" s="3">
        <v>10324</v>
      </c>
      <c r="L10325" s="1" t="s">
        <v>3392</v>
      </c>
      <c r="N10325" s="1" t="s">
        <v>3393</v>
      </c>
      <c r="P10325" s="1" t="s">
        <v>3407</v>
      </c>
      <c r="Q10325" s="30" t="s">
        <v>2568</v>
      </c>
      <c r="R10325" s="33" t="s">
        <v>3472</v>
      </c>
      <c r="S10325">
        <v>31</v>
      </c>
      <c r="T10325" s="1" t="s">
        <v>3967</v>
      </c>
      <c r="U10325" s="1" t="str">
        <f>HYPERLINK("http://ictvonline.org/taxonomy/p/taxonomy-history?taxnode_id=202105133","ICTVonline=202105133")</f>
        <v>ICTVonline=202105133</v>
      </c>
    </row>
    <row r="10326" spans="1:21" x14ac:dyDescent="0.2">
      <c r="A10326" s="3">
        <v>10325</v>
      </c>
      <c r="L10326" s="1" t="s">
        <v>3392</v>
      </c>
      <c r="N10326" s="1" t="s">
        <v>3393</v>
      </c>
      <c r="P10326" s="1" t="s">
        <v>8606</v>
      </c>
      <c r="Q10326" s="30" t="s">
        <v>2969</v>
      </c>
      <c r="R10326" s="33" t="s">
        <v>3472</v>
      </c>
      <c r="S10326">
        <v>36</v>
      </c>
      <c r="T10326" s="1" t="s">
        <v>8597</v>
      </c>
      <c r="U10326" s="1" t="str">
        <f>HYPERLINK("http://ictvonline.org/taxonomy/p/taxonomy-history?taxnode_id=202109196","ICTVonline=202109196")</f>
        <v>ICTVonline=202109196</v>
      </c>
    </row>
    <row r="10327" spans="1:21" x14ac:dyDescent="0.2">
      <c r="A10327" s="3">
        <v>10326</v>
      </c>
      <c r="L10327" s="1" t="s">
        <v>3392</v>
      </c>
      <c r="N10327" s="1" t="s">
        <v>3393</v>
      </c>
      <c r="P10327" s="1" t="s">
        <v>3408</v>
      </c>
      <c r="Q10327" s="30" t="s">
        <v>2568</v>
      </c>
      <c r="R10327" s="33" t="s">
        <v>3472</v>
      </c>
      <c r="S10327">
        <v>31</v>
      </c>
      <c r="T10327" s="1" t="s">
        <v>3967</v>
      </c>
      <c r="U10327" s="1" t="str">
        <f>HYPERLINK("http://ictvonline.org/taxonomy/p/taxonomy-history?taxnode_id=202105134","ICTVonline=202105134")</f>
        <v>ICTVonline=202105134</v>
      </c>
    </row>
    <row r="10328" spans="1:21" x14ac:dyDescent="0.2">
      <c r="A10328" s="3">
        <v>10327</v>
      </c>
      <c r="L10328" s="1" t="s">
        <v>3392</v>
      </c>
      <c r="N10328" s="1" t="s">
        <v>3393</v>
      </c>
      <c r="P10328" s="1" t="s">
        <v>8607</v>
      </c>
      <c r="Q10328" s="30" t="s">
        <v>2969</v>
      </c>
      <c r="R10328" s="33" t="s">
        <v>3472</v>
      </c>
      <c r="S10328">
        <v>36</v>
      </c>
      <c r="T10328" s="1" t="s">
        <v>8597</v>
      </c>
      <c r="U10328" s="1" t="str">
        <f>HYPERLINK("http://ictvonline.org/taxonomy/p/taxonomy-history?taxnode_id=202109197","ICTVonline=202109197")</f>
        <v>ICTVonline=202109197</v>
      </c>
    </row>
    <row r="10329" spans="1:21" x14ac:dyDescent="0.2">
      <c r="A10329" s="3">
        <v>10328</v>
      </c>
      <c r="L10329" s="1" t="s">
        <v>3392</v>
      </c>
      <c r="N10329" s="1" t="s">
        <v>3393</v>
      </c>
      <c r="P10329" s="1" t="s">
        <v>8608</v>
      </c>
      <c r="Q10329" s="30" t="s">
        <v>2969</v>
      </c>
      <c r="R10329" s="33" t="s">
        <v>3472</v>
      </c>
      <c r="S10329">
        <v>36</v>
      </c>
      <c r="T10329" s="1" t="s">
        <v>8597</v>
      </c>
      <c r="U10329" s="1" t="str">
        <f>HYPERLINK("http://ictvonline.org/taxonomy/p/taxonomy-history?taxnode_id=202109198","ICTVonline=202109198")</f>
        <v>ICTVonline=202109198</v>
      </c>
    </row>
    <row r="10330" spans="1:21" x14ac:dyDescent="0.2">
      <c r="A10330" s="3">
        <v>10329</v>
      </c>
      <c r="L10330" s="1" t="s">
        <v>3392</v>
      </c>
      <c r="N10330" s="1" t="s">
        <v>3393</v>
      </c>
      <c r="P10330" s="1" t="s">
        <v>8609</v>
      </c>
      <c r="Q10330" s="30" t="s">
        <v>2969</v>
      </c>
      <c r="R10330" s="33" t="s">
        <v>3472</v>
      </c>
      <c r="S10330">
        <v>36</v>
      </c>
      <c r="T10330" s="1" t="s">
        <v>8597</v>
      </c>
      <c r="U10330" s="1" t="str">
        <f>HYPERLINK("http://ictvonline.org/taxonomy/p/taxonomy-history?taxnode_id=202109199","ICTVonline=202109199")</f>
        <v>ICTVonline=202109199</v>
      </c>
    </row>
    <row r="10331" spans="1:21" x14ac:dyDescent="0.2">
      <c r="A10331" s="3">
        <v>10330</v>
      </c>
      <c r="L10331" s="1" t="s">
        <v>3392</v>
      </c>
      <c r="N10331" s="1" t="s">
        <v>3393</v>
      </c>
      <c r="P10331" s="1" t="s">
        <v>3409</v>
      </c>
      <c r="Q10331" s="30" t="s">
        <v>2568</v>
      </c>
      <c r="R10331" s="33" t="s">
        <v>3472</v>
      </c>
      <c r="S10331">
        <v>31</v>
      </c>
      <c r="T10331" s="1" t="s">
        <v>3967</v>
      </c>
      <c r="U10331" s="1" t="str">
        <f>HYPERLINK("http://ictvonline.org/taxonomy/p/taxonomy-history?taxnode_id=202105135","ICTVonline=202105135")</f>
        <v>ICTVonline=202105135</v>
      </c>
    </row>
    <row r="10332" spans="1:21" x14ac:dyDescent="0.2">
      <c r="A10332" s="3">
        <v>10331</v>
      </c>
      <c r="L10332" s="1" t="s">
        <v>3392</v>
      </c>
      <c r="N10332" s="1" t="s">
        <v>3393</v>
      </c>
      <c r="P10332" s="1" t="s">
        <v>3410</v>
      </c>
      <c r="Q10332" s="30" t="s">
        <v>2568</v>
      </c>
      <c r="R10332" s="33" t="s">
        <v>3472</v>
      </c>
      <c r="S10332">
        <v>31</v>
      </c>
      <c r="T10332" s="1" t="s">
        <v>3967</v>
      </c>
      <c r="U10332" s="1" t="str">
        <f>HYPERLINK("http://ictvonline.org/taxonomy/p/taxonomy-history?taxnode_id=202105136","ICTVonline=202105136")</f>
        <v>ICTVonline=202105136</v>
      </c>
    </row>
    <row r="10333" spans="1:21" x14ac:dyDescent="0.2">
      <c r="A10333" s="3">
        <v>10332</v>
      </c>
      <c r="L10333" s="1" t="s">
        <v>3392</v>
      </c>
      <c r="N10333" s="1" t="s">
        <v>3393</v>
      </c>
      <c r="P10333" s="1" t="s">
        <v>3411</v>
      </c>
      <c r="Q10333" s="30" t="s">
        <v>2568</v>
      </c>
      <c r="R10333" s="33" t="s">
        <v>3472</v>
      </c>
      <c r="S10333">
        <v>31</v>
      </c>
      <c r="T10333" s="1" t="s">
        <v>3967</v>
      </c>
      <c r="U10333" s="1" t="str">
        <f>HYPERLINK("http://ictvonline.org/taxonomy/p/taxonomy-history?taxnode_id=202105137","ICTVonline=202105137")</f>
        <v>ICTVonline=202105137</v>
      </c>
    </row>
    <row r="10334" spans="1:21" x14ac:dyDescent="0.2">
      <c r="A10334" s="3">
        <v>10333</v>
      </c>
      <c r="L10334" s="1" t="s">
        <v>3392</v>
      </c>
      <c r="N10334" s="1" t="s">
        <v>3393</v>
      </c>
      <c r="P10334" s="1" t="s">
        <v>3412</v>
      </c>
      <c r="Q10334" s="30" t="s">
        <v>2568</v>
      </c>
      <c r="R10334" s="33" t="s">
        <v>3472</v>
      </c>
      <c r="S10334">
        <v>31</v>
      </c>
      <c r="T10334" s="1" t="s">
        <v>3967</v>
      </c>
      <c r="U10334" s="1" t="str">
        <f>HYPERLINK("http://ictvonline.org/taxonomy/p/taxonomy-history?taxnode_id=202105138","ICTVonline=202105138")</f>
        <v>ICTVonline=202105138</v>
      </c>
    </row>
    <row r="10335" spans="1:21" x14ac:dyDescent="0.2">
      <c r="A10335" s="3">
        <v>10334</v>
      </c>
      <c r="L10335" s="1" t="s">
        <v>3392</v>
      </c>
      <c r="N10335" s="1" t="s">
        <v>3393</v>
      </c>
      <c r="P10335" s="1" t="s">
        <v>8610</v>
      </c>
      <c r="Q10335" s="30" t="s">
        <v>2969</v>
      </c>
      <c r="R10335" s="33" t="s">
        <v>3472</v>
      </c>
      <c r="S10335">
        <v>36</v>
      </c>
      <c r="T10335" s="1" t="s">
        <v>8597</v>
      </c>
      <c r="U10335" s="1" t="str">
        <f>HYPERLINK("http://ictvonline.org/taxonomy/p/taxonomy-history?taxnode_id=202109200","ICTVonline=202109200")</f>
        <v>ICTVonline=202109200</v>
      </c>
    </row>
    <row r="10336" spans="1:21" x14ac:dyDescent="0.2">
      <c r="A10336" s="3">
        <v>10335</v>
      </c>
      <c r="L10336" s="1" t="s">
        <v>3392</v>
      </c>
      <c r="N10336" s="1" t="s">
        <v>3393</v>
      </c>
      <c r="P10336" s="1" t="s">
        <v>3413</v>
      </c>
      <c r="Q10336" s="30" t="s">
        <v>2568</v>
      </c>
      <c r="R10336" s="33" t="s">
        <v>3472</v>
      </c>
      <c r="S10336">
        <v>31</v>
      </c>
      <c r="T10336" s="1" t="s">
        <v>3967</v>
      </c>
      <c r="U10336" s="1" t="str">
        <f>HYPERLINK("http://ictvonline.org/taxonomy/p/taxonomy-history?taxnode_id=202105139","ICTVonline=202105139")</f>
        <v>ICTVonline=202105139</v>
      </c>
    </row>
    <row r="10337" spans="1:21" x14ac:dyDescent="0.2">
      <c r="A10337" s="3">
        <v>10336</v>
      </c>
      <c r="L10337" s="1" t="s">
        <v>3392</v>
      </c>
      <c r="N10337" s="1" t="s">
        <v>3393</v>
      </c>
      <c r="P10337" s="1" t="s">
        <v>3414</v>
      </c>
      <c r="Q10337" s="30" t="s">
        <v>2568</v>
      </c>
      <c r="R10337" s="33" t="s">
        <v>3472</v>
      </c>
      <c r="S10337">
        <v>31</v>
      </c>
      <c r="T10337" s="1" t="s">
        <v>3967</v>
      </c>
      <c r="U10337" s="1" t="str">
        <f>HYPERLINK("http://ictvonline.org/taxonomy/p/taxonomy-history?taxnode_id=202105140","ICTVonline=202105140")</f>
        <v>ICTVonline=202105140</v>
      </c>
    </row>
    <row r="10338" spans="1:21" x14ac:dyDescent="0.2">
      <c r="A10338" s="3">
        <v>10337</v>
      </c>
      <c r="L10338" s="1" t="s">
        <v>3392</v>
      </c>
      <c r="N10338" s="1" t="s">
        <v>3393</v>
      </c>
      <c r="P10338" s="1" t="s">
        <v>8611</v>
      </c>
      <c r="Q10338" s="30" t="s">
        <v>2969</v>
      </c>
      <c r="R10338" s="33" t="s">
        <v>3472</v>
      </c>
      <c r="S10338">
        <v>36</v>
      </c>
      <c r="T10338" s="1" t="s">
        <v>8597</v>
      </c>
      <c r="U10338" s="1" t="str">
        <f>HYPERLINK("http://ictvonline.org/taxonomy/p/taxonomy-history?taxnode_id=202109201","ICTVonline=202109201")</f>
        <v>ICTVonline=202109201</v>
      </c>
    </row>
    <row r="10339" spans="1:21" x14ac:dyDescent="0.2">
      <c r="A10339" s="3">
        <v>10338</v>
      </c>
      <c r="L10339" s="1" t="s">
        <v>3392</v>
      </c>
      <c r="N10339" s="1" t="s">
        <v>3393</v>
      </c>
      <c r="P10339" s="1" t="s">
        <v>8612</v>
      </c>
      <c r="Q10339" s="30" t="s">
        <v>2969</v>
      </c>
      <c r="R10339" s="33" t="s">
        <v>3472</v>
      </c>
      <c r="S10339">
        <v>36</v>
      </c>
      <c r="T10339" s="1" t="s">
        <v>8597</v>
      </c>
      <c r="U10339" s="1" t="str">
        <f>HYPERLINK("http://ictvonline.org/taxonomy/p/taxonomy-history?taxnode_id=202109202","ICTVonline=202109202")</f>
        <v>ICTVonline=202109202</v>
      </c>
    </row>
    <row r="10340" spans="1:21" x14ac:dyDescent="0.2">
      <c r="A10340" s="3">
        <v>10339</v>
      </c>
      <c r="L10340" s="1" t="s">
        <v>3392</v>
      </c>
      <c r="N10340" s="1" t="s">
        <v>3393</v>
      </c>
      <c r="P10340" s="1" t="s">
        <v>8613</v>
      </c>
      <c r="Q10340" s="30" t="s">
        <v>2969</v>
      </c>
      <c r="R10340" s="33" t="s">
        <v>3472</v>
      </c>
      <c r="S10340">
        <v>36</v>
      </c>
      <c r="T10340" s="1" t="s">
        <v>8597</v>
      </c>
      <c r="U10340" s="1" t="str">
        <f>HYPERLINK("http://ictvonline.org/taxonomy/p/taxonomy-history?taxnode_id=202109203","ICTVonline=202109203")</f>
        <v>ICTVonline=202109203</v>
      </c>
    </row>
    <row r="10341" spans="1:21" x14ac:dyDescent="0.2">
      <c r="A10341" s="3">
        <v>10340</v>
      </c>
      <c r="L10341" s="1" t="s">
        <v>3392</v>
      </c>
      <c r="N10341" s="1" t="s">
        <v>3393</v>
      </c>
      <c r="P10341" s="1" t="s">
        <v>8614</v>
      </c>
      <c r="Q10341" s="30" t="s">
        <v>2969</v>
      </c>
      <c r="R10341" s="33" t="s">
        <v>3472</v>
      </c>
      <c r="S10341">
        <v>36</v>
      </c>
      <c r="T10341" s="1" t="s">
        <v>8597</v>
      </c>
      <c r="U10341" s="1" t="str">
        <f>HYPERLINK("http://ictvonline.org/taxonomy/p/taxonomy-history?taxnode_id=202109204","ICTVonline=202109204")</f>
        <v>ICTVonline=202109204</v>
      </c>
    </row>
    <row r="10342" spans="1:21" x14ac:dyDescent="0.2">
      <c r="A10342" s="3">
        <v>10341</v>
      </c>
      <c r="L10342" s="1" t="s">
        <v>3392</v>
      </c>
      <c r="N10342" s="1" t="s">
        <v>3393</v>
      </c>
      <c r="P10342" s="1" t="s">
        <v>8615</v>
      </c>
      <c r="Q10342" s="30" t="s">
        <v>2969</v>
      </c>
      <c r="R10342" s="33" t="s">
        <v>3472</v>
      </c>
      <c r="S10342">
        <v>36</v>
      </c>
      <c r="T10342" s="1" t="s">
        <v>8597</v>
      </c>
      <c r="U10342" s="1" t="str">
        <f>HYPERLINK("http://ictvonline.org/taxonomy/p/taxonomy-history?taxnode_id=202109205","ICTVonline=202109205")</f>
        <v>ICTVonline=202109205</v>
      </c>
    </row>
    <row r="10343" spans="1:21" x14ac:dyDescent="0.2">
      <c r="A10343" s="3">
        <v>10342</v>
      </c>
      <c r="L10343" s="1" t="s">
        <v>3392</v>
      </c>
      <c r="N10343" s="1" t="s">
        <v>3393</v>
      </c>
      <c r="P10343" s="1" t="s">
        <v>8616</v>
      </c>
      <c r="Q10343" s="30" t="s">
        <v>2969</v>
      </c>
      <c r="R10343" s="33" t="s">
        <v>3472</v>
      </c>
      <c r="S10343">
        <v>36</v>
      </c>
      <c r="T10343" s="1" t="s">
        <v>8597</v>
      </c>
      <c r="U10343" s="1" t="str">
        <f>HYPERLINK("http://ictvonline.org/taxonomy/p/taxonomy-history?taxnode_id=202109206","ICTVonline=202109206")</f>
        <v>ICTVonline=202109206</v>
      </c>
    </row>
    <row r="10344" spans="1:21" x14ac:dyDescent="0.2">
      <c r="A10344" s="3">
        <v>10343</v>
      </c>
      <c r="L10344" s="1" t="s">
        <v>3392</v>
      </c>
      <c r="N10344" s="1" t="s">
        <v>3393</v>
      </c>
      <c r="P10344" s="1" t="s">
        <v>8617</v>
      </c>
      <c r="Q10344" s="30" t="s">
        <v>2969</v>
      </c>
      <c r="R10344" s="33" t="s">
        <v>3472</v>
      </c>
      <c r="S10344">
        <v>36</v>
      </c>
      <c r="T10344" s="1" t="s">
        <v>8597</v>
      </c>
      <c r="U10344" s="1" t="str">
        <f>HYPERLINK("http://ictvonline.org/taxonomy/p/taxonomy-history?taxnode_id=202109207","ICTVonline=202109207")</f>
        <v>ICTVonline=202109207</v>
      </c>
    </row>
    <row r="10345" spans="1:21" x14ac:dyDescent="0.2">
      <c r="A10345" s="3">
        <v>10344</v>
      </c>
      <c r="L10345" s="1" t="s">
        <v>3392</v>
      </c>
      <c r="N10345" s="1" t="s">
        <v>3393</v>
      </c>
      <c r="P10345" s="1" t="s">
        <v>8618</v>
      </c>
      <c r="Q10345" s="30" t="s">
        <v>2969</v>
      </c>
      <c r="R10345" s="33" t="s">
        <v>3472</v>
      </c>
      <c r="S10345">
        <v>36</v>
      </c>
      <c r="T10345" s="1" t="s">
        <v>8597</v>
      </c>
      <c r="U10345" s="1" t="str">
        <f>HYPERLINK("http://ictvonline.org/taxonomy/p/taxonomy-history?taxnode_id=202109208","ICTVonline=202109208")</f>
        <v>ICTVonline=202109208</v>
      </c>
    </row>
    <row r="10346" spans="1:21" x14ac:dyDescent="0.2">
      <c r="A10346" s="3">
        <v>10345</v>
      </c>
      <c r="L10346" s="1" t="s">
        <v>3392</v>
      </c>
      <c r="N10346" s="1" t="s">
        <v>3393</v>
      </c>
      <c r="P10346" s="1" t="s">
        <v>8619</v>
      </c>
      <c r="Q10346" s="30" t="s">
        <v>2969</v>
      </c>
      <c r="R10346" s="33" t="s">
        <v>3472</v>
      </c>
      <c r="S10346">
        <v>36</v>
      </c>
      <c r="T10346" s="1" t="s">
        <v>8597</v>
      </c>
      <c r="U10346" s="1" t="str">
        <f>HYPERLINK("http://ictvonline.org/taxonomy/p/taxonomy-history?taxnode_id=202109209","ICTVonline=202109209")</f>
        <v>ICTVonline=202109209</v>
      </c>
    </row>
    <row r="10347" spans="1:21" x14ac:dyDescent="0.2">
      <c r="A10347" s="3">
        <v>10346</v>
      </c>
      <c r="L10347" s="1" t="s">
        <v>3392</v>
      </c>
      <c r="N10347" s="1" t="s">
        <v>3393</v>
      </c>
      <c r="P10347" s="1" t="s">
        <v>3415</v>
      </c>
      <c r="Q10347" s="30" t="s">
        <v>2568</v>
      </c>
      <c r="R10347" s="33" t="s">
        <v>3472</v>
      </c>
      <c r="S10347">
        <v>31</v>
      </c>
      <c r="T10347" s="1" t="s">
        <v>3967</v>
      </c>
      <c r="U10347" s="1" t="str">
        <f>HYPERLINK("http://ictvonline.org/taxonomy/p/taxonomy-history?taxnode_id=202105141","ICTVonline=202105141")</f>
        <v>ICTVonline=202105141</v>
      </c>
    </row>
    <row r="10348" spans="1:21" x14ac:dyDescent="0.2">
      <c r="A10348" s="3">
        <v>10347</v>
      </c>
      <c r="L10348" s="1" t="s">
        <v>3392</v>
      </c>
      <c r="N10348" s="1" t="s">
        <v>3393</v>
      </c>
      <c r="P10348" s="1" t="s">
        <v>8620</v>
      </c>
      <c r="Q10348" s="30" t="s">
        <v>2969</v>
      </c>
      <c r="R10348" s="33" t="s">
        <v>3472</v>
      </c>
      <c r="S10348">
        <v>36</v>
      </c>
      <c r="T10348" s="1" t="s">
        <v>8597</v>
      </c>
      <c r="U10348" s="1" t="str">
        <f>HYPERLINK("http://ictvonline.org/taxonomy/p/taxonomy-history?taxnode_id=202109210","ICTVonline=202109210")</f>
        <v>ICTVonline=202109210</v>
      </c>
    </row>
    <row r="10349" spans="1:21" x14ac:dyDescent="0.2">
      <c r="A10349" s="3">
        <v>10348</v>
      </c>
      <c r="L10349" s="1" t="s">
        <v>3392</v>
      </c>
      <c r="N10349" s="1" t="s">
        <v>3393</v>
      </c>
      <c r="P10349" s="1" t="s">
        <v>8621</v>
      </c>
      <c r="Q10349" s="30" t="s">
        <v>2969</v>
      </c>
      <c r="R10349" s="33" t="s">
        <v>3472</v>
      </c>
      <c r="S10349">
        <v>36</v>
      </c>
      <c r="T10349" s="1" t="s">
        <v>8597</v>
      </c>
      <c r="U10349" s="1" t="str">
        <f>HYPERLINK("http://ictvonline.org/taxonomy/p/taxonomy-history?taxnode_id=202109211","ICTVonline=202109211")</f>
        <v>ICTVonline=202109211</v>
      </c>
    </row>
    <row r="10350" spans="1:21" x14ac:dyDescent="0.2">
      <c r="A10350" s="3">
        <v>10349</v>
      </c>
      <c r="L10350" s="1" t="s">
        <v>3392</v>
      </c>
      <c r="N10350" s="1" t="s">
        <v>3393</v>
      </c>
      <c r="P10350" s="1" t="s">
        <v>8622</v>
      </c>
      <c r="Q10350" s="30" t="s">
        <v>2969</v>
      </c>
      <c r="R10350" s="33" t="s">
        <v>3472</v>
      </c>
      <c r="S10350">
        <v>36</v>
      </c>
      <c r="T10350" s="1" t="s">
        <v>8597</v>
      </c>
      <c r="U10350" s="1" t="str">
        <f>HYPERLINK("http://ictvonline.org/taxonomy/p/taxonomy-history?taxnode_id=202109212","ICTVonline=202109212")</f>
        <v>ICTVonline=202109212</v>
      </c>
    </row>
    <row r="10351" spans="1:21" x14ac:dyDescent="0.2">
      <c r="A10351" s="3">
        <v>10350</v>
      </c>
      <c r="L10351" s="1" t="s">
        <v>3392</v>
      </c>
      <c r="N10351" s="1" t="s">
        <v>3393</v>
      </c>
      <c r="P10351" s="1" t="s">
        <v>8623</v>
      </c>
      <c r="Q10351" s="30" t="s">
        <v>2969</v>
      </c>
      <c r="R10351" s="33" t="s">
        <v>3472</v>
      </c>
      <c r="S10351">
        <v>36</v>
      </c>
      <c r="T10351" s="1" t="s">
        <v>8597</v>
      </c>
      <c r="U10351" s="1" t="str">
        <f>HYPERLINK("http://ictvonline.org/taxonomy/p/taxonomy-history?taxnode_id=202109213","ICTVonline=202109213")</f>
        <v>ICTVonline=202109213</v>
      </c>
    </row>
    <row r="10352" spans="1:21" x14ac:dyDescent="0.2">
      <c r="A10352" s="3">
        <v>10351</v>
      </c>
      <c r="L10352" s="1" t="s">
        <v>3392</v>
      </c>
      <c r="N10352" s="1" t="s">
        <v>3393</v>
      </c>
      <c r="P10352" s="1" t="s">
        <v>3416</v>
      </c>
      <c r="Q10352" s="30" t="s">
        <v>2568</v>
      </c>
      <c r="R10352" s="33" t="s">
        <v>3472</v>
      </c>
      <c r="S10352">
        <v>31</v>
      </c>
      <c r="T10352" s="1" t="s">
        <v>3967</v>
      </c>
      <c r="U10352" s="1" t="str">
        <f>HYPERLINK("http://ictvonline.org/taxonomy/p/taxonomy-history?taxnode_id=202105143","ICTVonline=202105143")</f>
        <v>ICTVonline=202105143</v>
      </c>
    </row>
    <row r="10353" spans="1:21" x14ac:dyDescent="0.2">
      <c r="A10353" s="3">
        <v>10352</v>
      </c>
      <c r="L10353" s="1" t="s">
        <v>3392</v>
      </c>
      <c r="N10353" s="1" t="s">
        <v>3393</v>
      </c>
      <c r="P10353" s="1" t="s">
        <v>3417</v>
      </c>
      <c r="Q10353" s="30" t="s">
        <v>2568</v>
      </c>
      <c r="R10353" s="33" t="s">
        <v>3472</v>
      </c>
      <c r="S10353">
        <v>31</v>
      </c>
      <c r="T10353" s="1" t="s">
        <v>3967</v>
      </c>
      <c r="U10353" s="1" t="str">
        <f>HYPERLINK("http://ictvonline.org/taxonomy/p/taxonomy-history?taxnode_id=202105144","ICTVonline=202105144")</f>
        <v>ICTVonline=202105144</v>
      </c>
    </row>
    <row r="10354" spans="1:21" x14ac:dyDescent="0.2">
      <c r="A10354" s="3">
        <v>10353</v>
      </c>
      <c r="L10354" s="1" t="s">
        <v>3392</v>
      </c>
      <c r="N10354" s="1" t="s">
        <v>3393</v>
      </c>
      <c r="P10354" s="1" t="s">
        <v>3418</v>
      </c>
      <c r="Q10354" s="30" t="s">
        <v>2568</v>
      </c>
      <c r="R10354" s="33" t="s">
        <v>3472</v>
      </c>
      <c r="S10354">
        <v>31</v>
      </c>
      <c r="T10354" s="1" t="s">
        <v>3967</v>
      </c>
      <c r="U10354" s="1" t="str">
        <f>HYPERLINK("http://ictvonline.org/taxonomy/p/taxonomy-history?taxnode_id=202105145","ICTVonline=202105145")</f>
        <v>ICTVonline=202105145</v>
      </c>
    </row>
    <row r="10355" spans="1:21" x14ac:dyDescent="0.2">
      <c r="A10355" s="3">
        <v>10354</v>
      </c>
      <c r="L10355" s="1" t="s">
        <v>3392</v>
      </c>
      <c r="N10355" s="1" t="s">
        <v>3393</v>
      </c>
      <c r="P10355" s="1" t="s">
        <v>8624</v>
      </c>
      <c r="Q10355" s="30" t="s">
        <v>2969</v>
      </c>
      <c r="R10355" s="33" t="s">
        <v>3472</v>
      </c>
      <c r="S10355">
        <v>36</v>
      </c>
      <c r="T10355" s="1" t="s">
        <v>8597</v>
      </c>
      <c r="U10355" s="1" t="str">
        <f>HYPERLINK("http://ictvonline.org/taxonomy/p/taxonomy-history?taxnode_id=202109214","ICTVonline=202109214")</f>
        <v>ICTVonline=202109214</v>
      </c>
    </row>
    <row r="10356" spans="1:21" x14ac:dyDescent="0.2">
      <c r="A10356" s="3">
        <v>10355</v>
      </c>
      <c r="L10356" s="1" t="s">
        <v>3392</v>
      </c>
      <c r="N10356" s="1" t="s">
        <v>3393</v>
      </c>
      <c r="P10356" s="1" t="s">
        <v>3419</v>
      </c>
      <c r="Q10356" s="30" t="s">
        <v>2568</v>
      </c>
      <c r="R10356" s="33" t="s">
        <v>3472</v>
      </c>
      <c r="S10356">
        <v>31</v>
      </c>
      <c r="T10356" s="1" t="s">
        <v>3967</v>
      </c>
      <c r="U10356" s="1" t="str">
        <f>HYPERLINK("http://ictvonline.org/taxonomy/p/taxonomy-history?taxnode_id=202105146","ICTVonline=202105146")</f>
        <v>ICTVonline=202105146</v>
      </c>
    </row>
    <row r="10357" spans="1:21" x14ac:dyDescent="0.2">
      <c r="A10357" s="3">
        <v>10356</v>
      </c>
      <c r="L10357" s="1" t="s">
        <v>3392</v>
      </c>
      <c r="N10357" s="1" t="s">
        <v>3393</v>
      </c>
      <c r="P10357" s="1" t="s">
        <v>3420</v>
      </c>
      <c r="Q10357" s="30" t="s">
        <v>2568</v>
      </c>
      <c r="R10357" s="33" t="s">
        <v>3472</v>
      </c>
      <c r="S10357">
        <v>31</v>
      </c>
      <c r="T10357" s="1" t="s">
        <v>3967</v>
      </c>
      <c r="U10357" s="1" t="str">
        <f>HYPERLINK("http://ictvonline.org/taxonomy/p/taxonomy-history?taxnode_id=202105147","ICTVonline=202105147")</f>
        <v>ICTVonline=202105147</v>
      </c>
    </row>
    <row r="10358" spans="1:21" x14ac:dyDescent="0.2">
      <c r="A10358" s="3">
        <v>10357</v>
      </c>
      <c r="L10358" s="1" t="s">
        <v>3392</v>
      </c>
      <c r="N10358" s="1" t="s">
        <v>3393</v>
      </c>
      <c r="P10358" s="1" t="s">
        <v>3421</v>
      </c>
      <c r="Q10358" s="30" t="s">
        <v>2568</v>
      </c>
      <c r="R10358" s="33" t="s">
        <v>3472</v>
      </c>
      <c r="S10358">
        <v>31</v>
      </c>
      <c r="T10358" s="1" t="s">
        <v>3967</v>
      </c>
      <c r="U10358" s="1" t="str">
        <f>HYPERLINK("http://ictvonline.org/taxonomy/p/taxonomy-history?taxnode_id=202105148","ICTVonline=202105148")</f>
        <v>ICTVonline=202105148</v>
      </c>
    </row>
    <row r="10359" spans="1:21" x14ac:dyDescent="0.2">
      <c r="A10359" s="3">
        <v>10358</v>
      </c>
      <c r="L10359" s="1" t="s">
        <v>3392</v>
      </c>
      <c r="N10359" s="1" t="s">
        <v>3393</v>
      </c>
      <c r="P10359" s="1" t="s">
        <v>8625</v>
      </c>
      <c r="Q10359" s="30" t="s">
        <v>2969</v>
      </c>
      <c r="R10359" s="33" t="s">
        <v>3472</v>
      </c>
      <c r="S10359">
        <v>36</v>
      </c>
      <c r="T10359" s="1" t="s">
        <v>8597</v>
      </c>
      <c r="U10359" s="1" t="str">
        <f>HYPERLINK("http://ictvonline.org/taxonomy/p/taxonomy-history?taxnode_id=202109215","ICTVonline=202109215")</f>
        <v>ICTVonline=202109215</v>
      </c>
    </row>
    <row r="10360" spans="1:21" x14ac:dyDescent="0.2">
      <c r="A10360" s="3">
        <v>10359</v>
      </c>
      <c r="L10360" s="1" t="s">
        <v>3392</v>
      </c>
      <c r="N10360" s="1" t="s">
        <v>3393</v>
      </c>
      <c r="P10360" s="1" t="s">
        <v>3422</v>
      </c>
      <c r="Q10360" s="30" t="s">
        <v>2568</v>
      </c>
      <c r="R10360" s="33" t="s">
        <v>3472</v>
      </c>
      <c r="S10360">
        <v>31</v>
      </c>
      <c r="T10360" s="1" t="s">
        <v>3967</v>
      </c>
      <c r="U10360" s="1" t="str">
        <f>HYPERLINK("http://ictvonline.org/taxonomy/p/taxonomy-history?taxnode_id=202105149","ICTVonline=202105149")</f>
        <v>ICTVonline=202105149</v>
      </c>
    </row>
    <row r="10361" spans="1:21" x14ac:dyDescent="0.2">
      <c r="A10361" s="3">
        <v>10360</v>
      </c>
      <c r="L10361" s="1" t="s">
        <v>3392</v>
      </c>
      <c r="N10361" s="1" t="s">
        <v>3393</v>
      </c>
      <c r="P10361" s="1" t="s">
        <v>8626</v>
      </c>
      <c r="Q10361" s="30" t="s">
        <v>2969</v>
      </c>
      <c r="R10361" s="33" t="s">
        <v>3472</v>
      </c>
      <c r="S10361">
        <v>36</v>
      </c>
      <c r="T10361" s="1" t="s">
        <v>8597</v>
      </c>
      <c r="U10361" s="1" t="str">
        <f>HYPERLINK("http://ictvonline.org/taxonomy/p/taxonomy-history?taxnode_id=202109216","ICTVonline=202109216")</f>
        <v>ICTVonline=202109216</v>
      </c>
    </row>
    <row r="10362" spans="1:21" x14ac:dyDescent="0.2">
      <c r="A10362" s="3">
        <v>10361</v>
      </c>
      <c r="L10362" s="1" t="s">
        <v>3392</v>
      </c>
      <c r="N10362" s="1" t="s">
        <v>3393</v>
      </c>
      <c r="P10362" s="1" t="s">
        <v>8627</v>
      </c>
      <c r="Q10362" s="30" t="s">
        <v>2969</v>
      </c>
      <c r="R10362" s="33" t="s">
        <v>3472</v>
      </c>
      <c r="S10362">
        <v>36</v>
      </c>
      <c r="T10362" s="1" t="s">
        <v>8597</v>
      </c>
      <c r="U10362" s="1" t="str">
        <f>HYPERLINK("http://ictvonline.org/taxonomy/p/taxonomy-history?taxnode_id=202109217","ICTVonline=202109217")</f>
        <v>ICTVonline=202109217</v>
      </c>
    </row>
    <row r="10363" spans="1:21" x14ac:dyDescent="0.2">
      <c r="A10363" s="3">
        <v>10362</v>
      </c>
      <c r="L10363" s="1" t="s">
        <v>3392</v>
      </c>
      <c r="N10363" s="1" t="s">
        <v>3393</v>
      </c>
      <c r="P10363" s="1" t="s">
        <v>8628</v>
      </c>
      <c r="Q10363" s="30" t="s">
        <v>2969</v>
      </c>
      <c r="R10363" s="33" t="s">
        <v>3472</v>
      </c>
      <c r="S10363">
        <v>36</v>
      </c>
      <c r="T10363" s="1" t="s">
        <v>8597</v>
      </c>
      <c r="U10363" s="1" t="str">
        <f>HYPERLINK("http://ictvonline.org/taxonomy/p/taxonomy-history?taxnode_id=202109218","ICTVonline=202109218")</f>
        <v>ICTVonline=202109218</v>
      </c>
    </row>
    <row r="10364" spans="1:21" x14ac:dyDescent="0.2">
      <c r="A10364" s="3">
        <v>10363</v>
      </c>
      <c r="L10364" s="1" t="s">
        <v>3392</v>
      </c>
      <c r="N10364" s="1" t="s">
        <v>3393</v>
      </c>
      <c r="P10364" s="1" t="s">
        <v>3423</v>
      </c>
      <c r="Q10364" s="30" t="s">
        <v>2568</v>
      </c>
      <c r="R10364" s="33" t="s">
        <v>3472</v>
      </c>
      <c r="S10364">
        <v>31</v>
      </c>
      <c r="T10364" s="1" t="s">
        <v>3967</v>
      </c>
      <c r="U10364" s="1" t="str">
        <f>HYPERLINK("http://ictvonline.org/taxonomy/p/taxonomy-history?taxnode_id=202105150","ICTVonline=202105150")</f>
        <v>ICTVonline=202105150</v>
      </c>
    </row>
    <row r="10365" spans="1:21" x14ac:dyDescent="0.2">
      <c r="A10365" s="3">
        <v>10364</v>
      </c>
      <c r="L10365" s="1" t="s">
        <v>3392</v>
      </c>
      <c r="N10365" s="1" t="s">
        <v>3393</v>
      </c>
      <c r="P10365" s="1" t="s">
        <v>3424</v>
      </c>
      <c r="Q10365" s="30" t="s">
        <v>2568</v>
      </c>
      <c r="R10365" s="33" t="s">
        <v>3472</v>
      </c>
      <c r="S10365">
        <v>31</v>
      </c>
      <c r="T10365" s="1" t="s">
        <v>3967</v>
      </c>
      <c r="U10365" s="1" t="str">
        <f>HYPERLINK("http://ictvonline.org/taxonomy/p/taxonomy-history?taxnode_id=202105151","ICTVonline=202105151")</f>
        <v>ICTVonline=202105151</v>
      </c>
    </row>
    <row r="10366" spans="1:21" x14ac:dyDescent="0.2">
      <c r="A10366" s="3">
        <v>10365</v>
      </c>
      <c r="L10366" s="1" t="s">
        <v>3392</v>
      </c>
      <c r="N10366" s="1" t="s">
        <v>3393</v>
      </c>
      <c r="P10366" s="1" t="s">
        <v>8629</v>
      </c>
      <c r="Q10366" s="30" t="s">
        <v>2969</v>
      </c>
      <c r="R10366" s="33" t="s">
        <v>3472</v>
      </c>
      <c r="S10366">
        <v>36</v>
      </c>
      <c r="T10366" s="1" t="s">
        <v>8597</v>
      </c>
      <c r="U10366" s="1" t="str">
        <f>HYPERLINK("http://ictvonline.org/taxonomy/p/taxonomy-history?taxnode_id=202109219","ICTVonline=202109219")</f>
        <v>ICTVonline=202109219</v>
      </c>
    </row>
    <row r="10367" spans="1:21" x14ac:dyDescent="0.2">
      <c r="A10367" s="3">
        <v>10366</v>
      </c>
      <c r="L10367" s="1" t="s">
        <v>3392</v>
      </c>
      <c r="N10367" s="1" t="s">
        <v>3393</v>
      </c>
      <c r="P10367" s="1" t="s">
        <v>8630</v>
      </c>
      <c r="Q10367" s="30" t="s">
        <v>2969</v>
      </c>
      <c r="R10367" s="33" t="s">
        <v>3472</v>
      </c>
      <c r="S10367">
        <v>36</v>
      </c>
      <c r="T10367" s="1" t="s">
        <v>8597</v>
      </c>
      <c r="U10367" s="1" t="str">
        <f>HYPERLINK("http://ictvonline.org/taxonomy/p/taxonomy-history?taxnode_id=202109220","ICTVonline=202109220")</f>
        <v>ICTVonline=202109220</v>
      </c>
    </row>
    <row r="10368" spans="1:21" x14ac:dyDescent="0.2">
      <c r="A10368" s="3">
        <v>10367</v>
      </c>
      <c r="L10368" s="1" t="s">
        <v>3392</v>
      </c>
      <c r="N10368" s="1" t="s">
        <v>3393</v>
      </c>
      <c r="P10368" s="1" t="s">
        <v>8631</v>
      </c>
      <c r="Q10368" s="30" t="s">
        <v>2969</v>
      </c>
      <c r="R10368" s="33" t="s">
        <v>3472</v>
      </c>
      <c r="S10368">
        <v>36</v>
      </c>
      <c r="T10368" s="1" t="s">
        <v>8597</v>
      </c>
      <c r="U10368" s="1" t="str">
        <f>HYPERLINK("http://ictvonline.org/taxonomy/p/taxonomy-history?taxnode_id=202109221","ICTVonline=202109221")</f>
        <v>ICTVonline=202109221</v>
      </c>
    </row>
    <row r="10369" spans="1:21" x14ac:dyDescent="0.2">
      <c r="A10369" s="3">
        <v>10368</v>
      </c>
      <c r="L10369" s="1" t="s">
        <v>3392</v>
      </c>
      <c r="N10369" s="1" t="s">
        <v>3393</v>
      </c>
      <c r="P10369" s="1" t="s">
        <v>8632</v>
      </c>
      <c r="Q10369" s="30" t="s">
        <v>2969</v>
      </c>
      <c r="R10369" s="33" t="s">
        <v>3472</v>
      </c>
      <c r="S10369">
        <v>36</v>
      </c>
      <c r="T10369" s="1" t="s">
        <v>8597</v>
      </c>
      <c r="U10369" s="1" t="str">
        <f>HYPERLINK("http://ictvonline.org/taxonomy/p/taxonomy-history?taxnode_id=202109222","ICTVonline=202109222")</f>
        <v>ICTVonline=202109222</v>
      </c>
    </row>
    <row r="10370" spans="1:21" x14ac:dyDescent="0.2">
      <c r="A10370" s="3">
        <v>10369</v>
      </c>
      <c r="L10370" s="1" t="s">
        <v>3392</v>
      </c>
      <c r="N10370" s="1" t="s">
        <v>3393</v>
      </c>
      <c r="P10370" s="1" t="s">
        <v>8633</v>
      </c>
      <c r="Q10370" s="30" t="s">
        <v>2969</v>
      </c>
      <c r="R10370" s="33" t="s">
        <v>3472</v>
      </c>
      <c r="S10370">
        <v>36</v>
      </c>
      <c r="T10370" s="1" t="s">
        <v>8597</v>
      </c>
      <c r="U10370" s="1" t="str">
        <f>HYPERLINK("http://ictvonline.org/taxonomy/p/taxonomy-history?taxnode_id=202109223","ICTVonline=202109223")</f>
        <v>ICTVonline=202109223</v>
      </c>
    </row>
    <row r="10371" spans="1:21" x14ac:dyDescent="0.2">
      <c r="A10371" s="3">
        <v>10370</v>
      </c>
      <c r="L10371" s="1" t="s">
        <v>3392</v>
      </c>
      <c r="N10371" s="1" t="s">
        <v>3393</v>
      </c>
      <c r="P10371" s="1" t="s">
        <v>8634</v>
      </c>
      <c r="Q10371" s="30" t="s">
        <v>2969</v>
      </c>
      <c r="R10371" s="33" t="s">
        <v>3472</v>
      </c>
      <c r="S10371">
        <v>36</v>
      </c>
      <c r="T10371" s="1" t="s">
        <v>8597</v>
      </c>
      <c r="U10371" s="1" t="str">
        <f>HYPERLINK("http://ictvonline.org/taxonomy/p/taxonomy-history?taxnode_id=202109224","ICTVonline=202109224")</f>
        <v>ICTVonline=202109224</v>
      </c>
    </row>
    <row r="10372" spans="1:21" x14ac:dyDescent="0.2">
      <c r="A10372" s="3">
        <v>10371</v>
      </c>
      <c r="L10372" s="1" t="s">
        <v>3392</v>
      </c>
      <c r="N10372" s="1" t="s">
        <v>3393</v>
      </c>
      <c r="P10372" s="1" t="s">
        <v>3425</v>
      </c>
      <c r="Q10372" s="30" t="s">
        <v>2568</v>
      </c>
      <c r="R10372" s="33" t="s">
        <v>3472</v>
      </c>
      <c r="S10372">
        <v>31</v>
      </c>
      <c r="T10372" s="1" t="s">
        <v>3967</v>
      </c>
      <c r="U10372" s="1" t="str">
        <f>HYPERLINK("http://ictvonline.org/taxonomy/p/taxonomy-history?taxnode_id=202105152","ICTVonline=202105152")</f>
        <v>ICTVonline=202105152</v>
      </c>
    </row>
    <row r="10373" spans="1:21" x14ac:dyDescent="0.2">
      <c r="A10373" s="3">
        <v>10372</v>
      </c>
      <c r="L10373" s="1" t="s">
        <v>3392</v>
      </c>
      <c r="N10373" s="1" t="s">
        <v>3393</v>
      </c>
      <c r="P10373" s="1" t="s">
        <v>8635</v>
      </c>
      <c r="Q10373" s="30" t="s">
        <v>2969</v>
      </c>
      <c r="R10373" s="33" t="s">
        <v>3472</v>
      </c>
      <c r="S10373">
        <v>36</v>
      </c>
      <c r="T10373" s="1" t="s">
        <v>8597</v>
      </c>
      <c r="U10373" s="1" t="str">
        <f>HYPERLINK("http://ictvonline.org/taxonomy/p/taxonomy-history?taxnode_id=202109225","ICTVonline=202109225")</f>
        <v>ICTVonline=202109225</v>
      </c>
    </row>
    <row r="10374" spans="1:21" x14ac:dyDescent="0.2">
      <c r="A10374" s="3">
        <v>10373</v>
      </c>
      <c r="L10374" s="1" t="s">
        <v>3392</v>
      </c>
      <c r="N10374" s="1" t="s">
        <v>3393</v>
      </c>
      <c r="P10374" s="1" t="s">
        <v>8636</v>
      </c>
      <c r="Q10374" s="30" t="s">
        <v>2969</v>
      </c>
      <c r="R10374" s="33" t="s">
        <v>3472</v>
      </c>
      <c r="S10374">
        <v>36</v>
      </c>
      <c r="T10374" s="1" t="s">
        <v>8597</v>
      </c>
      <c r="U10374" s="1" t="str">
        <f>HYPERLINK("http://ictvonline.org/taxonomy/p/taxonomy-history?taxnode_id=202109226","ICTVonline=202109226")</f>
        <v>ICTVonline=202109226</v>
      </c>
    </row>
    <row r="10375" spans="1:21" x14ac:dyDescent="0.2">
      <c r="A10375" s="3">
        <v>10374</v>
      </c>
      <c r="L10375" s="1" t="s">
        <v>3392</v>
      </c>
      <c r="N10375" s="1" t="s">
        <v>3393</v>
      </c>
      <c r="P10375" s="1" t="s">
        <v>3426</v>
      </c>
      <c r="Q10375" s="30" t="s">
        <v>2568</v>
      </c>
      <c r="R10375" s="33" t="s">
        <v>3472</v>
      </c>
      <c r="S10375">
        <v>31</v>
      </c>
      <c r="T10375" s="1" t="s">
        <v>3967</v>
      </c>
      <c r="U10375" s="1" t="str">
        <f>HYPERLINK("http://ictvonline.org/taxonomy/p/taxonomy-history?taxnode_id=202105153","ICTVonline=202105153")</f>
        <v>ICTVonline=202105153</v>
      </c>
    </row>
    <row r="10376" spans="1:21" x14ac:dyDescent="0.2">
      <c r="A10376" s="3">
        <v>10375</v>
      </c>
      <c r="L10376" s="1" t="s">
        <v>3392</v>
      </c>
      <c r="N10376" s="1" t="s">
        <v>3393</v>
      </c>
      <c r="P10376" s="1" t="s">
        <v>8637</v>
      </c>
      <c r="Q10376" s="30" t="s">
        <v>2969</v>
      </c>
      <c r="R10376" s="33" t="s">
        <v>3472</v>
      </c>
      <c r="S10376">
        <v>36</v>
      </c>
      <c r="T10376" s="1" t="s">
        <v>8597</v>
      </c>
      <c r="U10376" s="1" t="str">
        <f>HYPERLINK("http://ictvonline.org/taxonomy/p/taxonomy-history?taxnode_id=202109227","ICTVonline=202109227")</f>
        <v>ICTVonline=202109227</v>
      </c>
    </row>
    <row r="10377" spans="1:21" x14ac:dyDescent="0.2">
      <c r="A10377" s="3">
        <v>10376</v>
      </c>
      <c r="L10377" s="1" t="s">
        <v>3392</v>
      </c>
      <c r="N10377" s="1" t="s">
        <v>3393</v>
      </c>
      <c r="P10377" s="1" t="s">
        <v>3427</v>
      </c>
      <c r="Q10377" s="30" t="s">
        <v>2568</v>
      </c>
      <c r="R10377" s="33" t="s">
        <v>3472</v>
      </c>
      <c r="S10377">
        <v>31</v>
      </c>
      <c r="T10377" s="1" t="s">
        <v>3967</v>
      </c>
      <c r="U10377" s="1" t="str">
        <f>HYPERLINK("http://ictvonline.org/taxonomy/p/taxonomy-history?taxnode_id=202105154","ICTVonline=202105154")</f>
        <v>ICTVonline=202105154</v>
      </c>
    </row>
    <row r="10378" spans="1:21" x14ac:dyDescent="0.2">
      <c r="A10378" s="3">
        <v>10377</v>
      </c>
      <c r="L10378" s="1" t="s">
        <v>3392</v>
      </c>
      <c r="N10378" s="1" t="s">
        <v>3393</v>
      </c>
      <c r="P10378" s="1" t="s">
        <v>3428</v>
      </c>
      <c r="Q10378" s="30" t="s">
        <v>2568</v>
      </c>
      <c r="R10378" s="33" t="s">
        <v>3472</v>
      </c>
      <c r="S10378">
        <v>31</v>
      </c>
      <c r="T10378" s="1" t="s">
        <v>3967</v>
      </c>
      <c r="U10378" s="1" t="str">
        <f>HYPERLINK("http://ictvonline.org/taxonomy/p/taxonomy-history?taxnode_id=202105155","ICTVonline=202105155")</f>
        <v>ICTVonline=202105155</v>
      </c>
    </row>
    <row r="10379" spans="1:21" x14ac:dyDescent="0.2">
      <c r="A10379" s="3">
        <v>10378</v>
      </c>
      <c r="L10379" s="1" t="s">
        <v>3392</v>
      </c>
      <c r="N10379" s="1" t="s">
        <v>3393</v>
      </c>
      <c r="P10379" s="1" t="s">
        <v>3429</v>
      </c>
      <c r="Q10379" s="30" t="s">
        <v>2568</v>
      </c>
      <c r="R10379" s="33" t="s">
        <v>3472</v>
      </c>
      <c r="S10379">
        <v>31</v>
      </c>
      <c r="T10379" s="1" t="s">
        <v>3967</v>
      </c>
      <c r="U10379" s="1" t="str">
        <f>HYPERLINK("http://ictvonline.org/taxonomy/p/taxonomy-history?taxnode_id=202105156","ICTVonline=202105156")</f>
        <v>ICTVonline=202105156</v>
      </c>
    </row>
    <row r="10380" spans="1:21" x14ac:dyDescent="0.2">
      <c r="A10380" s="3">
        <v>10379</v>
      </c>
      <c r="L10380" s="1" t="s">
        <v>3392</v>
      </c>
      <c r="N10380" s="1" t="s">
        <v>3393</v>
      </c>
      <c r="P10380" s="1" t="s">
        <v>8638</v>
      </c>
      <c r="Q10380" s="30" t="s">
        <v>2969</v>
      </c>
      <c r="R10380" s="33" t="s">
        <v>3472</v>
      </c>
      <c r="S10380">
        <v>36</v>
      </c>
      <c r="T10380" s="1" t="s">
        <v>8597</v>
      </c>
      <c r="U10380" s="1" t="str">
        <f>HYPERLINK("http://ictvonline.org/taxonomy/p/taxonomy-history?taxnode_id=202109228","ICTVonline=202109228")</f>
        <v>ICTVonline=202109228</v>
      </c>
    </row>
    <row r="10381" spans="1:21" x14ac:dyDescent="0.2">
      <c r="A10381" s="3">
        <v>10380</v>
      </c>
      <c r="L10381" s="1" t="s">
        <v>3392</v>
      </c>
      <c r="N10381" s="1" t="s">
        <v>3393</v>
      </c>
      <c r="P10381" s="1" t="s">
        <v>8639</v>
      </c>
      <c r="Q10381" s="30" t="s">
        <v>2969</v>
      </c>
      <c r="R10381" s="33" t="s">
        <v>3472</v>
      </c>
      <c r="S10381">
        <v>36</v>
      </c>
      <c r="T10381" s="1" t="s">
        <v>8597</v>
      </c>
      <c r="U10381" s="1" t="str">
        <f>HYPERLINK("http://ictvonline.org/taxonomy/p/taxonomy-history?taxnode_id=202109229","ICTVonline=202109229")</f>
        <v>ICTVonline=202109229</v>
      </c>
    </row>
    <row r="10382" spans="1:21" x14ac:dyDescent="0.2">
      <c r="A10382" s="3">
        <v>10381</v>
      </c>
      <c r="L10382" s="1" t="s">
        <v>3392</v>
      </c>
      <c r="N10382" s="1" t="s">
        <v>3393</v>
      </c>
      <c r="P10382" s="1" t="s">
        <v>3430</v>
      </c>
      <c r="Q10382" s="30" t="s">
        <v>2568</v>
      </c>
      <c r="R10382" s="33" t="s">
        <v>3472</v>
      </c>
      <c r="S10382">
        <v>31</v>
      </c>
      <c r="T10382" s="1" t="s">
        <v>3967</v>
      </c>
      <c r="U10382" s="1" t="str">
        <f>HYPERLINK("http://ictvonline.org/taxonomy/p/taxonomy-history?taxnode_id=202105157","ICTVonline=202105157")</f>
        <v>ICTVonline=202105157</v>
      </c>
    </row>
    <row r="10383" spans="1:21" x14ac:dyDescent="0.2">
      <c r="A10383" s="3">
        <v>10382</v>
      </c>
      <c r="L10383" s="1" t="s">
        <v>3392</v>
      </c>
      <c r="N10383" s="1" t="s">
        <v>3393</v>
      </c>
      <c r="P10383" s="1" t="s">
        <v>8640</v>
      </c>
      <c r="Q10383" s="30" t="s">
        <v>2969</v>
      </c>
      <c r="R10383" s="33" t="s">
        <v>3472</v>
      </c>
      <c r="S10383">
        <v>36</v>
      </c>
      <c r="T10383" s="1" t="s">
        <v>8597</v>
      </c>
      <c r="U10383" s="1" t="str">
        <f>HYPERLINK("http://ictvonline.org/taxonomy/p/taxonomy-history?taxnode_id=202109230","ICTVonline=202109230")</f>
        <v>ICTVonline=202109230</v>
      </c>
    </row>
    <row r="10384" spans="1:21" x14ac:dyDescent="0.2">
      <c r="A10384" s="3">
        <v>10383</v>
      </c>
      <c r="L10384" s="1" t="s">
        <v>3392</v>
      </c>
      <c r="N10384" s="1" t="s">
        <v>3393</v>
      </c>
      <c r="P10384" s="1" t="s">
        <v>3431</v>
      </c>
      <c r="Q10384" s="30" t="s">
        <v>2568</v>
      </c>
      <c r="R10384" s="33" t="s">
        <v>3472</v>
      </c>
      <c r="S10384">
        <v>31</v>
      </c>
      <c r="T10384" s="1" t="s">
        <v>3967</v>
      </c>
      <c r="U10384" s="1" t="str">
        <f>HYPERLINK("http://ictvonline.org/taxonomy/p/taxonomy-history?taxnode_id=202105158","ICTVonline=202105158")</f>
        <v>ICTVonline=202105158</v>
      </c>
    </row>
    <row r="10385" spans="1:21" x14ac:dyDescent="0.2">
      <c r="A10385" s="3">
        <v>10384</v>
      </c>
      <c r="L10385" s="1" t="s">
        <v>3392</v>
      </c>
      <c r="N10385" s="1" t="s">
        <v>3393</v>
      </c>
      <c r="P10385" s="1" t="s">
        <v>3432</v>
      </c>
      <c r="Q10385" s="30" t="s">
        <v>2568</v>
      </c>
      <c r="R10385" s="33" t="s">
        <v>3472</v>
      </c>
      <c r="S10385">
        <v>31</v>
      </c>
      <c r="T10385" s="1" t="s">
        <v>3967</v>
      </c>
      <c r="U10385" s="1" t="str">
        <f>HYPERLINK("http://ictvonline.org/taxonomy/p/taxonomy-history?taxnode_id=202105159","ICTVonline=202105159")</f>
        <v>ICTVonline=202105159</v>
      </c>
    </row>
    <row r="10386" spans="1:21" x14ac:dyDescent="0.2">
      <c r="A10386" s="3">
        <v>10385</v>
      </c>
      <c r="L10386" s="1" t="s">
        <v>3392</v>
      </c>
      <c r="N10386" s="1" t="s">
        <v>3393</v>
      </c>
      <c r="P10386" s="1" t="s">
        <v>8641</v>
      </c>
      <c r="Q10386" s="30" t="s">
        <v>2969</v>
      </c>
      <c r="R10386" s="33" t="s">
        <v>3472</v>
      </c>
      <c r="S10386">
        <v>36</v>
      </c>
      <c r="T10386" s="1" t="s">
        <v>8597</v>
      </c>
      <c r="U10386" s="1" t="str">
        <f>HYPERLINK("http://ictvonline.org/taxonomy/p/taxonomy-history?taxnode_id=202109231","ICTVonline=202109231")</f>
        <v>ICTVonline=202109231</v>
      </c>
    </row>
    <row r="10387" spans="1:21" x14ac:dyDescent="0.2">
      <c r="A10387" s="3">
        <v>10386</v>
      </c>
      <c r="L10387" s="1" t="s">
        <v>3392</v>
      </c>
      <c r="N10387" s="1" t="s">
        <v>3393</v>
      </c>
      <c r="P10387" s="1" t="s">
        <v>8642</v>
      </c>
      <c r="Q10387" s="30" t="s">
        <v>2969</v>
      </c>
      <c r="R10387" s="33" t="s">
        <v>3472</v>
      </c>
      <c r="S10387">
        <v>36</v>
      </c>
      <c r="T10387" s="1" t="s">
        <v>8597</v>
      </c>
      <c r="U10387" s="1" t="str">
        <f>HYPERLINK("http://ictvonline.org/taxonomy/p/taxonomy-history?taxnode_id=202109232","ICTVonline=202109232")</f>
        <v>ICTVonline=202109232</v>
      </c>
    </row>
    <row r="10388" spans="1:21" x14ac:dyDescent="0.2">
      <c r="A10388" s="3">
        <v>10387</v>
      </c>
      <c r="L10388" s="1" t="s">
        <v>3392</v>
      </c>
      <c r="N10388" s="1" t="s">
        <v>3393</v>
      </c>
      <c r="P10388" s="1" t="s">
        <v>3433</v>
      </c>
      <c r="Q10388" s="30" t="s">
        <v>2568</v>
      </c>
      <c r="R10388" s="33" t="s">
        <v>3472</v>
      </c>
      <c r="S10388">
        <v>31</v>
      </c>
      <c r="T10388" s="1" t="s">
        <v>3967</v>
      </c>
      <c r="U10388" s="1" t="str">
        <f>HYPERLINK("http://ictvonline.org/taxonomy/p/taxonomy-history?taxnode_id=202105160","ICTVonline=202105160")</f>
        <v>ICTVonline=202105160</v>
      </c>
    </row>
    <row r="10389" spans="1:21" x14ac:dyDescent="0.2">
      <c r="A10389" s="3">
        <v>10388</v>
      </c>
      <c r="L10389" s="1" t="s">
        <v>3392</v>
      </c>
      <c r="N10389" s="1" t="s">
        <v>3393</v>
      </c>
      <c r="P10389" s="1" t="s">
        <v>3434</v>
      </c>
      <c r="Q10389" s="30" t="s">
        <v>2568</v>
      </c>
      <c r="R10389" s="33" t="s">
        <v>3472</v>
      </c>
      <c r="S10389">
        <v>31</v>
      </c>
      <c r="T10389" s="1" t="s">
        <v>3967</v>
      </c>
      <c r="U10389" s="1" t="str">
        <f>HYPERLINK("http://ictvonline.org/taxonomy/p/taxonomy-history?taxnode_id=202105161","ICTVonline=202105161")</f>
        <v>ICTVonline=202105161</v>
      </c>
    </row>
    <row r="10390" spans="1:21" x14ac:dyDescent="0.2">
      <c r="A10390" s="3">
        <v>10389</v>
      </c>
      <c r="L10390" s="1" t="s">
        <v>3392</v>
      </c>
      <c r="N10390" s="1" t="s">
        <v>3393</v>
      </c>
      <c r="P10390" s="1" t="s">
        <v>8643</v>
      </c>
      <c r="Q10390" s="30" t="s">
        <v>2969</v>
      </c>
      <c r="R10390" s="33" t="s">
        <v>3472</v>
      </c>
      <c r="S10390">
        <v>36</v>
      </c>
      <c r="T10390" s="1" t="s">
        <v>8597</v>
      </c>
      <c r="U10390" s="1" t="str">
        <f>HYPERLINK("http://ictvonline.org/taxonomy/p/taxonomy-history?taxnode_id=202109233","ICTVonline=202109233")</f>
        <v>ICTVonline=202109233</v>
      </c>
    </row>
    <row r="10391" spans="1:21" x14ac:dyDescent="0.2">
      <c r="A10391" s="3">
        <v>10390</v>
      </c>
      <c r="L10391" s="1" t="s">
        <v>3392</v>
      </c>
      <c r="N10391" s="1" t="s">
        <v>3393</v>
      </c>
      <c r="P10391" s="1" t="s">
        <v>8644</v>
      </c>
      <c r="Q10391" s="30" t="s">
        <v>2969</v>
      </c>
      <c r="R10391" s="33" t="s">
        <v>3472</v>
      </c>
      <c r="S10391">
        <v>36</v>
      </c>
      <c r="T10391" s="1" t="s">
        <v>8597</v>
      </c>
      <c r="U10391" s="1" t="str">
        <f>HYPERLINK("http://ictvonline.org/taxonomy/p/taxonomy-history?taxnode_id=202109234","ICTVonline=202109234")</f>
        <v>ICTVonline=202109234</v>
      </c>
    </row>
    <row r="10392" spans="1:21" x14ac:dyDescent="0.2">
      <c r="A10392" s="3">
        <v>10391</v>
      </c>
      <c r="L10392" s="1" t="s">
        <v>3392</v>
      </c>
      <c r="N10392" s="1" t="s">
        <v>3393</v>
      </c>
      <c r="P10392" s="1" t="s">
        <v>8645</v>
      </c>
      <c r="Q10392" s="30" t="s">
        <v>2969</v>
      </c>
      <c r="R10392" s="33" t="s">
        <v>3472</v>
      </c>
      <c r="S10392">
        <v>36</v>
      </c>
      <c r="T10392" s="1" t="s">
        <v>8597</v>
      </c>
      <c r="U10392" s="1" t="str">
        <f>HYPERLINK("http://ictvonline.org/taxonomy/p/taxonomy-history?taxnode_id=202109235","ICTVonline=202109235")</f>
        <v>ICTVonline=202109235</v>
      </c>
    </row>
    <row r="10393" spans="1:21" x14ac:dyDescent="0.2">
      <c r="A10393" s="3">
        <v>10392</v>
      </c>
      <c r="L10393" s="1" t="s">
        <v>3392</v>
      </c>
      <c r="N10393" s="1" t="s">
        <v>3393</v>
      </c>
      <c r="P10393" s="1" t="s">
        <v>8646</v>
      </c>
      <c r="Q10393" s="30" t="s">
        <v>2969</v>
      </c>
      <c r="R10393" s="33" t="s">
        <v>3472</v>
      </c>
      <c r="S10393">
        <v>36</v>
      </c>
      <c r="T10393" s="1" t="s">
        <v>8597</v>
      </c>
      <c r="U10393" s="1" t="str">
        <f>HYPERLINK("http://ictvonline.org/taxonomy/p/taxonomy-history?taxnode_id=202109236","ICTVonline=202109236")</f>
        <v>ICTVonline=202109236</v>
      </c>
    </row>
    <row r="10394" spans="1:21" x14ac:dyDescent="0.2">
      <c r="A10394" s="3">
        <v>10393</v>
      </c>
      <c r="L10394" s="1" t="s">
        <v>3392</v>
      </c>
      <c r="N10394" s="1" t="s">
        <v>3393</v>
      </c>
      <c r="P10394" s="1" t="s">
        <v>3968</v>
      </c>
      <c r="Q10394" s="30" t="s">
        <v>2568</v>
      </c>
      <c r="R10394" s="33" t="s">
        <v>3475</v>
      </c>
      <c r="S10394">
        <v>32</v>
      </c>
      <c r="T10394" s="1" t="s">
        <v>4835</v>
      </c>
      <c r="U10394" s="1" t="str">
        <f>HYPERLINK("http://ictvonline.org/taxonomy/p/taxonomy-history?taxnode_id=202105162","ICTVonline=202105162")</f>
        <v>ICTVonline=202105162</v>
      </c>
    </row>
    <row r="10395" spans="1:21" x14ac:dyDescent="0.2">
      <c r="A10395" s="3">
        <v>10394</v>
      </c>
      <c r="L10395" s="1" t="s">
        <v>3392</v>
      </c>
      <c r="N10395" s="1" t="s">
        <v>3393</v>
      </c>
      <c r="P10395" s="1" t="s">
        <v>3435</v>
      </c>
      <c r="Q10395" s="30" t="s">
        <v>2568</v>
      </c>
      <c r="R10395" s="33" t="s">
        <v>3472</v>
      </c>
      <c r="S10395">
        <v>31</v>
      </c>
      <c r="T10395" s="1" t="s">
        <v>3967</v>
      </c>
      <c r="U10395" s="1" t="str">
        <f>HYPERLINK("http://ictvonline.org/taxonomy/p/taxonomy-history?taxnode_id=202105163","ICTVonline=202105163")</f>
        <v>ICTVonline=202105163</v>
      </c>
    </row>
    <row r="10396" spans="1:21" x14ac:dyDescent="0.2">
      <c r="A10396" s="3">
        <v>10395</v>
      </c>
      <c r="L10396" s="1" t="s">
        <v>3392</v>
      </c>
      <c r="N10396" s="1" t="s">
        <v>3393</v>
      </c>
      <c r="P10396" s="1" t="s">
        <v>8647</v>
      </c>
      <c r="Q10396" s="30" t="s">
        <v>2969</v>
      </c>
      <c r="R10396" s="33" t="s">
        <v>3472</v>
      </c>
      <c r="S10396">
        <v>36</v>
      </c>
      <c r="T10396" s="1" t="s">
        <v>8597</v>
      </c>
      <c r="U10396" s="1" t="str">
        <f>HYPERLINK("http://ictvonline.org/taxonomy/p/taxonomy-history?taxnode_id=202109237","ICTVonline=202109237")</f>
        <v>ICTVonline=202109237</v>
      </c>
    </row>
    <row r="10397" spans="1:21" x14ac:dyDescent="0.2">
      <c r="A10397" s="3">
        <v>10396</v>
      </c>
      <c r="L10397" s="1" t="s">
        <v>3392</v>
      </c>
      <c r="N10397" s="1" t="s">
        <v>3393</v>
      </c>
      <c r="P10397" s="1" t="s">
        <v>8648</v>
      </c>
      <c r="Q10397" s="30" t="s">
        <v>2969</v>
      </c>
      <c r="R10397" s="33" t="s">
        <v>3472</v>
      </c>
      <c r="S10397">
        <v>36</v>
      </c>
      <c r="T10397" s="1" t="s">
        <v>8597</v>
      </c>
      <c r="U10397" s="1" t="str">
        <f>HYPERLINK("http://ictvonline.org/taxonomy/p/taxonomy-history?taxnode_id=202109238","ICTVonline=202109238")</f>
        <v>ICTVonline=202109238</v>
      </c>
    </row>
    <row r="10398" spans="1:21" x14ac:dyDescent="0.2">
      <c r="A10398" s="3">
        <v>10397</v>
      </c>
      <c r="L10398" s="1" t="s">
        <v>3392</v>
      </c>
      <c r="N10398" s="1" t="s">
        <v>3393</v>
      </c>
      <c r="P10398" s="1" t="s">
        <v>3436</v>
      </c>
      <c r="Q10398" s="30" t="s">
        <v>2568</v>
      </c>
      <c r="R10398" s="33" t="s">
        <v>3472</v>
      </c>
      <c r="S10398">
        <v>31</v>
      </c>
      <c r="T10398" s="1" t="s">
        <v>3967</v>
      </c>
      <c r="U10398" s="1" t="str">
        <f>HYPERLINK("http://ictvonline.org/taxonomy/p/taxonomy-history?taxnode_id=202105164","ICTVonline=202105164")</f>
        <v>ICTVonline=202105164</v>
      </c>
    </row>
    <row r="10399" spans="1:21" x14ac:dyDescent="0.2">
      <c r="A10399" s="3">
        <v>10398</v>
      </c>
      <c r="L10399" s="1" t="s">
        <v>3392</v>
      </c>
      <c r="N10399" s="1" t="s">
        <v>3393</v>
      </c>
      <c r="P10399" s="1" t="s">
        <v>3437</v>
      </c>
      <c r="Q10399" s="30" t="s">
        <v>2568</v>
      </c>
      <c r="R10399" s="33" t="s">
        <v>3472</v>
      </c>
      <c r="S10399">
        <v>31</v>
      </c>
      <c r="T10399" s="1" t="s">
        <v>3967</v>
      </c>
      <c r="U10399" s="1" t="str">
        <f>HYPERLINK("http://ictvonline.org/taxonomy/p/taxonomy-history?taxnode_id=202105165","ICTVonline=202105165")</f>
        <v>ICTVonline=202105165</v>
      </c>
    </row>
    <row r="10400" spans="1:21" x14ac:dyDescent="0.2">
      <c r="A10400" s="3">
        <v>10399</v>
      </c>
      <c r="L10400" s="1" t="s">
        <v>3392</v>
      </c>
      <c r="N10400" s="1" t="s">
        <v>3393</v>
      </c>
      <c r="P10400" s="1" t="s">
        <v>8649</v>
      </c>
      <c r="Q10400" s="30" t="s">
        <v>2969</v>
      </c>
      <c r="R10400" s="33" t="s">
        <v>3472</v>
      </c>
      <c r="S10400">
        <v>36</v>
      </c>
      <c r="T10400" s="1" t="s">
        <v>8597</v>
      </c>
      <c r="U10400" s="1" t="str">
        <f>HYPERLINK("http://ictvonline.org/taxonomy/p/taxonomy-history?taxnode_id=202109239","ICTVonline=202109239")</f>
        <v>ICTVonline=202109239</v>
      </c>
    </row>
    <row r="10401" spans="1:21" x14ac:dyDescent="0.2">
      <c r="A10401" s="3">
        <v>10400</v>
      </c>
      <c r="L10401" s="1" t="s">
        <v>3392</v>
      </c>
      <c r="N10401" s="1" t="s">
        <v>3393</v>
      </c>
      <c r="P10401" s="1" t="s">
        <v>3438</v>
      </c>
      <c r="Q10401" s="30" t="s">
        <v>2568</v>
      </c>
      <c r="R10401" s="33" t="s">
        <v>3472</v>
      </c>
      <c r="S10401">
        <v>31</v>
      </c>
      <c r="T10401" s="1" t="s">
        <v>3967</v>
      </c>
      <c r="U10401" s="1" t="str">
        <f>HYPERLINK("http://ictvonline.org/taxonomy/p/taxonomy-history?taxnode_id=202105166","ICTVonline=202105166")</f>
        <v>ICTVonline=202105166</v>
      </c>
    </row>
    <row r="10402" spans="1:21" x14ac:dyDescent="0.2">
      <c r="A10402" s="3">
        <v>10401</v>
      </c>
      <c r="L10402" s="1" t="s">
        <v>3392</v>
      </c>
      <c r="N10402" s="1" t="s">
        <v>3393</v>
      </c>
      <c r="P10402" s="1" t="s">
        <v>3439</v>
      </c>
      <c r="Q10402" s="30" t="s">
        <v>2568</v>
      </c>
      <c r="R10402" s="33" t="s">
        <v>3472</v>
      </c>
      <c r="S10402">
        <v>31</v>
      </c>
      <c r="T10402" s="1" t="s">
        <v>3967</v>
      </c>
      <c r="U10402" s="1" t="str">
        <f>HYPERLINK("http://ictvonline.org/taxonomy/p/taxonomy-history?taxnode_id=202105167","ICTVonline=202105167")</f>
        <v>ICTVonline=202105167</v>
      </c>
    </row>
    <row r="10403" spans="1:21" x14ac:dyDescent="0.2">
      <c r="A10403" s="3">
        <v>10402</v>
      </c>
      <c r="L10403" s="1" t="s">
        <v>3392</v>
      </c>
      <c r="N10403" s="1" t="s">
        <v>3393</v>
      </c>
      <c r="P10403" s="1" t="s">
        <v>8650</v>
      </c>
      <c r="Q10403" s="30" t="s">
        <v>2969</v>
      </c>
      <c r="R10403" s="33" t="s">
        <v>3472</v>
      </c>
      <c r="S10403">
        <v>36</v>
      </c>
      <c r="T10403" s="1" t="s">
        <v>8597</v>
      </c>
      <c r="U10403" s="1" t="str">
        <f>HYPERLINK("http://ictvonline.org/taxonomy/p/taxonomy-history?taxnode_id=202109240","ICTVonline=202109240")</f>
        <v>ICTVonline=202109240</v>
      </c>
    </row>
    <row r="10404" spans="1:21" x14ac:dyDescent="0.2">
      <c r="A10404" s="3">
        <v>10403</v>
      </c>
      <c r="L10404" s="1" t="s">
        <v>3392</v>
      </c>
      <c r="N10404" s="1" t="s">
        <v>3393</v>
      </c>
      <c r="P10404" s="1" t="s">
        <v>8651</v>
      </c>
      <c r="Q10404" s="30" t="s">
        <v>2969</v>
      </c>
      <c r="R10404" s="33" t="s">
        <v>3472</v>
      </c>
      <c r="S10404">
        <v>36</v>
      </c>
      <c r="T10404" s="1" t="s">
        <v>8597</v>
      </c>
      <c r="U10404" s="1" t="str">
        <f>HYPERLINK("http://ictvonline.org/taxonomy/p/taxonomy-history?taxnode_id=202109241","ICTVonline=202109241")</f>
        <v>ICTVonline=202109241</v>
      </c>
    </row>
    <row r="10405" spans="1:21" x14ac:dyDescent="0.2">
      <c r="A10405" s="3">
        <v>10404</v>
      </c>
      <c r="L10405" s="1" t="s">
        <v>3392</v>
      </c>
      <c r="N10405" s="1" t="s">
        <v>3393</v>
      </c>
      <c r="P10405" s="1" t="s">
        <v>3440</v>
      </c>
      <c r="Q10405" s="30" t="s">
        <v>2568</v>
      </c>
      <c r="R10405" s="33" t="s">
        <v>3472</v>
      </c>
      <c r="S10405">
        <v>31</v>
      </c>
      <c r="T10405" s="1" t="s">
        <v>3967</v>
      </c>
      <c r="U10405" s="1" t="str">
        <f>HYPERLINK("http://ictvonline.org/taxonomy/p/taxonomy-history?taxnode_id=202105168","ICTVonline=202105168")</f>
        <v>ICTVonline=202105168</v>
      </c>
    </row>
    <row r="10406" spans="1:21" x14ac:dyDescent="0.2">
      <c r="A10406" s="3">
        <v>10405</v>
      </c>
      <c r="L10406" s="1" t="s">
        <v>3392</v>
      </c>
      <c r="N10406" s="1" t="s">
        <v>3393</v>
      </c>
      <c r="P10406" s="1" t="s">
        <v>3441</v>
      </c>
      <c r="Q10406" s="30" t="s">
        <v>2568</v>
      </c>
      <c r="R10406" s="33" t="s">
        <v>3472</v>
      </c>
      <c r="S10406">
        <v>31</v>
      </c>
      <c r="T10406" s="1" t="s">
        <v>3967</v>
      </c>
      <c r="U10406" s="1" t="str">
        <f>HYPERLINK("http://ictvonline.org/taxonomy/p/taxonomy-history?taxnode_id=202105169","ICTVonline=202105169")</f>
        <v>ICTVonline=202105169</v>
      </c>
    </row>
    <row r="10407" spans="1:21" x14ac:dyDescent="0.2">
      <c r="A10407" s="3">
        <v>10406</v>
      </c>
      <c r="L10407" s="1" t="s">
        <v>3392</v>
      </c>
      <c r="N10407" s="1" t="s">
        <v>3393</v>
      </c>
      <c r="P10407" s="1" t="s">
        <v>8652</v>
      </c>
      <c r="Q10407" s="30" t="s">
        <v>2969</v>
      </c>
      <c r="R10407" s="33" t="s">
        <v>3472</v>
      </c>
      <c r="S10407">
        <v>36</v>
      </c>
      <c r="T10407" s="1" t="s">
        <v>8597</v>
      </c>
      <c r="U10407" s="1" t="str">
        <f>HYPERLINK("http://ictvonline.org/taxonomy/p/taxonomy-history?taxnode_id=202109242","ICTVonline=202109242")</f>
        <v>ICTVonline=202109242</v>
      </c>
    </row>
    <row r="10408" spans="1:21" x14ac:dyDescent="0.2">
      <c r="A10408" s="3">
        <v>10407</v>
      </c>
      <c r="L10408" s="1" t="s">
        <v>3392</v>
      </c>
      <c r="N10408" s="1" t="s">
        <v>3393</v>
      </c>
      <c r="P10408" s="1" t="s">
        <v>8653</v>
      </c>
      <c r="Q10408" s="30" t="s">
        <v>2969</v>
      </c>
      <c r="R10408" s="33" t="s">
        <v>3472</v>
      </c>
      <c r="S10408">
        <v>36</v>
      </c>
      <c r="T10408" s="1" t="s">
        <v>8597</v>
      </c>
      <c r="U10408" s="1" t="str">
        <f>HYPERLINK("http://ictvonline.org/taxonomy/p/taxonomy-history?taxnode_id=202109243","ICTVonline=202109243")</f>
        <v>ICTVonline=202109243</v>
      </c>
    </row>
    <row r="10409" spans="1:21" x14ac:dyDescent="0.2">
      <c r="A10409" s="3">
        <v>10408</v>
      </c>
      <c r="L10409" s="1" t="s">
        <v>3392</v>
      </c>
      <c r="N10409" s="1" t="s">
        <v>3393</v>
      </c>
      <c r="P10409" s="1" t="s">
        <v>3442</v>
      </c>
      <c r="Q10409" s="30" t="s">
        <v>2568</v>
      </c>
      <c r="R10409" s="33" t="s">
        <v>3472</v>
      </c>
      <c r="S10409">
        <v>31</v>
      </c>
      <c r="T10409" s="1" t="s">
        <v>3967</v>
      </c>
      <c r="U10409" s="1" t="str">
        <f>HYPERLINK("http://ictvonline.org/taxonomy/p/taxonomy-history?taxnode_id=202105170","ICTVonline=202105170")</f>
        <v>ICTVonline=202105170</v>
      </c>
    </row>
    <row r="10410" spans="1:21" x14ac:dyDescent="0.2">
      <c r="A10410" s="3">
        <v>10409</v>
      </c>
      <c r="L10410" s="1" t="s">
        <v>3392</v>
      </c>
      <c r="N10410" s="1" t="s">
        <v>3393</v>
      </c>
      <c r="P10410" s="1" t="s">
        <v>8654</v>
      </c>
      <c r="Q10410" s="30" t="s">
        <v>2969</v>
      </c>
      <c r="R10410" s="33" t="s">
        <v>3472</v>
      </c>
      <c r="S10410">
        <v>36</v>
      </c>
      <c r="T10410" s="1" t="s">
        <v>8597</v>
      </c>
      <c r="U10410" s="1" t="str">
        <f>HYPERLINK("http://ictvonline.org/taxonomy/p/taxonomy-history?taxnode_id=202109244","ICTVonline=202109244")</f>
        <v>ICTVonline=202109244</v>
      </c>
    </row>
    <row r="10411" spans="1:21" x14ac:dyDescent="0.2">
      <c r="A10411" s="3">
        <v>10410</v>
      </c>
      <c r="L10411" s="1" t="s">
        <v>3392</v>
      </c>
      <c r="N10411" s="1" t="s">
        <v>3393</v>
      </c>
      <c r="P10411" s="1" t="s">
        <v>3443</v>
      </c>
      <c r="Q10411" s="30" t="s">
        <v>2568</v>
      </c>
      <c r="R10411" s="33" t="s">
        <v>3472</v>
      </c>
      <c r="S10411">
        <v>31</v>
      </c>
      <c r="T10411" s="1" t="s">
        <v>3967</v>
      </c>
      <c r="U10411" s="1" t="str">
        <f>HYPERLINK("http://ictvonline.org/taxonomy/p/taxonomy-history?taxnode_id=202105171","ICTVonline=202105171")</f>
        <v>ICTVonline=202105171</v>
      </c>
    </row>
    <row r="10412" spans="1:21" x14ac:dyDescent="0.2">
      <c r="A10412" s="3">
        <v>10411</v>
      </c>
      <c r="L10412" s="1" t="s">
        <v>3392</v>
      </c>
      <c r="N10412" s="1" t="s">
        <v>3393</v>
      </c>
      <c r="P10412" s="1" t="s">
        <v>8655</v>
      </c>
      <c r="Q10412" s="30" t="s">
        <v>2969</v>
      </c>
      <c r="R10412" s="33" t="s">
        <v>3472</v>
      </c>
      <c r="S10412">
        <v>36</v>
      </c>
      <c r="T10412" s="1" t="s">
        <v>8597</v>
      </c>
      <c r="U10412" s="1" t="str">
        <f>HYPERLINK("http://ictvonline.org/taxonomy/p/taxonomy-history?taxnode_id=202109245","ICTVonline=202109245")</f>
        <v>ICTVonline=202109245</v>
      </c>
    </row>
    <row r="10413" spans="1:21" x14ac:dyDescent="0.2">
      <c r="A10413" s="3">
        <v>10412</v>
      </c>
      <c r="L10413" s="1" t="s">
        <v>3392</v>
      </c>
      <c r="N10413" s="1" t="s">
        <v>3393</v>
      </c>
      <c r="P10413" s="1" t="s">
        <v>3444</v>
      </c>
      <c r="Q10413" s="30" t="s">
        <v>2568</v>
      </c>
      <c r="R10413" s="33" t="s">
        <v>3472</v>
      </c>
      <c r="S10413">
        <v>31</v>
      </c>
      <c r="T10413" s="1" t="s">
        <v>3967</v>
      </c>
      <c r="U10413" s="1" t="str">
        <f>HYPERLINK("http://ictvonline.org/taxonomy/p/taxonomy-history?taxnode_id=202105172","ICTVonline=202105172")</f>
        <v>ICTVonline=202105172</v>
      </c>
    </row>
    <row r="10414" spans="1:21" x14ac:dyDescent="0.2">
      <c r="A10414" s="3">
        <v>10413</v>
      </c>
      <c r="L10414" s="1" t="s">
        <v>3392</v>
      </c>
      <c r="N10414" s="1" t="s">
        <v>3393</v>
      </c>
      <c r="P10414" s="1" t="s">
        <v>3445</v>
      </c>
      <c r="Q10414" s="30" t="s">
        <v>2568</v>
      </c>
      <c r="R10414" s="33" t="s">
        <v>3472</v>
      </c>
      <c r="S10414">
        <v>31</v>
      </c>
      <c r="T10414" s="1" t="s">
        <v>3967</v>
      </c>
      <c r="U10414" s="1" t="str">
        <f>HYPERLINK("http://ictvonline.org/taxonomy/p/taxonomy-history?taxnode_id=202105174","ICTVonline=202105174")</f>
        <v>ICTVonline=202105174</v>
      </c>
    </row>
    <row r="10415" spans="1:21" x14ac:dyDescent="0.2">
      <c r="A10415" s="3">
        <v>10414</v>
      </c>
      <c r="L10415" s="1" t="s">
        <v>3392</v>
      </c>
      <c r="N10415" s="1" t="s">
        <v>3393</v>
      </c>
      <c r="P10415" s="1" t="s">
        <v>3446</v>
      </c>
      <c r="Q10415" s="30" t="s">
        <v>2568</v>
      </c>
      <c r="R10415" s="33" t="s">
        <v>3472</v>
      </c>
      <c r="S10415">
        <v>31</v>
      </c>
      <c r="T10415" s="1" t="s">
        <v>3967</v>
      </c>
      <c r="U10415" s="1" t="str">
        <f>HYPERLINK("http://ictvonline.org/taxonomy/p/taxonomy-history?taxnode_id=202105175","ICTVonline=202105175")</f>
        <v>ICTVonline=202105175</v>
      </c>
    </row>
    <row r="10416" spans="1:21" x14ac:dyDescent="0.2">
      <c r="A10416" s="3">
        <v>10415</v>
      </c>
      <c r="L10416" s="1" t="s">
        <v>3392</v>
      </c>
      <c r="N10416" s="1" t="s">
        <v>3393</v>
      </c>
      <c r="P10416" s="1" t="s">
        <v>3447</v>
      </c>
      <c r="Q10416" s="30" t="s">
        <v>2568</v>
      </c>
      <c r="R10416" s="33" t="s">
        <v>3472</v>
      </c>
      <c r="S10416">
        <v>31</v>
      </c>
      <c r="T10416" s="1" t="s">
        <v>3967</v>
      </c>
      <c r="U10416" s="1" t="str">
        <f>HYPERLINK("http://ictvonline.org/taxonomy/p/taxonomy-history?taxnode_id=202105176","ICTVonline=202105176")</f>
        <v>ICTVonline=202105176</v>
      </c>
    </row>
    <row r="10417" spans="1:21" x14ac:dyDescent="0.2">
      <c r="A10417" s="3">
        <v>10416</v>
      </c>
      <c r="L10417" s="1" t="s">
        <v>3392</v>
      </c>
      <c r="N10417" s="1" t="s">
        <v>3393</v>
      </c>
      <c r="P10417" s="1" t="s">
        <v>3448</v>
      </c>
      <c r="Q10417" s="30" t="s">
        <v>2568</v>
      </c>
      <c r="R10417" s="33" t="s">
        <v>3472</v>
      </c>
      <c r="S10417">
        <v>31</v>
      </c>
      <c r="T10417" s="1" t="s">
        <v>3967</v>
      </c>
      <c r="U10417" s="1" t="str">
        <f>HYPERLINK("http://ictvonline.org/taxonomy/p/taxonomy-history?taxnode_id=202105177","ICTVonline=202105177")</f>
        <v>ICTVonline=202105177</v>
      </c>
    </row>
    <row r="10418" spans="1:21" x14ac:dyDescent="0.2">
      <c r="A10418" s="3">
        <v>10417</v>
      </c>
      <c r="L10418" s="1" t="s">
        <v>3392</v>
      </c>
      <c r="N10418" s="1" t="s">
        <v>3393</v>
      </c>
      <c r="P10418" s="1" t="s">
        <v>8656</v>
      </c>
      <c r="Q10418" s="30" t="s">
        <v>2969</v>
      </c>
      <c r="R10418" s="33" t="s">
        <v>3472</v>
      </c>
      <c r="S10418">
        <v>36</v>
      </c>
      <c r="T10418" s="1" t="s">
        <v>8597</v>
      </c>
      <c r="U10418" s="1" t="str">
        <f>HYPERLINK("http://ictvonline.org/taxonomy/p/taxonomy-history?taxnode_id=202109246","ICTVonline=202109246")</f>
        <v>ICTVonline=202109246</v>
      </c>
    </row>
    <row r="10419" spans="1:21" x14ac:dyDescent="0.2">
      <c r="A10419" s="3">
        <v>10418</v>
      </c>
      <c r="L10419" s="1" t="s">
        <v>3392</v>
      </c>
      <c r="N10419" s="1" t="s">
        <v>3393</v>
      </c>
      <c r="P10419" s="1" t="s">
        <v>3449</v>
      </c>
      <c r="Q10419" s="30" t="s">
        <v>2568</v>
      </c>
      <c r="R10419" s="33" t="s">
        <v>3472</v>
      </c>
      <c r="S10419">
        <v>31</v>
      </c>
      <c r="T10419" s="1" t="s">
        <v>3967</v>
      </c>
      <c r="U10419" s="1" t="str">
        <f>HYPERLINK("http://ictvonline.org/taxonomy/p/taxonomy-history?taxnode_id=202105178","ICTVonline=202105178")</f>
        <v>ICTVonline=202105178</v>
      </c>
    </row>
    <row r="10420" spans="1:21" x14ac:dyDescent="0.2">
      <c r="A10420" s="3">
        <v>10419</v>
      </c>
      <c r="L10420" s="1" t="s">
        <v>3392</v>
      </c>
      <c r="N10420" s="1" t="s">
        <v>3393</v>
      </c>
      <c r="P10420" s="1" t="s">
        <v>3450</v>
      </c>
      <c r="Q10420" s="30" t="s">
        <v>2568</v>
      </c>
      <c r="R10420" s="33" t="s">
        <v>3472</v>
      </c>
      <c r="S10420">
        <v>31</v>
      </c>
      <c r="T10420" s="1" t="s">
        <v>3967</v>
      </c>
      <c r="U10420" s="1" t="str">
        <f>HYPERLINK("http://ictvonline.org/taxonomy/p/taxonomy-history?taxnode_id=202105179","ICTVonline=202105179")</f>
        <v>ICTVonline=202105179</v>
      </c>
    </row>
    <row r="10421" spans="1:21" x14ac:dyDescent="0.2">
      <c r="A10421" s="3">
        <v>10420</v>
      </c>
      <c r="L10421" s="1" t="s">
        <v>3392</v>
      </c>
      <c r="N10421" s="1" t="s">
        <v>3393</v>
      </c>
      <c r="P10421" s="1" t="s">
        <v>8657</v>
      </c>
      <c r="Q10421" s="30" t="s">
        <v>2969</v>
      </c>
      <c r="R10421" s="33" t="s">
        <v>3472</v>
      </c>
      <c r="S10421">
        <v>36</v>
      </c>
      <c r="T10421" s="1" t="s">
        <v>8597</v>
      </c>
      <c r="U10421" s="1" t="str">
        <f>HYPERLINK("http://ictvonline.org/taxonomy/p/taxonomy-history?taxnode_id=202109247","ICTVonline=202109247")</f>
        <v>ICTVonline=202109247</v>
      </c>
    </row>
    <row r="10422" spans="1:21" x14ac:dyDescent="0.2">
      <c r="A10422" s="3">
        <v>10421</v>
      </c>
      <c r="L10422" s="1" t="s">
        <v>3392</v>
      </c>
      <c r="N10422" s="1" t="s">
        <v>3451</v>
      </c>
      <c r="P10422" s="1" t="s">
        <v>3452</v>
      </c>
      <c r="Q10422" s="30" t="s">
        <v>2568</v>
      </c>
      <c r="R10422" s="33" t="s">
        <v>3472</v>
      </c>
      <c r="S10422">
        <v>31</v>
      </c>
      <c r="T10422" s="1" t="s">
        <v>3967</v>
      </c>
      <c r="U10422" s="1" t="str">
        <f>HYPERLINK("http://ictvonline.org/taxonomy/p/taxonomy-history?taxnode_id=202105181","ICTVonline=202105181")</f>
        <v>ICTVonline=202105181</v>
      </c>
    </row>
    <row r="10423" spans="1:21" x14ac:dyDescent="0.2">
      <c r="A10423" s="3">
        <v>10422</v>
      </c>
      <c r="L10423" s="1" t="s">
        <v>3392</v>
      </c>
      <c r="N10423" s="1" t="s">
        <v>3451</v>
      </c>
      <c r="P10423" s="1" t="s">
        <v>8658</v>
      </c>
      <c r="Q10423" s="30" t="s">
        <v>2969</v>
      </c>
      <c r="R10423" s="33" t="s">
        <v>3472</v>
      </c>
      <c r="S10423">
        <v>36</v>
      </c>
      <c r="T10423" s="1" t="s">
        <v>8659</v>
      </c>
      <c r="U10423" s="1" t="str">
        <f>HYPERLINK("http://ictvonline.org/taxonomy/p/taxonomy-history?taxnode_id=202109156","ICTVonline=202109156")</f>
        <v>ICTVonline=202109156</v>
      </c>
    </row>
    <row r="10424" spans="1:21" x14ac:dyDescent="0.2">
      <c r="A10424" s="3">
        <v>10423</v>
      </c>
      <c r="L10424" s="1" t="s">
        <v>3392</v>
      </c>
      <c r="N10424" s="1" t="s">
        <v>3451</v>
      </c>
      <c r="P10424" s="1" t="s">
        <v>3453</v>
      </c>
      <c r="Q10424" s="30" t="s">
        <v>2568</v>
      </c>
      <c r="R10424" s="33" t="s">
        <v>3472</v>
      </c>
      <c r="S10424">
        <v>31</v>
      </c>
      <c r="T10424" s="1" t="s">
        <v>3967</v>
      </c>
      <c r="U10424" s="1" t="str">
        <f>HYPERLINK("http://ictvonline.org/taxonomy/p/taxonomy-history?taxnode_id=202105182","ICTVonline=202105182")</f>
        <v>ICTVonline=202105182</v>
      </c>
    </row>
    <row r="10425" spans="1:21" x14ac:dyDescent="0.2">
      <c r="A10425" s="3">
        <v>10424</v>
      </c>
      <c r="L10425" s="1" t="s">
        <v>3392</v>
      </c>
      <c r="N10425" s="1" t="s">
        <v>3451</v>
      </c>
      <c r="P10425" s="1" t="s">
        <v>3454</v>
      </c>
      <c r="Q10425" s="30" t="s">
        <v>2568</v>
      </c>
      <c r="R10425" s="33" t="s">
        <v>3472</v>
      </c>
      <c r="S10425">
        <v>31</v>
      </c>
      <c r="T10425" s="1" t="s">
        <v>3967</v>
      </c>
      <c r="U10425" s="1" t="str">
        <f>HYPERLINK("http://ictvonline.org/taxonomy/p/taxonomy-history?taxnode_id=202105183","ICTVonline=202105183")</f>
        <v>ICTVonline=202105183</v>
      </c>
    </row>
    <row r="10426" spans="1:21" x14ac:dyDescent="0.2">
      <c r="A10426" s="3">
        <v>10425</v>
      </c>
      <c r="L10426" s="1" t="s">
        <v>3392</v>
      </c>
      <c r="N10426" s="1" t="s">
        <v>3451</v>
      </c>
      <c r="P10426" s="1" t="s">
        <v>3455</v>
      </c>
      <c r="Q10426" s="30" t="s">
        <v>2568</v>
      </c>
      <c r="R10426" s="33" t="s">
        <v>3472</v>
      </c>
      <c r="S10426">
        <v>31</v>
      </c>
      <c r="T10426" s="1" t="s">
        <v>3967</v>
      </c>
      <c r="U10426" s="1" t="str">
        <f>HYPERLINK("http://ictvonline.org/taxonomy/p/taxonomy-history?taxnode_id=202105184","ICTVonline=202105184")</f>
        <v>ICTVonline=202105184</v>
      </c>
    </row>
    <row r="10427" spans="1:21" x14ac:dyDescent="0.2">
      <c r="A10427" s="3">
        <v>10426</v>
      </c>
      <c r="L10427" s="1" t="s">
        <v>3392</v>
      </c>
      <c r="N10427" s="1" t="s">
        <v>3451</v>
      </c>
      <c r="P10427" s="1" t="s">
        <v>3456</v>
      </c>
      <c r="Q10427" s="30" t="s">
        <v>2568</v>
      </c>
      <c r="R10427" s="33" t="s">
        <v>3472</v>
      </c>
      <c r="S10427">
        <v>31</v>
      </c>
      <c r="T10427" s="1" t="s">
        <v>3967</v>
      </c>
      <c r="U10427" s="1" t="str">
        <f>HYPERLINK("http://ictvonline.org/taxonomy/p/taxonomy-history?taxnode_id=202105185","ICTVonline=202105185")</f>
        <v>ICTVonline=202105185</v>
      </c>
    </row>
    <row r="10428" spans="1:21" x14ac:dyDescent="0.2">
      <c r="A10428" s="3">
        <v>10427</v>
      </c>
      <c r="L10428" s="1" t="s">
        <v>3392</v>
      </c>
      <c r="N10428" s="1" t="s">
        <v>3451</v>
      </c>
      <c r="P10428" s="1" t="s">
        <v>3457</v>
      </c>
      <c r="Q10428" s="30" t="s">
        <v>2568</v>
      </c>
      <c r="R10428" s="33" t="s">
        <v>3472</v>
      </c>
      <c r="S10428">
        <v>31</v>
      </c>
      <c r="T10428" s="1" t="s">
        <v>3967</v>
      </c>
      <c r="U10428" s="1" t="str">
        <f>HYPERLINK("http://ictvonline.org/taxonomy/p/taxonomy-history?taxnode_id=202105186","ICTVonline=202105186")</f>
        <v>ICTVonline=202105186</v>
      </c>
    </row>
    <row r="10429" spans="1:21" x14ac:dyDescent="0.2">
      <c r="A10429" s="3">
        <v>10428</v>
      </c>
      <c r="L10429" s="1" t="s">
        <v>3392</v>
      </c>
      <c r="N10429" s="1" t="s">
        <v>3451</v>
      </c>
      <c r="P10429" s="1" t="s">
        <v>3458</v>
      </c>
      <c r="Q10429" s="30" t="s">
        <v>2568</v>
      </c>
      <c r="R10429" s="33" t="s">
        <v>3472</v>
      </c>
      <c r="S10429">
        <v>31</v>
      </c>
      <c r="T10429" s="1" t="s">
        <v>3967</v>
      </c>
      <c r="U10429" s="1" t="str">
        <f>HYPERLINK("http://ictvonline.org/taxonomy/p/taxonomy-history?taxnode_id=202105187","ICTVonline=202105187")</f>
        <v>ICTVonline=202105187</v>
      </c>
    </row>
    <row r="10430" spans="1:21" x14ac:dyDescent="0.2">
      <c r="A10430" s="3">
        <v>10429</v>
      </c>
      <c r="L10430" s="1" t="s">
        <v>3392</v>
      </c>
      <c r="N10430" s="1" t="s">
        <v>3451</v>
      </c>
      <c r="P10430" s="1" t="s">
        <v>3459</v>
      </c>
      <c r="Q10430" s="30" t="s">
        <v>2568</v>
      </c>
      <c r="R10430" s="33" t="s">
        <v>3472</v>
      </c>
      <c r="S10430">
        <v>31</v>
      </c>
      <c r="T10430" s="1" t="s">
        <v>3967</v>
      </c>
      <c r="U10430" s="1" t="str">
        <f>HYPERLINK("http://ictvonline.org/taxonomy/p/taxonomy-history?taxnode_id=202105188","ICTVonline=202105188")</f>
        <v>ICTVonline=202105188</v>
      </c>
    </row>
    <row r="10431" spans="1:21" x14ac:dyDescent="0.2">
      <c r="A10431" s="3">
        <v>10430</v>
      </c>
      <c r="L10431" s="1" t="s">
        <v>3392</v>
      </c>
      <c r="N10431" s="1" t="s">
        <v>3451</v>
      </c>
      <c r="P10431" s="1" t="s">
        <v>3460</v>
      </c>
      <c r="Q10431" s="30" t="s">
        <v>2568</v>
      </c>
      <c r="R10431" s="33" t="s">
        <v>8665</v>
      </c>
      <c r="S10431">
        <v>36</v>
      </c>
      <c r="T10431" s="1" t="s">
        <v>8661</v>
      </c>
      <c r="U10431" s="1" t="str">
        <f>HYPERLINK("http://ictvonline.org/taxonomy/p/taxonomy-history?taxnode_id=202105189","ICTVonline=202105189")</f>
        <v>ICTVonline=202105189</v>
      </c>
    </row>
    <row r="10432" spans="1:21" x14ac:dyDescent="0.2">
      <c r="A10432" s="3">
        <v>10431</v>
      </c>
      <c r="L10432" s="1" t="s">
        <v>3392</v>
      </c>
      <c r="N10432" s="1" t="s">
        <v>3451</v>
      </c>
      <c r="P10432" s="1" t="s">
        <v>3461</v>
      </c>
      <c r="Q10432" s="30" t="s">
        <v>2568</v>
      </c>
      <c r="R10432" s="33" t="s">
        <v>3472</v>
      </c>
      <c r="S10432">
        <v>31</v>
      </c>
      <c r="T10432" s="1" t="s">
        <v>3967</v>
      </c>
      <c r="U10432" s="1" t="str">
        <f>HYPERLINK("http://ictvonline.org/taxonomy/p/taxonomy-history?taxnode_id=202105190","ICTVonline=202105190")</f>
        <v>ICTVonline=202105190</v>
      </c>
    </row>
    <row r="10433" spans="1:21" x14ac:dyDescent="0.2">
      <c r="A10433" s="3">
        <v>10432</v>
      </c>
      <c r="L10433" s="1" t="s">
        <v>3392</v>
      </c>
      <c r="N10433" s="1" t="s">
        <v>3451</v>
      </c>
      <c r="P10433" s="1" t="s">
        <v>3462</v>
      </c>
      <c r="Q10433" s="30" t="s">
        <v>2568</v>
      </c>
      <c r="R10433" s="33" t="s">
        <v>3472</v>
      </c>
      <c r="S10433">
        <v>31</v>
      </c>
      <c r="T10433" s="1" t="s">
        <v>3967</v>
      </c>
      <c r="U10433" s="1" t="str">
        <f>HYPERLINK("http://ictvonline.org/taxonomy/p/taxonomy-history?taxnode_id=202105191","ICTVonline=202105191")</f>
        <v>ICTVonline=202105191</v>
      </c>
    </row>
    <row r="10434" spans="1:21" x14ac:dyDescent="0.2">
      <c r="A10434" s="3">
        <v>10433</v>
      </c>
      <c r="N10434" s="1" t="s">
        <v>208</v>
      </c>
      <c r="P10434" s="1" t="s">
        <v>209</v>
      </c>
      <c r="Q10434" s="30" t="s">
        <v>2565</v>
      </c>
      <c r="R10434" s="33" t="s">
        <v>8665</v>
      </c>
      <c r="S10434">
        <v>36</v>
      </c>
      <c r="T10434" s="1" t="s">
        <v>8661</v>
      </c>
      <c r="U10434" s="1" t="str">
        <f>HYPERLINK("http://ictvonline.org/taxonomy/p/taxonomy-history?taxnode_id=202105350","ICTVonline=202105350")</f>
        <v>ICTVonline=202105350</v>
      </c>
    </row>
    <row r="10435" spans="1:21" x14ac:dyDescent="0.2">
      <c r="A10435" s="3">
        <v>10434</v>
      </c>
      <c r="N10435" s="1" t="s">
        <v>385</v>
      </c>
      <c r="P10435" s="1" t="s">
        <v>386</v>
      </c>
      <c r="Q10435" s="30" t="s">
        <v>2565</v>
      </c>
      <c r="R10435" s="33" t="s">
        <v>8665</v>
      </c>
      <c r="S10435">
        <v>36</v>
      </c>
      <c r="T10435" s="1" t="s">
        <v>8661</v>
      </c>
      <c r="U10435" s="1" t="str">
        <f>HYPERLINK("http://ictvonline.org/taxonomy/p/taxonomy-history?taxnode_id=202105364","ICTVonline=202105364")</f>
        <v>ICTVonline=202105364</v>
      </c>
    </row>
  </sheetData>
  <autoFilter ref="A1:U10435" xr:uid="{00000000-0001-0000-0200-000000000000}"/>
  <sortState xmlns:xlrd2="http://schemas.microsoft.com/office/spreadsheetml/2017/richdata2" ref="A2:V5567">
    <sortCondition ref="A2:A5567"/>
  </sortState>
  <phoneticPr fontId="2" type="noConversion"/>
  <conditionalFormatting sqref="A2:XFD1048576">
    <cfRule type="cellIs" dxfId="0" priority="10" stopIfTrue="1" operator="equal">
      <formula>"NULL"</formula>
    </cfRule>
  </conditionalFormatting>
  <printOptions gridLines="1"/>
  <pageMargins left="0.75" right="0.75" top="1" bottom="1" header="0.5" footer="0.5"/>
  <pageSetup scale="54" fitToHeight="1000"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Version</vt:lpstr>
      <vt:lpstr>Column Definitions</vt:lpstr>
      <vt:lpstr>ICTV2020 Master Species List#37</vt:lpstr>
      <vt:lpstr>'ICTV2020 Master Species List#37'!Print_Titles</vt:lpstr>
    </vt:vector>
  </TitlesOfParts>
  <Company>UAB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Curtis Hendrickson</dc:creator>
  <cp:lastModifiedBy>Administrator</cp:lastModifiedBy>
  <cp:lastPrinted>2009-10-04T23:39:18Z</cp:lastPrinted>
  <dcterms:created xsi:type="dcterms:W3CDTF">2009-08-13T19:43:48Z</dcterms:created>
  <dcterms:modified xsi:type="dcterms:W3CDTF">2022-10-10T02:51:34Z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b3e54a7d-6175-4c77-9337-59c65cfd6551</vt:lpwstr>
  </property>
</Properties>
</file>